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" sheetId="1" state="visible" r:id="rId3"/>
    <sheet name="data" sheetId="2" state="visible" r:id="rId4"/>
    <sheet name="Sheet1" sheetId="3" state="visible" r:id="rId5"/>
  </sheets>
  <definedNames>
    <definedName function="false" hidden="false" name="Blank" vbProcedure="false">data!$G$83</definedName>
    <definedName function="false" hidden="false" name="Cable_Chains" vbProcedure="false">data!$V$20:$V$22</definedName>
    <definedName function="false" hidden="false" name="High_Low" vbProcedure="false">data!$G$84:$G$85</definedName>
    <definedName function="false" hidden="false" name="Hotends" vbProcedure="false">data!$C$21:$C$37</definedName>
    <definedName function="false" hidden="false" name="Micron_Probes" vbProcedure="false">data!$S$19:$S$23</definedName>
    <definedName function="false" hidden="false" name="MicroSherpa" vbProcedure="false">data!$U$36:$W$40</definedName>
    <definedName function="false" hidden="false" name="Printers" vbProcedure="false">data!$C$3:$C$8</definedName>
    <definedName function="false" hidden="false" name="Trident_Probes" vbProcedure="false">data!$P$19:$P$27</definedName>
    <definedName function="false" hidden="false" name="V01_XY_Joints" vbProcedure="false">data!$V$12:$V$13</definedName>
    <definedName function="false" hidden="false" name="V02_XY_Joints" vbProcedure="false">data!$V$14:$V$15</definedName>
    <definedName function="false" hidden="false" name="V0_L_Rails" vbProcedure="false">data!$N$6:$N$7</definedName>
    <definedName function="false" hidden="false" name="V0_Probes" vbProcedure="false">data!$N$19:$N$21</definedName>
    <definedName function="false" hidden="false" name="Vorpal_L_Rails" vbProcedure="false">data!$R$6:$R$7</definedName>
    <definedName function="false" hidden="false" name="x_frames" vbProcedure="false">data!$J$20:$K$55</definedName>
    <definedName function="false" hidden="false" name="YES_NO" vbProcedure="false">data!$G$81:$G$82</definedName>
    <definedName function="false" hidden="false" localSheetId="0" name="_xlnm.Print_Area" vbProcedure="false">#REF!</definedName>
    <definedName function="false" hidden="false" localSheetId="0" name="_xlnm.Sheet_Title" vbProcedure="false">"Config"</definedName>
    <definedName function="false" hidden="false" localSheetId="1" name="_xlnm.Print_Area" vbProcedure="false">#REF!</definedName>
    <definedName function="false" hidden="false" localSheetId="1" name="_xlnm.Sheet_Title" vbProcedure="false">"Sheet2"</definedName>
    <definedName function="false" hidden="false" localSheetId="2" name="_xlnm.Print_Area" vbProcedure="false">#REF!</definedName>
    <definedName function="false" hidden="false" localSheetId="2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K3" authorId="0">
      <text>
        <r>
          <rPr>
            <sz val="10"/>
            <rFont val="Arial"/>
            <family val="2"/>
          </rPr>
          <t xml:space="preserve">alan:
</t>
        </r>
        <r>
          <rPr>
            <sz val="9"/>
            <rFont val="Cambria"/>
            <family val="0"/>
            <charset val="1"/>
          </rPr>
          <t xml:space="preserve">For x-carriage lookup
</t>
        </r>
      </text>
    </comment>
    <comment ref="K4" authorId="0">
      <text>
        <r>
          <rPr>
            <sz val="10"/>
            <rFont val="Arial"/>
            <family val="2"/>
          </rPr>
          <t xml:space="preserve">alan:
</t>
        </r>
        <r>
          <rPr>
            <sz val="9"/>
            <rFont val="Cambria"/>
            <family val="0"/>
            <charset val="1"/>
          </rPr>
          <t xml:space="preserve">V0 MGN9 lookup for x-carriage
</t>
        </r>
      </text>
    </comment>
    <comment ref="K7" authorId="0">
      <text>
        <r>
          <rPr>
            <sz val="10"/>
            <rFont val="Arial"/>
            <family val="2"/>
          </rPr>
          <t xml:space="preserve">alan:
</t>
        </r>
        <r>
          <rPr>
            <sz val="9"/>
            <rFont val="Cambria"/>
            <family val="0"/>
            <charset val="1"/>
          </rPr>
          <t xml:space="preserve">For UHF Shroud lookup
</t>
        </r>
      </text>
    </comment>
    <comment ref="K8" authorId="0">
      <text>
        <r>
          <rPr>
            <sz val="10"/>
            <rFont val="Arial"/>
            <family val="2"/>
          </rPr>
          <t xml:space="preserve">alan:
</t>
        </r>
        <r>
          <rPr>
            <sz val="9"/>
            <rFont val="Cambria"/>
            <family val="0"/>
            <charset val="1"/>
          </rPr>
          <t xml:space="preserve">For Shroud Probe lookup
</t>
        </r>
      </text>
    </comment>
  </commentList>
</comments>
</file>

<file path=xl/sharedStrings.xml><?xml version="1.0" encoding="utf-8"?>
<sst xmlns="http://schemas.openxmlformats.org/spreadsheetml/2006/main" count="758" uniqueCount="340">
  <si>
    <t xml:space="preserve">IF:</t>
  </si>
  <si>
    <t xml:space="preserve">vlookups</t>
  </si>
  <si>
    <t xml:space="preserve">Printer:</t>
  </si>
  <si>
    <t xml:space="preserve">Trident / V2.4</t>
  </si>
  <si>
    <t xml:space="preserve">←</t>
  </si>
  <si>
    <t xml:space="preserve">Start here and double check each input</t>
  </si>
  <si>
    <t xml:space="preserve">-</t>
  </si>
  <si>
    <t xml:space="preserve">↙</t>
  </si>
  <si>
    <t xml:space="preserve">the dropdown menus do not auto-update</t>
  </si>
  <si>
    <t xml:space="preserve">and must be refreshed manually</t>
  </si>
  <si>
    <t xml:space="preserve">Extruder:</t>
  </si>
  <si>
    <t xml:space="preserve">Sherpa Micro</t>
  </si>
  <si>
    <t xml:space="preserve">↓</t>
  </si>
  <si>
    <t xml:space="preserve">from the top to the bottom</t>
  </si>
  <si>
    <t xml:space="preserve">Hotend:</t>
  </si>
  <si>
    <t xml:space="preserve">Creality Spider Pro</t>
  </si>
  <si>
    <t xml:space="preserve">Probe:</t>
  </si>
  <si>
    <t xml:space="preserve">Klicky</t>
  </si>
  <si>
    <t xml:space="preserve">Umbilical PCB:</t>
  </si>
  <si>
    <t xml:space="preserve">No</t>
  </si>
  <si>
    <t xml:space="preserve">None</t>
  </si>
  <si>
    <t xml:space="preserve">High</t>
  </si>
  <si>
    <t xml:space="preserve">Display:</t>
  </si>
  <si>
    <t xml:space="preserve">Status LED</t>
  </si>
  <si>
    <t xml:space="preserve">Neopixel</t>
  </si>
  <si>
    <t xml:space="preserve">THEN:</t>
  </si>
  <si>
    <t xml:space="preserve">Downloaded</t>
  </si>
  <si>
    <t xml:space="preserve">Printed</t>
  </si>
  <si>
    <t xml:space="preserve">Shroud:</t>
  </si>
  <si>
    <t xml:space="preserve">Not Yet</t>
  </si>
  <si>
    <t xml:space="preserve">UHF (0,1)</t>
  </si>
  <si>
    <t xml:space="preserve">Display (0,1,2)</t>
  </si>
  <si>
    <t xml:space="preserve">Probe (0,1,2)</t>
  </si>
  <si>
    <t xml:space="preserve">Core:</t>
  </si>
  <si>
    <t xml:space="preserve">Hotend (0-11)</t>
  </si>
  <si>
    <t xml:space="preserve">Probe: (0-9)</t>
  </si>
  <si>
    <t xml:space="preserve">Printer (0-4)</t>
  </si>
  <si>
    <t xml:space="preserve">Endstop(0,1)</t>
  </si>
  <si>
    <t xml:space="preserve">V0 MGN7/MGN9</t>
  </si>
  <si>
    <t xml:space="preserve">Vorpal MGN12/MGN9</t>
  </si>
  <si>
    <t xml:space="preserve">if Printer:0,1</t>
  </si>
  <si>
    <t xml:space="preserve">if Probe:Omron</t>
  </si>
  <si>
    <t xml:space="preserve">if Probe;Klicky</t>
  </si>
  <si>
    <t xml:space="preserve">if V0.1/V0.2:</t>
  </si>
  <si>
    <t xml:space="preserve">NoDrop_Spacers</t>
  </si>
  <si>
    <t xml:space="preserve">Motor Bridge</t>
  </si>
  <si>
    <t xml:space="preserve">if UmbilicalPCB:(Y,N)</t>
  </si>
  <si>
    <t xml:space="preserve">if CableChain:(I,G)</t>
  </si>
  <si>
    <t xml:space="preserve">else: (High,Low)</t>
  </si>
  <si>
    <t xml:space="preserve">Filament Release Lever</t>
  </si>
  <si>
    <t xml:space="preserve">- Part of Sherpa Micro Vz RIDGA mod -</t>
  </si>
  <si>
    <t xml:space="preserve">Cable Door</t>
  </si>
  <si>
    <t xml:space="preserve">LED Diffuser and Housing</t>
  </si>
  <si>
    <t xml:space="preserve">4010 blower air guide</t>
  </si>
  <si>
    <t xml:space="preserve">Blower_guide_x2.stl</t>
  </si>
  <si>
    <t xml:space="preserve">Blower_guide_tool_M3x20.stl</t>
  </si>
  <si>
    <t xml:space="preserve">Sherpa Micro Extruder</t>
  </si>
  <si>
    <t xml:space="preserve">BMG</t>
  </si>
  <si>
    <t xml:space="preserve">- Visit the Sherpa Micro Vz RIDGA mod -</t>
  </si>
  <si>
    <t xml:space="preserve">Back Piece</t>
  </si>
  <si>
    <t xml:space="preserve">Core Piece</t>
  </si>
  <si>
    <t xml:space="preserve">Front Piece</t>
  </si>
  <si>
    <t xml:space="preserve">Idler Arm</t>
  </si>
  <si>
    <t xml:space="preserve">Printer</t>
  </si>
  <si>
    <t xml:space="preserve">.stl file names [Common Parts]</t>
  </si>
  <si>
    <t xml:space="preserve">Logic Overview</t>
  </si>
  <si>
    <t xml:space="preserve">Select one ↘</t>
  </si>
  <si>
    <t xml:space="preserve">Micron_carriage_probe_mount_Beacon3D.stl</t>
  </si>
  <si>
    <t xml:space="preserve">if Printer:</t>
  </si>
  <si>
    <t xml:space="preserve">printer specific options</t>
  </si>
  <si>
    <t xml:space="preserve">Linear Rail Lookup:</t>
  </si>
  <si>
    <t xml:space="preserve">V0.1</t>
  </si>
  <si>
    <t xml:space="preserve">probe_retainer_bracket_9mm.stl</t>
  </si>
  <si>
    <t xml:space="preserve">V0.2</t>
  </si>
  <si>
    <t xml:space="preserve">Switchwire</t>
  </si>
  <si>
    <t xml:space="preserve">Vorpal 180</t>
  </si>
  <si>
    <t xml:space="preserve">Micron</t>
  </si>
  <si>
    <t xml:space="preserve">Linear Rail:</t>
  </si>
  <si>
    <t xml:space="preserve">X Endstop:</t>
  </si>
  <si>
    <t xml:space="preserve">data!F6:F7</t>
  </si>
  <si>
    <t xml:space="preserve">V0_L_Rails</t>
  </si>
  <si>
    <t xml:space="preserve">probe_retainer_bracket_10.5mm.stl</t>
  </si>
  <si>
    <t xml:space="preserve">Rainbow_Barf_LED_carrier.stl</t>
  </si>
  <si>
    <t xml:space="preserve">if Linear Rail:</t>
  </si>
  <si>
    <t xml:space="preserve">then Blank</t>
  </si>
  <si>
    <t xml:space="preserve">Blank</t>
  </si>
  <si>
    <t xml:space="preserve">Sensorless_X_homing_spacer.stl</t>
  </si>
  <si>
    <t xml:space="preserve">MGN7</t>
  </si>
  <si>
    <t xml:space="preserve">MGN12</t>
  </si>
  <si>
    <t xml:space="preserve">Status_LED_carrier.stl</t>
  </si>
  <si>
    <t xml:space="preserve">MGN9</t>
  </si>
  <si>
    <t xml:space="preserve">data!J6:J7</t>
  </si>
  <si>
    <t xml:space="preserve">Vorpal_L_Rails</t>
  </si>
  <si>
    <t xml:space="preserve">Status_LED_logo_diffuser.stl</t>
  </si>
  <si>
    <t xml:space="preserve">Extruder</t>
  </si>
  <si>
    <t xml:space="preserve">XY_Joint_Left_Upper_V0.2.stl</t>
  </si>
  <si>
    <t xml:space="preserve">if X-Endstop</t>
  </si>
  <si>
    <t xml:space="preserve">XY_Joint_Right_Upper_V0.2.stl</t>
  </si>
  <si>
    <t xml:space="preserve">yes</t>
  </si>
  <si>
    <t xml:space="preserve">XY_Joint_Left_Upper_V0.1.stl</t>
  </si>
  <si>
    <t xml:space="preserve">no</t>
  </si>
  <si>
    <t xml:space="preserve">Rail Size</t>
  </si>
  <si>
    <t xml:space="preserve">V0 x-carriage Extras</t>
  </si>
  <si>
    <t xml:space="preserve">V0 x_endstop</t>
  </si>
  <si>
    <t xml:space="preserve">Probe Lookup</t>
  </si>
  <si>
    <t xml:space="preserve">Probe Extra</t>
  </si>
  <si>
    <t xml:space="preserve">Vz RIDGA</t>
  </si>
  <si>
    <t xml:space="preserve">XY_Joint_Right_Upper_V0.1.stl</t>
  </si>
  <si>
    <t xml:space="preserve">V0.1 X/Y Joint Upper Left</t>
  </si>
  <si>
    <t xml:space="preserve">V0_Probes</t>
  </si>
  <si>
    <t xml:space="preserve">BMG Standard or RIDGA</t>
  </si>
  <si>
    <t xml:space="preserve">Knomi2_Clip.stl</t>
  </si>
  <si>
    <t xml:space="preserve">if Extruder:</t>
  </si>
  <si>
    <t xml:space="preserve">V0.1 X/Y Joint Upper Right</t>
  </si>
  <si>
    <t xml:space="preserve">V0 Probes</t>
  </si>
  <si>
    <t xml:space="preserve">LGX Lite</t>
  </si>
  <si>
    <t xml:space="preserve">V0.2 X/Y Joint Upper Left</t>
  </si>
  <si>
    <t xml:space="preserve">Trident_Probes</t>
  </si>
  <si>
    <t xml:space="preserve">Vz Hextrudort Low</t>
  </si>
  <si>
    <t xml:space="preserve">V0.2 X/Y Joint Upper Right</t>
  </si>
  <si>
    <t xml:space="preserve">Gantry_NoDrop_Nut_Spacers.stl</t>
  </si>
  <si>
    <t xml:space="preserve">Hummingbird</t>
  </si>
  <si>
    <t xml:space="preserve">ZeroClick</t>
  </si>
  <si>
    <t xml:space="preserve">Micron_Probes</t>
  </si>
  <si>
    <t xml:space="preserve">Beacon Mount</t>
  </si>
  <si>
    <t xml:space="preserve">Differential IR</t>
  </si>
  <si>
    <t xml:space="preserve">Probe</t>
  </si>
  <si>
    <t xml:space="preserve">Xstop</t>
  </si>
  <si>
    <t xml:space="preserve">+ UHF</t>
  </si>
  <si>
    <t xml:space="preserve">if Probe:</t>
  </si>
  <si>
    <t xml:space="preserve">Umbilical PCB</t>
  </si>
  <si>
    <t xml:space="preserve">Cable Chain</t>
  </si>
  <si>
    <t xml:space="preserve">Core pieces</t>
  </si>
  <si>
    <t xml:space="preserve">INDIRECT() named ranges</t>
  </si>
  <si>
    <t xml:space="preserve">5</t>
  </si>
  <si>
    <t xml:space="preserve">2</t>
  </si>
  <si>
    <t xml:space="preserve">Switchwire_x_carriage_frames_BL_Touch_UHF_MGN12.stl</t>
  </si>
  <si>
    <t xml:space="preserve">Omron</t>
  </si>
  <si>
    <t xml:space="preserve">MGN9C Compatible</t>
  </si>
  <si>
    <t xml:space="preserve">Dropeffect XG</t>
  </si>
  <si>
    <t xml:space="preserve">1</t>
  </si>
  <si>
    <t xml:space="preserve">Switchwire_x_carriage_frames_Diff_IR_probe_UHF_MGN12.stl</t>
  </si>
  <si>
    <t xml:space="preserve">Beacon3D</t>
  </si>
  <si>
    <t xml:space="preserve">Igus</t>
  </si>
  <si>
    <t xml:space="preserve">4</t>
  </si>
  <si>
    <t xml:space="preserve">Switchwire_x_carriage_frames_Euclid_probe_UHF_MGN12.stl</t>
  </si>
  <si>
    <t xml:space="preserve">BL Touch</t>
  </si>
  <si>
    <t xml:space="preserve">Boop beta4 Wired</t>
  </si>
  <si>
    <t xml:space="preserve">Generic</t>
  </si>
  <si>
    <t xml:space="preserve">Bambu Lab X1</t>
  </si>
  <si>
    <t xml:space="preserve">6</t>
  </si>
  <si>
    <t xml:space="preserve">Switchwire_x_carriage_frames_Beacon3D_UHF_MGN12.stl</t>
  </si>
  <si>
    <t xml:space="preserve">Boop beta4 PCB</t>
  </si>
  <si>
    <t xml:space="preserve">Slice Mosquito</t>
  </si>
  <si>
    <t xml:space="preserve">9</t>
  </si>
  <si>
    <t xml:space="preserve">Switchwire_x_carriage_frames_Biqu_MicroProbe_UHF_MGN12.stl</t>
  </si>
  <si>
    <t xml:space="preserve">Euclid</t>
  </si>
  <si>
    <t xml:space="preserve">Nitram VolcoMosq</t>
  </si>
  <si>
    <t xml:space="preserve">3</t>
  </si>
  <si>
    <t xml:space="preserve">Switchwire_x_carriage_frames_PINDA_probe_UHF_MGN12.stl</t>
  </si>
  <si>
    <t xml:space="preserve">Revo Voron</t>
  </si>
  <si>
    <t xml:space="preserve">Switchwire_x_carriage_frames_Omron_probe_UHF_MGN12.stl</t>
  </si>
  <si>
    <t xml:space="preserve">Biqu MicroProbe</t>
  </si>
  <si>
    <t xml:space="preserve">=</t>
  </si>
  <si>
    <t xml:space="preserve">VLOOKUP (</t>
  </si>
  <si>
    <t xml:space="preserve">lookup_value,</t>
  </si>
  <si>
    <t xml:space="preserve">table_array,</t>
  </si>
  <si>
    <t xml:space="preserve">col_index_num,</t>
  </si>
  <si>
    <t xml:space="preserve">[range_lookup]</t>
  </si>
  <si>
    <t xml:space="preserve">)</t>
  </si>
  <si>
    <t xml:space="preserve">Phaetus Rapido</t>
  </si>
  <si>
    <t xml:space="preserve">Switchwire_x_carriage_frames_BL_Touch_MGN12.stl</t>
  </si>
  <si>
    <t xml:space="preserve">PINDA</t>
  </si>
  <si>
    <t xml:space="preserve">C2,</t>
  </si>
  <si>
    <t xml:space="preserve">data!F6:F7,</t>
  </si>
  <si>
    <t xml:space="preserve">2,</t>
  </si>
  <si>
    <t xml:space="preserve">Phaetus Rapido UHF</t>
  </si>
  <si>
    <t xml:space="preserve">Switchwire_x_carriage_frames_Diff_IR_probe_MGN12.stl</t>
  </si>
  <si>
    <t xml:space="preserve">+ BeaconMount</t>
  </si>
  <si>
    <t xml:space="preserve">Phaetus Dragon UHF</t>
  </si>
  <si>
    <t xml:space="preserve">Switchwire_x_carriage_frames_Euclid_probe_MGN12.stl</t>
  </si>
  <si>
    <t xml:space="preserve">if Display:</t>
  </si>
  <si>
    <t xml:space="preserve">IFS(C2="V0.1","x-carriage:",C2="V0.2","x-carriage:",C2="Micron","x-carriage:",TRUE,"x-frame:")</t>
  </si>
  <si>
    <t xml:space="preserve">Triangle Labs T-Vocano Dragon</t>
  </si>
  <si>
    <t xml:space="preserve">Switchwire_x_carriage_frames_Beacon3D_MGN12.stl</t>
  </si>
  <si>
    <t xml:space="preserve">IF(C2="V0.1","x-carriage:",IF(C2="V0.2","x-carriage:",IF(C2="Micron","x-carriage:","x-frame:")))</t>
  </si>
  <si>
    <t xml:space="preserve">Triangle Labs CHCB-V V6DM</t>
  </si>
  <si>
    <t xml:space="preserve">7</t>
  </si>
  <si>
    <t xml:space="preserve">Switchwire_x_carriage_frames_Biqu_MicroProbe_MGN12.stl</t>
  </si>
  <si>
    <t xml:space="preserve">Knomi 1</t>
  </si>
  <si>
    <t xml:space="preserve">Triangle Labs Dragon ACE</t>
  </si>
  <si>
    <t xml:space="preserve">Switchwire_x_carriage_frames_PINDA_Probe_MGN12.stl</t>
  </si>
  <si>
    <t xml:space="preserve">Knomi 2</t>
  </si>
  <si>
    <t xml:space="preserve">IFS(logical_test, [value_if _true], logical_test, [value_if _true], logical_test, [value_if _true], ... )</t>
  </si>
  <si>
    <t xml:space="preserve">Phaetus Dragon ST/HF</t>
  </si>
  <si>
    <t xml:space="preserve">Switchwire_x_carriage_frames_Omron_Probe_MGN12.stl</t>
  </si>
  <si>
    <t xml:space="preserve">Mellow Fly-Halo</t>
  </si>
  <si>
    <t xml:space="preserve">IF(logical_test, [value_if _true], [value_if_false])</t>
  </si>
  <si>
    <t xml:space="preserve">Triangle Labs TCHC TD6S</t>
  </si>
  <si>
    <t xml:space="preserve">x_carriage_frames_BL_Touch_UHF_MGN12.stl</t>
  </si>
  <si>
    <t xml:space="preserve">Phaetus Dragonfly BMS7</t>
  </si>
  <si>
    <t xml:space="preserve">x_carriage_frames_Diff_IR_Probe_UHF_MGN12.stl</t>
  </si>
  <si>
    <t xml:space="preserve">Phaetus Dragonfly BMS6</t>
  </si>
  <si>
    <t xml:space="preserve">x_carriage_frames_Euclid_Probe_UHF_MGN12.stl</t>
  </si>
  <si>
    <t xml:space="preserve">then Shrouds:</t>
  </si>
  <si>
    <t xml:space="preserve">Sherpa_Micro_VzRIDGA_Back_v1.1.stl</t>
  </si>
  <si>
    <t xml:space="preserve">Phaetus Dragonfly BMO</t>
  </si>
  <si>
    <t xml:space="preserve">x_carriage_frames_Beacon3D_UHF_MGN12.stl</t>
  </si>
  <si>
    <t xml:space="preserve">Standard</t>
  </si>
  <si>
    <t xml:space="preserve">Sherpa_Micro_VzRIDGA_Core_v1.1.stl</t>
  </si>
  <si>
    <t xml:space="preserve">Sherpa_Micro_Core_mirrored.stl  (official geometry mirrored)</t>
  </si>
  <si>
    <t xml:space="preserve">x_carriage_frames_Biqu_MicroProbe_UHF_MGN12.stl</t>
  </si>
  <si>
    <t xml:space="preserve">Sherpa_Micro_VzRIDGA_Front.stl</t>
  </si>
  <si>
    <t xml:space="preserve">Sherpa_Micro_VzRIDGA_Front.stl  (official geometry mirrored)</t>
  </si>
  <si>
    <t xml:space="preserve">x_carriage_frames_PINDA_probe_UHF_MGN12.stl</t>
  </si>
  <si>
    <t xml:space="preserve">Sherpa_Micro_VzRIDGA_Idler_arm.stl</t>
  </si>
  <si>
    <t xml:space="preserve">Sherpa_Micro_Idler_Arm_FR-Lever_mirrored.stl</t>
  </si>
  <si>
    <t xml:space="preserve">x_carriage_frames_Omron_probe_UHF_MGN12.stl</t>
  </si>
  <si>
    <t xml:space="preserve">and:</t>
  </si>
  <si>
    <t xml:space="preserve">Sherpa_Micro_VzRIDGA_Filament_Release_Lever.stl</t>
  </si>
  <si>
    <t xml:space="preserve">Sherpa_Micro_VzRIDGA_Filament_Release_Lever.stl </t>
  </si>
  <si>
    <t xml:space="preserve">0</t>
  </si>
  <si>
    <t xml:space="preserve">x_carriage_frames_BL_Touch_MGN12.stl</t>
  </si>
  <si>
    <t xml:space="preserve">DiffIR Cover</t>
  </si>
  <si>
    <t xml:space="preserve">x_carriage_frames_Diff_IR_Probe_MGN12.stl</t>
  </si>
  <si>
    <t xml:space="preserve">INDIRECT example -&gt;</t>
  </si>
  <si>
    <t xml:space="preserve">Config!C3</t>
  </si>
  <si>
    <t xml:space="preserve">x_carriage_frames_Euclid_Probe_MGN12.stl</t>
  </si>
  <si>
    <t xml:space="preserve">then  Cores:</t>
  </si>
  <si>
    <t xml:space="preserve">x_carriage_frames_Beacon3D_MGN12.stl</t>
  </si>
  <si>
    <t xml:space="preserve">Pinda</t>
  </si>
  <si>
    <t xml:space="preserve">x_carriage_frames_Biqu_MicroProbe_MGN12.stl</t>
  </si>
  <si>
    <t xml:space="preserve">x_carriage_frames_PINDA_probe_MGN12.stl</t>
  </si>
  <si>
    <t xml:space="preserve">x_carriage_frames_Omron_probe_MGN12.stl</t>
  </si>
  <si>
    <t xml:space="preserve">x_carriage_Mini_Stealth_MGN7.stl</t>
  </si>
  <si>
    <t xml:space="preserve">x_carriage_Mini_Stealth_MGN7_no_X-endstop.stl</t>
  </si>
  <si>
    <t xml:space="preserve">x_carriage_Mini_Stealth_MGN9.stl</t>
  </si>
  <si>
    <t xml:space="preserve">x_carriage_Mini_Stealth_MGN9_no_X-endstop.stl</t>
  </si>
  <si>
    <t xml:space="preserve">Micron_mgn9c_toolhead_carriage_Beacon3D.stl</t>
  </si>
  <si>
    <t xml:space="preserve">Micron_mgn9c_toolhead_carriage.stl</t>
  </si>
  <si>
    <t xml:space="preserve">Shroud Pieces</t>
  </si>
  <si>
    <t xml:space="preserve">Mini_Stealth_Boop_beta4_front_Wired.stl</t>
  </si>
  <si>
    <t xml:space="preserve">Mini_Stealth_Boop_beta4_front_PCB.stl</t>
  </si>
  <si>
    <t xml:space="preserve">Standard ZeroClick</t>
  </si>
  <si>
    <t xml:space="preserve">UHF</t>
  </si>
  <si>
    <t xml:space="preserve">Display</t>
  </si>
  <si>
    <t xml:space="preserve">then x-carriage:</t>
  </si>
  <si>
    <t xml:space="preserve">then x-frame:</t>
  </si>
  <si>
    <t xml:space="preserve">Standard Diff IR</t>
  </si>
  <si>
    <t xml:space="preserve">.stl file names [Sherpa Micro specific]</t>
  </si>
  <si>
    <t xml:space="preserve">[a]_MiniStealth_Shroud_Sherpa_Micro.stl</t>
  </si>
  <si>
    <t xml:space="preserve">MGN9C Beacon3D</t>
  </si>
  <si>
    <t xml:space="preserve">Knomi 1 ZeroClick</t>
  </si>
  <si>
    <t xml:space="preserve">[a]_MiniStealth_Shroud_Sherpa_Micro_ZeroClick.stl</t>
  </si>
  <si>
    <t xml:space="preserve">and: BeaconMount</t>
  </si>
  <si>
    <t xml:space="preserve">Knomi 1 Diff IR</t>
  </si>
  <si>
    <t xml:space="preserve">[a]_MiniStealth_Shroud_Sherpa_Micro_Diff_IR.stl</t>
  </si>
  <si>
    <t xml:space="preserve">[a]_MiniStealth_Shroud_Sherpa_Micro_Knomi1.stl</t>
  </si>
  <si>
    <t xml:space="preserve">Knomi 2 ZeroClick</t>
  </si>
  <si>
    <t xml:space="preserve">[a]_MiniStealth_Shroud_Sherpa_Micro_ZeroClick_Knomi1.stl</t>
  </si>
  <si>
    <t xml:space="preserve">Knomi 2 Diff IR</t>
  </si>
  <si>
    <t xml:space="preserve">[a]_MiniStealth_Shroud_Sherpa_Micro_Diff_IR_Knomi1.stl</t>
  </si>
  <si>
    <t xml:space="preserve">Standard UHF</t>
  </si>
  <si>
    <t xml:space="preserve">[a]_MiniStealth_Shroud_Sherpa_Micro_Knomi2.stl</t>
  </si>
  <si>
    <t xml:space="preserve">Standard ZeroClick UHF</t>
  </si>
  <si>
    <t xml:space="preserve">[a]_MiniStealth_Shroud_Sherpa_Micro_ZeroClick_Knomi2.stl</t>
  </si>
  <si>
    <t xml:space="preserve">Standard Diff IR UHF</t>
  </si>
  <si>
    <t xml:space="preserve">[a]_MiniStealth_Shroud_Sherpa_Micro_Diff_IR_Knomi2.stl</t>
  </si>
  <si>
    <t xml:space="preserve">Knomi 1 UHF</t>
  </si>
  <si>
    <t xml:space="preserve">[a]_MiniStealth_Shroud_Sherpa_Micro_UHF.stl</t>
  </si>
  <si>
    <t xml:space="preserve">Knomi 1 ZeroClick UHF</t>
  </si>
  <si>
    <t xml:space="preserve">[a]_MiniStealth_Shroud_Sherpa_Micro_ZeroClick_UHF.stl</t>
  </si>
  <si>
    <t xml:space="preserve">Knomi 1 Diff IR UHF</t>
  </si>
  <si>
    <t xml:space="preserve">[a]_MiniStealth_Shroud_Sherpa_Micro_Diff_IR_UHF.stl</t>
  </si>
  <si>
    <t xml:space="preserve">Knomi 2 UHF</t>
  </si>
  <si>
    <t xml:space="preserve">[a]_MiniStealth_Shroud_Sherpa_Micro_Knomi1_UHF.stl</t>
  </si>
  <si>
    <t xml:space="preserve">Knomi 2 ZeroClick UHF</t>
  </si>
  <si>
    <t xml:space="preserve">[a]_MiniStealth_Shroud_Sherpa_Micro_ZeroClick_Knomi1_UHF.stl</t>
  </si>
  <si>
    <t xml:space="preserve">Knomi 2 Diff IR UHF</t>
  </si>
  <si>
    <t xml:space="preserve">[a]_MiniStealth_Shroud_Sherpa_Micro_Diff_IR_Knomi1_UHF.stl</t>
  </si>
  <si>
    <t xml:space="preserve">[a]_MiniStealth_Shroud_Sherpa_Micro_Knomi2_UHF.stl</t>
  </si>
  <si>
    <t xml:space="preserve">[a]_MiniStealth_Shroud_Sherpa_Micro_ZeroClick_Knomi2_UHF.stl</t>
  </si>
  <si>
    <t xml:space="preserve">[a]_MiniStealth_Shroud_Sherpa_Micro_Diff_IR_Knomi2_UHF.stl</t>
  </si>
  <si>
    <t xml:space="preserve">[b]_MiniStealth_Core_Micro_Sherpa_BambuLab.stl</t>
  </si>
  <si>
    <t xml:space="preserve">[b]_MiniStealth_Core_Micro_Sherpa_Dragon_Ace.stl</t>
  </si>
  <si>
    <t xml:space="preserve">[b]_MiniStealth_Core_Micro_Sherpa_Dragon_ST-HF.stl</t>
  </si>
  <si>
    <t xml:space="preserve">Yes</t>
  </si>
  <si>
    <t xml:space="preserve">[b]_MiniStealth_Core_Micro_Sherpa_Dragonfly_BMS-6.stl</t>
  </si>
  <si>
    <t xml:space="preserve">[b]_MiniStealth_Core_Micro_Sherpa_Dragonfly_BMS-7.stl</t>
  </si>
  <si>
    <t xml:space="preserve">[b]_MiniStealth_Core_Micro_Sherpa_Dragonfly.stl</t>
  </si>
  <si>
    <t xml:space="preserve">[b]_MiniStealth_Core_Micro_Sherpa_Dropeffect_XG.stl</t>
  </si>
  <si>
    <t xml:space="preserve">Rainbow Barf</t>
  </si>
  <si>
    <t xml:space="preserve">Low</t>
  </si>
  <si>
    <t xml:space="preserve">[b]_MiniStealth_Core_Micro_Sherpa_Mosquito.stl</t>
  </si>
  <si>
    <t xml:space="preserve">[b]_MiniStealth_Core_Micro_Sherpa_Rapido.stl</t>
  </si>
  <si>
    <t xml:space="preserve">[b]_MiniStealth_Core_Micro_Sherpa_Revo_Voron.stl</t>
  </si>
  <si>
    <t xml:space="preserve">[b]_MiniStealth_Core_Micro_Sherpa_Spider_Pro.stl</t>
  </si>
  <si>
    <t xml:space="preserve">[b]_MiniStealth_Core_Micro_Sherpa_TCHC-TD6S.stl</t>
  </si>
  <si>
    <t xml:space="preserve">Cable_Chain_Mount_2-hole.stl</t>
  </si>
  <si>
    <t xml:space="preserve">Cable_Chain_Mount_3-hole.stl</t>
  </si>
  <si>
    <t xml:space="preserve">Cable_door.stl</t>
  </si>
  <si>
    <t xml:space="preserve">Motor_Bridge_Cable_Chain.stl</t>
  </si>
  <si>
    <t xml:space="preserve">Motor_Bridge_Cable_strain_relief_High.stl</t>
  </si>
  <si>
    <t xml:space="preserve">Motor_Bridge_Cable_strain_relief_Low.stl</t>
  </si>
  <si>
    <t xml:space="preserve">Motor_Bridge_Umbilical.stl</t>
  </si>
  <si>
    <t xml:space="preserve">Umbilical_PCB_EBB36_Mount.stl</t>
  </si>
  <si>
    <t xml:space="preserve">PCB</t>
  </si>
  <si>
    <t xml:space="preserve">MCU</t>
  </si>
  <si>
    <t xml:space="preserve">Wire AWG</t>
  </si>
  <si>
    <t xml:space="preserve">24V</t>
  </si>
  <si>
    <t xml:space="preserve">HE0 +V</t>
  </si>
  <si>
    <t xml:space="preserve">GND</t>
  </si>
  <si>
    <t xml:space="preserve">PSU -V (NOT MAINS GND)</t>
  </si>
  <si>
    <t xml:space="preserve">PROBE</t>
  </si>
  <si>
    <t xml:space="preserve">Probe/Klicky Signal Pin</t>
  </si>
  <si>
    <t xml:space="preserve">HE0</t>
  </si>
  <si>
    <t xml:space="preserve">Hotend Heater -V</t>
  </si>
  <si>
    <t xml:space="preserve">5V</t>
  </si>
  <si>
    <t xml:space="preserve">PCF</t>
  </si>
  <si>
    <t xml:space="preserve">Part Cooling Fan -V</t>
  </si>
  <si>
    <t xml:space="preserve">HEF</t>
  </si>
  <si>
    <t xml:space="preserve">Hotend Cooling Fan -V</t>
  </si>
  <si>
    <t xml:space="preserve">AGND</t>
  </si>
  <si>
    <t xml:space="preserve">Hotend Thermistor -V</t>
  </si>
  <si>
    <t xml:space="preserve">TH0</t>
  </si>
  <si>
    <t xml:space="preserve">Hotend Thermistor Signal Pin (TH0)</t>
  </si>
  <si>
    <t xml:space="preserve">AUX</t>
  </si>
  <si>
    <t xml:space="preserve">Auxillary</t>
  </si>
  <si>
    <t xml:space="preserve">S1A</t>
  </si>
  <si>
    <t xml:space="preserve">Red Stepper Wire</t>
  </si>
  <si>
    <t xml:space="preserve">S2A</t>
  </si>
  <si>
    <t xml:space="preserve">Green Stepper Wire</t>
  </si>
  <si>
    <t xml:space="preserve">S1B</t>
  </si>
  <si>
    <t xml:space="preserve">Blue Stepper Wire</t>
  </si>
  <si>
    <t xml:space="preserve">S2B</t>
  </si>
  <si>
    <t xml:space="preserve">Black Stepper Wire</t>
  </si>
  <si>
    <t xml:space="preserve">LED</t>
  </si>
  <si>
    <t xml:space="preserve">Neopixel Data Pin</t>
  </si>
  <si>
    <t xml:space="preserve">FS</t>
  </si>
  <si>
    <t xml:space="preserve">ERCF Filament sensor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</si>
</sst>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FABF8F"/>
      <name val="Sans"/>
      <family val="0"/>
      <charset val="1"/>
    </font>
    <font>
      <sz val="11"/>
      <color rgb="FF3F3F76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sz val="10"/>
      <color rgb="FFFF0000"/>
      <name val="Sans"/>
      <family val="0"/>
      <charset val="1"/>
    </font>
    <font>
      <sz val="14"/>
      <color rgb="FF000000"/>
      <name val="Calibri"/>
      <family val="2"/>
      <charset val="1"/>
    </font>
    <font>
      <sz val="11"/>
      <color rgb="FF0061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1"/>
      <color rgb="FF9C0006"/>
      <name val="Calibri"/>
      <family val="0"/>
      <charset val="1"/>
    </font>
    <font>
      <u val="single"/>
      <sz val="10"/>
      <color rgb="FF0000FF"/>
      <name val="Sans"/>
      <family val="0"/>
      <charset val="1"/>
    </font>
    <font>
      <sz val="9"/>
      <name val="Cambria"/>
      <family val="0"/>
      <charset val="1"/>
    </font>
    <font>
      <sz val="11"/>
      <name val="Cambria"/>
      <family val="0"/>
      <charset val="1"/>
    </font>
    <font>
      <sz val="11"/>
      <color rgb="FF9C6500"/>
      <name val="Calibri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ourier New"/>
      <family val="0"/>
      <charset val="1"/>
    </font>
    <font>
      <sz val="11"/>
      <color rgb="FF3F3F76"/>
      <name val="Courier New"/>
      <family val="0"/>
      <charset val="1"/>
    </font>
    <font>
      <sz val="10"/>
      <color rgb="FFFFFFFF"/>
      <name val="Sans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C99"/>
        <bgColor rgb="FFFABF8F"/>
      </patternFill>
    </fill>
    <fill>
      <patternFill patternType="solid">
        <fgColor rgb="FFC6EFCE"/>
        <bgColor rgb="FFC5ED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E9E3BB"/>
      </patternFill>
    </fill>
    <fill>
      <patternFill patternType="solid">
        <fgColor rgb="FFE4DFEC"/>
        <bgColor rgb="FFF2DCDB"/>
      </patternFill>
    </fill>
    <fill>
      <patternFill patternType="solid">
        <fgColor rgb="FFDAFAF3"/>
        <bgColor rgb="FFDCF0F1"/>
      </patternFill>
    </fill>
    <fill>
      <patternFill patternType="solid">
        <fgColor rgb="FFE9E3BB"/>
        <bgColor rgb="FFF2DCDB"/>
      </patternFill>
    </fill>
    <fill>
      <patternFill patternType="solid">
        <fgColor rgb="FFD8D8D8"/>
        <bgColor rgb="FFE4DFEC"/>
      </patternFill>
    </fill>
    <fill>
      <patternFill patternType="solid">
        <fgColor rgb="FFDCF0F1"/>
        <bgColor rgb="FFDAFAF3"/>
      </patternFill>
    </fill>
    <fill>
      <patternFill patternType="solid">
        <fgColor rgb="FFCCFFCC"/>
        <bgColor rgb="FFC6EFCE"/>
      </patternFill>
    </fill>
    <fill>
      <patternFill patternType="solid">
        <fgColor rgb="FF99CCFF"/>
        <bgColor rgb="FFC0C0C0"/>
      </patternFill>
    </fill>
    <fill>
      <patternFill patternType="solid">
        <fgColor rgb="FFF2DCDB"/>
        <bgColor rgb="FFE4DFEC"/>
      </patternFill>
    </fill>
    <fill>
      <patternFill patternType="solid">
        <fgColor rgb="FFF4F1DC"/>
        <bgColor rgb="FFDCF0F1"/>
      </patternFill>
    </fill>
    <fill>
      <patternFill patternType="solid">
        <fgColor rgb="FFC5EDF1"/>
        <bgColor rgb="FFC6EFCE"/>
      </patternFill>
    </fill>
    <fill>
      <patternFill patternType="solid">
        <fgColor rgb="FFFF0000"/>
        <bgColor rgb="FF9C0006"/>
      </patternFill>
    </fill>
    <fill>
      <patternFill patternType="solid">
        <fgColor rgb="FF333333"/>
        <bgColor rgb="FF333300"/>
      </patternFill>
    </fill>
    <fill>
      <patternFill patternType="solid">
        <fgColor rgb="FFD24A4A"/>
        <bgColor rgb="FF993366"/>
      </patternFill>
    </fill>
    <fill>
      <patternFill patternType="solid">
        <fgColor rgb="FFFF99CC"/>
        <bgColor rgb="FFFFC7CE"/>
      </patternFill>
    </fill>
    <fill>
      <patternFill patternType="solid">
        <fgColor rgb="FFC0C0C0"/>
        <bgColor rgb="FFD8D8D8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3" fillId="3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5" fontId="1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6" fillId="5" borderId="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9E3BB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E4DFEC"/>
      <rgbColor rgb="FFD24A4A"/>
      <rgbColor rgb="FFF4F1DC"/>
      <rgbColor rgb="FFDAFAF3"/>
      <rgbColor rgb="FF660066"/>
      <rgbColor rgb="FFF2DCDB"/>
      <rgbColor rgb="FF0066CC"/>
      <rgbColor rgb="FFD8D8D8"/>
      <rgbColor rgb="FF000080"/>
      <rgbColor rgb="FFFF00FF"/>
      <rgbColor rgb="FFDCF0F1"/>
      <rgbColor rgb="FF00FFFF"/>
      <rgbColor rgb="FF800080"/>
      <rgbColor rgb="FF800000"/>
      <rgbColor rgb="FF008080"/>
      <rgbColor rgb="FF0000FF"/>
      <rgbColor rgb="FF00CCFF"/>
      <rgbColor rgb="FFC5EDF1"/>
      <rgbColor rgb="FFCCFFCC"/>
      <rgbColor rgb="FFFFEB9C"/>
      <rgbColor rgb="FF99CCFF"/>
      <rgbColor rgb="FFFF99CC"/>
      <rgbColor rgb="FFFFC7CE"/>
      <rgbColor rgb="FFFFCC99"/>
      <rgbColor rgb="FF3366FF"/>
      <rgbColor rgb="FF33CCCC"/>
      <rgbColor rgb="FF99CC00"/>
      <rgbColor rgb="FFFABF8F"/>
      <rgbColor rgb="FFFF9900"/>
      <rgbColor rgb="FFFF6600"/>
      <rgbColor rgb="FF666699"/>
      <rgbColor rgb="FFC6EFCE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eamfdm.com/files/file/757-sherpa-micro-vz-ridga-cw2-module/?do=getNewComment" TargetMode="External"/><Relationship Id="rId3" Type="http://schemas.openxmlformats.org/officeDocument/2006/relationships/hyperlink" Target="https://www.teamfdm.com/files/file/757-sherpa-micro-vz-ridga-cw2-module/?do=getNewComment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8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E6" activeCellId="0" sqref="E6"/>
    </sheetView>
  </sheetViews>
  <sheetFormatPr defaultColWidth="13.2109375" defaultRowHeight="1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24.01"/>
    <col collapsed="false" customWidth="true" hidden="false" outlineLevel="0" max="3" min="3" style="1" width="12.2"/>
    <col collapsed="false" customWidth="true" hidden="false" outlineLevel="0" max="4" min="4" style="1" width="40.44"/>
    <col collapsed="false" customWidth="true" hidden="false" outlineLevel="0" max="5" min="5" style="1" width="3.98"/>
    <col collapsed="false" customWidth="true" hidden="false" outlineLevel="0" max="6" min="6" style="1" width="10.4"/>
    <col collapsed="false" customWidth="true" hidden="false" outlineLevel="0" max="7" min="7" style="1" width="11.56"/>
    <col collapsed="false" customWidth="true" hidden="false" outlineLevel="0" max="8" min="8" style="1" width="12.84"/>
    <col collapsed="false" customWidth="true" hidden="false" outlineLevel="0" max="9" min="9" style="2" width="2.31"/>
    <col collapsed="false" customWidth="true" hidden="false" outlineLevel="0" max="10" min="10" style="1" width="17.72"/>
    <col collapsed="false" customWidth="true" hidden="false" outlineLevel="0" max="11" min="11" style="1" width="15.66"/>
    <col collapsed="false" customWidth="false" hidden="false" outlineLevel="0" max="12" min="12" style="1" width="13.22"/>
    <col collapsed="false" customWidth="true" hidden="false" outlineLevel="0" max="13" min="13" style="1" width="8.34"/>
    <col collapsed="false" customWidth="true" hidden="false" outlineLevel="0" max="14" min="14" style="1" width="14.51"/>
    <col collapsed="false" customWidth="true" hidden="false" outlineLevel="0" max="15" min="15" style="1" width="17.46"/>
    <col collapsed="false" customWidth="false" hidden="false" outlineLevel="0" max="16384" min="16" style="1" width="13.21"/>
  </cols>
  <sheetData>
    <row r="1" customFormat="false" ht="15" hidden="false" customHeight="false" outlineLevel="0" collapsed="false">
      <c r="C1" s="3"/>
      <c r="D1" s="3"/>
    </row>
    <row r="2" customFormat="false" ht="15" hidden="false" customHeight="false" outlineLevel="0" collapsed="false">
      <c r="B2" s="4" t="s">
        <v>0</v>
      </c>
      <c r="C2" s="3"/>
      <c r="D2" s="3"/>
      <c r="J2" s="5" t="s">
        <v>1</v>
      </c>
      <c r="K2" s="5"/>
    </row>
    <row r="3" customFormat="false" ht="15" hidden="false" customHeight="true" outlineLevel="0" collapsed="false">
      <c r="B3" s="2" t="s">
        <v>2</v>
      </c>
      <c r="C3" s="6" t="s">
        <v>3</v>
      </c>
      <c r="D3" s="6"/>
      <c r="E3" s="7" t="s">
        <v>4</v>
      </c>
      <c r="F3" s="1" t="s">
        <v>5</v>
      </c>
      <c r="J3" s="8" t="n">
        <f aca="false">VLOOKUP(C3,data!C3:D8,2,FALSE())</f>
        <v>2</v>
      </c>
      <c r="K3" s="8" t="n">
        <f aca="false">VLOOKUP(C3,data!C3:E8,3,FALSE())</f>
        <v>1</v>
      </c>
    </row>
    <row r="4" customFormat="false" ht="15" hidden="false" customHeight="true" outlineLevel="0" collapsed="false">
      <c r="B4" s="9" t="str">
        <f aca="false">VLOOKUP($C$3,data!$U$3:$V$8,2,FALSE())</f>
        <v>-</v>
      </c>
      <c r="C4" s="6" t="s">
        <v>6</v>
      </c>
      <c r="D4" s="6"/>
      <c r="E4" s="10" t="s">
        <v>7</v>
      </c>
      <c r="F4" s="2" t="s">
        <v>8</v>
      </c>
      <c r="J4" s="8" t="n">
        <f aca="false">IF(AND(J3=4,C4="MGN9"),1,0)</f>
        <v>0</v>
      </c>
      <c r="K4" s="8" t="n">
        <f aca="false">IF(AND(K3=0,C4="MGN9"),1,IF(AND(J3=4,C4="MGN9"),3,K3))</f>
        <v>1</v>
      </c>
    </row>
    <row r="5" customFormat="false" ht="15" hidden="false" customHeight="true" outlineLevel="0" collapsed="false">
      <c r="B5" s="9" t="str">
        <f aca="false">VLOOKUP($C$3,data!$U$3:$W$8,3,FALSE())</f>
        <v>-</v>
      </c>
      <c r="C5" s="6" t="s">
        <v>6</v>
      </c>
      <c r="D5" s="6"/>
      <c r="E5" s="10" t="s">
        <v>7</v>
      </c>
      <c r="F5" s="2" t="s">
        <v>9</v>
      </c>
      <c r="J5" s="8" t="n">
        <f aca="false">VLOOKUP(C5,data!G81:H83,2,FALSE())</f>
        <v>0</v>
      </c>
      <c r="K5" s="8"/>
    </row>
    <row r="6" customFormat="false" ht="15" hidden="false" customHeight="true" outlineLevel="0" collapsed="false">
      <c r="B6" s="2" t="s">
        <v>10</v>
      </c>
      <c r="C6" s="11" t="s">
        <v>11</v>
      </c>
      <c r="D6" s="11"/>
      <c r="E6" s="12" t="s">
        <v>12</v>
      </c>
      <c r="F6" s="2" t="s">
        <v>13</v>
      </c>
      <c r="J6" s="8" t="n">
        <v>1</v>
      </c>
      <c r="K6" s="8"/>
    </row>
    <row r="7" customFormat="false" ht="15" hidden="false" customHeight="true" outlineLevel="0" collapsed="false">
      <c r="B7" s="2" t="s">
        <v>14</v>
      </c>
      <c r="C7" s="6" t="s">
        <v>15</v>
      </c>
      <c r="D7" s="6"/>
      <c r="E7" s="10" t="s">
        <v>7</v>
      </c>
      <c r="J7" s="8" t="n">
        <f aca="false">VLOOKUP(C7,data!C21:D37,2,FALSE())</f>
        <v>1</v>
      </c>
      <c r="K7" s="8" t="n">
        <f aca="false">IF(OR(K3=3,K3=0),0,VLOOKUP(C7,data!C21:E32,3,FALSE()))</f>
        <v>0</v>
      </c>
    </row>
    <row r="8" customFormat="false" ht="15" hidden="false" customHeight="true" outlineLevel="0" collapsed="false">
      <c r="B8" s="2" t="s">
        <v>16</v>
      </c>
      <c r="C8" s="6" t="s">
        <v>17</v>
      </c>
      <c r="D8" s="6"/>
      <c r="E8" s="10" t="s">
        <v>7</v>
      </c>
      <c r="J8" s="8" t="str">
        <f aca="false">VLOOKUP(C8,data!C40:D52,2,FALSE())</f>
        <v>2</v>
      </c>
      <c r="K8" s="8" t="n">
        <f aca="false">IF(J3&lt;2,VLOOKUP(C8,data!C16:D18,2,FALSE()),data!D16)</f>
        <v>0</v>
      </c>
    </row>
    <row r="9" customFormat="false" ht="15" hidden="false" customHeight="true" outlineLevel="0" collapsed="false">
      <c r="B9" s="2" t="s">
        <v>18</v>
      </c>
      <c r="C9" s="6" t="s">
        <v>19</v>
      </c>
      <c r="D9" s="6"/>
      <c r="E9" s="10" t="s">
        <v>7</v>
      </c>
      <c r="J9" s="8" t="n">
        <f aca="false">VLOOKUP(C9,data!G81:H82,2,FALSE())</f>
        <v>0</v>
      </c>
      <c r="K9" s="8"/>
    </row>
    <row r="10" customFormat="false" ht="15" hidden="false" customHeight="true" outlineLevel="0" collapsed="false">
      <c r="B10" s="9" t="str">
        <f aca="false">IF(OR(J3&lt;2,J3&gt;3),"-",IF(C9="Yes","-","Cable Chain:"))</f>
        <v>Cable Chain:</v>
      </c>
      <c r="C10" s="6" t="s">
        <v>20</v>
      </c>
      <c r="D10" s="6"/>
      <c r="E10" s="10" t="s">
        <v>7</v>
      </c>
      <c r="J10" s="8" t="n">
        <f aca="false">VLOOKUP(C10,data!V19:X22,3,FALSE())</f>
        <v>1</v>
      </c>
      <c r="K10" s="8"/>
    </row>
    <row r="11" customFormat="false" ht="15" hidden="false" customHeight="true" outlineLevel="0" collapsed="false">
      <c r="B11" s="9" t="str">
        <f aca="false">IF(OR(C10="None",AND(K3=0,C9="No")),"Wire strain relief:",Blank)</f>
        <v>Wire strain relief:</v>
      </c>
      <c r="C11" s="6" t="s">
        <v>21</v>
      </c>
      <c r="D11" s="6"/>
      <c r="E11" s="10" t="s">
        <v>7</v>
      </c>
    </row>
    <row r="12" customFormat="false" ht="15" hidden="false" customHeight="true" outlineLevel="0" collapsed="false">
      <c r="B12" s="2" t="s">
        <v>22</v>
      </c>
      <c r="C12" s="6" t="s">
        <v>20</v>
      </c>
      <c r="D12" s="6"/>
      <c r="E12" s="10" t="s">
        <v>7</v>
      </c>
      <c r="J12" s="8" t="n">
        <f aca="false">VLOOKUP(C12,data!C77:D80,2,FALSE())</f>
        <v>0</v>
      </c>
      <c r="K12" s="8"/>
    </row>
    <row r="13" customFormat="false" ht="17.25" hidden="false" customHeight="false" outlineLevel="0" collapsed="false">
      <c r="B13" s="13" t="s">
        <v>23</v>
      </c>
      <c r="C13" s="6" t="s">
        <v>24</v>
      </c>
      <c r="D13" s="6"/>
      <c r="E13" s="14" t="s">
        <v>7</v>
      </c>
      <c r="J13" s="8" t="n">
        <f aca="false">VLOOKUP(C13,data!C84:D85,2,FALSE())</f>
        <v>0</v>
      </c>
      <c r="K13" s="8"/>
    </row>
    <row r="14" customFormat="false" ht="15" hidden="false" customHeight="false" outlineLevel="0" collapsed="false">
      <c r="C14" s="3"/>
      <c r="D14" s="3"/>
      <c r="J14" s="15"/>
    </row>
    <row r="15" customFormat="false" ht="15" hidden="false" customHeight="false" outlineLevel="0" collapsed="false">
      <c r="B15" s="4" t="s">
        <v>25</v>
      </c>
      <c r="C15" s="3"/>
      <c r="D15" s="3"/>
      <c r="F15" s="3" t="s">
        <v>26</v>
      </c>
      <c r="G15" s="3" t="s">
        <v>27</v>
      </c>
      <c r="J15" s="15"/>
    </row>
    <row r="16" customFormat="false" ht="15" hidden="false" customHeight="false" outlineLevel="0" collapsed="false">
      <c r="B16" s="2" t="s">
        <v>28</v>
      </c>
      <c r="C16" s="11" t="str">
        <f aca="false">VLOOKUP(data!J58,data!J59:K76,2,FALSE())</f>
        <v>[a]_MiniStealth_Shroud_Sherpa_Micro.stl</v>
      </c>
      <c r="D16" s="11"/>
      <c r="F16" s="16" t="s">
        <v>29</v>
      </c>
      <c r="G16" s="17" t="s">
        <v>29</v>
      </c>
      <c r="J16" s="15" t="s">
        <v>30</v>
      </c>
      <c r="K16" s="15" t="s">
        <v>31</v>
      </c>
      <c r="L16" s="15" t="s">
        <v>32</v>
      </c>
    </row>
    <row r="17" customFormat="false" ht="15" hidden="false" customHeight="false" outlineLevel="0" collapsed="false">
      <c r="B17" s="2" t="s">
        <v>33</v>
      </c>
      <c r="C17" s="11" t="str">
        <f aca="false">VLOOKUP(J7,data!J78:K89,2,FALSE())</f>
        <v>[b]_MiniStealth_Core_Micro_Sherpa_Spider_Pro.stl</v>
      </c>
      <c r="D17" s="11"/>
      <c r="F17" s="16" t="s">
        <v>29</v>
      </c>
      <c r="G17" s="17" t="s">
        <v>29</v>
      </c>
      <c r="J17" s="15" t="s">
        <v>34</v>
      </c>
      <c r="K17" s="15"/>
      <c r="L17" s="15"/>
    </row>
    <row r="18" customFormat="false" ht="15" hidden="false" customHeight="false" outlineLevel="0" collapsed="false">
      <c r="B18" s="2" t="str">
        <f aca="false">IF(C3="V0.1","x-carriage:",IF(C3="V0.2","x-carriage:",IF(C3="Micron","x-carriage:","x-frame:")))</f>
        <v>x-frame:</v>
      </c>
      <c r="C18" s="11" t="str">
        <f aca="false">VLOOKUP(data!J19,data!J20:K55,2,FALSE())</f>
        <v>x_carriage_frames_Omron_probe_MGN12.stl</v>
      </c>
      <c r="D18" s="11"/>
      <c r="F18" s="16" t="s">
        <v>29</v>
      </c>
      <c r="G18" s="17" t="s">
        <v>29</v>
      </c>
      <c r="J18" s="15" t="s">
        <v>35</v>
      </c>
      <c r="K18" s="15" t="s">
        <v>36</v>
      </c>
      <c r="L18" s="15" t="s">
        <v>37</v>
      </c>
      <c r="M18" s="15" t="s">
        <v>30</v>
      </c>
      <c r="N18" s="15" t="s">
        <v>38</v>
      </c>
      <c r="O18" s="18" t="s">
        <v>39</v>
      </c>
    </row>
    <row r="19" customFormat="false" ht="15" hidden="false" customHeight="false" outlineLevel="0" collapsed="false">
      <c r="B19" s="19" t="str">
        <f aca="false">IF(J3&lt;2,"needed for clearance","-")</f>
        <v>-</v>
      </c>
      <c r="C19" s="11" t="str">
        <f aca="false">IF($J$3=0,data!K11,IF($J$3=1,data!K9,IF(C8="Omron",data!K3,IF(C8="Klicky",data!K4,IF(data!J19=data!J52,data!K2,"-")))))</f>
        <v>probe_retainer_bracket_10.5mm.stl</v>
      </c>
      <c r="D19" s="11"/>
      <c r="F19" s="16" t="s">
        <v>29</v>
      </c>
      <c r="G19" s="17" t="s">
        <v>29</v>
      </c>
      <c r="J19" s="15" t="s">
        <v>40</v>
      </c>
      <c r="K19" s="15" t="s">
        <v>41</v>
      </c>
      <c r="L19" s="15" t="s">
        <v>42</v>
      </c>
    </row>
    <row r="20" customFormat="false" ht="15" hidden="false" customHeight="false" outlineLevel="0" collapsed="false">
      <c r="B20" s="19" t="str">
        <f aca="false">IF(J3&lt;2,"needed for clearance","-")</f>
        <v>-</v>
      </c>
      <c r="C20" s="11" t="str">
        <f aca="false">IF($J$3=0,data!K12,IF($J$3=1,data!K10,"-"))</f>
        <v>-</v>
      </c>
      <c r="D20" s="11"/>
      <c r="F20" s="16" t="s">
        <v>29</v>
      </c>
      <c r="G20" s="17" t="s">
        <v>29</v>
      </c>
      <c r="J20" s="15" t="s">
        <v>40</v>
      </c>
      <c r="K20" s="15"/>
      <c r="L20" s="15"/>
    </row>
    <row r="21" customFormat="false" ht="15" hidden="false" customHeight="false" outlineLevel="0" collapsed="false">
      <c r="C21" s="11" t="str">
        <f aca="false">IF(J3&lt;2,data!K16,"-")</f>
        <v>-</v>
      </c>
      <c r="D21" s="11"/>
      <c r="F21" s="16" t="s">
        <v>29</v>
      </c>
      <c r="G21" s="17" t="s">
        <v>29</v>
      </c>
      <c r="J21" s="15" t="s">
        <v>43</v>
      </c>
      <c r="K21" s="15" t="s">
        <v>44</v>
      </c>
      <c r="L21" s="15"/>
    </row>
    <row r="22" customFormat="false" ht="15" hidden="false" customHeight="false" outlineLevel="0" collapsed="false">
      <c r="B22" s="2" t="s">
        <v>45</v>
      </c>
      <c r="C22" s="11" t="str">
        <f aca="false">IF(Config!J9=1,data!K97,IF(Config!J10&gt;1,data!K94,IF(Config!C11="High",data!K95,data!K96)))</f>
        <v>Motor_Bridge_Cable_strain_relief_High.stl</v>
      </c>
      <c r="D22" s="11"/>
      <c r="F22" s="16" t="s">
        <v>29</v>
      </c>
      <c r="G22" s="17" t="s">
        <v>29</v>
      </c>
      <c r="J22" s="15" t="s">
        <v>46</v>
      </c>
      <c r="K22" s="15" t="s">
        <v>47</v>
      </c>
      <c r="L22" s="15" t="s">
        <v>48</v>
      </c>
    </row>
    <row r="23" customFormat="false" ht="15" hidden="false" customHeight="false" outlineLevel="0" collapsed="false">
      <c r="B23" s="2"/>
      <c r="C23" s="11" t="str">
        <f aca="false">IF(Config!C10="Generic",data!K92,IF(Config!C10="Igus",data!K91,Blank))</f>
        <v>-</v>
      </c>
      <c r="D23" s="11"/>
      <c r="F23" s="16" t="s">
        <v>29</v>
      </c>
      <c r="G23" s="17" t="s">
        <v>29</v>
      </c>
      <c r="M23" s="8"/>
      <c r="N23" s="8"/>
      <c r="O23" s="8"/>
    </row>
    <row r="24" customFormat="false" ht="15" hidden="false" customHeight="false" outlineLevel="0" collapsed="false">
      <c r="B24" s="2" t="s">
        <v>49</v>
      </c>
      <c r="C24" s="20" t="s">
        <v>50</v>
      </c>
      <c r="D24" s="20"/>
      <c r="H24" s="15"/>
    </row>
    <row r="25" customFormat="false" ht="15" hidden="false" customHeight="false" outlineLevel="0" collapsed="false">
      <c r="B25" s="2" t="str">
        <f aca="false">IF(C9="Yes","Umbilical PCB Mount","-")</f>
        <v>-</v>
      </c>
      <c r="C25" s="11" t="str">
        <f aca="false">IF(C9="No","-",data!K98)</f>
        <v>-</v>
      </c>
      <c r="D25" s="11"/>
      <c r="F25" s="16" t="s">
        <v>29</v>
      </c>
      <c r="G25" s="17" t="s">
        <v>29</v>
      </c>
      <c r="H25" s="15"/>
    </row>
    <row r="26" customFormat="false" ht="15" hidden="false" customHeight="false" outlineLevel="0" collapsed="false">
      <c r="B26" s="2" t="s">
        <v>51</v>
      </c>
      <c r="C26" s="11" t="str">
        <f aca="false">data!K93</f>
        <v>Cable_door.stl</v>
      </c>
      <c r="D26" s="11"/>
      <c r="F26" s="16" t="s">
        <v>29</v>
      </c>
      <c r="G26" s="17" t="s">
        <v>29</v>
      </c>
      <c r="H26" s="15"/>
    </row>
    <row r="27" customFormat="false" ht="15" hidden="false" customHeight="false" outlineLevel="0" collapsed="false">
      <c r="B27" s="2" t="s">
        <v>52</v>
      </c>
      <c r="C27" s="11" t="str">
        <f aca="false">data!K8</f>
        <v>Status_LED_logo_diffuser.stl</v>
      </c>
      <c r="D27" s="11"/>
      <c r="F27" s="16" t="s">
        <v>29</v>
      </c>
      <c r="G27" s="17" t="s">
        <v>29</v>
      </c>
      <c r="H27" s="15"/>
    </row>
    <row r="28" customFormat="false" ht="15" hidden="false" customHeight="false" outlineLevel="0" collapsed="false">
      <c r="C28" s="11" t="str">
        <f aca="false">IF(C13="Neopixel",data!K7,data!K5)</f>
        <v>Status_LED_carrier.stl</v>
      </c>
      <c r="D28" s="11"/>
      <c r="F28" s="16" t="s">
        <v>29</v>
      </c>
      <c r="G28" s="17" t="s">
        <v>29</v>
      </c>
      <c r="H28" s="15"/>
    </row>
    <row r="29" customFormat="false" ht="15" hidden="false" customHeight="false" outlineLevel="0" collapsed="false">
      <c r="B29" s="2" t="str">
        <f aca="false">IF(J12=2,"Display clip","-")</f>
        <v>-</v>
      </c>
      <c r="C29" s="11" t="str">
        <f aca="false">IF(J12=2,data!K13,"-")</f>
        <v>-</v>
      </c>
      <c r="D29" s="11"/>
      <c r="F29" s="16" t="s">
        <v>29</v>
      </c>
      <c r="G29" s="17" t="s">
        <v>29</v>
      </c>
      <c r="H29" s="15"/>
      <c r="K29" s="3"/>
    </row>
    <row r="30" customFormat="false" ht="15" hidden="false" customHeight="false" outlineLevel="0" collapsed="false">
      <c r="B30" s="2" t="s">
        <v>53</v>
      </c>
      <c r="C30" s="11" t="s">
        <v>54</v>
      </c>
      <c r="D30" s="11"/>
      <c r="F30" s="16" t="s">
        <v>29</v>
      </c>
      <c r="G30" s="17" t="s">
        <v>29</v>
      </c>
      <c r="H30" s="15"/>
    </row>
    <row r="31" customFormat="false" ht="15" hidden="false" customHeight="false" outlineLevel="0" collapsed="false">
      <c r="B31" s="4"/>
      <c r="C31" s="11" t="s">
        <v>55</v>
      </c>
      <c r="D31" s="11"/>
      <c r="F31" s="16" t="s">
        <v>29</v>
      </c>
      <c r="G31" s="17" t="s">
        <v>29</v>
      </c>
      <c r="H31" s="15"/>
    </row>
    <row r="32" customFormat="false" ht="15" hidden="false" customHeight="false" outlineLevel="0" collapsed="false">
      <c r="C32" s="3"/>
      <c r="D32" s="3"/>
    </row>
    <row r="33" customFormat="false" ht="15" hidden="false" customHeight="false" outlineLevel="0" collapsed="false">
      <c r="C33" s="3"/>
      <c r="D33" s="3"/>
    </row>
    <row r="34" customFormat="false" ht="15" hidden="false" customHeight="false" outlineLevel="0" collapsed="false">
      <c r="B34" s="21" t="s">
        <v>56</v>
      </c>
      <c r="C34" s="22" t="s">
        <v>57</v>
      </c>
      <c r="D34" s="23" t="s">
        <v>58</v>
      </c>
      <c r="E34" s="8" t="n">
        <f aca="false">IF(C34="Vz RIDGA",0,1)</f>
        <v>1</v>
      </c>
      <c r="F34" s="24" t="s">
        <v>26</v>
      </c>
      <c r="G34" s="24" t="s">
        <v>27</v>
      </c>
    </row>
    <row r="35" customFormat="false" ht="15" hidden="false" customHeight="false" outlineLevel="0" collapsed="false">
      <c r="B35" s="25" t="s">
        <v>59</v>
      </c>
      <c r="C35" s="26" t="e">
        <f aca="false">VLOOKUP(B35,data!microsherpa,IF($E$34=0,2,3),FALSE())</f>
        <v>#NAME?</v>
      </c>
      <c r="D35" s="26"/>
      <c r="F35" s="17" t="s">
        <v>29</v>
      </c>
      <c r="G35" s="17" t="s">
        <v>29</v>
      </c>
    </row>
    <row r="36" customFormat="false" ht="15" hidden="false" customHeight="false" outlineLevel="0" collapsed="false">
      <c r="B36" s="25" t="s">
        <v>60</v>
      </c>
      <c r="C36" s="26" t="e">
        <f aca="false">VLOOKUP(B36,data!microsherpa,IF($E$34=0,2,3),FALSE())</f>
        <v>#NAME?</v>
      </c>
      <c r="D36" s="26"/>
      <c r="F36" s="17" t="s">
        <v>29</v>
      </c>
      <c r="G36" s="17" t="s">
        <v>29</v>
      </c>
    </row>
    <row r="37" customFormat="false" ht="15" hidden="false" customHeight="false" outlineLevel="0" collapsed="false">
      <c r="B37" s="25" t="s">
        <v>61</v>
      </c>
      <c r="C37" s="26" t="e">
        <f aca="false">VLOOKUP(B37,data!microsherpa,IF($E$34=0,2,3),FALSE())</f>
        <v>#NAME?</v>
      </c>
      <c r="D37" s="26"/>
      <c r="F37" s="17" t="s">
        <v>29</v>
      </c>
      <c r="G37" s="17" t="s">
        <v>29</v>
      </c>
    </row>
    <row r="38" customFormat="false" ht="15" hidden="false" customHeight="false" outlineLevel="0" collapsed="false">
      <c r="B38" s="25" t="s">
        <v>62</v>
      </c>
      <c r="C38" s="26" t="e">
        <f aca="false">VLOOKUP(B38,data!microsherpa,IF($E$34=0,2,3),FALSE())</f>
        <v>#NAME?</v>
      </c>
      <c r="D38" s="26"/>
      <c r="F38" s="17" t="s">
        <v>29</v>
      </c>
      <c r="G38" s="17" t="s">
        <v>29</v>
      </c>
    </row>
    <row r="39" customFormat="false" ht="15" hidden="false" customHeight="false" outlineLevel="0" collapsed="false">
      <c r="B39" s="27" t="s">
        <v>49</v>
      </c>
      <c r="C39" s="26" t="e">
        <f aca="false">VLOOKUP(B39,data!microsherpa,IF($E$34=0,2,3),FALSE())</f>
        <v>#NAME?</v>
      </c>
      <c r="D39" s="26"/>
      <c r="F39" s="17" t="s">
        <v>29</v>
      </c>
      <c r="G39" s="17" t="s">
        <v>29</v>
      </c>
    </row>
    <row r="40" customFormat="false" ht="15" hidden="false" customHeight="false" outlineLevel="0" collapsed="false">
      <c r="C40" s="3"/>
      <c r="D40" s="3"/>
    </row>
    <row r="44" customFormat="false" ht="15" hidden="false" customHeight="false" outlineLevel="0" collapsed="false">
      <c r="B44" s="25"/>
    </row>
    <row r="45" customFormat="false" ht="15" hidden="false" customHeight="false" outlineLevel="0" collapsed="false">
      <c r="B45" s="25"/>
    </row>
    <row r="46" customFormat="false" ht="15" hidden="false" customHeight="false" outlineLevel="0" collapsed="false">
      <c r="B46" s="25"/>
    </row>
    <row r="47" customFormat="false" ht="15" hidden="false" customHeight="false" outlineLevel="0" collapsed="false">
      <c r="B47" s="25"/>
    </row>
    <row r="48" customFormat="false" ht="15" hidden="false" customHeight="false" outlineLevel="0" collapsed="false">
      <c r="B48" s="25"/>
    </row>
  </sheetData>
  <mergeCells count="40">
    <mergeCell ref="C1:D1"/>
    <mergeCell ref="C2:D2"/>
    <mergeCell ref="J2:K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6:D36"/>
    <mergeCell ref="C37:D37"/>
    <mergeCell ref="C38:D38"/>
    <mergeCell ref="C39:D39"/>
    <mergeCell ref="C40:D40"/>
  </mergeCells>
  <dataValidations count="12">
    <dataValidation allowBlank="false" errorStyle="stop" operator="between" showDropDown="false" showErrorMessage="true" showInputMessage="true" sqref="C3:D3" type="list">
      <formula1>data!$C$3:$C$8</formula1>
      <formula2>0</formula2>
    </dataValidation>
    <dataValidation allowBlank="false" errorStyle="stop" operator="between" showDropDown="false" showErrorMessage="true" showInputMessage="true" sqref="C4:D4" type="list">
      <formula1>INDIRECT(data!$AA$9)</formula1>
      <formula2>0</formula2>
    </dataValidation>
    <dataValidation allowBlank="false" errorStyle="stop" operator="between" showDropDown="false" showErrorMessage="true" showInputMessage="true" sqref="C5:D5" type="list">
      <formula1>INDIRECT(data!$X$16)</formula1>
      <formula2>0</formula2>
    </dataValidation>
    <dataValidation allowBlank="true" errorStyle="stop" operator="between" showDropDown="false" showErrorMessage="true" showInputMessage="true" sqref="C7:D7" type="list">
      <formula1>data!$C$21:$C$37</formula1>
      <formula2>0</formula2>
    </dataValidation>
    <dataValidation allowBlank="false" errorStyle="stop" operator="between" showDropDown="false" showErrorMessage="true" showInputMessage="true" sqref="C8:D8" type="list">
      <formula1>INDIRECT(data!$Z$18)</formula1>
      <formula2>0</formula2>
    </dataValidation>
    <dataValidation allowBlank="false" errorStyle="stop" operator="between" showDropDown="false" showErrorMessage="true" showInputMessage="true" sqref="C9:D9" type="list">
      <formula1>"Yes,No"</formula1>
      <formula2>0</formula2>
    </dataValidation>
    <dataValidation allowBlank="false" errorStyle="stop" operator="between" showDropDown="false" showErrorMessage="true" showInputMessage="true" sqref="C10:D10" type="list">
      <formula1>INDIRECT(data!$V$23)</formula1>
      <formula2>0</formula2>
    </dataValidation>
    <dataValidation allowBlank="false" errorStyle="stop" operator="between" showDropDown="false" showErrorMessage="true" showInputMessage="true" sqref="C11:D11" type="list">
      <formula1>INDIRECT(data!$W$23)</formula1>
      <formula2>0</formula2>
    </dataValidation>
    <dataValidation allowBlank="false" errorStyle="stop" operator="between" showDropDown="false" showErrorMessage="true" showInputMessage="true" sqref="C12:D12" type="list">
      <formula1>data!$N$30:$N$33</formula1>
      <formula2>0</formula2>
    </dataValidation>
    <dataValidation allowBlank="true" errorStyle="stop" operator="between" showDropDown="false" showErrorMessage="true" showInputMessage="true" sqref="C13:D13" type="list">
      <formula1>data!$C$84:$C$85</formula1>
      <formula2>0</formula2>
    </dataValidation>
    <dataValidation allowBlank="false" errorStyle="stop" operator="between" showDropDown="false" showErrorMessage="true" showInputMessage="true" sqref="F16:G23" type="list">
      <formula1>"Not Yet,Finished"</formula1>
      <formula2>0</formula2>
    </dataValidation>
    <dataValidation allowBlank="false" errorStyle="stop" operator="between" showDropDown="false" showErrorMessage="true" showInputMessage="true" sqref="C34" type="list">
      <formula1>"Vz RIDGA,BMG,BMG RIDGA"</formula1>
      <formula2>0</formula2>
    </dataValidation>
  </dataValidations>
  <hyperlinks>
    <hyperlink ref="C24" r:id="rId2" display="- Part of Sherpa Micro Vz RIDGA mod -"/>
    <hyperlink ref="D34" r:id="rId3" display="- Visit the Sherpa Micro Vz RIDGA mod -"/>
  </hyperlink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37"/>
  <sheetViews>
    <sheetView showFormulas="false" showGridLines="true" showRowColHeaders="true" showZeros="true" rightToLeft="false" tabSelected="true" showOutlineSymbols="true" defaultGridColor="true" view="normal" topLeftCell="A55" colorId="64" zoomScale="120" zoomScaleNormal="120" zoomScalePageLayoutView="100" workbookViewId="0">
      <selection pane="topLeft" activeCell="L10" activeCellId="0" sqref="L10"/>
    </sheetView>
  </sheetViews>
  <sheetFormatPr defaultColWidth="13.210937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.67"/>
    <col collapsed="false" customWidth="true" hidden="false" outlineLevel="0" max="3" min="3" style="1" width="26.31"/>
    <col collapsed="false" customWidth="true" hidden="false" outlineLevel="0" max="4" min="4" style="3" width="5.26"/>
    <col collapsed="false" customWidth="true" hidden="false" outlineLevel="0" max="5" min="5" style="3" width="6.43"/>
    <col collapsed="false" customWidth="true" hidden="false" outlineLevel="0" max="6" min="6" style="3" width="2.05"/>
    <col collapsed="false" customWidth="true" hidden="false" outlineLevel="0" max="7" min="7" style="3" width="6.14"/>
    <col collapsed="false" customWidth="true" hidden="false" outlineLevel="0" max="8" min="8" style="3" width="7.06"/>
    <col collapsed="false" customWidth="true" hidden="false" outlineLevel="0" max="9" min="9" style="1" width="5.26"/>
    <col collapsed="false" customWidth="true" hidden="false" outlineLevel="0" max="10" min="10" style="1" width="6.25"/>
    <col collapsed="false" customWidth="true" hidden="false" outlineLevel="0" max="11" min="11" style="1" width="54.82"/>
    <col collapsed="false" customWidth="true" hidden="false" outlineLevel="0" max="12" min="12" style="1" width="2.44"/>
    <col collapsed="false" customWidth="true" hidden="false" outlineLevel="0" max="13" min="13" style="1" width="3.08"/>
    <col collapsed="false" customWidth="false" hidden="false" outlineLevel="0" max="15" min="14" style="1" width="13.2"/>
    <col collapsed="false" customWidth="false" hidden="false" outlineLevel="0" max="16" min="16" style="1" width="13.22"/>
    <col collapsed="false" customWidth="false" hidden="false" outlineLevel="0" max="18" min="17" style="1" width="13.2"/>
    <col collapsed="false" customWidth="true" hidden="false" outlineLevel="0" max="19" min="19" style="1" width="16.56"/>
    <col collapsed="false" customWidth="true" hidden="false" outlineLevel="0" max="20" min="20" style="1" width="2.69"/>
    <col collapsed="false" customWidth="false" hidden="false" outlineLevel="0" max="264" min="21" style="1" width="13.2"/>
    <col collapsed="false" customWidth="false" hidden="false" outlineLevel="0" max="16384" min="265" style="1" width="13.21"/>
  </cols>
  <sheetData>
    <row r="1" customFormat="false" ht="15" hidden="false" customHeight="false" outlineLevel="0" collapsed="false">
      <c r="A1" s="1" t="s">
        <v>63</v>
      </c>
      <c r="K1" s="28" t="s">
        <v>64</v>
      </c>
      <c r="N1" s="29" t="s">
        <v>65</v>
      </c>
      <c r="O1" s="29"/>
      <c r="P1" s="29"/>
      <c r="Q1" s="29"/>
      <c r="R1" s="29"/>
      <c r="S1" s="29"/>
    </row>
    <row r="2" customFormat="false" ht="15" hidden="false" customHeight="false" outlineLevel="0" collapsed="false">
      <c r="A2" s="30" t="s">
        <v>66</v>
      </c>
      <c r="K2" s="31" t="s">
        <v>67</v>
      </c>
      <c r="L2" s="32" t="n">
        <v>0</v>
      </c>
      <c r="N2" s="1" t="s">
        <v>68</v>
      </c>
      <c r="U2" s="33" t="s">
        <v>69</v>
      </c>
      <c r="V2" s="34"/>
      <c r="W2" s="35"/>
      <c r="Y2" s="36" t="s">
        <v>70</v>
      </c>
      <c r="Z2" s="37"/>
      <c r="AA2" s="38"/>
    </row>
    <row r="3" customFormat="false" ht="22.05" hidden="false" customHeight="false" outlineLevel="0" collapsed="false">
      <c r="C3" s="39" t="s">
        <v>71</v>
      </c>
      <c r="D3" s="40" t="n">
        <v>0</v>
      </c>
      <c r="E3" s="40" t="n">
        <v>0</v>
      </c>
      <c r="K3" s="1" t="s">
        <v>72</v>
      </c>
      <c r="L3" s="32" t="n">
        <v>0</v>
      </c>
      <c r="N3" s="41" t="s">
        <v>71</v>
      </c>
      <c r="O3" s="39" t="s">
        <v>73</v>
      </c>
      <c r="P3" s="41" t="s">
        <v>3</v>
      </c>
      <c r="Q3" s="39" t="s">
        <v>74</v>
      </c>
      <c r="R3" s="41" t="s">
        <v>75</v>
      </c>
      <c r="S3" s="39" t="s">
        <v>76</v>
      </c>
      <c r="U3" s="42" t="s">
        <v>71</v>
      </c>
      <c r="V3" s="1" t="s">
        <v>77</v>
      </c>
      <c r="W3" s="43" t="s">
        <v>78</v>
      </c>
      <c r="Y3" s="39" t="s">
        <v>71</v>
      </c>
      <c r="Z3" s="39" t="s">
        <v>79</v>
      </c>
      <c r="AA3" s="44" t="s">
        <v>80</v>
      </c>
    </row>
    <row r="4" customFormat="false" ht="17.35" hidden="false" customHeight="false" outlineLevel="0" collapsed="false">
      <c r="C4" s="39" t="s">
        <v>73</v>
      </c>
      <c r="D4" s="40" t="n">
        <v>1</v>
      </c>
      <c r="E4" s="40" t="n">
        <v>0</v>
      </c>
      <c r="K4" s="1" t="s">
        <v>81</v>
      </c>
      <c r="L4" s="32" t="n">
        <v>0</v>
      </c>
      <c r="N4" s="45"/>
      <c r="P4" s="45"/>
      <c r="R4" s="45"/>
      <c r="U4" s="42" t="s">
        <v>73</v>
      </c>
      <c r="V4" s="1" t="s">
        <v>77</v>
      </c>
      <c r="W4" s="43" t="s">
        <v>78</v>
      </c>
      <c r="Y4" s="39" t="s">
        <v>73</v>
      </c>
      <c r="Z4" s="39" t="s">
        <v>79</v>
      </c>
      <c r="AA4" s="44" t="s">
        <v>80</v>
      </c>
    </row>
    <row r="5" customFormat="false" ht="17.35" hidden="false" customHeight="false" outlineLevel="0" collapsed="false">
      <c r="C5" s="39" t="s">
        <v>3</v>
      </c>
      <c r="D5" s="40" t="n">
        <v>2</v>
      </c>
      <c r="E5" s="40" t="n">
        <v>1</v>
      </c>
      <c r="K5" s="1" t="s">
        <v>82</v>
      </c>
      <c r="L5" s="32" t="n">
        <v>0</v>
      </c>
      <c r="N5" s="45" t="s">
        <v>83</v>
      </c>
      <c r="O5" s="1" t="s">
        <v>83</v>
      </c>
      <c r="P5" s="45" t="s">
        <v>84</v>
      </c>
      <c r="Q5" s="1" t="s">
        <v>84</v>
      </c>
      <c r="R5" s="45" t="s">
        <v>83</v>
      </c>
      <c r="S5" s="1" t="s">
        <v>84</v>
      </c>
      <c r="U5" s="42" t="s">
        <v>3</v>
      </c>
      <c r="V5" s="1" t="s">
        <v>6</v>
      </c>
      <c r="W5" s="43" t="s">
        <v>6</v>
      </c>
      <c r="Y5" s="39" t="s">
        <v>3</v>
      </c>
      <c r="Z5" s="39" t="s">
        <v>6</v>
      </c>
      <c r="AA5" s="44" t="s">
        <v>85</v>
      </c>
    </row>
    <row r="6" customFormat="false" ht="15" hidden="false" customHeight="false" outlineLevel="0" collapsed="false">
      <c r="C6" s="39" t="s">
        <v>74</v>
      </c>
      <c r="D6" s="40" t="n">
        <v>3</v>
      </c>
      <c r="E6" s="40" t="n">
        <v>2</v>
      </c>
      <c r="K6" s="1" t="s">
        <v>86</v>
      </c>
      <c r="L6" s="32" t="n">
        <v>0</v>
      </c>
      <c r="N6" s="45" t="s">
        <v>87</v>
      </c>
      <c r="O6" s="1" t="s">
        <v>87</v>
      </c>
      <c r="P6" s="46" t="s">
        <v>6</v>
      </c>
      <c r="Q6" s="3" t="s">
        <v>6</v>
      </c>
      <c r="R6" s="45" t="s">
        <v>88</v>
      </c>
      <c r="S6" s="3" t="s">
        <v>6</v>
      </c>
      <c r="U6" s="42" t="s">
        <v>74</v>
      </c>
      <c r="V6" s="1" t="s">
        <v>6</v>
      </c>
      <c r="W6" s="43" t="s">
        <v>6</v>
      </c>
      <c r="Y6" s="39" t="s">
        <v>74</v>
      </c>
      <c r="Z6" s="39" t="s">
        <v>6</v>
      </c>
      <c r="AA6" s="44" t="s">
        <v>85</v>
      </c>
    </row>
    <row r="7" customFormat="false" ht="17.35" hidden="false" customHeight="false" outlineLevel="0" collapsed="false">
      <c r="C7" s="39" t="s">
        <v>75</v>
      </c>
      <c r="D7" s="40" t="n">
        <v>4</v>
      </c>
      <c r="E7" s="40" t="n">
        <v>1</v>
      </c>
      <c r="K7" s="1" t="s">
        <v>89</v>
      </c>
      <c r="L7" s="32" t="n">
        <v>0</v>
      </c>
      <c r="N7" s="45" t="s">
        <v>90</v>
      </c>
      <c r="O7" s="1" t="s">
        <v>90</v>
      </c>
      <c r="P7" s="46" t="s">
        <v>6</v>
      </c>
      <c r="Q7" s="3" t="s">
        <v>6</v>
      </c>
      <c r="R7" s="45" t="s">
        <v>90</v>
      </c>
      <c r="S7" s="3" t="s">
        <v>6</v>
      </c>
      <c r="U7" s="42" t="s">
        <v>75</v>
      </c>
      <c r="V7" s="1" t="s">
        <v>77</v>
      </c>
      <c r="W7" s="43" t="s">
        <v>6</v>
      </c>
      <c r="Y7" s="39" t="s">
        <v>75</v>
      </c>
      <c r="Z7" s="39" t="s">
        <v>91</v>
      </c>
      <c r="AA7" s="44" t="s">
        <v>92</v>
      </c>
    </row>
    <row r="8" customFormat="false" ht="17.35" hidden="false" customHeight="false" outlineLevel="0" collapsed="false">
      <c r="C8" s="39" t="s">
        <v>76</v>
      </c>
      <c r="D8" s="40" t="n">
        <v>5</v>
      </c>
      <c r="E8" s="40" t="n">
        <v>3</v>
      </c>
      <c r="K8" s="1" t="s">
        <v>93</v>
      </c>
      <c r="L8" s="32" t="n">
        <v>0</v>
      </c>
      <c r="N8" s="45"/>
      <c r="P8" s="45"/>
      <c r="R8" s="45"/>
      <c r="U8" s="47" t="s">
        <v>76</v>
      </c>
      <c r="V8" s="48" t="s">
        <v>6</v>
      </c>
      <c r="W8" s="49" t="s">
        <v>6</v>
      </c>
      <c r="Y8" s="50" t="s">
        <v>76</v>
      </c>
      <c r="Z8" s="50"/>
      <c r="AA8" s="51" t="s">
        <v>85</v>
      </c>
    </row>
    <row r="9" customFormat="false" ht="17.35" hidden="false" customHeight="false" outlineLevel="0" collapsed="false">
      <c r="A9" s="1" t="s">
        <v>94</v>
      </c>
      <c r="K9" s="52" t="s">
        <v>95</v>
      </c>
      <c r="L9" s="32" t="n">
        <v>0</v>
      </c>
      <c r="N9" s="41" t="s">
        <v>96</v>
      </c>
      <c r="O9" s="39" t="s">
        <v>96</v>
      </c>
      <c r="P9" s="41" t="s">
        <v>84</v>
      </c>
      <c r="Q9" s="39" t="s">
        <v>84</v>
      </c>
      <c r="R9" s="41" t="s">
        <v>84</v>
      </c>
      <c r="S9" s="39" t="s">
        <v>84</v>
      </c>
      <c r="AA9" s="53" t="str">
        <f aca="false">VLOOKUP(Config!C3,Y3:AA8,3,FALSE())</f>
        <v>Blank</v>
      </c>
    </row>
    <row r="10" customFormat="false" ht="15" hidden="false" customHeight="false" outlineLevel="0" collapsed="false">
      <c r="A10" s="30" t="s">
        <v>66</v>
      </c>
      <c r="K10" s="52" t="s">
        <v>97</v>
      </c>
      <c r="L10" s="32" t="n">
        <v>0</v>
      </c>
      <c r="N10" s="45" t="s">
        <v>98</v>
      </c>
      <c r="O10" s="1" t="s">
        <v>98</v>
      </c>
      <c r="P10" s="46" t="s">
        <v>6</v>
      </c>
      <c r="Q10" s="3" t="s">
        <v>6</v>
      </c>
      <c r="R10" s="46" t="s">
        <v>6</v>
      </c>
      <c r="S10" s="3" t="s">
        <v>6</v>
      </c>
    </row>
    <row r="11" customFormat="false" ht="17.35" hidden="false" customHeight="false" outlineLevel="0" collapsed="false">
      <c r="C11" s="39" t="s">
        <v>11</v>
      </c>
      <c r="D11" s="40" t="n">
        <v>0</v>
      </c>
      <c r="K11" s="52" t="s">
        <v>99</v>
      </c>
      <c r="L11" s="32" t="n">
        <v>0</v>
      </c>
      <c r="N11" s="45" t="s">
        <v>100</v>
      </c>
      <c r="O11" s="1" t="s">
        <v>100</v>
      </c>
      <c r="P11" s="46" t="s">
        <v>6</v>
      </c>
      <c r="Q11" s="3" t="s">
        <v>6</v>
      </c>
      <c r="R11" s="46" t="s">
        <v>6</v>
      </c>
      <c r="S11" s="3" t="s">
        <v>6</v>
      </c>
      <c r="U11" s="36" t="s">
        <v>101</v>
      </c>
      <c r="V11" s="37" t="s">
        <v>102</v>
      </c>
      <c r="W11" s="37"/>
      <c r="X11" s="39" t="s">
        <v>103</v>
      </c>
      <c r="Y11" s="40" t="s">
        <v>104</v>
      </c>
      <c r="Z11" s="40"/>
      <c r="AA11" s="39" t="s">
        <v>105</v>
      </c>
    </row>
    <row r="12" customFormat="false" ht="17.35" hidden="false" customHeight="false" outlineLevel="0" collapsed="false">
      <c r="C12" s="39" t="s">
        <v>106</v>
      </c>
      <c r="D12" s="40" t="n">
        <v>0</v>
      </c>
      <c r="K12" s="52" t="s">
        <v>107</v>
      </c>
      <c r="L12" s="32" t="n">
        <v>0</v>
      </c>
      <c r="N12" s="45"/>
      <c r="P12" s="45"/>
      <c r="R12" s="45"/>
      <c r="U12" s="54" t="str">
        <f aca="false">IF(Config!C3="V0.1","MGN7",IF(Config!C3="V0.2","MGN7",IF(Config!C3="Vorpal 180","MGN12","-")))</f>
        <v>-</v>
      </c>
      <c r="V12" s="33" t="s">
        <v>108</v>
      </c>
      <c r="W12" s="35"/>
      <c r="X12" s="55" t="str">
        <f aca="false">IF(Config!C3="V0.1","yes",IF(Config!C3="V0.2","yes","-"))</f>
        <v>-</v>
      </c>
      <c r="Y12" s="39" t="s">
        <v>71</v>
      </c>
      <c r="Z12" s="56" t="s">
        <v>109</v>
      </c>
      <c r="AA12" s="39" t="s">
        <v>6</v>
      </c>
    </row>
    <row r="13" customFormat="false" ht="17.35" hidden="false" customHeight="false" outlineLevel="0" collapsed="false">
      <c r="C13" s="39" t="s">
        <v>110</v>
      </c>
      <c r="D13" s="40" t="n">
        <v>1</v>
      </c>
      <c r="K13" s="1" t="s">
        <v>111</v>
      </c>
      <c r="L13" s="32" t="n">
        <v>0</v>
      </c>
      <c r="N13" s="41" t="s">
        <v>112</v>
      </c>
      <c r="O13" s="39" t="s">
        <v>112</v>
      </c>
      <c r="P13" s="41" t="s">
        <v>112</v>
      </c>
      <c r="Q13" s="39" t="s">
        <v>112</v>
      </c>
      <c r="R13" s="41" t="s">
        <v>112</v>
      </c>
      <c r="S13" s="39" t="s">
        <v>112</v>
      </c>
      <c r="U13" s="55" t="str">
        <f aca="false">IF(Config!C3="V0.1","MGN9",IF(Config!C3="V0.2","MGN9",IF(Config!C3="Vorpal 180","MGN9","-")))</f>
        <v>-</v>
      </c>
      <c r="V13" s="42" t="s">
        <v>113</v>
      </c>
      <c r="W13" s="43"/>
      <c r="X13" s="55" t="str">
        <f aca="false">IF(Config!C3="V0.1","no",IF(Config!C3="V0.2","no","-"))</f>
        <v>-</v>
      </c>
      <c r="Y13" s="39" t="s">
        <v>73</v>
      </c>
      <c r="Z13" s="56" t="s">
        <v>109</v>
      </c>
      <c r="AA13" s="39" t="s">
        <v>6</v>
      </c>
    </row>
    <row r="14" customFormat="false" ht="15" hidden="false" customHeight="false" outlineLevel="0" collapsed="false">
      <c r="A14" s="1" t="s">
        <v>114</v>
      </c>
      <c r="K14" s="1" t="s">
        <v>54</v>
      </c>
      <c r="L14" s="32" t="n">
        <v>0</v>
      </c>
      <c r="N14" s="45" t="s">
        <v>115</v>
      </c>
      <c r="O14" s="1" t="s">
        <v>115</v>
      </c>
      <c r="P14" s="45" t="s">
        <v>115</v>
      </c>
      <c r="Q14" s="1" t="s">
        <v>115</v>
      </c>
      <c r="R14" s="45" t="s">
        <v>115</v>
      </c>
      <c r="S14" s="1" t="s">
        <v>115</v>
      </c>
      <c r="U14" s="55"/>
      <c r="V14" s="42" t="s">
        <v>116</v>
      </c>
      <c r="W14" s="43"/>
      <c r="X14" s="55"/>
      <c r="Y14" s="39" t="s">
        <v>3</v>
      </c>
      <c r="Z14" s="56" t="s">
        <v>117</v>
      </c>
      <c r="AA14" s="39" t="s">
        <v>6</v>
      </c>
    </row>
    <row r="15" customFormat="false" ht="15" hidden="false" customHeight="false" outlineLevel="0" collapsed="false">
      <c r="A15" s="30" t="s">
        <v>66</v>
      </c>
      <c r="D15" s="1"/>
      <c r="K15" s="1" t="s">
        <v>55</v>
      </c>
      <c r="L15" s="32" t="n">
        <v>0</v>
      </c>
      <c r="N15" s="45" t="s">
        <v>118</v>
      </c>
      <c r="O15" s="1" t="s">
        <v>118</v>
      </c>
      <c r="P15" s="45" t="s">
        <v>118</v>
      </c>
      <c r="Q15" s="1" t="s">
        <v>118</v>
      </c>
      <c r="R15" s="45" t="s">
        <v>118</v>
      </c>
      <c r="S15" s="1" t="s">
        <v>118</v>
      </c>
      <c r="U15" s="57"/>
      <c r="V15" s="47" t="s">
        <v>119</v>
      </c>
      <c r="W15" s="49"/>
      <c r="X15" s="47"/>
      <c r="Y15" s="39" t="s">
        <v>74</v>
      </c>
      <c r="Z15" s="56" t="s">
        <v>117</v>
      </c>
      <c r="AA15" s="39" t="s">
        <v>6</v>
      </c>
    </row>
    <row r="16" customFormat="false" ht="15" hidden="false" customHeight="false" outlineLevel="0" collapsed="false">
      <c r="C16" s="39" t="s">
        <v>20</v>
      </c>
      <c r="D16" s="40" t="n">
        <v>0</v>
      </c>
      <c r="K16" s="18" t="s">
        <v>120</v>
      </c>
      <c r="L16" s="32" t="n">
        <v>0</v>
      </c>
      <c r="N16" s="45" t="s">
        <v>121</v>
      </c>
      <c r="O16" s="1" t="s">
        <v>121</v>
      </c>
      <c r="P16" s="45" t="s">
        <v>121</v>
      </c>
      <c r="Q16" s="1" t="s">
        <v>121</v>
      </c>
      <c r="R16" s="45" t="s">
        <v>121</v>
      </c>
      <c r="S16" s="1" t="s">
        <v>121</v>
      </c>
      <c r="X16" s="53" t="str">
        <f aca="false">IF(Config!K3=0,"YES_NO","Blank")</f>
        <v>Blank</v>
      </c>
      <c r="Y16" s="38" t="s">
        <v>75</v>
      </c>
      <c r="Z16" s="56" t="s">
        <v>117</v>
      </c>
      <c r="AA16" s="39" t="s">
        <v>6</v>
      </c>
    </row>
    <row r="17" customFormat="false" ht="15" hidden="false" customHeight="false" outlineLevel="0" collapsed="false">
      <c r="C17" s="39" t="s">
        <v>122</v>
      </c>
      <c r="D17" s="40" t="n">
        <v>1</v>
      </c>
      <c r="N17" s="45"/>
      <c r="P17" s="45"/>
      <c r="R17" s="45"/>
      <c r="Y17" s="50" t="s">
        <v>76</v>
      </c>
      <c r="Z17" s="51" t="s">
        <v>123</v>
      </c>
      <c r="AA17" s="50" t="s">
        <v>124</v>
      </c>
    </row>
    <row r="18" customFormat="false" ht="15" hidden="false" customHeight="false" outlineLevel="0" collapsed="false">
      <c r="C18" s="39" t="s">
        <v>125</v>
      </c>
      <c r="D18" s="40" t="n">
        <v>2</v>
      </c>
      <c r="G18" s="40" t="s">
        <v>126</v>
      </c>
      <c r="H18" s="40" t="s">
        <v>63</v>
      </c>
      <c r="I18" s="39" t="s">
        <v>127</v>
      </c>
      <c r="J18" s="39" t="s">
        <v>128</v>
      </c>
      <c r="N18" s="41" t="s">
        <v>129</v>
      </c>
      <c r="O18" s="39" t="s">
        <v>129</v>
      </c>
      <c r="P18" s="41" t="s">
        <v>129</v>
      </c>
      <c r="Q18" s="39" t="s">
        <v>129</v>
      </c>
      <c r="R18" s="41" t="s">
        <v>129</v>
      </c>
      <c r="S18" s="39" t="s">
        <v>129</v>
      </c>
      <c r="U18" s="36" t="s">
        <v>130</v>
      </c>
      <c r="V18" s="37" t="s">
        <v>131</v>
      </c>
      <c r="W18" s="39" t="s">
        <v>45</v>
      </c>
      <c r="Z18" s="53" t="str">
        <f aca="false">IF(AND(Config!J3=4,Config!C4="MGN9"),Z17,VLOOKUP(Config!C3,Y12:AA17,2,FALSE()))</f>
        <v>Trident_Probes</v>
      </c>
    </row>
    <row r="19" customFormat="false" ht="15" hidden="false" customHeight="true" outlineLevel="0" collapsed="false">
      <c r="A19" s="1" t="s">
        <v>132</v>
      </c>
      <c r="G19" s="58" t="str">
        <f aca="false">IF(Config!K3=0,0,Config!J8)</f>
        <v>2</v>
      </c>
      <c r="H19" s="58" t="n">
        <f aca="false">Config!K4</f>
        <v>1</v>
      </c>
      <c r="I19" s="58" t="n">
        <f aca="false">Config!J5</f>
        <v>0</v>
      </c>
      <c r="J19" s="58" t="str">
        <f aca="false">CONCATENATE(G19,H19,I19,Config!K7)</f>
        <v>2100</v>
      </c>
      <c r="N19" s="45" t="s">
        <v>20</v>
      </c>
      <c r="O19" s="1" t="s">
        <v>20</v>
      </c>
      <c r="P19" s="45" t="s">
        <v>20</v>
      </c>
      <c r="Q19" s="1" t="s">
        <v>20</v>
      </c>
      <c r="R19" s="45" t="s">
        <v>20</v>
      </c>
      <c r="S19" s="43" t="s">
        <v>20</v>
      </c>
      <c r="U19" s="39" t="s">
        <v>6</v>
      </c>
      <c r="V19" s="39" t="s">
        <v>6</v>
      </c>
      <c r="W19" s="39" t="s">
        <v>6</v>
      </c>
      <c r="X19" s="59" t="n">
        <v>0</v>
      </c>
      <c r="Z19" s="3" t="s">
        <v>133</v>
      </c>
    </row>
    <row r="20" customFormat="false" ht="15" hidden="false" customHeight="false" outlineLevel="0" collapsed="false">
      <c r="A20" s="30" t="s">
        <v>66</v>
      </c>
      <c r="G20" s="32" t="s">
        <v>134</v>
      </c>
      <c r="H20" s="60" t="s">
        <v>135</v>
      </c>
      <c r="I20" s="3" t="n">
        <v>0</v>
      </c>
      <c r="J20" s="3" t="str">
        <f aca="false">CONCATENATE(G20,H20,I20,1)</f>
        <v>5201</v>
      </c>
      <c r="K20" s="61" t="s">
        <v>136</v>
      </c>
      <c r="L20" s="32" t="n">
        <v>0</v>
      </c>
      <c r="N20" s="45" t="s">
        <v>122</v>
      </c>
      <c r="O20" s="1" t="s">
        <v>122</v>
      </c>
      <c r="P20" s="45" t="s">
        <v>137</v>
      </c>
      <c r="Q20" s="1" t="s">
        <v>137</v>
      </c>
      <c r="R20" s="45" t="s">
        <v>137</v>
      </c>
      <c r="S20" s="43" t="s">
        <v>138</v>
      </c>
      <c r="U20" s="39" t="s">
        <v>6</v>
      </c>
      <c r="V20" s="39" t="s">
        <v>20</v>
      </c>
      <c r="W20" s="39" t="str">
        <f aca="false">IF(Config!$B$10="-",U20,V20)</f>
        <v>None</v>
      </c>
      <c r="X20" s="59" t="n">
        <v>1</v>
      </c>
    </row>
    <row r="21" customFormat="false" ht="15" hidden="false" customHeight="false" outlineLevel="0" collapsed="false">
      <c r="A21" s="1" t="n">
        <v>1</v>
      </c>
      <c r="C21" s="39" t="s">
        <v>139</v>
      </c>
      <c r="D21" s="40" t="n">
        <v>0</v>
      </c>
      <c r="E21" s="40" t="n">
        <v>0</v>
      </c>
      <c r="G21" s="32" t="s">
        <v>140</v>
      </c>
      <c r="H21" s="60" t="s">
        <v>135</v>
      </c>
      <c r="I21" s="3" t="n">
        <v>0</v>
      </c>
      <c r="J21" s="3" t="str">
        <f aca="false">CONCATENATE(G21,H21,I21,1)</f>
        <v>1201</v>
      </c>
      <c r="K21" s="61" t="s">
        <v>141</v>
      </c>
      <c r="L21" s="32" t="n">
        <v>0</v>
      </c>
      <c r="N21" s="1" t="s">
        <v>125</v>
      </c>
      <c r="O21" s="1" t="s">
        <v>125</v>
      </c>
      <c r="P21" s="45" t="s">
        <v>17</v>
      </c>
      <c r="Q21" s="1" t="s">
        <v>17</v>
      </c>
      <c r="R21" s="45" t="s">
        <v>17</v>
      </c>
      <c r="S21" s="43" t="s">
        <v>142</v>
      </c>
      <c r="U21" s="39" t="s">
        <v>6</v>
      </c>
      <c r="V21" s="39" t="s">
        <v>143</v>
      </c>
      <c r="W21" s="39" t="str">
        <f aca="false">IF(Config!$B$10="-",U21,V21)</f>
        <v>Igus</v>
      </c>
      <c r="X21" s="59" t="n">
        <v>2</v>
      </c>
    </row>
    <row r="22" customFormat="false" ht="15" hidden="false" customHeight="false" outlineLevel="0" collapsed="false">
      <c r="A22" s="1" t="n">
        <v>2</v>
      </c>
      <c r="C22" s="39" t="s">
        <v>15</v>
      </c>
      <c r="D22" s="40" t="n">
        <v>1</v>
      </c>
      <c r="E22" s="40" t="n">
        <v>0</v>
      </c>
      <c r="G22" s="32" t="s">
        <v>144</v>
      </c>
      <c r="H22" s="60" t="s">
        <v>135</v>
      </c>
      <c r="I22" s="3" t="n">
        <v>0</v>
      </c>
      <c r="J22" s="3" t="str">
        <f aca="false">CONCATENATE(G22,H22,I22,1)</f>
        <v>4201</v>
      </c>
      <c r="K22" s="61" t="s">
        <v>145</v>
      </c>
      <c r="L22" s="32" t="n">
        <v>0</v>
      </c>
      <c r="N22" s="46" t="s">
        <v>6</v>
      </c>
      <c r="O22" s="3" t="s">
        <v>6</v>
      </c>
      <c r="P22" s="45" t="s">
        <v>146</v>
      </c>
      <c r="Q22" s="1" t="s">
        <v>146</v>
      </c>
      <c r="R22" s="45" t="s">
        <v>146</v>
      </c>
      <c r="S22" s="43" t="s">
        <v>147</v>
      </c>
      <c r="U22" s="50" t="s">
        <v>6</v>
      </c>
      <c r="V22" s="50" t="s">
        <v>148</v>
      </c>
      <c r="W22" s="50" t="str">
        <f aca="false">IF(Config!$B$10="-",U22,V22)</f>
        <v>Generic</v>
      </c>
      <c r="X22" s="59" t="n">
        <v>3</v>
      </c>
    </row>
    <row r="23" customFormat="false" ht="15" hidden="false" customHeight="false" outlineLevel="0" collapsed="false">
      <c r="A23" s="1" t="n">
        <v>3</v>
      </c>
      <c r="C23" s="39" t="s">
        <v>149</v>
      </c>
      <c r="D23" s="40" t="n">
        <v>2</v>
      </c>
      <c r="E23" s="40" t="n">
        <v>0</v>
      </c>
      <c r="G23" s="32" t="s">
        <v>150</v>
      </c>
      <c r="H23" s="60" t="s">
        <v>135</v>
      </c>
      <c r="I23" s="3" t="n">
        <v>0</v>
      </c>
      <c r="J23" s="3" t="str">
        <f aca="false">CONCATENATE(G23,H23,I23,1)</f>
        <v>6201</v>
      </c>
      <c r="K23" s="61" t="s">
        <v>151</v>
      </c>
      <c r="L23" s="32" t="n">
        <v>0</v>
      </c>
      <c r="N23" s="46" t="s">
        <v>6</v>
      </c>
      <c r="O23" s="3" t="s">
        <v>6</v>
      </c>
      <c r="P23" s="1" t="s">
        <v>125</v>
      </c>
      <c r="Q23" s="1" t="s">
        <v>125</v>
      </c>
      <c r="R23" s="1" t="s">
        <v>125</v>
      </c>
      <c r="S23" s="43" t="s">
        <v>152</v>
      </c>
      <c r="V23" s="53" t="str">
        <f aca="false">IF(Config!$B$10="-","Blank","Cable_Chains")</f>
        <v>Cable_Chains</v>
      </c>
      <c r="W23" s="53" t="str">
        <f aca="false">IF(Config!B11="Wire strain relief:","High_Low","Blank")</f>
        <v>High_Low</v>
      </c>
    </row>
    <row r="24" customFormat="false" ht="15" hidden="false" customHeight="false" outlineLevel="0" collapsed="false">
      <c r="A24" s="62" t="n">
        <v>4</v>
      </c>
      <c r="C24" s="63" t="s">
        <v>153</v>
      </c>
      <c r="D24" s="40" t="n">
        <v>3</v>
      </c>
      <c r="E24" s="40" t="n">
        <v>0</v>
      </c>
      <c r="G24" s="32" t="s">
        <v>154</v>
      </c>
      <c r="H24" s="60" t="s">
        <v>135</v>
      </c>
      <c r="I24" s="3" t="n">
        <v>0</v>
      </c>
      <c r="J24" s="3" t="str">
        <f aca="false">CONCATENATE(G24,H24,I24,1)</f>
        <v>9201</v>
      </c>
      <c r="K24" s="61" t="s">
        <v>155</v>
      </c>
      <c r="L24" s="32" t="n">
        <v>0</v>
      </c>
      <c r="N24" s="46" t="s">
        <v>6</v>
      </c>
      <c r="O24" s="3" t="s">
        <v>6</v>
      </c>
      <c r="P24" s="45" t="s">
        <v>156</v>
      </c>
      <c r="Q24" s="1" t="s">
        <v>156</v>
      </c>
      <c r="R24" s="45" t="s">
        <v>156</v>
      </c>
      <c r="S24" s="3" t="s">
        <v>6</v>
      </c>
    </row>
    <row r="25" customFormat="false" ht="15" hidden="false" customHeight="false" outlineLevel="0" collapsed="false">
      <c r="A25" s="62"/>
      <c r="C25" s="63" t="s">
        <v>157</v>
      </c>
      <c r="D25" s="40" t="n">
        <v>3</v>
      </c>
      <c r="E25" s="40" t="n">
        <v>1</v>
      </c>
      <c r="G25" s="32" t="s">
        <v>158</v>
      </c>
      <c r="H25" s="60" t="s">
        <v>135</v>
      </c>
      <c r="I25" s="3" t="n">
        <v>0</v>
      </c>
      <c r="J25" s="3" t="str">
        <f aca="false">CONCATENATE(G25,H25,I25,1)</f>
        <v>3201</v>
      </c>
      <c r="K25" s="61" t="s">
        <v>159</v>
      </c>
      <c r="L25" s="32" t="n">
        <v>0</v>
      </c>
      <c r="N25" s="46" t="s">
        <v>6</v>
      </c>
      <c r="O25" s="3" t="s">
        <v>6</v>
      </c>
      <c r="P25" s="45" t="s">
        <v>142</v>
      </c>
      <c r="Q25" s="1" t="s">
        <v>142</v>
      </c>
      <c r="R25" s="45" t="s">
        <v>142</v>
      </c>
      <c r="S25" s="64" t="s">
        <v>6</v>
      </c>
    </row>
    <row r="26" customFormat="false" ht="15" hidden="false" customHeight="false" outlineLevel="0" collapsed="false">
      <c r="A26" s="1" t="n">
        <v>5</v>
      </c>
      <c r="C26" s="39" t="s">
        <v>160</v>
      </c>
      <c r="D26" s="40" t="n">
        <v>4</v>
      </c>
      <c r="E26" s="40" t="n">
        <v>0</v>
      </c>
      <c r="G26" s="32" t="s">
        <v>135</v>
      </c>
      <c r="H26" s="60" t="s">
        <v>135</v>
      </c>
      <c r="I26" s="3" t="n">
        <v>0</v>
      </c>
      <c r="J26" s="3" t="str">
        <f aca="false">CONCATENATE(G26,H26,I26,1)</f>
        <v>2201</v>
      </c>
      <c r="K26" s="61" t="s">
        <v>161</v>
      </c>
      <c r="L26" s="32" t="n">
        <v>0</v>
      </c>
      <c r="N26" s="46" t="s">
        <v>6</v>
      </c>
      <c r="O26" s="3" t="s">
        <v>6</v>
      </c>
      <c r="P26" s="45" t="s">
        <v>162</v>
      </c>
      <c r="Q26" s="1" t="s">
        <v>162</v>
      </c>
      <c r="R26" s="45" t="s">
        <v>162</v>
      </c>
      <c r="S26" s="64" t="s">
        <v>6</v>
      </c>
      <c r="U26" s="65" t="s">
        <v>163</v>
      </c>
      <c r="V26" s="1" t="s">
        <v>164</v>
      </c>
      <c r="W26" s="1" t="s">
        <v>165</v>
      </c>
      <c r="X26" s="1" t="s">
        <v>166</v>
      </c>
      <c r="Y26" s="1" t="s">
        <v>167</v>
      </c>
      <c r="Z26" s="1" t="s">
        <v>168</v>
      </c>
      <c r="AA26" s="1" t="s">
        <v>169</v>
      </c>
    </row>
    <row r="27" customFormat="false" ht="15" hidden="false" customHeight="true" outlineLevel="0" collapsed="false">
      <c r="A27" s="66" t="n">
        <v>6</v>
      </c>
      <c r="C27" s="67" t="s">
        <v>170</v>
      </c>
      <c r="D27" s="40" t="n">
        <v>5</v>
      </c>
      <c r="E27" s="40" t="n">
        <v>0</v>
      </c>
      <c r="G27" s="32" t="s">
        <v>134</v>
      </c>
      <c r="H27" s="60" t="s">
        <v>135</v>
      </c>
      <c r="I27" s="3" t="n">
        <v>0</v>
      </c>
      <c r="J27" s="3" t="str">
        <f aca="false">CONCATENATE(G27,H27,I27,0)</f>
        <v>5200</v>
      </c>
      <c r="K27" s="61" t="s">
        <v>171</v>
      </c>
      <c r="L27" s="32" t="n">
        <v>0</v>
      </c>
      <c r="N27" s="46" t="s">
        <v>6</v>
      </c>
      <c r="O27" s="3" t="s">
        <v>6</v>
      </c>
      <c r="P27" s="45" t="s">
        <v>172</v>
      </c>
      <c r="Q27" s="1" t="s">
        <v>172</v>
      </c>
      <c r="R27" s="45" t="s">
        <v>172</v>
      </c>
      <c r="S27" s="64" t="s">
        <v>6</v>
      </c>
      <c r="U27" s="65" t="s">
        <v>163</v>
      </c>
      <c r="V27" s="1" t="s">
        <v>164</v>
      </c>
      <c r="W27" s="1" t="s">
        <v>173</v>
      </c>
      <c r="X27" s="1" t="s">
        <v>174</v>
      </c>
      <c r="Y27" s="1" t="s">
        <v>175</v>
      </c>
      <c r="Z27" s="68" t="b">
        <f aca="false">FALSE()</f>
        <v>0</v>
      </c>
      <c r="AA27" s="1" t="s">
        <v>169</v>
      </c>
    </row>
    <row r="28" customFormat="false" ht="15" hidden="false" customHeight="false" outlineLevel="0" collapsed="false">
      <c r="A28" s="66"/>
      <c r="C28" s="67" t="s">
        <v>176</v>
      </c>
      <c r="D28" s="40" t="n">
        <v>5</v>
      </c>
      <c r="E28" s="40" t="n">
        <v>1</v>
      </c>
      <c r="G28" s="32" t="s">
        <v>140</v>
      </c>
      <c r="H28" s="60" t="s">
        <v>135</v>
      </c>
      <c r="I28" s="3" t="n">
        <v>0</v>
      </c>
      <c r="J28" s="3" t="str">
        <f aca="false">CONCATENATE(G28,H28,I28,0)</f>
        <v>1200</v>
      </c>
      <c r="K28" s="61" t="s">
        <v>177</v>
      </c>
      <c r="L28" s="32" t="n">
        <v>0</v>
      </c>
      <c r="N28" s="45"/>
      <c r="P28" s="45"/>
      <c r="R28" s="45"/>
      <c r="S28" s="43" t="s">
        <v>178</v>
      </c>
    </row>
    <row r="29" customFormat="false" ht="15" hidden="false" customHeight="false" outlineLevel="0" collapsed="false">
      <c r="A29" s="66"/>
      <c r="C29" s="67" t="s">
        <v>179</v>
      </c>
      <c r="D29" s="40" t="n">
        <v>5</v>
      </c>
      <c r="E29" s="40" t="n">
        <v>1</v>
      </c>
      <c r="G29" s="32" t="s">
        <v>144</v>
      </c>
      <c r="H29" s="60" t="s">
        <v>135</v>
      </c>
      <c r="I29" s="3" t="n">
        <v>0</v>
      </c>
      <c r="J29" s="3" t="str">
        <f aca="false">CONCATENATE(G29,H29,I29,0)</f>
        <v>4200</v>
      </c>
      <c r="K29" s="61" t="s">
        <v>180</v>
      </c>
      <c r="L29" s="32" t="n">
        <v>0</v>
      </c>
      <c r="N29" s="41" t="s">
        <v>181</v>
      </c>
      <c r="O29" s="39" t="s">
        <v>181</v>
      </c>
      <c r="P29" s="41" t="s">
        <v>181</v>
      </c>
      <c r="Q29" s="39" t="s">
        <v>181</v>
      </c>
      <c r="R29" s="41" t="s">
        <v>181</v>
      </c>
      <c r="S29" s="39" t="s">
        <v>181</v>
      </c>
      <c r="U29" s="65" t="s">
        <v>163</v>
      </c>
      <c r="V29" s="1" t="s">
        <v>182</v>
      </c>
    </row>
    <row r="30" customFormat="false" ht="15" hidden="false" customHeight="false" outlineLevel="0" collapsed="false">
      <c r="A30" s="66"/>
      <c r="C30" s="67" t="s">
        <v>183</v>
      </c>
      <c r="D30" s="40" t="n">
        <v>5</v>
      </c>
      <c r="E30" s="40" t="n">
        <v>0</v>
      </c>
      <c r="G30" s="32" t="s">
        <v>150</v>
      </c>
      <c r="H30" s="60" t="s">
        <v>135</v>
      </c>
      <c r="I30" s="3" t="n">
        <v>0</v>
      </c>
      <c r="J30" s="3" t="str">
        <f aca="false">CONCATENATE(G30,H30,I30,0)</f>
        <v>6200</v>
      </c>
      <c r="K30" s="61" t="s">
        <v>184</v>
      </c>
      <c r="L30" s="32" t="n">
        <v>0</v>
      </c>
      <c r="N30" s="45" t="s">
        <v>20</v>
      </c>
      <c r="O30" s="1" t="s">
        <v>6</v>
      </c>
      <c r="P30" s="45" t="s">
        <v>6</v>
      </c>
      <c r="Q30" s="1" t="s">
        <v>6</v>
      </c>
      <c r="R30" s="45" t="s">
        <v>6</v>
      </c>
      <c r="S30" s="1" t="s">
        <v>6</v>
      </c>
      <c r="U30" s="65" t="s">
        <v>163</v>
      </c>
      <c r="V30" s="1" t="s">
        <v>185</v>
      </c>
    </row>
    <row r="31" customFormat="false" ht="15" hidden="false" customHeight="false" outlineLevel="0" collapsed="false">
      <c r="A31" s="66"/>
      <c r="C31" s="67" t="s">
        <v>186</v>
      </c>
      <c r="D31" s="40" t="n">
        <v>5</v>
      </c>
      <c r="E31" s="40" t="n">
        <v>0</v>
      </c>
      <c r="G31" s="32" t="s">
        <v>187</v>
      </c>
      <c r="H31" s="60" t="s">
        <v>135</v>
      </c>
      <c r="I31" s="3" t="n">
        <v>0</v>
      </c>
      <c r="J31" s="3" t="str">
        <f aca="false">CONCATENATE(G31,H31,I31,0)</f>
        <v>7200</v>
      </c>
      <c r="K31" s="61" t="s">
        <v>188</v>
      </c>
      <c r="L31" s="32" t="n">
        <v>0</v>
      </c>
      <c r="N31" s="45" t="s">
        <v>189</v>
      </c>
      <c r="O31" s="1" t="s">
        <v>189</v>
      </c>
      <c r="P31" s="45" t="s">
        <v>189</v>
      </c>
      <c r="Q31" s="1" t="s">
        <v>189</v>
      </c>
      <c r="R31" s="45" t="s">
        <v>189</v>
      </c>
      <c r="S31" s="1" t="s">
        <v>189</v>
      </c>
    </row>
    <row r="32" customFormat="false" ht="15" hidden="false" customHeight="false" outlineLevel="0" collapsed="false">
      <c r="A32" s="1" t="n">
        <v>7</v>
      </c>
      <c r="C32" s="39" t="s">
        <v>190</v>
      </c>
      <c r="D32" s="40" t="n">
        <v>6</v>
      </c>
      <c r="E32" s="40" t="n">
        <v>0</v>
      </c>
      <c r="G32" s="32" t="s">
        <v>158</v>
      </c>
      <c r="H32" s="60" t="s">
        <v>135</v>
      </c>
      <c r="I32" s="3" t="n">
        <v>0</v>
      </c>
      <c r="J32" s="3" t="str">
        <f aca="false">CONCATENATE(G32,H32,I32,0)</f>
        <v>3200</v>
      </c>
      <c r="K32" s="61" t="s">
        <v>191</v>
      </c>
      <c r="L32" s="32" t="n">
        <v>0</v>
      </c>
      <c r="N32" s="45" t="s">
        <v>192</v>
      </c>
      <c r="O32" s="1" t="s">
        <v>192</v>
      </c>
      <c r="P32" s="45" t="s">
        <v>192</v>
      </c>
      <c r="Q32" s="1" t="s">
        <v>192</v>
      </c>
      <c r="R32" s="45" t="s">
        <v>192</v>
      </c>
      <c r="S32" s="1" t="s">
        <v>192</v>
      </c>
      <c r="U32" s="65" t="s">
        <v>163</v>
      </c>
      <c r="V32" s="1" t="s">
        <v>193</v>
      </c>
    </row>
    <row r="33" customFormat="false" ht="15" hidden="false" customHeight="false" outlineLevel="0" collapsed="false">
      <c r="A33" s="1" t="n">
        <v>8</v>
      </c>
      <c r="C33" s="39" t="s">
        <v>194</v>
      </c>
      <c r="D33" s="40" t="n">
        <v>7</v>
      </c>
      <c r="E33" s="40" t="n">
        <v>0</v>
      </c>
      <c r="G33" s="32" t="s">
        <v>135</v>
      </c>
      <c r="H33" s="60" t="s">
        <v>135</v>
      </c>
      <c r="I33" s="3" t="n">
        <v>0</v>
      </c>
      <c r="J33" s="3" t="str">
        <f aca="false">CONCATENATE(G33,H33,I33,0)</f>
        <v>2200</v>
      </c>
      <c r="K33" s="61" t="s">
        <v>195</v>
      </c>
      <c r="L33" s="32" t="n">
        <v>0</v>
      </c>
      <c r="N33" s="45" t="s">
        <v>196</v>
      </c>
      <c r="O33" s="1" t="s">
        <v>196</v>
      </c>
      <c r="P33" s="45" t="s">
        <v>196</v>
      </c>
      <c r="Q33" s="1" t="s">
        <v>196</v>
      </c>
      <c r="R33" s="45" t="s">
        <v>196</v>
      </c>
      <c r="S33" s="1" t="s">
        <v>196</v>
      </c>
      <c r="U33" s="65" t="s">
        <v>163</v>
      </c>
      <c r="V33" s="1" t="s">
        <v>197</v>
      </c>
    </row>
    <row r="34" customFormat="false" ht="15" hidden="false" customHeight="false" outlineLevel="0" collapsed="false">
      <c r="A34" s="1" t="n">
        <v>9</v>
      </c>
      <c r="C34" s="39" t="s">
        <v>198</v>
      </c>
      <c r="D34" s="40" t="n">
        <v>8</v>
      </c>
      <c r="E34" s="40" t="n">
        <v>0</v>
      </c>
      <c r="G34" s="32" t="s">
        <v>134</v>
      </c>
      <c r="H34" s="60" t="s">
        <v>140</v>
      </c>
      <c r="I34" s="3" t="n">
        <v>0</v>
      </c>
      <c r="J34" s="3" t="str">
        <f aca="false">CONCATENATE(G34,H34,I34,1)</f>
        <v>5101</v>
      </c>
      <c r="K34" s="69" t="s">
        <v>199</v>
      </c>
      <c r="L34" s="32" t="n">
        <v>0</v>
      </c>
      <c r="N34" s="45"/>
      <c r="P34" s="45"/>
      <c r="R34" s="45"/>
    </row>
    <row r="35" customFormat="false" ht="15" hidden="false" customHeight="false" outlineLevel="0" collapsed="false">
      <c r="A35" s="1" t="n">
        <v>10</v>
      </c>
      <c r="C35" s="39" t="s">
        <v>200</v>
      </c>
      <c r="D35" s="40" t="n">
        <v>9</v>
      </c>
      <c r="E35" s="40" t="n">
        <v>0</v>
      </c>
      <c r="G35" s="32" t="s">
        <v>140</v>
      </c>
      <c r="H35" s="60" t="s">
        <v>140</v>
      </c>
      <c r="I35" s="3" t="n">
        <v>0</v>
      </c>
      <c r="J35" s="3" t="str">
        <f aca="false">CONCATENATE(G35,H35,I35,1)</f>
        <v>1101</v>
      </c>
      <c r="K35" s="69" t="s">
        <v>201</v>
      </c>
      <c r="L35" s="32" t="n">
        <v>0</v>
      </c>
      <c r="N35" s="45"/>
      <c r="P35" s="45"/>
      <c r="R35" s="45"/>
    </row>
    <row r="36" customFormat="false" ht="15" hidden="false" customHeight="false" outlineLevel="0" collapsed="false">
      <c r="A36" s="1" t="n">
        <v>11</v>
      </c>
      <c r="C36" s="39" t="s">
        <v>202</v>
      </c>
      <c r="D36" s="40" t="n">
        <v>10</v>
      </c>
      <c r="E36" s="40" t="n">
        <v>0</v>
      </c>
      <c r="G36" s="32" t="s">
        <v>144</v>
      </c>
      <c r="H36" s="60" t="s">
        <v>140</v>
      </c>
      <c r="I36" s="3" t="n">
        <v>0</v>
      </c>
      <c r="J36" s="3" t="str">
        <f aca="false">CONCATENATE(G36,H36,I36,1)</f>
        <v>4101</v>
      </c>
      <c r="K36" s="69" t="s">
        <v>203</v>
      </c>
      <c r="L36" s="32" t="n">
        <v>0</v>
      </c>
      <c r="N36" s="41" t="s">
        <v>204</v>
      </c>
      <c r="O36" s="39" t="s">
        <v>204</v>
      </c>
      <c r="P36" s="41" t="s">
        <v>204</v>
      </c>
      <c r="Q36" s="39" t="s">
        <v>204</v>
      </c>
      <c r="R36" s="41" t="s">
        <v>204</v>
      </c>
      <c r="S36" s="39" t="s">
        <v>204</v>
      </c>
      <c r="U36" s="59" t="s">
        <v>59</v>
      </c>
      <c r="V36" s="1" t="s">
        <v>205</v>
      </c>
      <c r="W36" s="1" t="s">
        <v>205</v>
      </c>
    </row>
    <row r="37" customFormat="false" ht="15" hidden="false" customHeight="false" outlineLevel="0" collapsed="false">
      <c r="A37" s="1" t="n">
        <v>12</v>
      </c>
      <c r="C37" s="39" t="s">
        <v>206</v>
      </c>
      <c r="D37" s="40" t="n">
        <v>11</v>
      </c>
      <c r="E37" s="40" t="n">
        <v>0</v>
      </c>
      <c r="G37" s="32" t="s">
        <v>150</v>
      </c>
      <c r="H37" s="60" t="s">
        <v>140</v>
      </c>
      <c r="I37" s="3" t="n">
        <v>0</v>
      </c>
      <c r="J37" s="3" t="str">
        <f aca="false">CONCATENATE(G37,H37,I37,1)</f>
        <v>6101</v>
      </c>
      <c r="K37" s="69" t="s">
        <v>207</v>
      </c>
      <c r="L37" s="32" t="n">
        <v>0</v>
      </c>
      <c r="N37" s="45" t="s">
        <v>208</v>
      </c>
      <c r="O37" s="1" t="s">
        <v>208</v>
      </c>
      <c r="P37" s="45" t="s">
        <v>208</v>
      </c>
      <c r="Q37" s="1" t="s">
        <v>208</v>
      </c>
      <c r="R37" s="45" t="s">
        <v>208</v>
      </c>
      <c r="S37" s="1" t="s">
        <v>208</v>
      </c>
      <c r="U37" s="59" t="s">
        <v>60</v>
      </c>
      <c r="V37" s="1" t="s">
        <v>209</v>
      </c>
      <c r="W37" s="1" t="s">
        <v>210</v>
      </c>
    </row>
    <row r="38" customFormat="false" ht="15" hidden="false" customHeight="false" outlineLevel="0" collapsed="false">
      <c r="G38" s="32" t="s">
        <v>187</v>
      </c>
      <c r="H38" s="60" t="s">
        <v>140</v>
      </c>
      <c r="I38" s="3" t="n">
        <v>0</v>
      </c>
      <c r="J38" s="3" t="str">
        <f aca="false">CONCATENATE(G38,H38,I38,1)</f>
        <v>7101</v>
      </c>
      <c r="K38" s="69" t="s">
        <v>211</v>
      </c>
      <c r="L38" s="32" t="n">
        <v>0</v>
      </c>
      <c r="N38" s="45" t="s">
        <v>122</v>
      </c>
      <c r="O38" s="1" t="s">
        <v>122</v>
      </c>
      <c r="P38" s="45"/>
      <c r="R38" s="45"/>
      <c r="U38" s="59" t="s">
        <v>61</v>
      </c>
      <c r="V38" s="1" t="s">
        <v>212</v>
      </c>
      <c r="W38" s="1" t="s">
        <v>213</v>
      </c>
    </row>
    <row r="39" customFormat="false" ht="15" hidden="false" customHeight="true" outlineLevel="0" collapsed="false">
      <c r="A39" s="1" t="s">
        <v>126</v>
      </c>
      <c r="G39" s="32" t="s">
        <v>158</v>
      </c>
      <c r="H39" s="60" t="s">
        <v>140</v>
      </c>
      <c r="I39" s="3" t="n">
        <v>0</v>
      </c>
      <c r="J39" s="3" t="str">
        <f aca="false">CONCATENATE(G39,H39,I39,1)</f>
        <v>3101</v>
      </c>
      <c r="K39" s="69" t="s">
        <v>214</v>
      </c>
      <c r="L39" s="32" t="n">
        <v>0</v>
      </c>
      <c r="N39" s="45" t="s">
        <v>125</v>
      </c>
      <c r="O39" s="1" t="s">
        <v>125</v>
      </c>
      <c r="P39" s="45"/>
      <c r="R39" s="45"/>
      <c r="U39" s="59" t="s">
        <v>62</v>
      </c>
      <c r="V39" s="1" t="s">
        <v>215</v>
      </c>
      <c r="W39" s="1" t="s">
        <v>216</v>
      </c>
    </row>
    <row r="40" customFormat="false" ht="15" hidden="false" customHeight="true" outlineLevel="0" collapsed="false">
      <c r="A40" s="30" t="s">
        <v>66</v>
      </c>
      <c r="C40" s="39" t="s">
        <v>20</v>
      </c>
      <c r="D40" s="70" t="n">
        <f aca="false">IF(OR(Config!J3&lt;2,Config!J3&gt;4),0,2)</f>
        <v>2</v>
      </c>
      <c r="G40" s="32" t="s">
        <v>135</v>
      </c>
      <c r="H40" s="60" t="s">
        <v>140</v>
      </c>
      <c r="I40" s="3" t="n">
        <v>0</v>
      </c>
      <c r="J40" s="3" t="str">
        <f aca="false">CONCATENATE(G40,H40,I40,1)</f>
        <v>2101</v>
      </c>
      <c r="K40" s="69" t="s">
        <v>217</v>
      </c>
      <c r="L40" s="32" t="n">
        <v>0</v>
      </c>
      <c r="N40" s="41" t="s">
        <v>218</v>
      </c>
      <c r="O40" s="39" t="s">
        <v>218</v>
      </c>
      <c r="P40" s="41" t="s">
        <v>84</v>
      </c>
      <c r="Q40" s="39" t="s">
        <v>84</v>
      </c>
      <c r="R40" s="41" t="s">
        <v>84</v>
      </c>
      <c r="S40" s="39" t="s">
        <v>84</v>
      </c>
      <c r="U40" s="59" t="s">
        <v>49</v>
      </c>
      <c r="V40" s="1" t="s">
        <v>219</v>
      </c>
      <c r="W40" s="1" t="s">
        <v>220</v>
      </c>
    </row>
    <row r="41" customFormat="false" ht="15" hidden="false" customHeight="true" outlineLevel="0" collapsed="false">
      <c r="C41" s="39" t="s">
        <v>122</v>
      </c>
      <c r="D41" s="70" t="s">
        <v>221</v>
      </c>
      <c r="E41" s="32"/>
      <c r="F41" s="32"/>
      <c r="G41" s="32" t="s">
        <v>134</v>
      </c>
      <c r="H41" s="60" t="s">
        <v>140</v>
      </c>
      <c r="I41" s="3" t="n">
        <v>0</v>
      </c>
      <c r="J41" s="3" t="str">
        <f aca="false">CONCATENATE(G41,H41,I41,0)</f>
        <v>5100</v>
      </c>
      <c r="K41" s="69" t="s">
        <v>222</v>
      </c>
      <c r="L41" s="32" t="n">
        <v>0</v>
      </c>
      <c r="N41" s="45" t="s">
        <v>223</v>
      </c>
      <c r="O41" s="1" t="s">
        <v>223</v>
      </c>
      <c r="P41" s="46" t="s">
        <v>6</v>
      </c>
      <c r="Q41" s="3" t="s">
        <v>6</v>
      </c>
      <c r="R41" s="46" t="s">
        <v>6</v>
      </c>
      <c r="S41" s="3" t="s">
        <v>6</v>
      </c>
    </row>
    <row r="42" customFormat="false" ht="15" hidden="false" customHeight="true" outlineLevel="0" collapsed="false">
      <c r="C42" s="39" t="s">
        <v>125</v>
      </c>
      <c r="D42" s="70" t="s">
        <v>140</v>
      </c>
      <c r="E42" s="32"/>
      <c r="F42" s="32"/>
      <c r="G42" s="32" t="s">
        <v>140</v>
      </c>
      <c r="H42" s="60" t="s">
        <v>140</v>
      </c>
      <c r="I42" s="3" t="n">
        <v>0</v>
      </c>
      <c r="J42" s="3" t="str">
        <f aca="false">CONCATENATE(G42,H42,I42,0)</f>
        <v>1100</v>
      </c>
      <c r="K42" s="69" t="s">
        <v>224</v>
      </c>
      <c r="L42" s="32" t="n">
        <v>0</v>
      </c>
      <c r="N42" s="45"/>
      <c r="P42" s="45"/>
      <c r="R42" s="45"/>
      <c r="U42" s="1" t="s">
        <v>225</v>
      </c>
      <c r="W42" s="59" t="str">
        <f aca="true">INDIRECT(X42)</f>
        <v>Trident / V2.4</v>
      </c>
      <c r="X42" s="1" t="s">
        <v>226</v>
      </c>
    </row>
    <row r="43" customFormat="false" ht="15" hidden="false" customHeight="true" outlineLevel="0" collapsed="false">
      <c r="C43" s="39" t="s">
        <v>137</v>
      </c>
      <c r="D43" s="70" t="s">
        <v>135</v>
      </c>
      <c r="E43" s="32"/>
      <c r="F43" s="32"/>
      <c r="G43" s="32" t="s">
        <v>144</v>
      </c>
      <c r="H43" s="60" t="s">
        <v>140</v>
      </c>
      <c r="I43" s="3" t="n">
        <v>0</v>
      </c>
      <c r="J43" s="3" t="str">
        <f aca="false">CONCATENATE(G43,H43,I43,0)</f>
        <v>4100</v>
      </c>
      <c r="K43" s="69" t="s">
        <v>227</v>
      </c>
      <c r="L43" s="32" t="n">
        <v>0</v>
      </c>
      <c r="N43" s="41" t="s">
        <v>228</v>
      </c>
      <c r="O43" s="39"/>
      <c r="P43" s="41"/>
      <c r="Q43" s="39"/>
      <c r="R43" s="41"/>
      <c r="S43" s="39"/>
    </row>
    <row r="44" customFormat="false" ht="15" hidden="false" customHeight="true" outlineLevel="0" collapsed="false">
      <c r="C44" s="39" t="s">
        <v>17</v>
      </c>
      <c r="D44" s="70" t="s">
        <v>135</v>
      </c>
      <c r="E44" s="32"/>
      <c r="F44" s="32"/>
      <c r="G44" s="32" t="s">
        <v>150</v>
      </c>
      <c r="H44" s="60" t="s">
        <v>140</v>
      </c>
      <c r="I44" s="3" t="n">
        <v>0</v>
      </c>
      <c r="J44" s="3" t="str">
        <f aca="false">CONCATENATE(G44,H44,I44,0)</f>
        <v>6100</v>
      </c>
      <c r="K44" s="69" t="s">
        <v>229</v>
      </c>
      <c r="L44" s="32" t="n">
        <v>0</v>
      </c>
      <c r="N44" s="45" t="s">
        <v>139</v>
      </c>
      <c r="P44" s="45"/>
      <c r="R44" s="45"/>
    </row>
    <row r="45" customFormat="false" ht="15" hidden="false" customHeight="true" outlineLevel="0" collapsed="false">
      <c r="C45" s="39" t="s">
        <v>230</v>
      </c>
      <c r="D45" s="70" t="s">
        <v>158</v>
      </c>
      <c r="E45" s="32"/>
      <c r="F45" s="32"/>
      <c r="G45" s="32" t="s">
        <v>187</v>
      </c>
      <c r="H45" s="60" t="s">
        <v>140</v>
      </c>
      <c r="I45" s="3" t="n">
        <v>0</v>
      </c>
      <c r="J45" s="3" t="str">
        <f aca="false">CONCATENATE(G45,H45,I45,0)</f>
        <v>7100</v>
      </c>
      <c r="K45" s="69" t="s">
        <v>231</v>
      </c>
      <c r="L45" s="32" t="n">
        <v>0</v>
      </c>
      <c r="N45" s="45" t="s">
        <v>15</v>
      </c>
      <c r="P45" s="45"/>
      <c r="R45" s="45"/>
    </row>
    <row r="46" customFormat="false" ht="15" hidden="false" customHeight="true" outlineLevel="0" collapsed="false">
      <c r="C46" s="39" t="s">
        <v>156</v>
      </c>
      <c r="D46" s="70" t="s">
        <v>144</v>
      </c>
      <c r="E46" s="32"/>
      <c r="F46" s="32"/>
      <c r="G46" s="32" t="s">
        <v>158</v>
      </c>
      <c r="H46" s="60" t="s">
        <v>140</v>
      </c>
      <c r="I46" s="3" t="n">
        <v>0</v>
      </c>
      <c r="J46" s="3" t="str">
        <f aca="false">CONCATENATE(G46,H46,I46,0)</f>
        <v>3100</v>
      </c>
      <c r="K46" s="69" t="s">
        <v>232</v>
      </c>
      <c r="L46" s="32" t="n">
        <v>0</v>
      </c>
      <c r="N46" s="45" t="s">
        <v>149</v>
      </c>
      <c r="P46" s="45"/>
      <c r="R46" s="45"/>
    </row>
    <row r="47" customFormat="false" ht="15" hidden="false" customHeight="false" outlineLevel="0" collapsed="false">
      <c r="C47" s="39" t="s">
        <v>146</v>
      </c>
      <c r="D47" s="70" t="s">
        <v>134</v>
      </c>
      <c r="E47" s="32"/>
      <c r="F47" s="32"/>
      <c r="G47" s="32" t="s">
        <v>135</v>
      </c>
      <c r="H47" s="60" t="s">
        <v>140</v>
      </c>
      <c r="I47" s="3" t="n">
        <v>0</v>
      </c>
      <c r="J47" s="3" t="str">
        <f aca="false">CONCATENATE(G47,H47,I47,0)</f>
        <v>2100</v>
      </c>
      <c r="K47" s="69" t="s">
        <v>233</v>
      </c>
      <c r="L47" s="32" t="n">
        <v>0</v>
      </c>
      <c r="N47" s="45" t="s">
        <v>153</v>
      </c>
      <c r="P47" s="45"/>
      <c r="R47" s="45"/>
    </row>
    <row r="48" customFormat="false" ht="15" hidden="false" customHeight="false" outlineLevel="0" collapsed="false">
      <c r="C48" s="39" t="s">
        <v>142</v>
      </c>
      <c r="D48" s="70" t="s">
        <v>150</v>
      </c>
      <c r="E48" s="32"/>
      <c r="F48" s="32"/>
      <c r="G48" s="32" t="s">
        <v>221</v>
      </c>
      <c r="H48" s="60" t="s">
        <v>221</v>
      </c>
      <c r="I48" s="3" t="n">
        <v>1</v>
      </c>
      <c r="J48" s="3" t="str">
        <f aca="false">CONCATENATE(G48,H48,I48,0)</f>
        <v>0010</v>
      </c>
      <c r="K48" s="71" t="s">
        <v>234</v>
      </c>
      <c r="L48" s="32" t="n">
        <v>0</v>
      </c>
      <c r="N48" s="45" t="s">
        <v>160</v>
      </c>
      <c r="P48" s="45"/>
      <c r="R48" s="45"/>
    </row>
    <row r="49" customFormat="false" ht="15" hidden="false" customHeight="false" outlineLevel="0" collapsed="false">
      <c r="C49" s="39" t="s">
        <v>162</v>
      </c>
      <c r="D49" s="70" t="s">
        <v>187</v>
      </c>
      <c r="E49" s="32"/>
      <c r="F49" s="32"/>
      <c r="G49" s="32" t="s">
        <v>221</v>
      </c>
      <c r="H49" s="60" t="s">
        <v>221</v>
      </c>
      <c r="I49" s="3" t="n">
        <v>0</v>
      </c>
      <c r="J49" s="3" t="str">
        <f aca="false">CONCATENATE(G49,H49,I49,0)</f>
        <v>0000</v>
      </c>
      <c r="K49" s="71" t="s">
        <v>235</v>
      </c>
      <c r="L49" s="32" t="n">
        <v>0</v>
      </c>
      <c r="N49" s="45" t="s">
        <v>170</v>
      </c>
      <c r="P49" s="45"/>
      <c r="R49" s="45"/>
    </row>
    <row r="50" customFormat="false" ht="15" hidden="false" customHeight="false" outlineLevel="0" collapsed="false">
      <c r="C50" s="39" t="s">
        <v>138</v>
      </c>
      <c r="D50" s="70" t="n">
        <v>0</v>
      </c>
      <c r="E50" s="32"/>
      <c r="F50" s="32"/>
      <c r="G50" s="32" t="s">
        <v>221</v>
      </c>
      <c r="H50" s="60" t="s">
        <v>140</v>
      </c>
      <c r="I50" s="3" t="n">
        <v>1</v>
      </c>
      <c r="J50" s="3" t="str">
        <f aca="false">CONCATENATE(G50,H50,I50,0)</f>
        <v>0110</v>
      </c>
      <c r="K50" s="71" t="s">
        <v>236</v>
      </c>
      <c r="L50" s="32" t="n">
        <v>0</v>
      </c>
      <c r="N50" s="45" t="s">
        <v>190</v>
      </c>
      <c r="P50" s="45"/>
      <c r="R50" s="45"/>
    </row>
    <row r="51" customFormat="false" ht="15" hidden="false" customHeight="false" outlineLevel="0" collapsed="false">
      <c r="C51" s="39" t="s">
        <v>147</v>
      </c>
      <c r="D51" s="70" t="n">
        <v>8</v>
      </c>
      <c r="E51" s="32"/>
      <c r="F51" s="32"/>
      <c r="G51" s="32" t="s">
        <v>221</v>
      </c>
      <c r="H51" s="60" t="s">
        <v>140</v>
      </c>
      <c r="I51" s="3" t="n">
        <v>0</v>
      </c>
      <c r="J51" s="3" t="str">
        <f aca="false">CONCATENATE(G51,H51,I51,0)</f>
        <v>0100</v>
      </c>
      <c r="K51" s="71" t="s">
        <v>237</v>
      </c>
      <c r="L51" s="32" t="n">
        <v>0</v>
      </c>
      <c r="N51" s="45" t="s">
        <v>194</v>
      </c>
      <c r="P51" s="45"/>
      <c r="R51" s="45"/>
    </row>
    <row r="52" customFormat="false" ht="15" hidden="false" customHeight="false" outlineLevel="0" collapsed="false">
      <c r="C52" s="39" t="s">
        <v>152</v>
      </c>
      <c r="D52" s="70" t="n">
        <v>9</v>
      </c>
      <c r="E52" s="32"/>
      <c r="F52" s="32"/>
      <c r="G52" s="32" t="s">
        <v>150</v>
      </c>
      <c r="H52" s="3" t="n">
        <v>3</v>
      </c>
      <c r="I52" s="3" t="n">
        <v>0</v>
      </c>
      <c r="J52" s="3" t="str">
        <f aca="false">CONCATENATE(G52,H52,I52,0)</f>
        <v>6300</v>
      </c>
      <c r="K52" s="31" t="s">
        <v>238</v>
      </c>
      <c r="L52" s="32" t="n">
        <v>0</v>
      </c>
      <c r="N52" s="45" t="s">
        <v>198</v>
      </c>
      <c r="P52" s="45"/>
      <c r="R52" s="45"/>
    </row>
    <row r="53" customFormat="false" ht="15" hidden="false" customHeight="false" outlineLevel="0" collapsed="false">
      <c r="G53" s="32" t="n">
        <v>0</v>
      </c>
      <c r="H53" s="3" t="n">
        <v>3</v>
      </c>
      <c r="I53" s="3" t="n">
        <v>0</v>
      </c>
      <c r="J53" s="3" t="str">
        <f aca="false">CONCATENATE(G53,H53,I53,0)</f>
        <v>0300</v>
      </c>
      <c r="K53" s="31" t="s">
        <v>239</v>
      </c>
      <c r="L53" s="32" t="n">
        <v>0</v>
      </c>
      <c r="N53" s="45" t="s">
        <v>200</v>
      </c>
      <c r="P53" s="45"/>
      <c r="R53" s="45"/>
    </row>
    <row r="54" customFormat="false" ht="15" hidden="false" customHeight="false" outlineLevel="0" collapsed="false">
      <c r="A54" s="1" t="s">
        <v>240</v>
      </c>
      <c r="G54" s="32" t="n">
        <v>8</v>
      </c>
      <c r="H54" s="3" t="n">
        <v>3</v>
      </c>
      <c r="I54" s="3" t="n">
        <v>0</v>
      </c>
      <c r="J54" s="3" t="str">
        <f aca="false">CONCATENATE(G54,H54,I54,0)</f>
        <v>8300</v>
      </c>
      <c r="K54" s="31" t="s">
        <v>241</v>
      </c>
      <c r="L54" s="32" t="n">
        <v>0</v>
      </c>
      <c r="N54" s="45" t="s">
        <v>202</v>
      </c>
      <c r="P54" s="45"/>
      <c r="R54" s="45"/>
    </row>
    <row r="55" customFormat="false" ht="15" hidden="false" customHeight="false" outlineLevel="0" collapsed="false">
      <c r="A55" s="30" t="s">
        <v>66</v>
      </c>
      <c r="G55" s="32" t="n">
        <v>9</v>
      </c>
      <c r="H55" s="3" t="n">
        <v>3</v>
      </c>
      <c r="I55" s="3" t="n">
        <v>0</v>
      </c>
      <c r="J55" s="3" t="str">
        <f aca="false">CONCATENATE(G55,H55,I55,0)</f>
        <v>9300</v>
      </c>
      <c r="K55" s="31" t="s">
        <v>242</v>
      </c>
      <c r="L55" s="32" t="n">
        <v>0</v>
      </c>
      <c r="N55" s="45" t="s">
        <v>206</v>
      </c>
      <c r="P55" s="45"/>
      <c r="R55" s="45"/>
    </row>
    <row r="56" customFormat="false" ht="15" hidden="false" customHeight="false" outlineLevel="0" collapsed="false">
      <c r="C56" s="1" t="s">
        <v>208</v>
      </c>
      <c r="F56" s="32"/>
      <c r="L56" s="32"/>
      <c r="N56" s="45"/>
      <c r="P56" s="45"/>
      <c r="R56" s="45"/>
    </row>
    <row r="57" customFormat="false" ht="15" hidden="false" customHeight="false" outlineLevel="0" collapsed="false">
      <c r="C57" s="1" t="s">
        <v>243</v>
      </c>
      <c r="F57" s="32"/>
      <c r="G57" s="3" t="s">
        <v>244</v>
      </c>
      <c r="H57" s="3" t="s">
        <v>245</v>
      </c>
      <c r="I57" s="1" t="s">
        <v>126</v>
      </c>
      <c r="L57" s="32"/>
      <c r="N57" s="41" t="s">
        <v>246</v>
      </c>
      <c r="O57" s="39" t="s">
        <v>246</v>
      </c>
      <c r="P57" s="41" t="s">
        <v>247</v>
      </c>
      <c r="Q57" s="39" t="s">
        <v>247</v>
      </c>
      <c r="R57" s="41" t="s">
        <v>247</v>
      </c>
      <c r="S57" s="39" t="s">
        <v>246</v>
      </c>
    </row>
    <row r="58" customFormat="false" ht="15" hidden="false" customHeight="false" outlineLevel="0" collapsed="false">
      <c r="C58" s="1" t="s">
        <v>248</v>
      </c>
      <c r="F58" s="32"/>
      <c r="G58" s="72" t="n">
        <f aca="false">Config!K7</f>
        <v>0</v>
      </c>
      <c r="H58" s="72" t="n">
        <f aca="false">Config!J12</f>
        <v>0</v>
      </c>
      <c r="I58" s="72" t="n">
        <f aca="false">Config!K8</f>
        <v>0</v>
      </c>
      <c r="J58" s="72" t="str">
        <f aca="false">CONCATENATE(G58,H58,I58)</f>
        <v>000</v>
      </c>
      <c r="K58" s="28" t="s">
        <v>249</v>
      </c>
      <c r="L58" s="32"/>
      <c r="N58" s="45"/>
      <c r="P58" s="45" t="s">
        <v>208</v>
      </c>
      <c r="Q58" s="1" t="s">
        <v>208</v>
      </c>
      <c r="R58" s="45" t="s">
        <v>208</v>
      </c>
      <c r="S58" s="1" t="s">
        <v>138</v>
      </c>
    </row>
    <row r="59" customFormat="false" ht="15" hidden="false" customHeight="false" outlineLevel="0" collapsed="false">
      <c r="C59" s="1" t="s">
        <v>189</v>
      </c>
      <c r="F59" s="32"/>
      <c r="G59" s="32" t="n">
        <v>0</v>
      </c>
      <c r="H59" s="32" t="n">
        <v>0</v>
      </c>
      <c r="I59" s="32" t="n">
        <v>0</v>
      </c>
      <c r="J59" s="32" t="str">
        <f aca="false">CONCATENATE(G59,H59,I59)</f>
        <v>000</v>
      </c>
      <c r="K59" s="61" t="s">
        <v>250</v>
      </c>
      <c r="L59" s="32" t="n">
        <v>1</v>
      </c>
      <c r="N59" s="45"/>
      <c r="P59" s="45" t="s">
        <v>146</v>
      </c>
      <c r="Q59" s="1" t="s">
        <v>146</v>
      </c>
      <c r="R59" s="45" t="s">
        <v>146</v>
      </c>
      <c r="S59" s="1" t="s">
        <v>251</v>
      </c>
    </row>
    <row r="60" customFormat="false" ht="15" hidden="false" customHeight="false" outlineLevel="0" collapsed="false">
      <c r="C60" s="1" t="s">
        <v>252</v>
      </c>
      <c r="F60" s="32"/>
      <c r="G60" s="32" t="n">
        <v>0</v>
      </c>
      <c r="H60" s="32" t="n">
        <v>0</v>
      </c>
      <c r="I60" s="32" t="n">
        <v>1</v>
      </c>
      <c r="J60" s="32" t="str">
        <f aca="false">CONCATENATE(G60,H60,I60)</f>
        <v>001</v>
      </c>
      <c r="K60" s="61" t="s">
        <v>253</v>
      </c>
      <c r="L60" s="32" t="n">
        <v>1</v>
      </c>
      <c r="N60" s="45"/>
      <c r="P60" s="45" t="s">
        <v>125</v>
      </c>
      <c r="Q60" s="1" t="s">
        <v>125</v>
      </c>
      <c r="R60" s="45" t="s">
        <v>125</v>
      </c>
      <c r="S60" s="2" t="s">
        <v>254</v>
      </c>
    </row>
    <row r="61" customFormat="false" ht="15" hidden="false" customHeight="false" outlineLevel="0" collapsed="false">
      <c r="C61" s="1" t="s">
        <v>255</v>
      </c>
      <c r="F61" s="32"/>
      <c r="G61" s="32" t="n">
        <v>0</v>
      </c>
      <c r="H61" s="32" t="n">
        <v>0</v>
      </c>
      <c r="I61" s="32" t="n">
        <v>2</v>
      </c>
      <c r="J61" s="32" t="str">
        <f aca="false">CONCATENATE(G61,H61,I61)</f>
        <v>002</v>
      </c>
      <c r="K61" s="61" t="s">
        <v>256</v>
      </c>
      <c r="L61" s="32" t="n">
        <v>1</v>
      </c>
      <c r="N61" s="45"/>
      <c r="P61" s="45" t="s">
        <v>156</v>
      </c>
      <c r="Q61" s="1" t="s">
        <v>156</v>
      </c>
      <c r="R61" s="45" t="s">
        <v>156</v>
      </c>
      <c r="S61" s="1" t="s">
        <v>147</v>
      </c>
    </row>
    <row r="62" customFormat="false" ht="15" hidden="false" customHeight="false" outlineLevel="0" collapsed="false">
      <c r="C62" s="1" t="s">
        <v>192</v>
      </c>
      <c r="F62" s="32"/>
      <c r="G62" s="32" t="n">
        <v>0</v>
      </c>
      <c r="H62" s="32" t="n">
        <v>1</v>
      </c>
      <c r="I62" s="32" t="n">
        <v>0</v>
      </c>
      <c r="J62" s="32" t="str">
        <f aca="false">CONCATENATE(G62,H62,I62)</f>
        <v>010</v>
      </c>
      <c r="K62" s="61" t="s">
        <v>257</v>
      </c>
      <c r="L62" s="32" t="n">
        <v>1</v>
      </c>
      <c r="N62" s="45"/>
      <c r="P62" s="45" t="s">
        <v>142</v>
      </c>
      <c r="Q62" s="1" t="s">
        <v>142</v>
      </c>
      <c r="R62" s="45" t="s">
        <v>142</v>
      </c>
      <c r="S62" s="1" t="s">
        <v>152</v>
      </c>
    </row>
    <row r="63" customFormat="false" ht="15" hidden="false" customHeight="false" outlineLevel="0" collapsed="false">
      <c r="C63" s="1" t="s">
        <v>258</v>
      </c>
      <c r="F63" s="32"/>
      <c r="G63" s="32" t="n">
        <v>0</v>
      </c>
      <c r="H63" s="32" t="n">
        <v>1</v>
      </c>
      <c r="I63" s="32" t="n">
        <v>1</v>
      </c>
      <c r="J63" s="32" t="str">
        <f aca="false">CONCATENATE(G63,H63,I63)</f>
        <v>011</v>
      </c>
      <c r="K63" s="61" t="s">
        <v>259</v>
      </c>
      <c r="L63" s="32" t="n">
        <v>1</v>
      </c>
      <c r="N63" s="45"/>
      <c r="P63" s="45" t="s">
        <v>162</v>
      </c>
      <c r="Q63" s="1" t="s">
        <v>162</v>
      </c>
      <c r="R63" s="45" t="s">
        <v>162</v>
      </c>
    </row>
    <row r="64" customFormat="false" ht="15" hidden="false" customHeight="false" outlineLevel="0" collapsed="false">
      <c r="C64" s="1" t="s">
        <v>260</v>
      </c>
      <c r="F64" s="32"/>
      <c r="G64" s="32" t="n">
        <v>0</v>
      </c>
      <c r="H64" s="32" t="n">
        <v>1</v>
      </c>
      <c r="I64" s="32" t="n">
        <v>2</v>
      </c>
      <c r="J64" s="32" t="str">
        <f aca="false">CONCATENATE(G64,H64,I64)</f>
        <v>012</v>
      </c>
      <c r="K64" s="61" t="s">
        <v>261</v>
      </c>
      <c r="L64" s="32" t="n">
        <v>1</v>
      </c>
      <c r="N64" s="45"/>
      <c r="P64" s="45" t="s">
        <v>172</v>
      </c>
      <c r="Q64" s="1" t="s">
        <v>172</v>
      </c>
      <c r="R64" s="45" t="s">
        <v>172</v>
      </c>
    </row>
    <row r="65" customFormat="false" ht="15" hidden="false" customHeight="false" outlineLevel="0" collapsed="false">
      <c r="C65" s="1" t="s">
        <v>262</v>
      </c>
      <c r="F65" s="32"/>
      <c r="G65" s="32" t="n">
        <v>0</v>
      </c>
      <c r="H65" s="32" t="n">
        <v>2</v>
      </c>
      <c r="I65" s="32" t="n">
        <v>0</v>
      </c>
      <c r="J65" s="32" t="str">
        <f aca="false">CONCATENATE(G65,H65,I65)</f>
        <v>020</v>
      </c>
      <c r="K65" s="61" t="s">
        <v>263</v>
      </c>
      <c r="L65" s="32" t="n">
        <v>1</v>
      </c>
    </row>
    <row r="66" customFormat="false" ht="15" hidden="false" customHeight="false" outlineLevel="0" collapsed="false">
      <c r="C66" s="1" t="s">
        <v>264</v>
      </c>
      <c r="F66" s="32"/>
      <c r="G66" s="32" t="n">
        <v>0</v>
      </c>
      <c r="H66" s="32" t="n">
        <v>2</v>
      </c>
      <c r="I66" s="32" t="n">
        <v>1</v>
      </c>
      <c r="J66" s="32" t="str">
        <f aca="false">CONCATENATE(G66,H66,I66)</f>
        <v>021</v>
      </c>
      <c r="K66" s="61" t="s">
        <v>265</v>
      </c>
      <c r="L66" s="32" t="n">
        <v>1</v>
      </c>
    </row>
    <row r="67" customFormat="false" ht="15" hidden="false" customHeight="true" outlineLevel="0" collapsed="false">
      <c r="C67" s="1" t="s">
        <v>266</v>
      </c>
      <c r="F67" s="32"/>
      <c r="G67" s="32" t="n">
        <v>0</v>
      </c>
      <c r="H67" s="32" t="n">
        <v>2</v>
      </c>
      <c r="I67" s="32" t="n">
        <v>2</v>
      </c>
      <c r="J67" s="32" t="str">
        <f aca="false">CONCATENATE(G67,H67,I67)</f>
        <v>022</v>
      </c>
      <c r="K67" s="61" t="s">
        <v>267</v>
      </c>
      <c r="L67" s="32" t="n">
        <v>1</v>
      </c>
    </row>
    <row r="68" customFormat="false" ht="15" hidden="false" customHeight="true" outlineLevel="0" collapsed="false">
      <c r="C68" s="1" t="s">
        <v>268</v>
      </c>
      <c r="F68" s="32"/>
      <c r="G68" s="32" t="n">
        <v>1</v>
      </c>
      <c r="H68" s="32" t="n">
        <v>0</v>
      </c>
      <c r="I68" s="32" t="n">
        <v>0</v>
      </c>
      <c r="J68" s="32" t="str">
        <f aca="false">CONCATENATE(G68,H68,I68)</f>
        <v>100</v>
      </c>
      <c r="K68" s="73" t="s">
        <v>269</v>
      </c>
      <c r="L68" s="32" t="n">
        <v>1</v>
      </c>
    </row>
    <row r="69" customFormat="false" ht="15" hidden="false" customHeight="true" outlineLevel="0" collapsed="false">
      <c r="C69" s="1" t="s">
        <v>270</v>
      </c>
      <c r="F69" s="32"/>
      <c r="G69" s="32" t="n">
        <v>1</v>
      </c>
      <c r="H69" s="32" t="n">
        <v>0</v>
      </c>
      <c r="I69" s="32" t="n">
        <v>1</v>
      </c>
      <c r="J69" s="32" t="str">
        <f aca="false">CONCATENATE(G69,H69,I69)</f>
        <v>101</v>
      </c>
      <c r="K69" s="73" t="s">
        <v>271</v>
      </c>
      <c r="L69" s="32" t="n">
        <v>1</v>
      </c>
    </row>
    <row r="70" customFormat="false" ht="15" hidden="false" customHeight="true" outlineLevel="0" collapsed="false">
      <c r="C70" s="1" t="s">
        <v>272</v>
      </c>
      <c r="F70" s="32"/>
      <c r="G70" s="32" t="n">
        <v>1</v>
      </c>
      <c r="H70" s="32" t="n">
        <v>0</v>
      </c>
      <c r="I70" s="32" t="n">
        <v>2</v>
      </c>
      <c r="J70" s="32" t="str">
        <f aca="false">CONCATENATE(G70,H70,I70)</f>
        <v>102</v>
      </c>
      <c r="K70" s="73" t="s">
        <v>273</v>
      </c>
      <c r="L70" s="32" t="n">
        <v>1</v>
      </c>
    </row>
    <row r="71" customFormat="false" ht="15" hidden="false" customHeight="true" outlineLevel="0" collapsed="false">
      <c r="C71" s="1" t="s">
        <v>274</v>
      </c>
      <c r="F71" s="32"/>
      <c r="G71" s="32" t="n">
        <v>1</v>
      </c>
      <c r="H71" s="32" t="n">
        <v>1</v>
      </c>
      <c r="I71" s="32" t="n">
        <v>0</v>
      </c>
      <c r="J71" s="32" t="str">
        <f aca="false">CONCATENATE(G71,H71,I71)</f>
        <v>110</v>
      </c>
      <c r="K71" s="73" t="s">
        <v>275</v>
      </c>
      <c r="L71" s="32" t="n">
        <v>1</v>
      </c>
    </row>
    <row r="72" customFormat="false" ht="15" hidden="false" customHeight="true" outlineLevel="0" collapsed="false">
      <c r="C72" s="1" t="s">
        <v>276</v>
      </c>
      <c r="F72" s="32"/>
      <c r="G72" s="32" t="n">
        <v>1</v>
      </c>
      <c r="H72" s="32" t="n">
        <v>1</v>
      </c>
      <c r="I72" s="32" t="n">
        <v>1</v>
      </c>
      <c r="J72" s="32" t="str">
        <f aca="false">CONCATENATE(G72,H72,I72)</f>
        <v>111</v>
      </c>
      <c r="K72" s="73" t="s">
        <v>277</v>
      </c>
      <c r="L72" s="32" t="n">
        <v>1</v>
      </c>
    </row>
    <row r="73" customFormat="false" ht="15" hidden="false" customHeight="true" outlineLevel="0" collapsed="false">
      <c r="C73" s="1" t="s">
        <v>278</v>
      </c>
      <c r="F73" s="32"/>
      <c r="G73" s="32" t="n">
        <v>1</v>
      </c>
      <c r="H73" s="32" t="n">
        <v>1</v>
      </c>
      <c r="I73" s="32" t="n">
        <v>2</v>
      </c>
      <c r="J73" s="32" t="str">
        <f aca="false">CONCATENATE(G73,H73,I73)</f>
        <v>112</v>
      </c>
      <c r="K73" s="73" t="s">
        <v>279</v>
      </c>
      <c r="L73" s="32" t="n">
        <v>1</v>
      </c>
    </row>
    <row r="74" customFormat="false" ht="15" hidden="false" customHeight="true" outlineLevel="0" collapsed="false">
      <c r="G74" s="32" t="n">
        <v>1</v>
      </c>
      <c r="H74" s="32" t="n">
        <v>2</v>
      </c>
      <c r="I74" s="32" t="n">
        <v>0</v>
      </c>
      <c r="J74" s="32" t="str">
        <f aca="false">CONCATENATE(G74,H74,I74)</f>
        <v>120</v>
      </c>
      <c r="K74" s="73" t="s">
        <v>280</v>
      </c>
      <c r="L74" s="32" t="n">
        <v>1</v>
      </c>
    </row>
    <row r="75" customFormat="false" ht="15" hidden="false" customHeight="true" outlineLevel="0" collapsed="false">
      <c r="A75" s="1" t="s">
        <v>245</v>
      </c>
      <c r="G75" s="32" t="n">
        <v>1</v>
      </c>
      <c r="H75" s="32" t="n">
        <v>2</v>
      </c>
      <c r="I75" s="32" t="n">
        <v>1</v>
      </c>
      <c r="J75" s="32" t="str">
        <f aca="false">CONCATENATE(G75,H75,I75)</f>
        <v>121</v>
      </c>
      <c r="K75" s="73" t="s">
        <v>281</v>
      </c>
      <c r="L75" s="32" t="n">
        <v>1</v>
      </c>
    </row>
    <row r="76" customFormat="false" ht="15" hidden="false" customHeight="true" outlineLevel="0" collapsed="false">
      <c r="A76" s="30" t="s">
        <v>66</v>
      </c>
      <c r="G76" s="32" t="n">
        <v>1</v>
      </c>
      <c r="H76" s="32" t="n">
        <v>2</v>
      </c>
      <c r="I76" s="32" t="n">
        <v>2</v>
      </c>
      <c r="J76" s="32" t="str">
        <f aca="false">CONCATENATE(G76,H76,I76)</f>
        <v>122</v>
      </c>
      <c r="K76" s="73" t="s">
        <v>282</v>
      </c>
      <c r="L76" s="32" t="n">
        <v>1</v>
      </c>
    </row>
    <row r="77" customFormat="false" ht="15" hidden="false" customHeight="true" outlineLevel="0" collapsed="false">
      <c r="C77" s="39" t="s">
        <v>20</v>
      </c>
      <c r="D77" s="40" t="n">
        <v>0</v>
      </c>
      <c r="L77" s="32"/>
    </row>
    <row r="78" customFormat="false" ht="15" hidden="false" customHeight="true" outlineLevel="0" collapsed="false">
      <c r="C78" s="39" t="s">
        <v>189</v>
      </c>
      <c r="D78" s="40" t="n">
        <v>1</v>
      </c>
      <c r="J78" s="3" t="n">
        <v>2</v>
      </c>
      <c r="K78" s="1" t="s">
        <v>283</v>
      </c>
      <c r="L78" s="32" t="n">
        <v>1</v>
      </c>
    </row>
    <row r="79" customFormat="false" ht="15" hidden="false" customHeight="true" outlineLevel="0" collapsed="false">
      <c r="C79" s="39" t="s">
        <v>192</v>
      </c>
      <c r="D79" s="40" t="n">
        <v>2</v>
      </c>
      <c r="J79" s="3" t="n">
        <v>6</v>
      </c>
      <c r="K79" s="1" t="s">
        <v>284</v>
      </c>
      <c r="L79" s="32" t="n">
        <v>1</v>
      </c>
    </row>
    <row r="80" customFormat="false" ht="15" hidden="false" customHeight="true" outlineLevel="0" collapsed="false">
      <c r="C80" s="39" t="s">
        <v>196</v>
      </c>
      <c r="D80" s="40" t="n">
        <v>2</v>
      </c>
      <c r="J80" s="3" t="n">
        <v>7</v>
      </c>
      <c r="K80" s="1" t="s">
        <v>285</v>
      </c>
      <c r="L80" s="32" t="n">
        <v>1</v>
      </c>
    </row>
    <row r="81" customFormat="false" ht="15" hidden="false" customHeight="true" outlineLevel="0" collapsed="false">
      <c r="G81" s="40" t="s">
        <v>286</v>
      </c>
      <c r="H81" s="40" t="n">
        <v>1</v>
      </c>
      <c r="J81" s="3" t="n">
        <v>10</v>
      </c>
      <c r="K81" s="1" t="s">
        <v>287</v>
      </c>
      <c r="L81" s="32" t="n">
        <v>1</v>
      </c>
    </row>
    <row r="82" customFormat="false" ht="15" hidden="false" customHeight="true" outlineLevel="0" collapsed="false">
      <c r="A82" s="1" t="s">
        <v>23</v>
      </c>
      <c r="G82" s="40" t="s">
        <v>19</v>
      </c>
      <c r="H82" s="40" t="n">
        <v>0</v>
      </c>
      <c r="J82" s="3" t="n">
        <v>9</v>
      </c>
      <c r="K82" s="1" t="s">
        <v>288</v>
      </c>
      <c r="L82" s="32" t="n">
        <v>1</v>
      </c>
    </row>
    <row r="83" customFormat="false" ht="15" hidden="false" customHeight="true" outlineLevel="0" collapsed="false">
      <c r="A83" s="30" t="s">
        <v>66</v>
      </c>
      <c r="G83" s="74" t="s">
        <v>6</v>
      </c>
      <c r="H83" s="74" t="n">
        <v>0</v>
      </c>
      <c r="J83" s="3" t="n">
        <v>11</v>
      </c>
      <c r="K83" s="1" t="s">
        <v>289</v>
      </c>
      <c r="L83" s="32" t="n">
        <v>1</v>
      </c>
    </row>
    <row r="84" customFormat="false" ht="15" hidden="false" customHeight="true" outlineLevel="0" collapsed="false">
      <c r="C84" s="39" t="s">
        <v>24</v>
      </c>
      <c r="D84" s="40" t="n">
        <v>0</v>
      </c>
      <c r="G84" s="40" t="s">
        <v>21</v>
      </c>
      <c r="H84" s="40" t="n">
        <v>1</v>
      </c>
      <c r="J84" s="3" t="n">
        <v>0</v>
      </c>
      <c r="K84" s="1" t="s">
        <v>290</v>
      </c>
      <c r="L84" s="32" t="n">
        <v>1</v>
      </c>
    </row>
    <row r="85" customFormat="false" ht="15" hidden="false" customHeight="true" outlineLevel="0" collapsed="false">
      <c r="C85" s="39" t="s">
        <v>291</v>
      </c>
      <c r="D85" s="40" t="n">
        <v>1</v>
      </c>
      <c r="G85" s="40" t="s">
        <v>292</v>
      </c>
      <c r="H85" s="40" t="n">
        <v>0</v>
      </c>
      <c r="J85" s="3" t="n">
        <v>3</v>
      </c>
      <c r="K85" s="1" t="s">
        <v>293</v>
      </c>
      <c r="L85" s="32" t="n">
        <v>1</v>
      </c>
    </row>
    <row r="86" customFormat="false" ht="15" hidden="false" customHeight="true" outlineLevel="0" collapsed="false">
      <c r="J86" s="3" t="n">
        <v>5</v>
      </c>
      <c r="K86" s="1" t="s">
        <v>294</v>
      </c>
      <c r="L86" s="32" t="n">
        <v>1</v>
      </c>
    </row>
    <row r="87" customFormat="false" ht="15" hidden="false" customHeight="true" outlineLevel="0" collapsed="false">
      <c r="J87" s="3" t="n">
        <v>4</v>
      </c>
      <c r="K87" s="1" t="s">
        <v>295</v>
      </c>
      <c r="L87" s="32" t="n">
        <v>1</v>
      </c>
    </row>
    <row r="88" customFormat="false" ht="15" hidden="false" customHeight="true" outlineLevel="0" collapsed="false">
      <c r="J88" s="3" t="n">
        <v>1</v>
      </c>
      <c r="K88" s="1" t="s">
        <v>296</v>
      </c>
      <c r="L88" s="32" t="n">
        <v>1</v>
      </c>
    </row>
    <row r="89" customFormat="false" ht="15" hidden="false" customHeight="true" outlineLevel="0" collapsed="false">
      <c r="J89" s="3" t="n">
        <v>8</v>
      </c>
      <c r="K89" s="1" t="s">
        <v>297</v>
      </c>
      <c r="L89" s="32" t="n">
        <v>1</v>
      </c>
    </row>
    <row r="90" customFormat="false" ht="15" hidden="false" customHeight="true" outlineLevel="0" collapsed="false"/>
    <row r="91" customFormat="false" ht="15" hidden="false" customHeight="true" outlineLevel="0" collapsed="false">
      <c r="D91" s="32"/>
      <c r="E91" s="75"/>
      <c r="F91" s="75"/>
      <c r="K91" s="1" t="s">
        <v>298</v>
      </c>
      <c r="L91" s="32" t="n">
        <v>1</v>
      </c>
    </row>
    <row r="92" customFormat="false" ht="15" hidden="false" customHeight="true" outlineLevel="0" collapsed="false">
      <c r="D92" s="32"/>
      <c r="E92" s="75"/>
      <c r="F92" s="75"/>
      <c r="K92" s="1" t="s">
        <v>299</v>
      </c>
      <c r="L92" s="32" t="n">
        <v>1</v>
      </c>
    </row>
    <row r="93" customFormat="false" ht="15" hidden="false" customHeight="true" outlineLevel="0" collapsed="false">
      <c r="D93" s="32"/>
      <c r="E93" s="75"/>
      <c r="F93" s="75"/>
      <c r="K93" s="1" t="s">
        <v>300</v>
      </c>
      <c r="L93" s="32" t="n">
        <v>1</v>
      </c>
    </row>
    <row r="94" customFormat="false" ht="15" hidden="false" customHeight="true" outlineLevel="0" collapsed="false">
      <c r="D94" s="32"/>
      <c r="E94" s="75"/>
      <c r="F94" s="75"/>
      <c r="G94" s="75"/>
      <c r="H94" s="75"/>
      <c r="I94" s="75"/>
      <c r="K94" s="1" t="s">
        <v>301</v>
      </c>
      <c r="L94" s="32" t="n">
        <v>1</v>
      </c>
    </row>
    <row r="95" customFormat="false" ht="15" hidden="false" customHeight="true" outlineLevel="0" collapsed="false">
      <c r="D95" s="32"/>
      <c r="E95" s="75"/>
      <c r="F95" s="75"/>
      <c r="G95" s="75"/>
      <c r="H95" s="75"/>
      <c r="I95" s="75"/>
      <c r="K95" s="1" t="s">
        <v>302</v>
      </c>
      <c r="L95" s="32" t="n">
        <v>1</v>
      </c>
    </row>
    <row r="96" customFormat="false" ht="15" hidden="false" customHeight="true" outlineLevel="0" collapsed="false">
      <c r="D96" s="32"/>
      <c r="E96" s="75"/>
      <c r="F96" s="75"/>
      <c r="G96" s="75"/>
      <c r="H96" s="75"/>
      <c r="I96" s="75"/>
      <c r="K96" s="1" t="s">
        <v>303</v>
      </c>
      <c r="L96" s="32" t="n">
        <v>1</v>
      </c>
    </row>
    <row r="97" customFormat="false" ht="15" hidden="false" customHeight="true" outlineLevel="0" collapsed="false">
      <c r="D97" s="32"/>
      <c r="E97" s="75"/>
      <c r="F97" s="75"/>
      <c r="G97" s="75"/>
      <c r="H97" s="75"/>
      <c r="I97" s="75"/>
      <c r="K97" s="1" t="s">
        <v>304</v>
      </c>
      <c r="L97" s="32" t="n">
        <v>1</v>
      </c>
    </row>
    <row r="98" customFormat="false" ht="15" hidden="false" customHeight="true" outlineLevel="0" collapsed="false">
      <c r="D98" s="32"/>
      <c r="E98" s="75"/>
      <c r="F98" s="75"/>
      <c r="G98" s="75"/>
      <c r="H98" s="75"/>
      <c r="I98" s="75"/>
      <c r="K98" s="1" t="s">
        <v>305</v>
      </c>
      <c r="L98" s="32" t="n">
        <v>1</v>
      </c>
    </row>
    <row r="99" customFormat="false" ht="15" hidden="false" customHeight="true" outlineLevel="0" collapsed="false">
      <c r="D99" s="32"/>
      <c r="E99" s="75"/>
      <c r="F99" s="75"/>
      <c r="G99" s="75"/>
      <c r="H99" s="75"/>
      <c r="I99" s="75"/>
    </row>
    <row r="100" customFormat="false" ht="15" hidden="false" customHeight="true" outlineLevel="0" collapsed="false">
      <c r="F100" s="76"/>
    </row>
    <row r="101" customFormat="false" ht="15" hidden="false" customHeight="true" outlineLevel="0" collapsed="false">
      <c r="F101" s="76"/>
    </row>
    <row r="102" customFormat="false" ht="15" hidden="false" customHeight="true" outlineLevel="0" collapsed="false">
      <c r="F102" s="76"/>
    </row>
    <row r="103" customFormat="false" ht="15" hidden="false" customHeight="true" outlineLevel="0" collapsed="false">
      <c r="F103" s="60"/>
    </row>
    <row r="104" customFormat="false" ht="15" hidden="false" customHeight="true" outlineLevel="0" collapsed="false">
      <c r="F104" s="60"/>
    </row>
    <row r="105" customFormat="false" ht="15" hidden="false" customHeight="true" outlineLevel="0" collapsed="false">
      <c r="F105" s="60"/>
    </row>
    <row r="106" customFormat="false" ht="15" hidden="false" customHeight="true" outlineLevel="0" collapsed="false">
      <c r="F106" s="60"/>
    </row>
    <row r="107" customFormat="false" ht="15" hidden="false" customHeight="true" outlineLevel="0" collapsed="false">
      <c r="F107" s="60"/>
    </row>
    <row r="108" customFormat="false" ht="15" hidden="false" customHeight="true" outlineLevel="0" collapsed="false">
      <c r="F108" s="60"/>
    </row>
    <row r="109" customFormat="false" ht="15" hidden="false" customHeight="true" outlineLevel="0" collapsed="false">
      <c r="F109" s="60"/>
    </row>
    <row r="110" customFormat="false" ht="15" hidden="false" customHeight="true" outlineLevel="0" collapsed="false">
      <c r="F110" s="60"/>
    </row>
    <row r="111" customFormat="false" ht="15" hidden="false" customHeight="true" outlineLevel="0" collapsed="false">
      <c r="F111" s="60"/>
    </row>
    <row r="112" customFormat="false" ht="15" hidden="false" customHeight="true" outlineLevel="0" collapsed="false">
      <c r="F112" s="60"/>
    </row>
    <row r="113" customFormat="false" ht="15" hidden="false" customHeight="true" outlineLevel="0" collapsed="false">
      <c r="F113" s="60"/>
    </row>
    <row r="114" customFormat="false" ht="15" hidden="false" customHeight="true" outlineLevel="0" collapsed="false">
      <c r="F114" s="60"/>
    </row>
    <row r="115" customFormat="false" ht="15" hidden="false" customHeight="true" outlineLevel="0" collapsed="false">
      <c r="F115" s="60"/>
    </row>
    <row r="116" customFormat="false" ht="15" hidden="false" customHeight="true" outlineLevel="0" collapsed="false">
      <c r="F116" s="60"/>
      <c r="O116" s="32"/>
    </row>
    <row r="117" customFormat="false" ht="15" hidden="false" customHeight="true" outlineLevel="0" collapsed="false">
      <c r="F117" s="60"/>
      <c r="O117" s="32"/>
    </row>
    <row r="118" customFormat="false" ht="15" hidden="false" customHeight="true" outlineLevel="0" collapsed="false">
      <c r="F118" s="60"/>
      <c r="O118" s="32"/>
    </row>
    <row r="119" customFormat="false" ht="15" hidden="false" customHeight="true" outlineLevel="0" collapsed="false">
      <c r="F119" s="60"/>
      <c r="O119" s="32"/>
    </row>
    <row r="120" customFormat="false" ht="15" hidden="false" customHeight="true" outlineLevel="0" collapsed="false">
      <c r="F120" s="60"/>
      <c r="O120" s="32"/>
    </row>
    <row r="121" customFormat="false" ht="15" hidden="false" customHeight="true" outlineLevel="0" collapsed="false">
      <c r="F121" s="60"/>
      <c r="O121" s="32"/>
    </row>
    <row r="122" customFormat="false" ht="15" hidden="false" customHeight="true" outlineLevel="0" collapsed="false">
      <c r="F122" s="60"/>
      <c r="O122" s="32"/>
    </row>
    <row r="123" customFormat="false" ht="15" hidden="false" customHeight="true" outlineLevel="0" collapsed="false">
      <c r="F123" s="60"/>
      <c r="O123" s="32"/>
    </row>
    <row r="124" customFormat="false" ht="15" hidden="false" customHeight="true" outlineLevel="0" collapsed="false">
      <c r="F124" s="60"/>
      <c r="O124" s="32"/>
    </row>
    <row r="125" customFormat="false" ht="15" hidden="false" customHeight="true" outlineLevel="0" collapsed="false">
      <c r="F125" s="60"/>
      <c r="O125" s="32"/>
    </row>
    <row r="126" customFormat="false" ht="15" hidden="false" customHeight="true" outlineLevel="0" collapsed="false">
      <c r="F126" s="60"/>
      <c r="O126" s="32"/>
    </row>
    <row r="127" customFormat="false" ht="15" hidden="false" customHeight="true" outlineLevel="0" collapsed="false">
      <c r="F127" s="60"/>
      <c r="O127" s="32"/>
    </row>
    <row r="128" customFormat="false" ht="15" hidden="false" customHeight="true" outlineLevel="0" collapsed="false">
      <c r="F128" s="60"/>
    </row>
    <row r="129" customFormat="false" ht="15" hidden="false" customHeight="true" outlineLevel="0" collapsed="false">
      <c r="F129" s="60"/>
    </row>
    <row r="130" customFormat="false" ht="15" hidden="false" customHeight="true" outlineLevel="0" collapsed="false">
      <c r="F130" s="60"/>
    </row>
    <row r="131" customFormat="false" ht="15" hidden="false" customHeight="true" outlineLevel="0" collapsed="false">
      <c r="F131" s="60"/>
    </row>
    <row r="132" customFormat="false" ht="15" hidden="false" customHeight="true" outlineLevel="0" collapsed="false">
      <c r="F132" s="60"/>
    </row>
    <row r="133" customFormat="false" ht="15" hidden="false" customHeight="true" outlineLevel="0" collapsed="false">
      <c r="F133" s="60"/>
    </row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</sheetData>
  <mergeCells count="6">
    <mergeCell ref="N1:S1"/>
    <mergeCell ref="V11:W11"/>
    <mergeCell ref="Y11:Z11"/>
    <mergeCell ref="A24:A25"/>
    <mergeCell ref="B24:B25"/>
    <mergeCell ref="A27:A31"/>
  </mergeCells>
  <dataValidations count="1">
    <dataValidation allowBlank="false" errorStyle="stop" operator="between" showDropDown="false" showErrorMessage="true" showInputMessage="true" sqref="X42" type="list">
      <formula1>"Config!C2,Config!C3,Config!C4,Config!C5,Config!C6"</formula1>
      <formula2>0</formula2>
    </dataValidation>
  </dataValidations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ColWidth="13.2109375" defaultRowHeight="15" zeroHeight="false" outlineLevelRow="0" outlineLevelCol="0"/>
  <cols>
    <col collapsed="false" customWidth="true" hidden="false" outlineLevel="0" max="1" min="1" style="1" width="6.78"/>
    <col collapsed="false" customWidth="true" hidden="false" outlineLevel="0" max="2" min="2" style="1" width="35.21"/>
    <col collapsed="false" customWidth="true" hidden="false" outlineLevel="0" max="3" min="3" style="1" width="10.09"/>
    <col collapsed="false" customWidth="true" hidden="false" outlineLevel="0" max="4" min="4" style="1" width="6.32"/>
    <col collapsed="false" customWidth="false" hidden="false" outlineLevel="0" max="16384" min="5" style="1" width="13.21"/>
  </cols>
  <sheetData>
    <row r="1" customFormat="false" ht="15" hidden="false" customHeight="false" outlineLevel="0" collapsed="false">
      <c r="A1" s="77" t="s">
        <v>306</v>
      </c>
      <c r="B1" s="77" t="s">
        <v>307</v>
      </c>
      <c r="C1" s="77" t="s">
        <v>308</v>
      </c>
    </row>
    <row r="2" customFormat="false" ht="15" hidden="false" customHeight="false" outlineLevel="0" collapsed="false">
      <c r="A2" s="78" t="s">
        <v>309</v>
      </c>
      <c r="B2" s="78" t="s">
        <v>310</v>
      </c>
      <c r="C2" s="79" t="n">
        <v>20</v>
      </c>
      <c r="D2" s="79" t="n">
        <v>20</v>
      </c>
    </row>
    <row r="3" customFormat="false" ht="22.05" hidden="false" customHeight="false" outlineLevel="0" collapsed="false">
      <c r="A3" s="80" t="s">
        <v>311</v>
      </c>
      <c r="B3" s="80" t="s">
        <v>312</v>
      </c>
      <c r="C3" s="81" t="n">
        <v>24</v>
      </c>
      <c r="D3" s="81" t="n">
        <v>24</v>
      </c>
    </row>
    <row r="4" customFormat="false" ht="17.35" hidden="false" customHeight="false" outlineLevel="0" collapsed="false">
      <c r="A4" s="1" t="s">
        <v>313</v>
      </c>
      <c r="B4" s="1" t="s">
        <v>314</v>
      </c>
      <c r="C4" s="3" t="n">
        <v>24</v>
      </c>
      <c r="D4" s="3" t="n">
        <v>28</v>
      </c>
    </row>
    <row r="5" customFormat="false" ht="17.35" hidden="false" customHeight="false" outlineLevel="0" collapsed="false">
      <c r="A5" s="1" t="s">
        <v>315</v>
      </c>
      <c r="B5" s="1" t="s">
        <v>316</v>
      </c>
      <c r="C5" s="3" t="n">
        <v>20</v>
      </c>
      <c r="D5" s="3" t="n">
        <v>20</v>
      </c>
    </row>
    <row r="6" customFormat="false" ht="15" hidden="false" customHeight="false" outlineLevel="0" collapsed="false">
      <c r="A6" s="82" t="s">
        <v>317</v>
      </c>
      <c r="B6" s="82" t="s">
        <v>317</v>
      </c>
      <c r="C6" s="83" t="n">
        <v>24</v>
      </c>
      <c r="D6" s="83" t="n">
        <v>24</v>
      </c>
    </row>
    <row r="7" customFormat="false" ht="17.35" hidden="false" customHeight="false" outlineLevel="0" collapsed="false">
      <c r="A7" s="1" t="s">
        <v>318</v>
      </c>
      <c r="B7" s="1" t="s">
        <v>319</v>
      </c>
      <c r="C7" s="3" t="n">
        <v>24</v>
      </c>
      <c r="D7" s="3" t="n">
        <v>28</v>
      </c>
    </row>
    <row r="8" customFormat="false" ht="17.35" hidden="false" customHeight="false" outlineLevel="0" collapsed="false">
      <c r="A8" s="1" t="s">
        <v>320</v>
      </c>
      <c r="B8" s="1" t="s">
        <v>321</v>
      </c>
      <c r="C8" s="3" t="n">
        <v>24</v>
      </c>
      <c r="D8" s="3" t="n">
        <v>28</v>
      </c>
    </row>
    <row r="9" customFormat="false" ht="17.35" hidden="false" customHeight="false" outlineLevel="0" collapsed="false">
      <c r="A9" s="1" t="s">
        <v>322</v>
      </c>
      <c r="B9" s="1" t="s">
        <v>323</v>
      </c>
      <c r="C9" s="3" t="n">
        <v>24</v>
      </c>
      <c r="D9" s="3" t="n">
        <v>28</v>
      </c>
    </row>
    <row r="10" customFormat="false" ht="17.35" hidden="false" customHeight="false" outlineLevel="0" collapsed="false">
      <c r="A10" s="1" t="s">
        <v>324</v>
      </c>
      <c r="B10" s="1" t="s">
        <v>325</v>
      </c>
      <c r="C10" s="3" t="n">
        <v>24</v>
      </c>
      <c r="D10" s="3" t="n">
        <v>28</v>
      </c>
    </row>
    <row r="11" customFormat="false" ht="17.35" hidden="false" customHeight="false" outlineLevel="0" collapsed="false">
      <c r="A11" s="1" t="s">
        <v>326</v>
      </c>
      <c r="B11" s="1" t="s">
        <v>327</v>
      </c>
      <c r="C11" s="3" t="n">
        <v>24</v>
      </c>
      <c r="D11" s="3" t="n">
        <v>28</v>
      </c>
    </row>
    <row r="12" customFormat="false" ht="17.35" hidden="false" customHeight="false" outlineLevel="0" collapsed="false">
      <c r="A12" s="84" t="s">
        <v>328</v>
      </c>
      <c r="B12" s="84" t="s">
        <v>329</v>
      </c>
      <c r="C12" s="85" t="n">
        <v>24</v>
      </c>
      <c r="D12" s="85" t="n">
        <v>24</v>
      </c>
    </row>
    <row r="13" customFormat="false" ht="17.35" hidden="false" customHeight="false" outlineLevel="0" collapsed="false">
      <c r="A13" s="86" t="s">
        <v>330</v>
      </c>
      <c r="B13" s="86" t="s">
        <v>331</v>
      </c>
      <c r="C13" s="87" t="n">
        <v>24</v>
      </c>
      <c r="D13" s="87" t="n">
        <v>24</v>
      </c>
    </row>
    <row r="14" customFormat="false" ht="15" hidden="false" customHeight="false" outlineLevel="0" collapsed="false">
      <c r="A14" s="88" t="s">
        <v>332</v>
      </c>
      <c r="B14" s="88" t="s">
        <v>333</v>
      </c>
      <c r="C14" s="89" t="n">
        <v>24</v>
      </c>
      <c r="D14" s="89" t="n">
        <v>24</v>
      </c>
    </row>
    <row r="15" customFormat="false" ht="15" hidden="false" customHeight="false" outlineLevel="0" collapsed="false">
      <c r="A15" s="90" t="s">
        <v>334</v>
      </c>
      <c r="B15" s="90" t="s">
        <v>335</v>
      </c>
      <c r="C15" s="91" t="n">
        <v>24</v>
      </c>
      <c r="D15" s="91" t="n">
        <v>24</v>
      </c>
    </row>
    <row r="16" customFormat="false" ht="15" hidden="false" customHeight="false" outlineLevel="0" collapsed="false">
      <c r="A16" s="1" t="s">
        <v>336</v>
      </c>
      <c r="B16" s="1" t="s">
        <v>337</v>
      </c>
      <c r="C16" s="3" t="n">
        <v>24</v>
      </c>
      <c r="D16" s="3" t="n">
        <v>28</v>
      </c>
    </row>
    <row r="17" customFormat="false" ht="15" hidden="false" customHeight="false" outlineLevel="0" collapsed="false">
      <c r="A17" s="1" t="s">
        <v>338</v>
      </c>
      <c r="B17" s="1" t="s">
        <v>339</v>
      </c>
      <c r="C17" s="3" t="n">
        <v>24</v>
      </c>
      <c r="D17" s="3" t="n">
        <v>28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2023-12-26T22:18:00Z</dcterms:created>
  <dc:creator/>
  <dc:description/>
  <dc:language>en-US</dc:language>
  <cp:lastModifiedBy/>
  <dcterms:modified xsi:type="dcterms:W3CDTF">2024-02-29T00:56:45Z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