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Общо" sheetId="1" state="visible" r:id="rId3"/>
    <sheet name="Разчети междини март" sheetId="2" state="visible" r:id="rId4"/>
    <sheet name="Разчети междини януари" sheetId="3" state="visible" r:id="rId5"/>
    <sheet name="Разчети междини Ноември" sheetId="4" state="visible" r:id="rId6"/>
    <sheet name="Разчети Тристаен" sheetId="5" state="visible" r:id="rId7"/>
    <sheet name="Общи Ноември" sheetId="6" state="visible" r:id="rId8"/>
    <sheet name="Разчети междинни " sheetId="7" state="visible" r:id="rId9"/>
    <sheet name="Разходи Ремарке-Кола" sheetId="8" state="visible" r:id="rId10"/>
    <sheet name="Плочки" sheetId="9" state="visible" r:id="rId11"/>
    <sheet name="Гипсокартон" sheetId="10" state="visible" r:id="rId12"/>
    <sheet name="Лист8" sheetId="11" state="visible" r:id="rId13"/>
    <sheet name="Кухня 2 " sheetId="12" state="visible" r:id="rId14"/>
    <sheet name="Кухня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E15" authorId="0">
      <text>
        <r>
          <rPr>
            <sz val="10"/>
            <rFont val="Arial"/>
            <family val="2"/>
            <charset val="204"/>
          </rPr>
          <t xml:space="preserve">Похарчени 213</t>
        </r>
      </text>
    </comment>
    <comment ref="F13" authorId="0">
      <text>
        <r>
          <rPr>
            <sz val="10"/>
            <rFont val="Arial"/>
            <family val="2"/>
            <charset val="204"/>
          </rPr>
          <t xml:space="preserve">Похарчени 690лв
</t>
        </r>
      </text>
    </comment>
    <comment ref="G2" authorId="0">
      <text>
        <r>
          <rPr>
            <sz val="10"/>
            <rFont val="Arial"/>
            <family val="2"/>
            <charset val="204"/>
          </rPr>
          <t xml:space="preserve">Разполагаемост
(първоначална)</t>
        </r>
      </text>
    </comment>
    <comment ref="G52" authorId="0">
      <text>
        <r>
          <rPr>
            <sz val="10"/>
            <rFont val="Arial"/>
            <family val="2"/>
            <charset val="204"/>
          </rPr>
          <t xml:space="preserve">Килим детска
Количка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A3" authorId="0">
      <text>
        <r>
          <rPr>
            <sz val="10"/>
            <rFont val="Arial"/>
            <family val="2"/>
            <charset val="204"/>
          </rPr>
          <t xml:space="preserve">10см</t>
        </r>
      </text>
    </comment>
    <comment ref="A49" authorId="0">
      <text>
        <r>
          <rPr>
            <sz val="10"/>
            <rFont val="Arial"/>
            <family val="2"/>
            <charset val="204"/>
          </rPr>
          <t xml:space="preserve">Няма значение подредбата</t>
        </r>
      </text>
    </comment>
    <comment ref="B5" authorId="0">
      <text>
        <r>
          <rPr>
            <sz val="10"/>
            <rFont val="Arial"/>
            <family val="2"/>
            <charset val="204"/>
          </rPr>
          <t xml:space="preserve">CD 4m</t>
        </r>
      </text>
    </comment>
    <comment ref="B6" authorId="0">
      <text>
        <r>
          <rPr>
            <sz val="10"/>
            <rFont val="Arial"/>
            <family val="2"/>
            <charset val="204"/>
          </rPr>
          <t xml:space="preserve">CD 3m</t>
        </r>
      </text>
    </comment>
    <comment ref="B8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9,79</t>
        </r>
      </text>
    </comment>
    <comment ref="B9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11" authorId="0">
      <text>
        <r>
          <rPr>
            <sz val="10"/>
            <rFont val="Arial"/>
            <family val="2"/>
            <charset val="204"/>
          </rPr>
          <t xml:space="preserve">CD 4m</t>
        </r>
      </text>
    </comment>
    <comment ref="B12" authorId="0">
      <text>
        <r>
          <rPr>
            <sz val="10"/>
            <rFont val="Arial"/>
            <family val="2"/>
            <charset val="204"/>
          </rPr>
          <t xml:space="preserve">CD 3m</t>
        </r>
      </text>
    </comment>
    <comment ref="B24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9,79</t>
        </r>
      </text>
    </comment>
    <comment ref="B39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9,79</t>
        </r>
      </text>
    </comment>
    <comment ref="B54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55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56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69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70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71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84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85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B86" authorId="0">
      <text>
        <r>
          <rPr>
            <sz val="10"/>
            <rFont val="Arial"/>
            <family val="2"/>
            <charset val="204"/>
          </rPr>
          <t xml:space="preserve">Матерхаус:
</t>
        </r>
        <r>
          <rPr>
            <sz val="10"/>
            <color rgb="FF0000FF"/>
            <rFont val="Arial"/>
            <family val="2"/>
            <charset val="204"/>
          </rPr>
          <t xml:space="preserve">7,29</t>
        </r>
      </text>
    </comment>
    <comment ref="D8" authorId="0">
      <text>
        <r>
          <rPr>
            <sz val="10"/>
            <rFont val="Arial"/>
            <family val="2"/>
            <charset val="204"/>
          </rPr>
          <t xml:space="preserve">Мастерхаус:
</t>
        </r>
        <r>
          <rPr>
            <sz val="10"/>
            <color rgb="FF0000FF"/>
            <rFont val="Arial"/>
            <family val="2"/>
            <charset val="204"/>
          </rPr>
          <t xml:space="preserve">0,32</t>
        </r>
      </text>
    </comment>
    <comment ref="D24" authorId="0">
      <text>
        <r>
          <rPr>
            <sz val="10"/>
            <rFont val="Arial"/>
            <family val="2"/>
            <charset val="204"/>
          </rPr>
          <t xml:space="preserve">Мастерхаус:
</t>
        </r>
        <r>
          <rPr>
            <sz val="10"/>
            <color rgb="FF0000FF"/>
            <rFont val="Arial"/>
            <family val="2"/>
            <charset val="204"/>
          </rPr>
          <t xml:space="preserve">0,32</t>
        </r>
      </text>
    </comment>
    <comment ref="D39" authorId="0">
      <text>
        <r>
          <rPr>
            <sz val="10"/>
            <rFont val="Arial"/>
            <family val="2"/>
            <charset val="204"/>
          </rPr>
          <t xml:space="preserve">Мастерхаус:
</t>
        </r>
        <r>
          <rPr>
            <sz val="10"/>
            <color rgb="FF0000FF"/>
            <rFont val="Arial"/>
            <family val="2"/>
            <charset val="204"/>
          </rPr>
          <t xml:space="preserve">0,32</t>
        </r>
      </text>
    </comment>
    <comment ref="D54" authorId="0">
      <text>
        <r>
          <rPr>
            <sz val="10"/>
            <rFont val="Arial"/>
            <family val="2"/>
            <charset val="204"/>
          </rPr>
          <t xml:space="preserve">Мастерхаус:
</t>
        </r>
        <r>
          <rPr>
            <sz val="10"/>
            <color rgb="FF0000FF"/>
            <rFont val="Arial"/>
            <family val="2"/>
            <charset val="204"/>
          </rPr>
          <t xml:space="preserve">0,32</t>
        </r>
      </text>
    </comment>
    <comment ref="D69" authorId="0">
      <text>
        <r>
          <rPr>
            <sz val="10"/>
            <rFont val="Arial"/>
            <family val="2"/>
            <charset val="204"/>
          </rPr>
          <t xml:space="preserve">Мастерхаус:
</t>
        </r>
        <r>
          <rPr>
            <sz val="10"/>
            <color rgb="FF0000FF"/>
            <rFont val="Arial"/>
            <family val="2"/>
            <charset val="204"/>
          </rPr>
          <t xml:space="preserve">0,32</t>
        </r>
      </text>
    </comment>
    <comment ref="D84" authorId="0">
      <text>
        <r>
          <rPr>
            <sz val="10"/>
            <rFont val="Arial"/>
            <family val="2"/>
            <charset val="204"/>
          </rPr>
          <t xml:space="preserve">Мастерхаус:
</t>
        </r>
        <r>
          <rPr>
            <sz val="10"/>
            <color rgb="FF0000FF"/>
            <rFont val="Arial"/>
            <family val="2"/>
            <charset val="204"/>
          </rPr>
          <t xml:space="preserve">0,32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F61" authorId="0">
      <text>
        <r>
          <rPr>
            <sz val="10"/>
            <rFont val="Arial"/>
            <family val="2"/>
            <charset val="204"/>
          </rPr>
          <t xml:space="preserve">Недостиг
Гранитогрес кашон</t>
        </r>
      </text>
    </comment>
    <comment ref="Q19" authorId="0">
      <text>
        <r>
          <rPr>
            <sz val="10"/>
            <rFont val="Arial"/>
            <family val="2"/>
            <charset val="204"/>
          </rPr>
          <t xml:space="preserve">Остатък декор -брой плочки</t>
        </r>
      </text>
    </comment>
    <comment ref="Q20" authorId="0">
      <text>
        <r>
          <rPr>
            <sz val="10"/>
            <rFont val="Arial"/>
            <family val="2"/>
            <charset val="204"/>
          </rPr>
          <t xml:space="preserve">Остатък тъмни-брой плочки</t>
        </r>
      </text>
    </comment>
    <comment ref="Q29" authorId="0">
      <text>
        <r>
          <rPr>
            <sz val="10"/>
            <rFont val="Arial"/>
            <family val="2"/>
            <charset val="204"/>
          </rPr>
          <t xml:space="preserve">+ остък, брой
- недостиг, брой</t>
        </r>
      </text>
    </comment>
    <comment ref="Q31" authorId="0">
      <text>
        <r>
          <rPr>
            <sz val="10"/>
            <rFont val="Arial"/>
            <family val="2"/>
            <charset val="204"/>
          </rPr>
          <t xml:space="preserve">Недостиг с отчитане тъмни и декор</t>
        </r>
      </text>
    </comment>
    <comment ref="R31" authorId="0">
      <text>
        <r>
          <rPr>
            <sz val="10"/>
            <rFont val="Arial"/>
            <family val="2"/>
            <charset val="204"/>
          </rPr>
          <t xml:space="preserve">Недостиг, в кашони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D14" authorId="0">
      <text>
        <r>
          <rPr>
            <sz val="10"/>
            <rFont val="Arial"/>
            <family val="2"/>
            <charset val="204"/>
          </rPr>
          <t xml:space="preserve">Плочки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D14" authorId="0">
      <text>
        <r>
          <rPr>
            <sz val="10"/>
            <rFont val="Arial"/>
            <family val="2"/>
            <charset val="204"/>
          </rPr>
          <t xml:space="preserve">Плочки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D14" authorId="0">
      <text>
        <r>
          <rPr>
            <sz val="10"/>
            <rFont val="Arial"/>
            <family val="2"/>
            <charset val="204"/>
          </rPr>
          <t xml:space="preserve">Плочки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E15" authorId="0">
      <text>
        <r>
          <rPr>
            <sz val="10"/>
            <rFont val="Arial"/>
            <family val="2"/>
            <charset val="204"/>
          </rPr>
          <t xml:space="preserve">Похарчени 213</t>
        </r>
      </text>
    </comment>
    <comment ref="F13" authorId="0">
      <text>
        <r>
          <rPr>
            <sz val="10"/>
            <rFont val="Arial"/>
            <family val="2"/>
            <charset val="204"/>
          </rPr>
          <t xml:space="preserve">Похарчени 690лв
</t>
        </r>
      </text>
    </comment>
    <comment ref="G2" authorId="0">
      <text>
        <r>
          <rPr>
            <sz val="10"/>
            <rFont val="Arial"/>
            <family val="2"/>
            <charset val="204"/>
          </rPr>
          <t xml:space="preserve">Разполагаемост
(първоначална)</t>
        </r>
      </text>
    </comment>
    <comment ref="G52" authorId="0">
      <text>
        <r>
          <rPr>
            <sz val="10"/>
            <rFont val="Arial"/>
            <family val="2"/>
            <charset val="204"/>
          </rPr>
          <t xml:space="preserve">Килим детска
Количка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Неизвестен автор</author>
  </authors>
  <commentList>
    <comment ref="D4" authorId="0">
      <text>
        <r>
          <rPr>
            <sz val="10"/>
            <rFont val="Arial"/>
            <family val="2"/>
            <charset val="204"/>
          </rPr>
          <t xml:space="preserve">10кг
</t>
        </r>
      </text>
    </comment>
  </commentList>
</comments>
</file>

<file path=xl/sharedStrings.xml><?xml version="1.0" encoding="utf-8"?>
<sst xmlns="http://schemas.openxmlformats.org/spreadsheetml/2006/main" count="1063" uniqueCount="295">
  <si>
    <t xml:space="preserve">Единична цена</t>
  </si>
  <si>
    <t xml:space="preserve">Двустаен</t>
  </si>
  <si>
    <t xml:space="preserve">Тристаен</t>
  </si>
  <si>
    <t xml:space="preserve">Похарчени</t>
  </si>
  <si>
    <t xml:space="preserve">Остатък</t>
  </si>
  <si>
    <t xml:space="preserve">Най-евтино</t>
  </si>
  <si>
    <t xml:space="preserve">стандарт</t>
  </si>
  <si>
    <t xml:space="preserve">лукс</t>
  </si>
  <si>
    <t xml:space="preserve">Кухня</t>
  </si>
  <si>
    <t xml:space="preserve">Фурна</t>
  </si>
  <si>
    <t xml:space="preserve">Плот</t>
  </si>
  <si>
    <t xml:space="preserve">Аспиратор</t>
  </si>
  <si>
    <t xml:space="preserve">Съдомиялна</t>
  </si>
  <si>
    <t xml:space="preserve">Пералня</t>
  </si>
  <si>
    <t xml:space="preserve">Хладилник</t>
  </si>
  <si>
    <t xml:space="preserve">Климатик</t>
  </si>
  <si>
    <t xml:space="preserve">Врати</t>
  </si>
  <si>
    <t xml:space="preserve">Столове</t>
  </si>
  <si>
    <t xml:space="preserve">Маса</t>
  </si>
  <si>
    <t xml:space="preserve">Диван</t>
  </si>
  <si>
    <t xml:space="preserve">ТВ шкаф</t>
  </si>
  <si>
    <t xml:space="preserve">Бюро</t>
  </si>
  <si>
    <t xml:space="preserve">Плочки кухня</t>
  </si>
  <si>
    <t xml:space="preserve">Плочки коридор</t>
  </si>
  <si>
    <t xml:space="preserve">Ламинат</t>
  </si>
  <si>
    <t xml:space="preserve">Гардероб</t>
  </si>
  <si>
    <t xml:space="preserve">Матрак</t>
  </si>
  <si>
    <t xml:space="preserve">Рамка</t>
  </si>
  <si>
    <t xml:space="preserve">Легло 1</t>
  </si>
  <si>
    <t xml:space="preserve">Легло 2</t>
  </si>
  <si>
    <t xml:space="preserve">Рафт</t>
  </si>
  <si>
    <t xml:space="preserve">Матрак 1</t>
  </si>
  <si>
    <t xml:space="preserve">Чекмедже</t>
  </si>
  <si>
    <t xml:space="preserve">Матрак 2</t>
  </si>
  <si>
    <t xml:space="preserve">гранитогрес</t>
  </si>
  <si>
    <t xml:space="preserve">ламинат</t>
  </si>
  <si>
    <t xml:space="preserve">други</t>
  </si>
  <si>
    <t xml:space="preserve">Стени</t>
  </si>
  <si>
    <t xml:space="preserve">Бойлер</t>
  </si>
  <si>
    <t xml:space="preserve">Моноблок</t>
  </si>
  <si>
    <t xml:space="preserve">Мивка</t>
  </si>
  <si>
    <t xml:space="preserve">Смесител 1</t>
  </si>
  <si>
    <t xml:space="preserve">Смесител 2</t>
  </si>
  <si>
    <t xml:space="preserve">Огледало</t>
  </si>
  <si>
    <t xml:space="preserve">Осветлениие1</t>
  </si>
  <si>
    <t xml:space="preserve">Вентилация</t>
  </si>
  <si>
    <t xml:space="preserve">Фитинги</t>
  </si>
  <si>
    <t xml:space="preserve">Врата1</t>
  </si>
  <si>
    <t xml:space="preserve">Врата2</t>
  </si>
  <si>
    <t xml:space="preserve">Врата3</t>
  </si>
  <si>
    <t xml:space="preserve">Щори1</t>
  </si>
  <si>
    <t xml:space="preserve">Щори2</t>
  </si>
  <si>
    <t xml:space="preserve">Щори3</t>
  </si>
  <si>
    <t xml:space="preserve">Щори4</t>
  </si>
  <si>
    <t xml:space="preserve">Щори5</t>
  </si>
  <si>
    <t xml:space="preserve">Осветлениие2</t>
  </si>
  <si>
    <t xml:space="preserve">Осветлениие3</t>
  </si>
  <si>
    <t xml:space="preserve">Осветлениие4</t>
  </si>
  <si>
    <t xml:space="preserve">ДРУГИ!!!</t>
  </si>
  <si>
    <t xml:space="preserve">Покупко-продажба</t>
  </si>
  <si>
    <t xml:space="preserve">Ипотека</t>
  </si>
  <si>
    <t xml:space="preserve">правоъгълна маса</t>
  </si>
  <si>
    <t xml:space="preserve">кръгла маса</t>
  </si>
  <si>
    <t xml:space="preserve">Разход</t>
  </si>
  <si>
    <t xml:space="preserve">Налични</t>
  </si>
  <si>
    <t xml:space="preserve">Всекидневна</t>
  </si>
  <si>
    <t xml:space="preserve">Мебел</t>
  </si>
  <si>
    <t xml:space="preserve">под</t>
  </si>
  <si>
    <t xml:space="preserve">фугираща смес</t>
  </si>
  <si>
    <t xml:space="preserve">стени</t>
  </si>
  <si>
    <t xml:space="preserve">Гръб</t>
  </si>
  <si>
    <t xml:space="preserve">прозорци</t>
  </si>
  <si>
    <t xml:space="preserve">пердета</t>
  </si>
  <si>
    <t xml:space="preserve">таван</t>
  </si>
  <si>
    <t xml:space="preserve">боя</t>
  </si>
  <si>
    <t xml:space="preserve">врати</t>
  </si>
  <si>
    <t xml:space="preserve">первази</t>
  </si>
  <si>
    <t xml:space="preserve">Под</t>
  </si>
  <si>
    <t xml:space="preserve">плочки</t>
  </si>
  <si>
    <t xml:space="preserve">брави</t>
  </si>
  <si>
    <t xml:space="preserve">лепило</t>
  </si>
  <si>
    <t xml:space="preserve">кухня</t>
  </si>
  <si>
    <t xml:space="preserve">корпус</t>
  </si>
  <si>
    <t xml:space="preserve">плот</t>
  </si>
  <si>
    <t xml:space="preserve">лайсни</t>
  </si>
  <si>
    <t xml:space="preserve">гръб</t>
  </si>
  <si>
    <t xml:space="preserve">осветление</t>
  </si>
  <si>
    <t xml:space="preserve">перваз</t>
  </si>
  <si>
    <t xml:space="preserve">обзавеждане</t>
  </si>
  <si>
    <t xml:space="preserve">хладилник</t>
  </si>
  <si>
    <t xml:space="preserve">Спалня</t>
  </si>
  <si>
    <t xml:space="preserve">подложка</t>
  </si>
  <si>
    <t xml:space="preserve">тапети</t>
  </si>
  <si>
    <t xml:space="preserve">изграждане</t>
  </si>
  <si>
    <t xml:space="preserve">на месец</t>
  </si>
  <si>
    <t xml:space="preserve">Измазване</t>
  </si>
  <si>
    <t xml:space="preserve">месеца</t>
  </si>
  <si>
    <t xml:space="preserve">години</t>
  </si>
  <si>
    <t xml:space="preserve">рязане и кантиране</t>
  </si>
  <si>
    <t xml:space="preserve">Килер</t>
  </si>
  <si>
    <t xml:space="preserve">Врата</t>
  </si>
  <si>
    <t xml:space="preserve">легло</t>
  </si>
  <si>
    <t xml:space="preserve">Скрин</t>
  </si>
  <si>
    <t xml:space="preserve">матрак</t>
  </si>
  <si>
    <t xml:space="preserve">Покрив</t>
  </si>
  <si>
    <t xml:space="preserve">Баня</t>
  </si>
  <si>
    <t xml:space="preserve">Обков</t>
  </si>
  <si>
    <t xml:space="preserve">гипокартон</t>
  </si>
  <si>
    <t xml:space="preserve">профили</t>
  </si>
  <si>
    <t xml:space="preserve">Коридор</t>
  </si>
  <si>
    <t xml:space="preserve">Дейност</t>
  </si>
  <si>
    <t xml:space="preserve">Материали</t>
  </si>
  <si>
    <t xml:space="preserve">Стойност</t>
  </si>
  <si>
    <t xml:space="preserve">Стойност опция</t>
  </si>
  <si>
    <t xml:space="preserve">Изкъртване</t>
  </si>
  <si>
    <t xml:space="preserve">Редене плочки</t>
  </si>
  <si>
    <t xml:space="preserve">м2</t>
  </si>
  <si>
    <t xml:space="preserve">(коридор)</t>
  </si>
  <si>
    <t xml:space="preserve">бр</t>
  </si>
  <si>
    <t xml:space="preserve">фугин</t>
  </si>
  <si>
    <t xml:space="preserve">лайсна</t>
  </si>
  <si>
    <t xml:space="preserve">(всекидневна)</t>
  </si>
  <si>
    <t xml:space="preserve">?</t>
  </si>
  <si>
    <t xml:space="preserve">Лайсни, 2м</t>
  </si>
  <si>
    <t xml:space="preserve">Ъгли/снадки</t>
  </si>
  <si>
    <t xml:space="preserve">Къртене</t>
  </si>
  <si>
    <t xml:space="preserve">Изграждане-всекидневна</t>
  </si>
  <si>
    <t xml:space="preserve">тухли</t>
  </si>
  <si>
    <t xml:space="preserve">гипсокартон</t>
  </si>
  <si>
    <t xml:space="preserve">CW, 3м </t>
  </si>
  <si>
    <t xml:space="preserve">UW, 3м</t>
  </si>
  <si>
    <t xml:space="preserve">окачвачи</t>
  </si>
  <si>
    <t xml:space="preserve">дюбели</t>
  </si>
  <si>
    <t xml:space="preserve">рапидки</t>
  </si>
  <si>
    <t xml:space="preserve">боя/тапет</t>
  </si>
  <si>
    <t xml:space="preserve">Изграждане-коридор</t>
  </si>
  <si>
    <t xml:space="preserve">Врата-мокро</t>
  </si>
  <si>
    <t xml:space="preserve">Врата-местене</t>
  </si>
  <si>
    <t xml:space="preserve">греда, 3м</t>
  </si>
  <si>
    <t xml:space="preserve">врата</t>
  </si>
  <si>
    <t xml:space="preserve">Боядисване/тапети</t>
  </si>
  <si>
    <t xml:space="preserve">Оборудване</t>
  </si>
  <si>
    <t xml:space="preserve">Съдомияла</t>
  </si>
  <si>
    <t xml:space="preserve">Шкафове</t>
  </si>
  <si>
    <t xml:space="preserve">Изграждане канализация</t>
  </si>
  <si>
    <t xml:space="preserve">тръба 3м</t>
  </si>
  <si>
    <t xml:space="preserve">Колена 90</t>
  </si>
  <si>
    <t xml:space="preserve">Колена 135</t>
  </si>
  <si>
    <t xml:space="preserve">Изграждане вода</t>
  </si>
  <si>
    <t xml:space="preserve">тръби 3м</t>
  </si>
  <si>
    <t xml:space="preserve">изолация 3м</t>
  </si>
  <si>
    <t xml:space="preserve">колена</t>
  </si>
  <si>
    <t xml:space="preserve">тройник</t>
  </si>
  <si>
    <t xml:space="preserve">накрайник</t>
  </si>
  <si>
    <t xml:space="preserve">кранчета</t>
  </si>
  <si>
    <t xml:space="preserve">Кранове</t>
  </si>
  <si>
    <t xml:space="preserve">Меки връзки</t>
  </si>
  <si>
    <t xml:space="preserve">Сифон мивка</t>
  </si>
  <si>
    <t xml:space="preserve">Смесител</t>
  </si>
  <si>
    <t xml:space="preserve">Електрооборудване</t>
  </si>
  <si>
    <t xml:space="preserve">Контакти</t>
  </si>
  <si>
    <t xml:space="preserve">Кабел 3х2,5</t>
  </si>
  <si>
    <t xml:space="preserve">м</t>
  </si>
  <si>
    <t xml:space="preserve">Розетки</t>
  </si>
  <si>
    <t xml:space="preserve">Розетка контакт</t>
  </si>
  <si>
    <t xml:space="preserve">Кабел 2х1,5</t>
  </si>
  <si>
    <t xml:space="preserve">Осветителни тела</t>
  </si>
  <si>
    <t xml:space="preserve">Окачен таван</t>
  </si>
  <si>
    <t xml:space="preserve">CD, 3м </t>
  </si>
  <si>
    <t xml:space="preserve">UD, 3м</t>
  </si>
  <si>
    <t xml:space="preserve">Секция</t>
  </si>
  <si>
    <t xml:space="preserve">Осветление</t>
  </si>
  <si>
    <t xml:space="preserve">перде</t>
  </si>
  <si>
    <t xml:space="preserve">шкафове</t>
  </si>
  <si>
    <t xml:space="preserve">Плочки</t>
  </si>
  <si>
    <t xml:space="preserve">Лепило</t>
  </si>
  <si>
    <t xml:space="preserve">Фугираща смес</t>
  </si>
  <si>
    <t xml:space="preserve">маса</t>
  </si>
  <si>
    <t xml:space="preserve">Первази</t>
  </si>
  <si>
    <t xml:space="preserve">Изграждане</t>
  </si>
  <si>
    <t xml:space="preserve">Шпакловане</t>
  </si>
  <si>
    <t xml:space="preserve">Тапети</t>
  </si>
  <si>
    <t xml:space="preserve">Сушилня</t>
  </si>
  <si>
    <t xml:space="preserve">гардероб</t>
  </si>
  <si>
    <t xml:space="preserve">Перевази</t>
  </si>
  <si>
    <t xml:space="preserve">сифон</t>
  </si>
  <si>
    <t xml:space="preserve">профил</t>
  </si>
  <si>
    <t xml:space="preserve">лунички</t>
  </si>
  <si>
    <t xml:space="preserve">смесител мивка</t>
  </si>
  <si>
    <t xml:space="preserve">смесител душ</t>
  </si>
  <si>
    <t xml:space="preserve">етажерки</t>
  </si>
  <si>
    <t xml:space="preserve">меки връзки</t>
  </si>
  <si>
    <t xml:space="preserve">Ремарке</t>
  </si>
  <si>
    <t xml:space="preserve">Ситроен</t>
  </si>
  <si>
    <t xml:space="preserve">Транспорт</t>
  </si>
  <si>
    <t xml:space="preserve">x</t>
  </si>
  <si>
    <t xml:space="preserve">ГО</t>
  </si>
  <si>
    <t xml:space="preserve">Смяна Масло</t>
  </si>
  <si>
    <t xml:space="preserve">Техн.преглед</t>
  </si>
  <si>
    <t xml:space="preserve">Данък</t>
  </si>
  <si>
    <t xml:space="preserve">Гуми</t>
  </si>
  <si>
    <t xml:space="preserve">Акумулатор</t>
  </si>
  <si>
    <t xml:space="preserve">Ремонт(заварка)</t>
  </si>
  <si>
    <t xml:space="preserve">Ел.</t>
  </si>
  <si>
    <t xml:space="preserve">Бои</t>
  </si>
  <si>
    <t xml:space="preserve">Боядисване</t>
  </si>
  <si>
    <t xml:space="preserve">Материлаи</t>
  </si>
  <si>
    <t xml:space="preserve">Размер стая</t>
  </si>
  <si>
    <t xml:space="preserve">Брой</t>
  </si>
  <si>
    <t xml:space="preserve">Стая 1</t>
  </si>
  <si>
    <t xml:space="preserve">Стая 2</t>
  </si>
  <si>
    <t xml:space="preserve">Клас на натоварване</t>
  </si>
  <si>
    <t xml:space="preserve">0,2кг/м2</t>
  </si>
  <si>
    <t xml:space="preserve">0,15 със запас 0,5</t>
  </si>
  <si>
    <t xml:space="preserve">10 cm</t>
  </si>
  <si>
    <t xml:space="preserve">5 cm</t>
  </si>
  <si>
    <t xml:space="preserve">CD 4м 0,5мм</t>
  </si>
  <si>
    <t xml:space="preserve">UD 3m</t>
  </si>
  <si>
    <t xml:space="preserve">Окачвачи</t>
  </si>
  <si>
    <t xml:space="preserve">Листи ГК</t>
  </si>
  <si>
    <t xml:space="preserve">Изолация</t>
  </si>
  <si>
    <t xml:space="preserve">Общо стойност</t>
  </si>
  <si>
    <t xml:space="preserve">Цена 1</t>
  </si>
  <si>
    <t xml:space="preserve">9,72</t>
  </si>
  <si>
    <t xml:space="preserve">4,29</t>
  </si>
  <si>
    <t xml:space="preserve">0,28</t>
  </si>
  <si>
    <t xml:space="preserve">12,39</t>
  </si>
  <si>
    <t xml:space="preserve">55,08</t>
  </si>
  <si>
    <t xml:space="preserve">7,32</t>
  </si>
  <si>
    <t xml:space="preserve">5,76</t>
  </si>
  <si>
    <t xml:space="preserve">16,59</t>
  </si>
  <si>
    <t xml:space="preserve">51,99</t>
  </si>
  <si>
    <t xml:space="preserve">77,15</t>
  </si>
  <si>
    <t xml:space="preserve">Брой2</t>
  </si>
  <si>
    <t xml:space="preserve">Брой3</t>
  </si>
  <si>
    <t xml:space="preserve">Параметър1</t>
  </si>
  <si>
    <t xml:space="preserve">Параметър2</t>
  </si>
  <si>
    <t xml:space="preserve">Параметър3</t>
  </si>
  <si>
    <t xml:space="preserve">Размери</t>
  </si>
  <si>
    <t xml:space="preserve">UD</t>
  </si>
  <si>
    <t xml:space="preserve">Спалня1</t>
  </si>
  <si>
    <t xml:space="preserve">Спалня2</t>
  </si>
  <si>
    <t xml:space="preserve">CD 3м 0,5мм</t>
  </si>
  <si>
    <t xml:space="preserve">Пакети</t>
  </si>
  <si>
    <t xml:space="preserve">+Плочки</t>
  </si>
  <si>
    <t xml:space="preserve">+Пакети</t>
  </si>
  <si>
    <t xml:space="preserve">Остават</t>
  </si>
  <si>
    <t xml:space="preserve">Хоризонтално</t>
  </si>
  <si>
    <t xml:space="preserve">Декор</t>
  </si>
  <si>
    <t xml:space="preserve">х</t>
  </si>
  <si>
    <t xml:space="preserve">Тъмно</t>
  </si>
  <si>
    <t xml:space="preserve">Светло</t>
  </si>
  <si>
    <t xml:space="preserve">Баня Село</t>
  </si>
  <si>
    <t xml:space="preserve">ред</t>
  </si>
  <si>
    <t xml:space="preserve">брой</t>
  </si>
  <si>
    <t xml:space="preserve">недостиг</t>
  </si>
  <si>
    <t xml:space="preserve">хор.</t>
  </si>
  <si>
    <t xml:space="preserve">Тъмно ?</t>
  </si>
  <si>
    <t xml:space="preserve">Кашон файанс</t>
  </si>
  <si>
    <t xml:space="preserve">Кашон гранитогрес</t>
  </si>
  <si>
    <t xml:space="preserve">кашони</t>
  </si>
  <si>
    <t xml:space="preserve">Гранитогрес Artwood 45х45</t>
  </si>
  <si>
    <t xml:space="preserve">Гранитогрес Патра 30х60 Бежов</t>
  </si>
  <si>
    <t xml:space="preserve">Гранитогрес 33.3x33.3 Итака Бежова</t>
  </si>
  <si>
    <t xml:space="preserve">наименование</t>
  </si>
  <si>
    <t xml:space="preserve">декор</t>
  </si>
  <si>
    <t xml:space="preserve">Общ брой</t>
  </si>
  <si>
    <t xml:space="preserve">по фладер</t>
  </si>
  <si>
    <t xml:space="preserve">втори размер</t>
  </si>
  <si>
    <t xml:space="preserve">Площ</t>
  </si>
  <si>
    <t xml:space="preserve">кант</t>
  </si>
  <si>
    <t xml:space="preserve">Бяло плоскост</t>
  </si>
  <si>
    <t xml:space="preserve"> 02PO.9140M.18.3660.1830.P   </t>
  </si>
  <si>
    <t xml:space="preserve">Цвят плоскост</t>
  </si>
  <si>
    <t xml:space="preserve">03GP.6021A.18.2800.1220 </t>
  </si>
  <si>
    <t xml:space="preserve">Рязане</t>
  </si>
  <si>
    <t xml:space="preserve">Кантиране</t>
  </si>
  <si>
    <t xml:space="preserve">Корпус 1</t>
  </si>
  <si>
    <t xml:space="preserve">бяло</t>
  </si>
  <si>
    <t xml:space="preserve">Корпус 2</t>
  </si>
  <si>
    <t xml:space="preserve">Корпус 3</t>
  </si>
  <si>
    <t xml:space="preserve">Корпус 4</t>
  </si>
  <si>
    <t xml:space="preserve">Корпус 5</t>
  </si>
  <si>
    <t xml:space="preserve">Чело 1</t>
  </si>
  <si>
    <t xml:space="preserve">цвят</t>
  </si>
  <si>
    <t xml:space="preserve">Чело 2</t>
  </si>
  <si>
    <t xml:space="preserve">Чело 3</t>
  </si>
  <si>
    <t xml:space="preserve">Врата 1</t>
  </si>
  <si>
    <t xml:space="preserve">Врата 2</t>
  </si>
  <si>
    <t xml:space="preserve">Панел</t>
  </si>
  <si>
    <t xml:space="preserve">Дъно</t>
  </si>
  <si>
    <t xml:space="preserve">Рафт 1</t>
  </si>
  <si>
    <t xml:space="preserve">Рафт 2</t>
  </si>
  <si>
    <t xml:space="preserve">Чело</t>
  </si>
  <si>
    <t xml:space="preserve">Корниз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</si>
</sst>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\ [$лв.-402];\-#,##0\ [$лв.-402]"/>
    <numFmt numFmtId="166" formatCode="#,##0\ [$лв.-402];[RED]\-#,##0\ [$лв.-402]"/>
    <numFmt numFmtId="167" formatCode="0;[RED]\-0"/>
    <numFmt numFmtId="168" formatCode="0"/>
    <numFmt numFmtId="169" formatCode="0.0"/>
    <numFmt numFmtId="170" formatCode="#,##0&quot; лв&quot;;\-#,##0&quot; лв&quot;"/>
    <numFmt numFmtId="171" formatCode="General"/>
    <numFmt numFmtId="172" formatCode="#,##0&quot; лв&quot;;\-#,##0&quot; лв&quot;"/>
    <numFmt numFmtId="173" formatCode="0.00"/>
  </numFmts>
  <fonts count="1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2"/>
      <name val="Arial"/>
      <family val="2"/>
      <charset val="204"/>
    </font>
    <font>
      <i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360000</xdr:colOff>
      <xdr:row>2</xdr:row>
      <xdr:rowOff>111600</xdr:rowOff>
    </xdr:from>
    <xdr:to>
      <xdr:col>2</xdr:col>
      <xdr:colOff>427680</xdr:colOff>
      <xdr:row>2</xdr:row>
      <xdr:rowOff>111600</xdr:rowOff>
    </xdr:to>
    <xdr:sp>
      <xdr:nvSpPr>
        <xdr:cNvPr id="0" name="Линия 1"/>
        <xdr:cNvSpPr/>
      </xdr:nvSpPr>
      <xdr:spPr>
        <a:xfrm>
          <a:off x="1306080" y="436680"/>
          <a:ext cx="5212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394920</xdr:colOff>
      <xdr:row>4</xdr:row>
      <xdr:rowOff>2160</xdr:rowOff>
    </xdr:from>
    <xdr:to>
      <xdr:col>5</xdr:col>
      <xdr:colOff>424800</xdr:colOff>
      <xdr:row>4</xdr:row>
      <xdr:rowOff>4320</xdr:rowOff>
    </xdr:to>
    <xdr:sp>
      <xdr:nvSpPr>
        <xdr:cNvPr id="1" name="Линия 2"/>
        <xdr:cNvSpPr/>
      </xdr:nvSpPr>
      <xdr:spPr>
        <a:xfrm>
          <a:off x="1794600" y="652320"/>
          <a:ext cx="1389960" cy="216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416160</xdr:colOff>
      <xdr:row>2</xdr:row>
      <xdr:rowOff>88560</xdr:rowOff>
    </xdr:from>
    <xdr:to>
      <xdr:col>2</xdr:col>
      <xdr:colOff>416160</xdr:colOff>
      <xdr:row>4</xdr:row>
      <xdr:rowOff>10800</xdr:rowOff>
    </xdr:to>
    <xdr:sp>
      <xdr:nvSpPr>
        <xdr:cNvPr id="2" name="Линия 3"/>
        <xdr:cNvSpPr/>
      </xdr:nvSpPr>
      <xdr:spPr>
        <a:xfrm>
          <a:off x="1815840" y="413640"/>
          <a:ext cx="0" cy="24732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426240</xdr:colOff>
      <xdr:row>4</xdr:row>
      <xdr:rowOff>720</xdr:rowOff>
    </xdr:from>
    <xdr:to>
      <xdr:col>5</xdr:col>
      <xdr:colOff>426600</xdr:colOff>
      <xdr:row>10</xdr:row>
      <xdr:rowOff>28440</xdr:rowOff>
    </xdr:to>
    <xdr:sp>
      <xdr:nvSpPr>
        <xdr:cNvPr id="3" name="Линия 4"/>
        <xdr:cNvSpPr/>
      </xdr:nvSpPr>
      <xdr:spPr>
        <a:xfrm flipH="1">
          <a:off x="3186000" y="650880"/>
          <a:ext cx="360" cy="100332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354240</xdr:colOff>
      <xdr:row>2</xdr:row>
      <xdr:rowOff>98280</xdr:rowOff>
    </xdr:from>
    <xdr:to>
      <xdr:col>1</xdr:col>
      <xdr:colOff>354240</xdr:colOff>
      <xdr:row>10</xdr:row>
      <xdr:rowOff>48240</xdr:rowOff>
    </xdr:to>
    <xdr:sp>
      <xdr:nvSpPr>
        <xdr:cNvPr id="4" name="Линия 5"/>
        <xdr:cNvSpPr/>
      </xdr:nvSpPr>
      <xdr:spPr>
        <a:xfrm>
          <a:off x="1300320" y="423360"/>
          <a:ext cx="0" cy="12506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380160</xdr:colOff>
      <xdr:row>10</xdr:row>
      <xdr:rowOff>21600</xdr:rowOff>
    </xdr:from>
    <xdr:to>
      <xdr:col>5</xdr:col>
      <xdr:colOff>447480</xdr:colOff>
      <xdr:row>10</xdr:row>
      <xdr:rowOff>22320</xdr:rowOff>
    </xdr:to>
    <xdr:sp>
      <xdr:nvSpPr>
        <xdr:cNvPr id="5" name="Линия 6"/>
        <xdr:cNvSpPr/>
      </xdr:nvSpPr>
      <xdr:spPr>
        <a:xfrm>
          <a:off x="2233080" y="1647360"/>
          <a:ext cx="974160" cy="72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351360</xdr:colOff>
      <xdr:row>10</xdr:row>
      <xdr:rowOff>38160</xdr:rowOff>
    </xdr:from>
    <xdr:to>
      <xdr:col>2</xdr:col>
      <xdr:colOff>350640</xdr:colOff>
      <xdr:row>10</xdr:row>
      <xdr:rowOff>42840</xdr:rowOff>
    </xdr:to>
    <xdr:sp>
      <xdr:nvSpPr>
        <xdr:cNvPr id="6" name="Линия 7"/>
        <xdr:cNvSpPr/>
      </xdr:nvSpPr>
      <xdr:spPr>
        <a:xfrm>
          <a:off x="1297440" y="1663920"/>
          <a:ext cx="452880" cy="468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932040</xdr:colOff>
      <xdr:row>5</xdr:row>
      <xdr:rowOff>4320</xdr:rowOff>
    </xdr:from>
    <xdr:to>
      <xdr:col>1</xdr:col>
      <xdr:colOff>262440</xdr:colOff>
      <xdr:row>6</xdr:row>
      <xdr:rowOff>102600</xdr:rowOff>
    </xdr:to>
    <xdr:sp>
      <xdr:nvSpPr>
        <xdr:cNvPr id="7" name="Текстова рамка 1"/>
        <xdr:cNvSpPr/>
      </xdr:nvSpPr>
      <xdr:spPr>
        <a:xfrm>
          <a:off x="932040" y="81720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1,7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93960</xdr:colOff>
      <xdr:row>5</xdr:row>
      <xdr:rowOff>4680</xdr:rowOff>
    </xdr:from>
    <xdr:to>
      <xdr:col>6</xdr:col>
      <xdr:colOff>370440</xdr:colOff>
      <xdr:row>6</xdr:row>
      <xdr:rowOff>102960</xdr:rowOff>
    </xdr:to>
    <xdr:sp>
      <xdr:nvSpPr>
        <xdr:cNvPr id="8" name="Текстова рамка 2"/>
        <xdr:cNvSpPr/>
      </xdr:nvSpPr>
      <xdr:spPr>
        <a:xfrm>
          <a:off x="3306960" y="81756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1,3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413280</xdr:colOff>
      <xdr:row>10</xdr:row>
      <xdr:rowOff>158760</xdr:rowOff>
    </xdr:from>
    <xdr:to>
      <xdr:col>2</xdr:col>
      <xdr:colOff>236160</xdr:colOff>
      <xdr:row>12</xdr:row>
      <xdr:rowOff>94320</xdr:rowOff>
    </xdr:to>
    <xdr:sp>
      <xdr:nvSpPr>
        <xdr:cNvPr id="9" name="Текстова рамка 3"/>
        <xdr:cNvSpPr/>
      </xdr:nvSpPr>
      <xdr:spPr>
        <a:xfrm>
          <a:off x="1359360" y="178452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0,58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136800</xdr:colOff>
      <xdr:row>11</xdr:row>
      <xdr:rowOff>8640</xdr:rowOff>
    </xdr:from>
    <xdr:to>
      <xdr:col>4</xdr:col>
      <xdr:colOff>413280</xdr:colOff>
      <xdr:row>12</xdr:row>
      <xdr:rowOff>90000</xdr:rowOff>
    </xdr:to>
    <xdr:sp>
      <xdr:nvSpPr>
        <xdr:cNvPr id="10" name="Текстова рамка 4"/>
        <xdr:cNvSpPr/>
      </xdr:nvSpPr>
      <xdr:spPr>
        <a:xfrm>
          <a:off x="2442960" y="1796760"/>
          <a:ext cx="276480" cy="24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0,97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46800</xdr:colOff>
      <xdr:row>10</xdr:row>
      <xdr:rowOff>158040</xdr:rowOff>
    </xdr:from>
    <xdr:to>
      <xdr:col>3</xdr:col>
      <xdr:colOff>323280</xdr:colOff>
      <xdr:row>12</xdr:row>
      <xdr:rowOff>77040</xdr:rowOff>
    </xdr:to>
    <xdr:sp>
      <xdr:nvSpPr>
        <xdr:cNvPr id="11" name="Текстова рамка 5"/>
        <xdr:cNvSpPr/>
      </xdr:nvSpPr>
      <xdr:spPr>
        <a:xfrm>
          <a:off x="1899720" y="1783800"/>
          <a:ext cx="276480" cy="24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0,70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-360</xdr:colOff>
      <xdr:row>1</xdr:row>
      <xdr:rowOff>360</xdr:rowOff>
    </xdr:from>
    <xdr:to>
      <xdr:col>2</xdr:col>
      <xdr:colOff>276120</xdr:colOff>
      <xdr:row>2</xdr:row>
      <xdr:rowOff>98640</xdr:rowOff>
    </xdr:to>
    <xdr:sp>
      <xdr:nvSpPr>
        <xdr:cNvPr id="12" name="Текстова рамка 6"/>
        <xdr:cNvSpPr/>
      </xdr:nvSpPr>
      <xdr:spPr>
        <a:xfrm>
          <a:off x="1399320" y="16308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0,76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55440</xdr:colOff>
      <xdr:row>0</xdr:row>
      <xdr:rowOff>158400</xdr:rowOff>
    </xdr:from>
    <xdr:to>
      <xdr:col>4</xdr:col>
      <xdr:colOff>331920</xdr:colOff>
      <xdr:row>2</xdr:row>
      <xdr:rowOff>93960</xdr:rowOff>
    </xdr:to>
    <xdr:sp>
      <xdr:nvSpPr>
        <xdr:cNvPr id="13" name="Текстова рамка 7"/>
        <xdr:cNvSpPr/>
      </xdr:nvSpPr>
      <xdr:spPr>
        <a:xfrm>
          <a:off x="2361600" y="15840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1,47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281160</xdr:colOff>
      <xdr:row>0</xdr:row>
      <xdr:rowOff>4680</xdr:rowOff>
    </xdr:from>
    <xdr:to>
      <xdr:col>3</xdr:col>
      <xdr:colOff>104400</xdr:colOff>
      <xdr:row>1</xdr:row>
      <xdr:rowOff>102600</xdr:rowOff>
    </xdr:to>
    <xdr:sp>
      <xdr:nvSpPr>
        <xdr:cNvPr id="14" name="Текстова рамка 8"/>
        <xdr:cNvSpPr/>
      </xdr:nvSpPr>
      <xdr:spPr>
        <a:xfrm>
          <a:off x="1680840" y="468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2,23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72360</xdr:colOff>
      <xdr:row>2</xdr:row>
      <xdr:rowOff>120240</xdr:rowOff>
    </xdr:from>
    <xdr:to>
      <xdr:col>3</xdr:col>
      <xdr:colOff>348840</xdr:colOff>
      <xdr:row>3</xdr:row>
      <xdr:rowOff>136800</xdr:rowOff>
    </xdr:to>
    <xdr:sp>
      <xdr:nvSpPr>
        <xdr:cNvPr id="15" name="Текстова рамка 9"/>
        <xdr:cNvSpPr/>
      </xdr:nvSpPr>
      <xdr:spPr>
        <a:xfrm>
          <a:off x="1925280" y="445320"/>
          <a:ext cx="276480" cy="179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0,4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350280</xdr:colOff>
      <xdr:row>37</xdr:row>
      <xdr:rowOff>153720</xdr:rowOff>
    </xdr:from>
    <xdr:to>
      <xdr:col>5</xdr:col>
      <xdr:colOff>429120</xdr:colOff>
      <xdr:row>37</xdr:row>
      <xdr:rowOff>158040</xdr:rowOff>
    </xdr:to>
    <xdr:sp>
      <xdr:nvSpPr>
        <xdr:cNvPr id="16" name="Линия 2"/>
        <xdr:cNvSpPr/>
      </xdr:nvSpPr>
      <xdr:spPr>
        <a:xfrm>
          <a:off x="1296360" y="6168600"/>
          <a:ext cx="1892520" cy="432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423000</xdr:colOff>
      <xdr:row>37</xdr:row>
      <xdr:rowOff>154080</xdr:rowOff>
    </xdr:from>
    <xdr:to>
      <xdr:col>5</xdr:col>
      <xdr:colOff>426240</xdr:colOff>
      <xdr:row>43</xdr:row>
      <xdr:rowOff>28800</xdr:rowOff>
    </xdr:to>
    <xdr:sp>
      <xdr:nvSpPr>
        <xdr:cNvPr id="17" name="Линия 4"/>
        <xdr:cNvSpPr/>
      </xdr:nvSpPr>
      <xdr:spPr>
        <a:xfrm>
          <a:off x="3182760" y="6168960"/>
          <a:ext cx="3240" cy="84996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354240</xdr:colOff>
      <xdr:row>37</xdr:row>
      <xdr:rowOff>141120</xdr:rowOff>
    </xdr:from>
    <xdr:to>
      <xdr:col>1</xdr:col>
      <xdr:colOff>354600</xdr:colOff>
      <xdr:row>43</xdr:row>
      <xdr:rowOff>48600</xdr:rowOff>
    </xdr:to>
    <xdr:sp>
      <xdr:nvSpPr>
        <xdr:cNvPr id="18" name="Линия 5"/>
        <xdr:cNvSpPr/>
      </xdr:nvSpPr>
      <xdr:spPr>
        <a:xfrm flipH="1">
          <a:off x="1300320" y="6156000"/>
          <a:ext cx="360" cy="88272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277560</xdr:colOff>
      <xdr:row>43</xdr:row>
      <xdr:rowOff>22320</xdr:rowOff>
    </xdr:from>
    <xdr:to>
      <xdr:col>5</xdr:col>
      <xdr:colOff>447480</xdr:colOff>
      <xdr:row>43</xdr:row>
      <xdr:rowOff>29880</xdr:rowOff>
    </xdr:to>
    <xdr:sp>
      <xdr:nvSpPr>
        <xdr:cNvPr id="19" name="Линия 6"/>
        <xdr:cNvSpPr/>
      </xdr:nvSpPr>
      <xdr:spPr>
        <a:xfrm flipV="1">
          <a:off x="2583720" y="7012440"/>
          <a:ext cx="623520" cy="756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351360</xdr:colOff>
      <xdr:row>43</xdr:row>
      <xdr:rowOff>38160</xdr:rowOff>
    </xdr:from>
    <xdr:to>
      <xdr:col>2</xdr:col>
      <xdr:colOff>453240</xdr:colOff>
      <xdr:row>43</xdr:row>
      <xdr:rowOff>42840</xdr:rowOff>
    </xdr:to>
    <xdr:sp>
      <xdr:nvSpPr>
        <xdr:cNvPr id="20" name="Линия 7"/>
        <xdr:cNvSpPr/>
      </xdr:nvSpPr>
      <xdr:spPr>
        <a:xfrm>
          <a:off x="1297440" y="7028280"/>
          <a:ext cx="555480" cy="468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93960</xdr:colOff>
      <xdr:row>39</xdr:row>
      <xdr:rowOff>107280</xdr:rowOff>
    </xdr:from>
    <xdr:to>
      <xdr:col>6</xdr:col>
      <xdr:colOff>370440</xdr:colOff>
      <xdr:row>40</xdr:row>
      <xdr:rowOff>109080</xdr:rowOff>
    </xdr:to>
    <xdr:sp>
      <xdr:nvSpPr>
        <xdr:cNvPr id="21" name="Текстова рамка 2"/>
        <xdr:cNvSpPr/>
      </xdr:nvSpPr>
      <xdr:spPr>
        <a:xfrm>
          <a:off x="3306960" y="6447240"/>
          <a:ext cx="276480" cy="164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1,0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413280</xdr:colOff>
      <xdr:row>43</xdr:row>
      <xdr:rowOff>158760</xdr:rowOff>
    </xdr:from>
    <xdr:to>
      <xdr:col>2</xdr:col>
      <xdr:colOff>236160</xdr:colOff>
      <xdr:row>45</xdr:row>
      <xdr:rowOff>94320</xdr:rowOff>
    </xdr:to>
    <xdr:sp>
      <xdr:nvSpPr>
        <xdr:cNvPr id="22" name="Текстова рамка 3"/>
        <xdr:cNvSpPr/>
      </xdr:nvSpPr>
      <xdr:spPr>
        <a:xfrm>
          <a:off x="1359360" y="7148880"/>
          <a:ext cx="27648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0,6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415440</xdr:colOff>
      <xdr:row>44</xdr:row>
      <xdr:rowOff>12600</xdr:rowOff>
    </xdr:from>
    <xdr:to>
      <xdr:col>5</xdr:col>
      <xdr:colOff>238320</xdr:colOff>
      <xdr:row>45</xdr:row>
      <xdr:rowOff>93960</xdr:rowOff>
    </xdr:to>
    <xdr:sp>
      <xdr:nvSpPr>
        <xdr:cNvPr id="23" name="Текстова рамка 4"/>
        <xdr:cNvSpPr/>
      </xdr:nvSpPr>
      <xdr:spPr>
        <a:xfrm>
          <a:off x="2721600" y="7165080"/>
          <a:ext cx="276480" cy="24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0,6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46800</xdr:colOff>
      <xdr:row>43</xdr:row>
      <xdr:rowOff>158040</xdr:rowOff>
    </xdr:from>
    <xdr:to>
      <xdr:col>3</xdr:col>
      <xdr:colOff>323280</xdr:colOff>
      <xdr:row>45</xdr:row>
      <xdr:rowOff>77040</xdr:rowOff>
    </xdr:to>
    <xdr:sp>
      <xdr:nvSpPr>
        <xdr:cNvPr id="24" name="Текстова рамка 5"/>
        <xdr:cNvSpPr/>
      </xdr:nvSpPr>
      <xdr:spPr>
        <a:xfrm>
          <a:off x="1899720" y="7148160"/>
          <a:ext cx="276480" cy="24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0,8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911880</xdr:colOff>
      <xdr:row>39</xdr:row>
      <xdr:rowOff>43560</xdr:rowOff>
    </xdr:from>
    <xdr:to>
      <xdr:col>1</xdr:col>
      <xdr:colOff>242280</xdr:colOff>
      <xdr:row>40</xdr:row>
      <xdr:rowOff>106920</xdr:rowOff>
    </xdr:to>
    <xdr:sp>
      <xdr:nvSpPr>
        <xdr:cNvPr id="25" name="Текстова рамка 6"/>
        <xdr:cNvSpPr/>
      </xdr:nvSpPr>
      <xdr:spPr>
        <a:xfrm>
          <a:off x="911880" y="6383520"/>
          <a:ext cx="276480" cy="225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1,0</a:t>
          </a:r>
          <a:endParaRPr b="0" lang="bg-BG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270720</xdr:colOff>
      <xdr:row>36</xdr:row>
      <xdr:rowOff>360</xdr:rowOff>
    </xdr:from>
    <xdr:to>
      <xdr:col>4</xdr:col>
      <xdr:colOff>93960</xdr:colOff>
      <xdr:row>37</xdr:row>
      <xdr:rowOff>81720</xdr:rowOff>
    </xdr:to>
    <xdr:sp>
      <xdr:nvSpPr>
        <xdr:cNvPr id="26" name="Текстова рамка 10"/>
        <xdr:cNvSpPr/>
      </xdr:nvSpPr>
      <xdr:spPr>
        <a:xfrm>
          <a:off x="2123640" y="5852520"/>
          <a:ext cx="276480" cy="24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bg-BG" sz="1200" spc="-1" strike="noStrike">
              <a:solidFill>
                <a:srgbClr val="000000"/>
              </a:solidFill>
              <a:latin typeface="Times New Roman"/>
              <a:ea typeface="DejaVu Sans"/>
            </a:rPr>
            <a:t>2,0</a:t>
          </a:r>
          <a:endParaRPr b="0" lang="bg-BG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3" Type="http://schemas.openxmlformats.org/officeDocument/2006/relationships/hyperlink" Target="https://www.masterhaus.bg/bg/product/200531-profil-ud-3m-profil-za-gipsokarton" TargetMode="External"/><Relationship Id="rId4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5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6" Type="http://schemas.openxmlformats.org/officeDocument/2006/relationships/hyperlink" Target="https://toplivo.bg/produkti/Stroitelni-materiali/Toploizolaciya/Vata/Staklena-mineralna-vata-ODE-50h600--2h7500mm---18-kvm" TargetMode="External"/><Relationship Id="rId7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8" Type="http://schemas.openxmlformats.org/officeDocument/2006/relationships/hyperlink" Target="https://toplivo.bg/produkti/Stroitelni-materiali/Materiali-za-suho-stroitelstvo/Profili-za-suho-stroitelstvo/Profili-za-gipsokarton-UD-28-27h05-mm--4-m--1020531-" TargetMode="External"/><Relationship Id="rId9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10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11" Type="http://schemas.openxmlformats.org/officeDocument/2006/relationships/hyperlink" Target="https://praktiker.bg/bg/Vata/ST&#224;KLENO-MINERALNA-VATA-URSA-DF40/p/138194" TargetMode="External"/><Relationship Id="rId12" Type="http://schemas.openxmlformats.org/officeDocument/2006/relationships/hyperlink" Target="https://toplivo.bg/produkti/Stroitelni-materiali/Toploizolaciya/Vata/Staklena-mineralna-vata-NatuRoll-Plus--1200x2x8200x50-mm" TargetMode="External"/><Relationship Id="rId13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14" Type="http://schemas.openxmlformats.org/officeDocument/2006/relationships/hyperlink" Target="https://www.masterhaus.bg/bg/product/200531-profil-ud-3m-profil-za-gipsokarton" TargetMode="External"/><Relationship Id="rId15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16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17" Type="http://schemas.openxmlformats.org/officeDocument/2006/relationships/hyperlink" Target="https://toplivo.bg/produkti/Stroitelni-materiali/Toploizolaciya/Vata/Staklena-mineralna-vata-ODE-50h600--2h7500mm---18-kvm" TargetMode="External"/><Relationship Id="rId18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19" Type="http://schemas.openxmlformats.org/officeDocument/2006/relationships/hyperlink" Target="https://toplivo.bg/produkti/Stroitelni-materiali/Materiali-za-suho-stroitelstvo/Profili-za-suho-stroitelstvo/Profili-za-gipsokarton-UD-28-27h05-mm--4-m--1020531-" TargetMode="External"/><Relationship Id="rId20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21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22" Type="http://schemas.openxmlformats.org/officeDocument/2006/relationships/hyperlink" Target="https://praktiker.bg/bg/Vata/ST&#224;KLENO-MINERALNA-VATA-URSA-DF40/p/138194" TargetMode="External"/><Relationship Id="rId23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24" Type="http://schemas.openxmlformats.org/officeDocument/2006/relationships/hyperlink" Target="https://toplivo.bg/produkti/Stroitelni-materiali/Toploizolaciya/Vata/Staklena-mineralna-vata-NatuRoll-Plus--1200x2x8200x50-mm" TargetMode="External"/><Relationship Id="rId25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26" Type="http://schemas.openxmlformats.org/officeDocument/2006/relationships/hyperlink" Target="https://www.masterhaus.bg/bg/product/200531-profil-ud-3m-profil-za-gipsokarton" TargetMode="External"/><Relationship Id="rId27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28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29" Type="http://schemas.openxmlformats.org/officeDocument/2006/relationships/hyperlink" Target="https://toplivo.bg/produkti/Stroitelni-materiali/Toploizolaciya/Vata/Staklena-mineralna-vata-ODE-50h600--2h7500mm---18-kvm" TargetMode="External"/><Relationship Id="rId30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31" Type="http://schemas.openxmlformats.org/officeDocument/2006/relationships/hyperlink" Target="https://toplivo.bg/produkti/Stroitelni-materiali/Materiali-za-suho-stroitelstvo/Profili-za-suho-stroitelstvo/Profili-za-gipsokarton-UD-28-27h05-mm--4-m--1020531-" TargetMode="External"/><Relationship Id="rId32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33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34" Type="http://schemas.openxmlformats.org/officeDocument/2006/relationships/hyperlink" Target="https://praktiker.bg/bg/Vata/ST&#224;KLENO-MINERALNA-VATA-URSA-DF40/p/138194" TargetMode="External"/><Relationship Id="rId35" Type="http://schemas.openxmlformats.org/officeDocument/2006/relationships/hyperlink" Target="https://toplivo.bg/produkti/Stroitelni-materiali/Materiali-za-suho-stroitelstvo/Profili-za-suho-stroitelstvo/Profil-za-gipsokarton-CD-60x05-mm--40-m--1020537-" TargetMode="External"/><Relationship Id="rId36" Type="http://schemas.openxmlformats.org/officeDocument/2006/relationships/hyperlink" Target="https://toplivo.bg/produkti/Stroitelni-materiali/Toploizolaciya/Vata/Staklena-mineralna-vata-NatuRoll-Plus--1200x2x8200x50-mm" TargetMode="External"/><Relationship Id="rId37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38" Type="http://schemas.openxmlformats.org/officeDocument/2006/relationships/hyperlink" Target="https://www.masterhaus.bg/bg/product/200531-profil-ud-3m-profil-za-gipsokarton" TargetMode="External"/><Relationship Id="rId39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40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41" Type="http://schemas.openxmlformats.org/officeDocument/2006/relationships/hyperlink" Target="https://toplivo.bg/produkti/Stroitelni-materiali/Toploizolaciya/Vata/Staklena-mineralna-vata-ODE-50h600--2h7500mm---18-kvm" TargetMode="External"/><Relationship Id="rId42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43" Type="http://schemas.openxmlformats.org/officeDocument/2006/relationships/hyperlink" Target="https://toplivo.bg/produkti/Stroitelni-materiali/Materiali-za-suho-stroitelstvo/Profili-za-suho-stroitelstvo/Profili-za-gipsokarton-UD-28-27h05-mm--4-m--1020531-" TargetMode="External"/><Relationship Id="rId44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45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46" Type="http://schemas.openxmlformats.org/officeDocument/2006/relationships/hyperlink" Target="https://praktiker.bg/bg/Vata/ST&#224;KLENO-MINERALNA-VATA-URSA-DF40/p/138194" TargetMode="External"/><Relationship Id="rId47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48" Type="http://schemas.openxmlformats.org/officeDocument/2006/relationships/hyperlink" Target="https://toplivo.bg/produkti/Stroitelni-materiali/Toploizolaciya/Vata/Staklena-mineralna-vata-NatuRoll-Plus--1200x2x8200x50-mm" TargetMode="External"/><Relationship Id="rId49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50" Type="http://schemas.openxmlformats.org/officeDocument/2006/relationships/hyperlink" Target="https://www.masterhaus.bg/bg/product/200531-profil-ud-3m-profil-za-gipsokarton" TargetMode="External"/><Relationship Id="rId51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52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53" Type="http://schemas.openxmlformats.org/officeDocument/2006/relationships/hyperlink" Target="https://toplivo.bg/produkti/Stroitelni-materiali/Toploizolaciya/Vata/Staklena-mineralna-vata-ODE-50h600--2h7500mm---18-kvm" TargetMode="External"/><Relationship Id="rId54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55" Type="http://schemas.openxmlformats.org/officeDocument/2006/relationships/hyperlink" Target="https://toplivo.bg/produkti/Stroitelni-materiali/Materiali-za-suho-stroitelstvo/Profili-za-suho-stroitelstvo/Profili-za-gipsokarton-UD-28-27h05-mm--4-m--1020531-" TargetMode="External"/><Relationship Id="rId56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57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58" Type="http://schemas.openxmlformats.org/officeDocument/2006/relationships/hyperlink" Target="https://praktiker.bg/bg/Vata/ST&#224;KLENO-MINERALNA-VATA-URSA-DF40/p/138194" TargetMode="External"/><Relationship Id="rId59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60" Type="http://schemas.openxmlformats.org/officeDocument/2006/relationships/hyperlink" Target="https://toplivo.bg/produkti/Stroitelni-materiali/Toploizolaciya/Vata/Staklena-mineralna-vata-NatuRoll-Plus--1200x2x8200x50-mm" TargetMode="External"/><Relationship Id="rId61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62" Type="http://schemas.openxmlformats.org/officeDocument/2006/relationships/hyperlink" Target="https://www.masterhaus.bg/bg/product/200531-profil-ud-3m-profil-za-gipsokarton" TargetMode="External"/><Relationship Id="rId63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64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65" Type="http://schemas.openxmlformats.org/officeDocument/2006/relationships/hyperlink" Target="https://toplivo.bg/produkti/Stroitelni-materiali/Toploizolaciya/Vata/Staklena-mineralna-vata-ODE-50h600--2h7500mm---18-kvm" TargetMode="External"/><Relationship Id="rId66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67" Type="http://schemas.openxmlformats.org/officeDocument/2006/relationships/hyperlink" Target="https://toplivo.bg/produkti/Stroitelni-materiali/Materiali-za-suho-stroitelstvo/Profili-za-suho-stroitelstvo/Profili-za-gipsokarton-UD-28-27h05-mm--4-m--1020531-" TargetMode="External"/><Relationship Id="rId68" Type="http://schemas.openxmlformats.org/officeDocument/2006/relationships/hyperlink" Target="https://toplivo.bg/produkti/Stroitelni-materiali/Materiali-za-suho-stroitelstvo/Profili-za-suho-stroitelstvo/Okachvach-direkten-120-mm--110008-" TargetMode="External"/><Relationship Id="rId69" Type="http://schemas.openxmlformats.org/officeDocument/2006/relationships/hyperlink" Target="https://www.masterhaus.bg/bg/search?q=&#1075;&#1080;&#1087;&#1089;&#1086;&#1082;&#1072;&#1088;&#1090;&#1086;&#1085;&amp;f[groups][]=465&amp;order=price-asc" TargetMode="External"/><Relationship Id="rId70" Type="http://schemas.openxmlformats.org/officeDocument/2006/relationships/hyperlink" Target="https://praktiker.bg/bg/Vata/ST&#224;KLENO-MINERALNA-VATA-URSA-DF40/p/138194" TargetMode="External"/><Relationship Id="rId71" Type="http://schemas.openxmlformats.org/officeDocument/2006/relationships/hyperlink" Target="https://toplivo.bg/produkti/Stroitelni-materiali/Materiali-za-suho-stroitelstvo/Profili-za-suho-stroitelstvo/Profil-za-gipsokarton-CD-60x05-mm--30-m--1024104-" TargetMode="External"/><Relationship Id="rId72" Type="http://schemas.openxmlformats.org/officeDocument/2006/relationships/hyperlink" Target="https://toplivo.bg/produkti/Stroitelni-materiali/Toploizolaciya/Vata/Staklena-mineralna-vata-NatuRoll-Plus--1200x2x8200x50-mm" TargetMode="External"/><Relationship Id="rId73" Type="http://schemas.openxmlformats.org/officeDocument/2006/relationships/vmlDrawing" Target="../drawings/vmlDrawing7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3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79"/>
    <col collapsed="false" customWidth="true" hidden="false" outlineLevel="0" max="2" min="2" style="1" width="8.91"/>
    <col collapsed="false" customWidth="true" hidden="false" outlineLevel="0" max="3" min="3" style="1" width="9.15"/>
    <col collapsed="false" customWidth="true" hidden="false" outlineLevel="0" max="4" min="4" style="1" width="8.55"/>
    <col collapsed="false" customWidth="true" hidden="false" outlineLevel="0" max="5" min="5" style="1" width="10.35"/>
    <col collapsed="false" customWidth="true" hidden="false" outlineLevel="0" max="6" min="6" style="1" width="10.66"/>
    <col collapsed="false" customWidth="true" hidden="false" outlineLevel="0" max="7" min="7" style="1" width="10.25"/>
    <col collapsed="false" customWidth="true" hidden="false" outlineLevel="0" max="8" min="8" style="1" width="9.84"/>
  </cols>
  <sheetData>
    <row r="1" customFormat="false" ht="12.8" hidden="false" customHeight="false" outlineLevel="0" collapsed="false">
      <c r="B1" s="1" t="s">
        <v>0</v>
      </c>
      <c r="C1" s="1" t="s">
        <v>0</v>
      </c>
      <c r="D1" s="1" t="s">
        <v>0</v>
      </c>
      <c r="E1" s="2" t="s">
        <v>1</v>
      </c>
      <c r="F1" s="3" t="s">
        <v>2</v>
      </c>
      <c r="G1" s="4" t="s">
        <v>3</v>
      </c>
      <c r="H1" s="1" t="s">
        <v>4</v>
      </c>
    </row>
    <row r="2" customFormat="false" ht="12.8" hidden="false" customHeight="false" outlineLevel="0" collapsed="false">
      <c r="B2" s="1" t="s">
        <v>5</v>
      </c>
      <c r="C2" s="1" t="s">
        <v>6</v>
      </c>
      <c r="D2" s="1" t="s">
        <v>7</v>
      </c>
      <c r="E2" s="5" t="n">
        <f aca="false">G2-F2</f>
        <v>8282.22454631741</v>
      </c>
      <c r="F2" s="6" t="n">
        <f aca="false">E3+F3</f>
        <v>17187.8154536826</v>
      </c>
      <c r="G2" s="7" t="n">
        <f aca="false">16756-500+G3</f>
        <v>25470.04</v>
      </c>
    </row>
    <row r="3" customFormat="false" ht="12.8" hidden="false" customHeight="false" outlineLevel="0" collapsed="false">
      <c r="E3" s="6" t="n">
        <f aca="false">SUM(E4:E51)</f>
        <v>4807.81545368259</v>
      </c>
      <c r="F3" s="6" t="n">
        <f aca="false">SUM(F4:F51)</f>
        <v>12380</v>
      </c>
      <c r="G3" s="7" t="n">
        <f aca="false">SUM(G4:G52)</f>
        <v>9214.04</v>
      </c>
      <c r="H3" s="8" t="n">
        <f aca="false">SUM(H4:H52)</f>
        <v>7973.77545368259</v>
      </c>
    </row>
    <row r="4" customFormat="false" ht="12.8" hidden="false" customHeight="false" outlineLevel="0" collapsed="false">
      <c r="A4" s="1" t="s">
        <v>8</v>
      </c>
      <c r="B4" s="1" t="n">
        <v>3000</v>
      </c>
      <c r="C4" s="1" t="n">
        <v>4000</v>
      </c>
      <c r="D4" s="1" t="n">
        <v>5000</v>
      </c>
      <c r="E4" s="9" t="n">
        <v>200</v>
      </c>
      <c r="F4" s="3" t="n">
        <v>3000</v>
      </c>
      <c r="G4" s="4"/>
      <c r="H4" s="10" t="n">
        <f aca="false">SUM(E4:F4)-G4</f>
        <v>3200</v>
      </c>
    </row>
    <row r="5" customFormat="false" ht="12.8" hidden="false" customHeight="false" outlineLevel="0" collapsed="false">
      <c r="A5" s="1" t="s">
        <v>9</v>
      </c>
      <c r="B5" s="1" t="n">
        <v>300</v>
      </c>
      <c r="C5" s="1" t="n">
        <v>500</v>
      </c>
      <c r="D5" s="1" t="n">
        <v>750</v>
      </c>
      <c r="E5" s="9" t="n">
        <v>0</v>
      </c>
      <c r="F5" s="3" t="n">
        <v>560</v>
      </c>
      <c r="G5" s="4" t="n">
        <v>560</v>
      </c>
      <c r="H5" s="10" t="n">
        <f aca="false">SUM(E5:F5)-G5</f>
        <v>0</v>
      </c>
    </row>
    <row r="6" customFormat="false" ht="12.8" hidden="false" customHeight="false" outlineLevel="0" collapsed="false">
      <c r="A6" s="1" t="s">
        <v>10</v>
      </c>
      <c r="B6" s="1" t="n">
        <v>300</v>
      </c>
      <c r="C6" s="1" t="n">
        <v>400</v>
      </c>
      <c r="D6" s="1" t="n">
        <v>500</v>
      </c>
      <c r="E6" s="9" t="n">
        <v>0</v>
      </c>
      <c r="F6" s="3" t="n">
        <v>380</v>
      </c>
      <c r="G6" s="4"/>
      <c r="H6" s="10" t="n">
        <f aca="false">SUM(E6:F6)-G6</f>
        <v>380</v>
      </c>
    </row>
    <row r="7" customFormat="false" ht="12.8" hidden="false" customHeight="false" outlineLevel="0" collapsed="false">
      <c r="A7" s="1" t="s">
        <v>11</v>
      </c>
      <c r="B7" s="1" t="n">
        <v>100</v>
      </c>
      <c r="C7" s="1" t="n">
        <v>300</v>
      </c>
      <c r="D7" s="1" t="n">
        <v>550</v>
      </c>
      <c r="E7" s="9" t="n">
        <v>0</v>
      </c>
      <c r="F7" s="3" t="n">
        <v>370</v>
      </c>
      <c r="G7" s="4"/>
      <c r="H7" s="10" t="n">
        <f aca="false">SUM(E7:F7)-G7</f>
        <v>370</v>
      </c>
    </row>
    <row r="8" customFormat="false" ht="12.8" hidden="false" customHeight="false" outlineLevel="0" collapsed="false">
      <c r="A8" s="1" t="s">
        <v>12</v>
      </c>
      <c r="B8" s="1" t="n">
        <v>450</v>
      </c>
      <c r="C8" s="1" t="n">
        <v>600</v>
      </c>
      <c r="D8" s="1" t="n">
        <v>700</v>
      </c>
      <c r="E8" s="9" t="n">
        <v>0</v>
      </c>
      <c r="F8" s="3" t="n">
        <v>650</v>
      </c>
      <c r="G8" s="4"/>
      <c r="H8" s="10" t="n">
        <f aca="false">SUM(E8:F8)-G8</f>
        <v>650</v>
      </c>
    </row>
    <row r="9" customFormat="false" ht="12.8" hidden="false" customHeight="false" outlineLevel="0" collapsed="false">
      <c r="A9" s="1" t="s">
        <v>13</v>
      </c>
      <c r="B9" s="1" t="n">
        <v>350</v>
      </c>
      <c r="C9" s="1" t="n">
        <v>500</v>
      </c>
      <c r="D9" s="1" t="n">
        <v>600</v>
      </c>
      <c r="E9" s="9" t="n">
        <v>0</v>
      </c>
      <c r="F9" s="3" t="n">
        <v>750</v>
      </c>
      <c r="G9" s="4" t="n">
        <v>670</v>
      </c>
      <c r="H9" s="10" t="n">
        <f aca="false">SUM(E9:F9)-G9</f>
        <v>80</v>
      </c>
    </row>
    <row r="10" customFormat="false" ht="12.8" hidden="false" customHeight="false" outlineLevel="0" collapsed="false">
      <c r="A10" s="1" t="s">
        <v>14</v>
      </c>
      <c r="B10" s="1" t="n">
        <v>350</v>
      </c>
      <c r="C10" s="1" t="n">
        <v>700</v>
      </c>
      <c r="D10" s="1" t="n">
        <v>1100</v>
      </c>
      <c r="E10" s="9" t="n">
        <v>0</v>
      </c>
      <c r="F10" s="3" t="n">
        <v>1200</v>
      </c>
      <c r="G10" s="4"/>
      <c r="H10" s="10" t="n">
        <f aca="false">SUM(E10:F10)-G10</f>
        <v>1200</v>
      </c>
    </row>
    <row r="11" customFormat="false" ht="12.8" hidden="false" customHeight="false" outlineLevel="0" collapsed="false">
      <c r="A11" s="1" t="s">
        <v>15</v>
      </c>
      <c r="B11" s="1" t="n">
        <v>550</v>
      </c>
      <c r="C11" s="1" t="n">
        <v>1100</v>
      </c>
      <c r="D11" s="1" t="n">
        <v>1400</v>
      </c>
      <c r="E11" s="9" t="n">
        <v>250</v>
      </c>
      <c r="F11" s="3" t="n">
        <v>1500</v>
      </c>
      <c r="G11" s="4" t="n">
        <v>2000</v>
      </c>
      <c r="H11" s="10" t="n">
        <f aca="false">SUM(E11:F11)-G11</f>
        <v>-250</v>
      </c>
    </row>
    <row r="12" customFormat="false" ht="12.8" hidden="false" customHeight="false" outlineLevel="0" collapsed="false">
      <c r="A12" s="1" t="s">
        <v>16</v>
      </c>
      <c r="B12" s="1" t="n">
        <f aca="false">5*350</f>
        <v>1750</v>
      </c>
      <c r="E12" s="2"/>
      <c r="F12" s="3"/>
      <c r="G12" s="4"/>
      <c r="H12" s="10" t="n">
        <f aca="false">SUM(E12:F12)-G12</f>
        <v>0</v>
      </c>
    </row>
    <row r="13" customFormat="false" ht="12.8" hidden="false" customHeight="false" outlineLevel="0" collapsed="false">
      <c r="A13" s="1" t="s">
        <v>17</v>
      </c>
      <c r="B13" s="1" t="n">
        <f aca="false">4*60</f>
        <v>240</v>
      </c>
      <c r="C13" s="1" t="n">
        <f aca="false">4*80</f>
        <v>320</v>
      </c>
      <c r="D13" s="1" t="n">
        <f aca="false">4*120</f>
        <v>480</v>
      </c>
      <c r="E13" s="9" t="n">
        <v>0</v>
      </c>
      <c r="F13" s="3" t="n">
        <v>320</v>
      </c>
      <c r="G13" s="4" t="n">
        <f aca="false">4*80</f>
        <v>320</v>
      </c>
      <c r="H13" s="10" t="n">
        <f aca="false">SUM(E13:F13)-G13</f>
        <v>0</v>
      </c>
    </row>
    <row r="14" customFormat="false" ht="12.8" hidden="false" customHeight="false" outlineLevel="0" collapsed="false">
      <c r="A14" s="1" t="s">
        <v>18</v>
      </c>
      <c r="B14" s="1" t="n">
        <v>180</v>
      </c>
      <c r="C14" s="1" t="n">
        <v>300</v>
      </c>
      <c r="D14" s="1" t="n">
        <v>500</v>
      </c>
      <c r="E14" s="9" t="n">
        <v>0</v>
      </c>
      <c r="F14" s="3" t="n">
        <v>300</v>
      </c>
      <c r="G14" s="4" t="n">
        <f aca="false">690-G13</f>
        <v>370</v>
      </c>
      <c r="H14" s="10" t="n">
        <f aca="false">SUM(E14:F14)-G14</f>
        <v>-70</v>
      </c>
    </row>
    <row r="15" customFormat="false" ht="12.8" hidden="false" customHeight="false" outlineLevel="0" collapsed="false">
      <c r="A15" s="1" t="s">
        <v>19</v>
      </c>
      <c r="B15" s="1" t="n">
        <v>2000</v>
      </c>
      <c r="E15" s="9" t="n">
        <f aca="false">300</f>
        <v>300</v>
      </c>
      <c r="F15" s="3" t="n">
        <v>1250</v>
      </c>
      <c r="G15" s="4" t="n">
        <f aca="false">140+53+20+277+1740</f>
        <v>2230</v>
      </c>
      <c r="H15" s="10" t="n">
        <f aca="false">SUM(E15:F15)-G15</f>
        <v>-680</v>
      </c>
    </row>
    <row r="16" customFormat="false" ht="12.8" hidden="false" customHeight="false" outlineLevel="0" collapsed="false">
      <c r="A16" s="1" t="s">
        <v>20</v>
      </c>
      <c r="B16" s="1" t="n">
        <v>400</v>
      </c>
      <c r="E16" s="2"/>
      <c r="F16" s="3" t="n">
        <v>500</v>
      </c>
      <c r="G16" s="4"/>
      <c r="H16" s="10" t="n">
        <f aca="false">SUM(E16:F16)-G16</f>
        <v>500</v>
      </c>
    </row>
    <row r="17" customFormat="false" ht="12.8" hidden="false" customHeight="false" outlineLevel="0" collapsed="false">
      <c r="A17" s="1" t="s">
        <v>21</v>
      </c>
      <c r="B17" s="1" t="n">
        <v>350</v>
      </c>
      <c r="E17" s="2"/>
      <c r="F17" s="3" t="n">
        <v>350</v>
      </c>
      <c r="G17" s="4"/>
      <c r="H17" s="10" t="n">
        <f aca="false">SUM(E17:F17)-G17</f>
        <v>350</v>
      </c>
    </row>
    <row r="18" customFormat="false" ht="12.8" hidden="false" customHeight="false" outlineLevel="0" collapsed="false">
      <c r="A18" s="1" t="s">
        <v>22</v>
      </c>
      <c r="B18" s="1" t="n">
        <f aca="false">30*1.6*3</f>
        <v>144</v>
      </c>
      <c r="E18" s="2"/>
      <c r="F18" s="3" t="n">
        <v>200</v>
      </c>
      <c r="G18" s="4"/>
      <c r="H18" s="10" t="n">
        <f aca="false">SUM(E18:F18)-G18</f>
        <v>200</v>
      </c>
    </row>
    <row r="19" customFormat="false" ht="12.8" hidden="false" customHeight="false" outlineLevel="0" collapsed="false">
      <c r="A19" s="1" t="s">
        <v>23</v>
      </c>
      <c r="B19" s="1" t="n">
        <f aca="false">35*(1.6+1.6+1)*1.6</f>
        <v>235.2</v>
      </c>
      <c r="E19" s="2"/>
      <c r="F19" s="3" t="n">
        <v>250</v>
      </c>
      <c r="G19" s="4"/>
      <c r="H19" s="10" t="n">
        <f aca="false">SUM(E19:F19)-G19</f>
        <v>250</v>
      </c>
    </row>
    <row r="20" customFormat="false" ht="12.8" hidden="false" customHeight="false" outlineLevel="0" collapsed="false">
      <c r="A20" s="1" t="s">
        <v>24</v>
      </c>
      <c r="B20" s="1" t="n">
        <f aca="false">30*5*3.75</f>
        <v>562.5</v>
      </c>
      <c r="E20" s="2"/>
      <c r="F20" s="3"/>
      <c r="G20" s="4"/>
      <c r="H20" s="10" t="n">
        <f aca="false">SUM(E20:F20)-G20</f>
        <v>0</v>
      </c>
    </row>
    <row r="21" customFormat="false" ht="12.8" hidden="false" customHeight="false" outlineLevel="0" collapsed="false">
      <c r="A21" s="1" t="s">
        <v>25</v>
      </c>
      <c r="B21" s="1" t="n">
        <v>800</v>
      </c>
      <c r="E21" s="9" t="n">
        <v>0</v>
      </c>
      <c r="F21" s="3" t="n">
        <v>800</v>
      </c>
      <c r="G21" s="4"/>
      <c r="H21" s="10" t="n">
        <f aca="false">SUM(E21:F21)-G21</f>
        <v>800</v>
      </c>
      <c r="I21" s="1" t="s">
        <v>25</v>
      </c>
      <c r="K21" s="1" t="n">
        <f aca="false">SUM(K22*J22,K23*J23,K24*J24,K25*J25)</f>
        <v>970</v>
      </c>
    </row>
    <row r="22" customFormat="false" ht="12.8" hidden="false" customHeight="false" outlineLevel="0" collapsed="false">
      <c r="A22" s="1" t="s">
        <v>26</v>
      </c>
      <c r="B22" s="1" t="n">
        <v>500</v>
      </c>
      <c r="E22" s="9" t="n">
        <v>200</v>
      </c>
      <c r="F22" s="3" t="n">
        <v>0</v>
      </c>
      <c r="G22" s="4"/>
      <c r="H22" s="10" t="n">
        <f aca="false">SUM(E22:F22)-G22</f>
        <v>200</v>
      </c>
      <c r="I22" s="1" t="s">
        <v>27</v>
      </c>
      <c r="J22" s="1" t="n">
        <v>170</v>
      </c>
      <c r="K22" s="1" t="n">
        <v>2</v>
      </c>
    </row>
    <row r="23" customFormat="false" ht="12.8" hidden="false" customHeight="false" outlineLevel="0" collapsed="false">
      <c r="A23" s="1" t="s">
        <v>28</v>
      </c>
      <c r="B23" s="1" t="n">
        <v>150</v>
      </c>
      <c r="E23" s="2" t="n">
        <v>450</v>
      </c>
      <c r="F23" s="3" t="n">
        <v>0</v>
      </c>
      <c r="G23" s="4"/>
      <c r="H23" s="10" t="n">
        <f aca="false">SUM(E23:F23)-G23</f>
        <v>450</v>
      </c>
      <c r="I23" s="1" t="s">
        <v>16</v>
      </c>
      <c r="J23" s="1" t="n">
        <v>100</v>
      </c>
      <c r="K23" s="1" t="n">
        <v>4</v>
      </c>
    </row>
    <row r="24" customFormat="false" ht="12.8" hidden="false" customHeight="false" outlineLevel="0" collapsed="false">
      <c r="A24" s="1" t="s">
        <v>29</v>
      </c>
      <c r="B24" s="1" t="n">
        <v>150</v>
      </c>
      <c r="E24" s="9" t="n">
        <v>0</v>
      </c>
      <c r="F24" s="3" t="n">
        <v>0</v>
      </c>
      <c r="G24" s="4"/>
      <c r="H24" s="10" t="n">
        <f aca="false">SUM(E24:F24)-G24</f>
        <v>0</v>
      </c>
      <c r="I24" s="1" t="s">
        <v>30</v>
      </c>
      <c r="J24" s="1" t="n">
        <v>20</v>
      </c>
      <c r="K24" s="1" t="n">
        <v>4</v>
      </c>
    </row>
    <row r="25" customFormat="false" ht="12.8" hidden="false" customHeight="false" outlineLevel="0" collapsed="false">
      <c r="A25" s="1" t="s">
        <v>31</v>
      </c>
      <c r="B25" s="1" t="n">
        <v>200</v>
      </c>
      <c r="E25" s="2"/>
      <c r="F25" s="3" t="n">
        <v>0</v>
      </c>
      <c r="G25" s="4"/>
      <c r="H25" s="10" t="n">
        <f aca="false">SUM(E25:F25)-G25</f>
        <v>0</v>
      </c>
      <c r="I25" s="1" t="s">
        <v>32</v>
      </c>
      <c r="J25" s="1" t="n">
        <v>75</v>
      </c>
      <c r="K25" s="1" t="n">
        <v>2</v>
      </c>
    </row>
    <row r="26" customFormat="false" ht="12.8" hidden="false" customHeight="false" outlineLevel="0" collapsed="false">
      <c r="A26" s="1" t="s">
        <v>33</v>
      </c>
      <c r="B26" s="1" t="n">
        <v>200</v>
      </c>
      <c r="E26" s="2"/>
      <c r="F26" s="3" t="n">
        <v>0</v>
      </c>
      <c r="G26" s="4"/>
      <c r="H26" s="10" t="n">
        <f aca="false">SUM(E26:F26)-G26</f>
        <v>0</v>
      </c>
    </row>
    <row r="27" customFormat="false" ht="12.8" hidden="false" customHeight="false" outlineLevel="0" collapsed="false">
      <c r="A27" s="1" t="s">
        <v>34</v>
      </c>
      <c r="E27" s="11" t="n">
        <v>353.5</v>
      </c>
      <c r="F27" s="3"/>
      <c r="G27" s="12" t="n">
        <f aca="false">575/2+100</f>
        <v>387.5</v>
      </c>
      <c r="H27" s="10" t="n">
        <f aca="false">SUM(E27:F27)-G27</f>
        <v>-34</v>
      </c>
      <c r="I27" s="1" t="n">
        <f aca="false">SUM(E27:E51)</f>
        <v>3407.81545368259</v>
      </c>
    </row>
    <row r="28" customFormat="false" ht="12.8" hidden="false" customHeight="false" outlineLevel="0" collapsed="false">
      <c r="A28" s="1" t="s">
        <v>35</v>
      </c>
      <c r="E28" s="11" t="n">
        <v>535.2</v>
      </c>
      <c r="F28" s="3"/>
      <c r="G28" s="12" t="n">
        <f aca="false">575/2+203</f>
        <v>490.5</v>
      </c>
      <c r="H28" s="10" t="n">
        <f aca="false">SUM(E28:F28)-G28</f>
        <v>44.7</v>
      </c>
    </row>
    <row r="29" customFormat="false" ht="12.8" hidden="false" customHeight="false" outlineLevel="0" collapsed="false">
      <c r="A29" s="1" t="s">
        <v>36</v>
      </c>
      <c r="E29" s="11" t="n">
        <v>250</v>
      </c>
      <c r="F29" s="3"/>
      <c r="G29" s="4" t="n">
        <f aca="false">13.92+15.59+22.07+36.4+50+47+27</f>
        <v>211.98</v>
      </c>
      <c r="H29" s="10" t="n">
        <f aca="false">SUM(E29:F29)-G29</f>
        <v>38.02</v>
      </c>
    </row>
    <row r="30" customFormat="false" ht="12.8" hidden="false" customHeight="false" outlineLevel="0" collapsed="false">
      <c r="A30" s="1" t="s">
        <v>37</v>
      </c>
      <c r="E30" s="11" t="n">
        <v>349.115453682589</v>
      </c>
      <c r="F30" s="3"/>
      <c r="G30" s="4" t="n">
        <f aca="false">162+160</f>
        <v>322</v>
      </c>
      <c r="H30" s="10" t="n">
        <f aca="false">SUM(E30:F30)-G30</f>
        <v>27.115453682589</v>
      </c>
    </row>
    <row r="31" customFormat="false" ht="12.8" hidden="false" customHeight="false" outlineLevel="0" collapsed="false">
      <c r="A31" s="1" t="s">
        <v>38</v>
      </c>
      <c r="E31" s="11" t="n">
        <v>300</v>
      </c>
      <c r="F31" s="3"/>
      <c r="G31" s="4"/>
      <c r="H31" s="10" t="n">
        <f aca="false">SUM(E31:F31)-G31</f>
        <v>300</v>
      </c>
    </row>
    <row r="32" customFormat="false" ht="12.8" hidden="false" customHeight="false" outlineLevel="0" collapsed="false">
      <c r="A32" s="1" t="s">
        <v>39</v>
      </c>
      <c r="E32" s="11" t="n">
        <v>200</v>
      </c>
      <c r="F32" s="3"/>
      <c r="G32" s="4" t="n">
        <v>140</v>
      </c>
      <c r="H32" s="10" t="n">
        <f aca="false">SUM(E32:F32)-G32</f>
        <v>60</v>
      </c>
    </row>
    <row r="33" customFormat="false" ht="12.8" hidden="false" customHeight="false" outlineLevel="0" collapsed="false">
      <c r="A33" s="1" t="s">
        <v>40</v>
      </c>
      <c r="E33" s="11" t="n">
        <v>60</v>
      </c>
      <c r="F33" s="3"/>
      <c r="G33" s="4" t="n">
        <v>55</v>
      </c>
      <c r="H33" s="10" t="n">
        <f aca="false">SUM(E33:F33)-G33</f>
        <v>5</v>
      </c>
    </row>
    <row r="34" customFormat="false" ht="12.8" hidden="false" customHeight="false" outlineLevel="0" collapsed="false">
      <c r="A34" s="1" t="s">
        <v>41</v>
      </c>
      <c r="E34" s="11" t="n">
        <v>60</v>
      </c>
      <c r="F34" s="3"/>
      <c r="G34" s="4" t="n">
        <v>55</v>
      </c>
      <c r="H34" s="10" t="n">
        <f aca="false">SUM(E34:F34)-G34</f>
        <v>5</v>
      </c>
    </row>
    <row r="35" customFormat="false" ht="12.8" hidden="false" customHeight="false" outlineLevel="0" collapsed="false">
      <c r="A35" s="1" t="s">
        <v>42</v>
      </c>
      <c r="E35" s="11" t="n">
        <v>60</v>
      </c>
      <c r="F35" s="3"/>
      <c r="G35" s="4" t="n">
        <f aca="false">85+20</f>
        <v>105</v>
      </c>
      <c r="H35" s="10" t="n">
        <f aca="false">SUM(E35:F35)-G35</f>
        <v>-45</v>
      </c>
    </row>
    <row r="36" customFormat="false" ht="12.8" hidden="false" customHeight="false" outlineLevel="0" collapsed="false">
      <c r="A36" s="1" t="s">
        <v>43</v>
      </c>
      <c r="E36" s="11" t="n">
        <v>40</v>
      </c>
      <c r="F36" s="3"/>
      <c r="G36" s="4"/>
      <c r="H36" s="10" t="n">
        <f aca="false">SUM(E36:F36)-G36</f>
        <v>40</v>
      </c>
    </row>
    <row r="37" customFormat="false" ht="12.8" hidden="false" customHeight="false" outlineLevel="0" collapsed="false">
      <c r="A37" s="1" t="s">
        <v>44</v>
      </c>
      <c r="E37" s="11" t="n">
        <v>100</v>
      </c>
      <c r="F37" s="3"/>
      <c r="G37" s="4"/>
      <c r="H37" s="10" t="n">
        <f aca="false">SUM(E37:F37)-G37</f>
        <v>100</v>
      </c>
    </row>
    <row r="38" customFormat="false" ht="12.8" hidden="false" customHeight="false" outlineLevel="0" collapsed="false">
      <c r="A38" s="1" t="s">
        <v>45</v>
      </c>
      <c r="E38" s="11" t="n">
        <v>40</v>
      </c>
      <c r="F38" s="3"/>
      <c r="G38" s="4"/>
      <c r="H38" s="10" t="n">
        <f aca="false">SUM(E38:F38)-G38</f>
        <v>40</v>
      </c>
    </row>
    <row r="39" customFormat="false" ht="12.8" hidden="false" customHeight="false" outlineLevel="0" collapsed="false">
      <c r="A39" s="1" t="s">
        <v>46</v>
      </c>
      <c r="E39" s="11" t="n">
        <v>90</v>
      </c>
      <c r="F39" s="3"/>
      <c r="G39" s="4"/>
      <c r="H39" s="10" t="n">
        <f aca="false">SUM(E39:F39)-G39</f>
        <v>90</v>
      </c>
    </row>
    <row r="40" customFormat="false" ht="12.8" hidden="false" customHeight="false" outlineLevel="0" collapsed="false">
      <c r="A40" s="1" t="s">
        <v>47</v>
      </c>
      <c r="E40" s="11" t="n">
        <v>250</v>
      </c>
      <c r="F40" s="3"/>
      <c r="G40" s="4" t="n">
        <f aca="false">275+20</f>
        <v>295</v>
      </c>
      <c r="H40" s="10" t="n">
        <f aca="false">SUM(E40:F40)-G40</f>
        <v>-45</v>
      </c>
    </row>
    <row r="41" customFormat="false" ht="12.8" hidden="false" customHeight="false" outlineLevel="0" collapsed="false">
      <c r="A41" s="1" t="s">
        <v>48</v>
      </c>
      <c r="E41" s="11" t="n">
        <v>200</v>
      </c>
      <c r="F41" s="3"/>
      <c r="G41" s="4" t="n">
        <v>200</v>
      </c>
      <c r="H41" s="10" t="n">
        <f aca="false">SUM(E41:F41)-G41</f>
        <v>0</v>
      </c>
    </row>
    <row r="42" customFormat="false" ht="12.8" hidden="false" customHeight="false" outlineLevel="0" collapsed="false">
      <c r="A42" s="1" t="s">
        <v>49</v>
      </c>
      <c r="E42" s="11" t="n">
        <v>200</v>
      </c>
      <c r="F42" s="3"/>
      <c r="G42" s="4" t="n">
        <v>200</v>
      </c>
      <c r="H42" s="10" t="n">
        <f aca="false">SUM(E42:F42)-G42</f>
        <v>0</v>
      </c>
    </row>
    <row r="43" customFormat="false" ht="12.8" hidden="false" customHeight="false" outlineLevel="0" collapsed="false">
      <c r="A43" s="1" t="s">
        <v>50</v>
      </c>
      <c r="E43" s="11" t="n">
        <v>40</v>
      </c>
      <c r="F43" s="3"/>
      <c r="G43" s="12" t="n">
        <f aca="false">95/3</f>
        <v>31.6666666666667</v>
      </c>
      <c r="H43" s="10" t="n">
        <f aca="false">SUM(E43:F43)-G43</f>
        <v>8.33333333333333</v>
      </c>
    </row>
    <row r="44" customFormat="false" ht="12.8" hidden="false" customHeight="false" outlineLevel="0" collapsed="false">
      <c r="A44" s="1" t="s">
        <v>51</v>
      </c>
      <c r="E44" s="11" t="n">
        <v>40</v>
      </c>
      <c r="F44" s="3"/>
      <c r="G44" s="12" t="n">
        <f aca="false">95/3</f>
        <v>31.6666666666667</v>
      </c>
      <c r="H44" s="10" t="n">
        <f aca="false">SUM(E44:F44)-G44</f>
        <v>8.33333333333333</v>
      </c>
    </row>
    <row r="45" customFormat="false" ht="12.8" hidden="false" customHeight="false" outlineLevel="0" collapsed="false">
      <c r="A45" s="1" t="s">
        <v>52</v>
      </c>
      <c r="E45" s="11" t="n">
        <v>40</v>
      </c>
      <c r="F45" s="3"/>
      <c r="G45" s="12" t="n">
        <f aca="false">95/3</f>
        <v>31.6666666666667</v>
      </c>
      <c r="H45" s="10" t="n">
        <f aca="false">SUM(E45:F45)-G45</f>
        <v>8.33333333333333</v>
      </c>
    </row>
    <row r="46" customFormat="false" ht="12.8" hidden="false" customHeight="false" outlineLevel="0" collapsed="false">
      <c r="A46" s="1" t="s">
        <v>53</v>
      </c>
      <c r="E46" s="11" t="n">
        <v>40</v>
      </c>
      <c r="F46" s="3"/>
      <c r="G46" s="4" t="n">
        <v>0</v>
      </c>
      <c r="H46" s="10" t="n">
        <f aca="false">SUM(E46:F46)-G46</f>
        <v>40</v>
      </c>
    </row>
    <row r="47" customFormat="false" ht="12.8" hidden="false" customHeight="false" outlineLevel="0" collapsed="false">
      <c r="A47" s="1" t="s">
        <v>54</v>
      </c>
      <c r="E47" s="11" t="n">
        <v>40</v>
      </c>
      <c r="F47" s="3"/>
      <c r="G47" s="4"/>
      <c r="H47" s="10" t="n">
        <f aca="false">SUM(E47:F47)-G47</f>
        <v>40</v>
      </c>
    </row>
    <row r="48" customFormat="false" ht="12.8" hidden="false" customHeight="false" outlineLevel="0" collapsed="false">
      <c r="A48" s="1" t="s">
        <v>55</v>
      </c>
      <c r="E48" s="11" t="n">
        <v>40</v>
      </c>
      <c r="F48" s="3"/>
      <c r="G48" s="4" t="n">
        <v>15</v>
      </c>
      <c r="H48" s="10" t="n">
        <f aca="false">SUM(E48:F48)-G48</f>
        <v>25</v>
      </c>
    </row>
    <row r="49" customFormat="false" ht="12.8" hidden="false" customHeight="false" outlineLevel="0" collapsed="false">
      <c r="A49" s="1" t="s">
        <v>56</v>
      </c>
      <c r="E49" s="11" t="n">
        <v>40</v>
      </c>
      <c r="F49" s="3"/>
      <c r="G49" s="4"/>
      <c r="H49" s="10" t="n">
        <f aca="false">SUM(E49:F49)-G49</f>
        <v>40</v>
      </c>
    </row>
    <row r="50" customFormat="false" ht="12.8" hidden="false" customHeight="false" outlineLevel="0" collapsed="false">
      <c r="A50" s="1" t="s">
        <v>57</v>
      </c>
      <c r="E50" s="11" t="n">
        <v>40</v>
      </c>
      <c r="F50" s="3"/>
      <c r="G50" s="4"/>
      <c r="H50" s="10" t="n">
        <f aca="false">SUM(E50:F50)-G50</f>
        <v>40</v>
      </c>
    </row>
    <row r="51" customFormat="false" ht="12.8" hidden="false" customHeight="false" outlineLevel="0" collapsed="false">
      <c r="E51" s="11"/>
      <c r="F51" s="3"/>
      <c r="G51" s="4"/>
      <c r="H51" s="10" t="n">
        <f aca="false">SUM(E51:F51)-G51</f>
        <v>0</v>
      </c>
    </row>
    <row r="52" customFormat="false" ht="12.8" hidden="false" customHeight="false" outlineLevel="0" collapsed="false">
      <c r="A52" s="1" t="s">
        <v>58</v>
      </c>
      <c r="F52" s="1" t="n">
        <v>0</v>
      </c>
      <c r="G52" s="1" t="n">
        <f aca="false">160+155.06+32+57+32+56</f>
        <v>492.06</v>
      </c>
      <c r="H52" s="10" t="n">
        <f aca="false">SUM(E52:F52)-G52</f>
        <v>-492.06</v>
      </c>
    </row>
    <row r="63" customFormat="false" ht="12.8" hidden="false" customHeight="false" outlineLevel="0" collapsed="false">
      <c r="A63" s="1" t="n">
        <v>50000</v>
      </c>
    </row>
    <row r="64" customFormat="false" ht="12.8" hidden="false" customHeight="false" outlineLevel="0" collapsed="false">
      <c r="A64" s="1" t="n">
        <v>90000</v>
      </c>
      <c r="C64" s="1" t="n">
        <v>0.6</v>
      </c>
      <c r="D64" s="1" t="n">
        <v>0.7</v>
      </c>
    </row>
    <row r="65" customFormat="false" ht="12.8" hidden="false" customHeight="false" outlineLevel="0" collapsed="false">
      <c r="A65" s="1" t="n">
        <f aca="false">SUM(A63:A64)</f>
        <v>140000</v>
      </c>
      <c r="B65" s="8" t="n">
        <f aca="false">A65*1.95583</f>
        <v>273816.2</v>
      </c>
      <c r="C65" s="8" t="n">
        <f aca="false">B65*C64</f>
        <v>164289.72</v>
      </c>
      <c r="D65" s="8" t="n">
        <f aca="false">B65*D64</f>
        <v>191671.34</v>
      </c>
    </row>
    <row r="66" customFormat="false" ht="12.8" hidden="false" customHeight="false" outlineLevel="0" collapsed="false">
      <c r="B66" s="1" t="n">
        <v>173000</v>
      </c>
      <c r="C66" s="1" t="n">
        <f aca="false">B66/B65</f>
        <v>0.631810681763899</v>
      </c>
    </row>
    <row r="68" customFormat="false" ht="12.8" hidden="false" customHeight="false" outlineLevel="0" collapsed="false">
      <c r="A68" s="1" t="n">
        <v>0.25</v>
      </c>
    </row>
    <row r="69" customFormat="false" ht="12.8" hidden="false" customHeight="false" outlineLevel="0" collapsed="false">
      <c r="A69" s="1" t="n">
        <v>172000</v>
      </c>
    </row>
    <row r="70" customFormat="false" ht="12.8" hidden="false" customHeight="false" outlineLevel="0" collapsed="false">
      <c r="A70" s="13" t="n">
        <f aca="false">A68/100*A69</f>
        <v>430</v>
      </c>
    </row>
    <row r="73" customFormat="false" ht="12.8" hidden="false" customHeight="false" outlineLevel="0" collapsed="false">
      <c r="A73" s="1" t="s">
        <v>59</v>
      </c>
      <c r="B73" s="1" t="n">
        <v>4147</v>
      </c>
    </row>
    <row r="74" customFormat="false" ht="12.8" hidden="false" customHeight="false" outlineLevel="0" collapsed="false">
      <c r="A74" s="1" t="s">
        <v>60</v>
      </c>
      <c r="B74" s="1" t="n">
        <v>1227</v>
      </c>
    </row>
    <row r="75" customFormat="false" ht="12.8" hidden="false" customHeight="false" outlineLevel="0" collapsed="false">
      <c r="B75" s="1" t="n">
        <f aca="false">SUM(B73:B74)</f>
        <v>5374</v>
      </c>
    </row>
    <row r="77" customFormat="false" ht="12.8" hidden="false" customHeight="false" outlineLevel="0" collapsed="false">
      <c r="A77" s="1" t="s">
        <v>61</v>
      </c>
      <c r="B77" s="1" t="n">
        <v>120</v>
      </c>
      <c r="C77" s="1" t="n">
        <v>80</v>
      </c>
      <c r="D77" s="1" t="n">
        <f aca="false">B77*C77</f>
        <v>9600</v>
      </c>
    </row>
    <row r="78" customFormat="false" ht="12.8" hidden="false" customHeight="false" outlineLevel="0" collapsed="false">
      <c r="A78" s="1" t="s">
        <v>62</v>
      </c>
      <c r="C78" s="1" t="n">
        <f aca="false">SQRT(D77/3.14)</f>
        <v>55.293081310091</v>
      </c>
    </row>
    <row r="79" customFormat="false" ht="12.8" hidden="false" customHeight="false" outlineLevel="0" collapsed="false">
      <c r="B79" s="1" t="n">
        <v>55</v>
      </c>
      <c r="D79" s="14" t="n">
        <f aca="false">POWER(B79,2)*PI()</f>
        <v>9503.31777710913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211</v>
      </c>
      <c r="C1" s="1" t="s">
        <v>212</v>
      </c>
      <c r="D1" s="24" t="s">
        <v>213</v>
      </c>
    </row>
    <row r="2" customFormat="false" ht="15" hidden="false" customHeight="false" outlineLevel="0" collapsed="false">
      <c r="A2" s="25" t="n">
        <f aca="false">SUM(B5:F7)+2*G7</f>
        <v>908.56</v>
      </c>
      <c r="B2" s="26" t="s">
        <v>214</v>
      </c>
      <c r="D2" s="24"/>
    </row>
    <row r="3" customFormat="false" ht="15" hidden="false" customHeight="false" outlineLevel="0" collapsed="false">
      <c r="A3" s="25" t="n">
        <f aca="false">SUM(B5:F7)+G7</f>
        <v>754.26</v>
      </c>
      <c r="B3" s="26" t="s">
        <v>215</v>
      </c>
      <c r="D3" s="24"/>
    </row>
    <row r="4" customFormat="false" ht="12.8" hidden="false" customHeight="false" outlineLevel="0" collapsed="false">
      <c r="A4" s="27"/>
      <c r="B4" s="1" t="s">
        <v>216</v>
      </c>
      <c r="C4" s="1" t="s">
        <v>217</v>
      </c>
      <c r="D4" s="1" t="s">
        <v>218</v>
      </c>
      <c r="E4" s="1" t="s">
        <v>219</v>
      </c>
      <c r="G4" s="1" t="s">
        <v>220</v>
      </c>
    </row>
    <row r="5" customFormat="false" ht="12.8" hidden="false" customHeight="false" outlineLevel="0" collapsed="false">
      <c r="A5" s="1" t="s">
        <v>221</v>
      </c>
      <c r="B5" s="13" t="n">
        <f aca="false">B11*B8</f>
        <v>204.12</v>
      </c>
      <c r="C5" s="13" t="n">
        <f aca="false">C11*C8</f>
        <v>94.38</v>
      </c>
      <c r="D5" s="13" t="n">
        <f aca="false">D11*D8</f>
        <v>19.88</v>
      </c>
      <c r="E5" s="13" t="n">
        <f aca="false">E11*E8</f>
        <v>223.02</v>
      </c>
      <c r="F5" s="13"/>
      <c r="G5" s="13" t="n">
        <f aca="false">G11*G8</f>
        <v>165.24</v>
      </c>
    </row>
    <row r="6" customFormat="false" ht="12.8" hidden="false" customHeight="false" outlineLevel="0" collapsed="false">
      <c r="A6" s="1" t="s">
        <v>221</v>
      </c>
      <c r="B6" s="13" t="n">
        <f aca="false">B12*B9</f>
        <v>58.56</v>
      </c>
      <c r="C6" s="13" t="n">
        <f aca="false">C12*C9</f>
        <v>0</v>
      </c>
      <c r="D6" s="13" t="n">
        <f aca="false">D12*D9</f>
        <v>0</v>
      </c>
      <c r="E6" s="13" t="n">
        <f aca="false">E12*E9</f>
        <v>0</v>
      </c>
      <c r="F6" s="13"/>
      <c r="G6" s="13" t="n">
        <f aca="false">G12*G9</f>
        <v>155.97</v>
      </c>
    </row>
    <row r="7" customFormat="false" ht="15" hidden="false" customHeight="false" outlineLevel="0" collapsed="false">
      <c r="B7" s="13" t="n">
        <f aca="false">B13*B10</f>
        <v>0</v>
      </c>
      <c r="G7" s="28" t="n">
        <f aca="false">G13*G10</f>
        <v>154.3</v>
      </c>
    </row>
    <row r="8" customFormat="false" ht="12.8" hidden="false" customHeight="false" outlineLevel="0" collapsed="false">
      <c r="A8" s="1" t="s">
        <v>222</v>
      </c>
      <c r="B8" s="29" t="s">
        <v>223</v>
      </c>
      <c r="C8" s="29" t="s">
        <v>224</v>
      </c>
      <c r="D8" s="29" t="s">
        <v>225</v>
      </c>
      <c r="E8" s="29" t="s">
        <v>226</v>
      </c>
      <c r="G8" s="29" t="s">
        <v>227</v>
      </c>
    </row>
    <row r="9" customFormat="false" ht="12.8" hidden="false" customHeight="false" outlineLevel="0" collapsed="false">
      <c r="B9" s="29" t="s">
        <v>228</v>
      </c>
      <c r="C9" s="29" t="s">
        <v>229</v>
      </c>
      <c r="D9" s="29" t="s">
        <v>225</v>
      </c>
      <c r="E9" s="29" t="s">
        <v>230</v>
      </c>
      <c r="G9" s="29" t="s">
        <v>231</v>
      </c>
    </row>
    <row r="10" customFormat="false" ht="12.8" hidden="false" customHeight="false" outlineLevel="0" collapsed="false">
      <c r="G10" s="29" t="s">
        <v>232</v>
      </c>
    </row>
    <row r="11" customFormat="false" ht="15" hidden="false" customHeight="false" outlineLevel="0" collapsed="false">
      <c r="A11" s="1" t="s">
        <v>208</v>
      </c>
      <c r="B11" s="30" t="n">
        <f aca="false">B27+B42</f>
        <v>21</v>
      </c>
      <c r="C11" s="30" t="n">
        <f aca="false">C27+C42+C72+C87</f>
        <v>22</v>
      </c>
      <c r="D11" s="30" t="n">
        <f aca="false">D27+D42+D87</f>
        <v>71</v>
      </c>
      <c r="E11" s="30" t="n">
        <f aca="false">ROUNDUP((E33+E48+E78+E93)/1.2/2,0)+1</f>
        <v>18</v>
      </c>
      <c r="G11" s="1" t="n">
        <f aca="false">ROUNDUP(G17/18,0)</f>
        <v>3</v>
      </c>
    </row>
    <row r="12" customFormat="false" ht="15" hidden="false" customHeight="false" outlineLevel="0" collapsed="false">
      <c r="A12" s="1" t="s">
        <v>233</v>
      </c>
      <c r="B12" s="30" t="n">
        <f aca="false">B73+B88</f>
        <v>8</v>
      </c>
      <c r="C12" s="30"/>
      <c r="D12" s="30"/>
      <c r="E12" s="30"/>
      <c r="G12" s="1" t="n">
        <f aca="false">ROUNDUP(G17/15.6,0)</f>
        <v>3</v>
      </c>
    </row>
    <row r="13" customFormat="false" ht="12.8" hidden="false" customHeight="false" outlineLevel="0" collapsed="false">
      <c r="A13" s="1" t="s">
        <v>234</v>
      </c>
      <c r="B13" s="1" t="n">
        <f aca="false">B29+B44+B74+B89</f>
        <v>22</v>
      </c>
      <c r="G13" s="31" t="n">
        <f aca="false">ROUND(G17/19.68,0)</f>
        <v>2</v>
      </c>
    </row>
    <row r="14" customFormat="false" ht="12.8" hidden="false" customHeight="false" outlineLevel="0" collapsed="false">
      <c r="A14" s="1" t="s">
        <v>235</v>
      </c>
      <c r="B14" s="1" t="n">
        <v>0.4</v>
      </c>
      <c r="C14" s="1" t="n">
        <v>3</v>
      </c>
      <c r="D14" s="31" t="n">
        <v>1.15</v>
      </c>
      <c r="E14" s="1" t="n">
        <f aca="false">2*1.2</f>
        <v>2.4</v>
      </c>
    </row>
    <row r="15" customFormat="false" ht="12.8" hidden="false" customHeight="false" outlineLevel="0" collapsed="false">
      <c r="A15" s="1" t="s">
        <v>236</v>
      </c>
      <c r="B15" s="1" t="n">
        <v>0.5</v>
      </c>
      <c r="C15" s="1" t="n">
        <v>4</v>
      </c>
      <c r="D15" s="1" t="n">
        <v>1.05</v>
      </c>
      <c r="E15" s="1" t="n">
        <f aca="false">2.6*1.2</f>
        <v>3.12</v>
      </c>
    </row>
    <row r="16" customFormat="false" ht="12.8" hidden="false" customHeight="false" outlineLevel="0" collapsed="false">
      <c r="A16" s="1" t="s">
        <v>237</v>
      </c>
      <c r="B16" s="1" t="n">
        <v>0.6</v>
      </c>
    </row>
    <row r="17" customFormat="false" ht="12.8" hidden="false" customHeight="false" outlineLevel="0" collapsed="false">
      <c r="A17" s="1" t="s">
        <v>238</v>
      </c>
      <c r="B17" s="1" t="n">
        <v>5.75</v>
      </c>
      <c r="C17" s="1" t="n">
        <f aca="false">5.75+3.1+3.7+0.6+5.75</f>
        <v>18.9</v>
      </c>
      <c r="D17" s="1" t="n">
        <v>3.7</v>
      </c>
      <c r="E17" s="1" t="n">
        <f aca="false">3.7*5.75-2.6*(3.75-3.1)</f>
        <v>19.585</v>
      </c>
      <c r="G17" s="1" t="n">
        <f aca="false">G33+G48+G78+G93</f>
        <v>40.576</v>
      </c>
    </row>
    <row r="18" customFormat="false" ht="12.8" hidden="false" customHeight="false" outlineLevel="0" collapsed="false">
      <c r="D18" s="24"/>
    </row>
    <row r="19" customFormat="false" ht="12.8" hidden="false" customHeight="false" outlineLevel="0" collapsed="false">
      <c r="A19" s="31" t="s">
        <v>65</v>
      </c>
    </row>
    <row r="20" customFormat="false" ht="12.8" hidden="false" customHeight="false" outlineLevel="0" collapsed="false">
      <c r="A20" s="27" t="n">
        <f aca="false">SUM(B21:E21)</f>
        <v>289.38</v>
      </c>
      <c r="B20" s="1" t="s">
        <v>216</v>
      </c>
      <c r="C20" s="1" t="s">
        <v>239</v>
      </c>
      <c r="D20" s="1" t="s">
        <v>218</v>
      </c>
      <c r="E20" s="1" t="s">
        <v>219</v>
      </c>
      <c r="G20" s="1" t="s">
        <v>220</v>
      </c>
    </row>
    <row r="21" customFormat="false" ht="12.8" hidden="false" customHeight="false" outlineLevel="0" collapsed="false">
      <c r="A21" s="1" t="s">
        <v>221</v>
      </c>
      <c r="B21" s="13" t="n">
        <f aca="false">B27*B24</f>
        <v>136.08</v>
      </c>
      <c r="C21" s="13" t="n">
        <f aca="false">C27*C24</f>
        <v>30.03</v>
      </c>
      <c r="D21" s="13" t="n">
        <f aca="false">D27*D24</f>
        <v>11.76</v>
      </c>
      <c r="E21" s="13" t="n">
        <f aca="false">E27*E24</f>
        <v>111.51</v>
      </c>
      <c r="F21" s="13"/>
      <c r="G21" s="13" t="n">
        <f aca="false">G27*G24</f>
        <v>110.16</v>
      </c>
    </row>
    <row r="22" customFormat="false" ht="12.8" hidden="false" customHeight="false" outlineLevel="0" collapsed="false">
      <c r="A22" s="1" t="s">
        <v>221</v>
      </c>
      <c r="B22" s="13" t="n">
        <f aca="false">B28*B25</f>
        <v>116.64</v>
      </c>
      <c r="C22" s="13" t="n">
        <f aca="false">C28*C25</f>
        <v>28.8</v>
      </c>
      <c r="D22" s="13" t="n">
        <f aca="false">D28*D25</f>
        <v>13.44</v>
      </c>
      <c r="E22" s="13" t="n">
        <f aca="false">E28*E25</f>
        <v>116.13</v>
      </c>
      <c r="F22" s="13"/>
      <c r="G22" s="13" t="n">
        <f aca="false">G28*G25</f>
        <v>103.98</v>
      </c>
    </row>
    <row r="23" customFormat="false" ht="12.8" hidden="false" customHeight="false" outlineLevel="0" collapsed="false">
      <c r="B23" s="13" t="n">
        <f aca="false">B29*B26</f>
        <v>97.2</v>
      </c>
      <c r="G23" s="13" t="n">
        <f aca="false">G29*G26</f>
        <v>77.15</v>
      </c>
    </row>
    <row r="24" customFormat="false" ht="12.8" hidden="false" customHeight="false" outlineLevel="0" collapsed="false">
      <c r="A24" s="1" t="s">
        <v>222</v>
      </c>
      <c r="B24" s="29" t="s">
        <v>223</v>
      </c>
      <c r="C24" s="29" t="s">
        <v>224</v>
      </c>
      <c r="D24" s="29" t="s">
        <v>225</v>
      </c>
      <c r="E24" s="29" t="s">
        <v>226</v>
      </c>
      <c r="G24" s="29" t="s">
        <v>227</v>
      </c>
    </row>
    <row r="25" customFormat="false" ht="12.8" hidden="false" customHeight="false" outlineLevel="0" collapsed="false">
      <c r="B25" s="29" t="s">
        <v>223</v>
      </c>
      <c r="C25" s="29" t="s">
        <v>229</v>
      </c>
      <c r="D25" s="29" t="s">
        <v>225</v>
      </c>
      <c r="E25" s="29" t="s">
        <v>230</v>
      </c>
      <c r="G25" s="29" t="s">
        <v>231</v>
      </c>
    </row>
    <row r="26" customFormat="false" ht="12.8" hidden="false" customHeight="false" outlineLevel="0" collapsed="false">
      <c r="B26" s="29" t="s">
        <v>223</v>
      </c>
      <c r="G26" s="29" t="s">
        <v>232</v>
      </c>
    </row>
    <row r="27" customFormat="false" ht="12.8" hidden="false" customHeight="false" outlineLevel="0" collapsed="false">
      <c r="A27" s="1" t="s">
        <v>208</v>
      </c>
      <c r="B27" s="1" t="n">
        <f aca="false">ROUNDUP((B$33-2*0.1)/B$30,0)</f>
        <v>14</v>
      </c>
      <c r="C27" s="1" t="n">
        <f aca="false">ROUNDUP((C$33-2*0.1)/C$30,0)</f>
        <v>7</v>
      </c>
      <c r="D27" s="1" t="n">
        <f aca="false">ROUNDUP((D$33-2*0.25)/D30,0)*B27</f>
        <v>42</v>
      </c>
      <c r="E27" s="1" t="n">
        <f aca="false">ROUNDUP(E$33/E30,0)</f>
        <v>9</v>
      </c>
      <c r="G27" s="1" t="n">
        <f aca="false">ROUNDUP(G33/18,0)</f>
        <v>2</v>
      </c>
    </row>
    <row r="28" customFormat="false" ht="12.8" hidden="false" customHeight="false" outlineLevel="0" collapsed="false">
      <c r="A28" s="1" t="s">
        <v>233</v>
      </c>
      <c r="B28" s="1" t="n">
        <f aca="false">ROUNDUP((B$33-2*0.1)/B$31,0)</f>
        <v>12</v>
      </c>
      <c r="C28" s="1" t="n">
        <f aca="false">ROUNDUP((C$33-2*0.1)/C$31,0)</f>
        <v>5</v>
      </c>
      <c r="D28" s="1" t="n">
        <f aca="false">ROUNDUP((D$33-2*0.25)/D31,0)*B28</f>
        <v>48</v>
      </c>
      <c r="E28" s="1" t="n">
        <f aca="false">ROUNDUP(E$33/E31,0)</f>
        <v>7</v>
      </c>
      <c r="G28" s="1" t="n">
        <f aca="false">ROUNDUP(G33/15.6,0)</f>
        <v>2</v>
      </c>
    </row>
    <row r="29" customFormat="false" ht="12.8" hidden="false" customHeight="false" outlineLevel="0" collapsed="false">
      <c r="A29" s="1" t="s">
        <v>234</v>
      </c>
      <c r="B29" s="1" t="n">
        <f aca="false">ROUNDUP((B$33-2*0.1)/B$32,0)</f>
        <v>10</v>
      </c>
      <c r="G29" s="1" t="n">
        <f aca="false">ROUNDUP(G33/19.68,0)</f>
        <v>1</v>
      </c>
    </row>
    <row r="30" customFormat="false" ht="12.8" hidden="false" customHeight="false" outlineLevel="0" collapsed="false">
      <c r="A30" s="1" t="s">
        <v>235</v>
      </c>
      <c r="B30" s="1" t="n">
        <v>0.4</v>
      </c>
      <c r="C30" s="1" t="n">
        <v>3</v>
      </c>
      <c r="D30" s="31" t="n">
        <v>1.15</v>
      </c>
      <c r="E30" s="1" t="n">
        <f aca="false">2*1.2</f>
        <v>2.4</v>
      </c>
    </row>
    <row r="31" customFormat="false" ht="12.8" hidden="false" customHeight="false" outlineLevel="0" collapsed="false">
      <c r="A31" s="1" t="s">
        <v>236</v>
      </c>
      <c r="B31" s="1" t="n">
        <v>0.5</v>
      </c>
      <c r="C31" s="1" t="n">
        <v>4</v>
      </c>
      <c r="D31" s="1" t="n">
        <v>1.05</v>
      </c>
      <c r="E31" s="1" t="n">
        <f aca="false">2.6*1.2</f>
        <v>3.12</v>
      </c>
    </row>
    <row r="32" customFormat="false" ht="12.8" hidden="false" customHeight="false" outlineLevel="0" collapsed="false">
      <c r="A32" s="1" t="s">
        <v>237</v>
      </c>
      <c r="B32" s="1" t="n">
        <v>0.6</v>
      </c>
    </row>
    <row r="33" customFormat="false" ht="12.8" hidden="false" customHeight="false" outlineLevel="0" collapsed="false">
      <c r="A33" s="1" t="s">
        <v>238</v>
      </c>
      <c r="B33" s="1" t="n">
        <v>5.75</v>
      </c>
      <c r="C33" s="1" t="n">
        <f aca="false">5.75+3.1+3.7+0.6+5.75</f>
        <v>18.9</v>
      </c>
      <c r="D33" s="1" t="n">
        <v>3.7</v>
      </c>
      <c r="E33" s="1" t="n">
        <f aca="false">3.7*5.75-2.6*(3.75-3.1)</f>
        <v>19.585</v>
      </c>
      <c r="G33" s="1" t="n">
        <f aca="false">E33</f>
        <v>19.585</v>
      </c>
    </row>
    <row r="34" customFormat="false" ht="12.8" hidden="false" customHeight="false" outlineLevel="0" collapsed="false">
      <c r="A34" s="31" t="s">
        <v>240</v>
      </c>
    </row>
    <row r="35" customFormat="false" ht="12.8" hidden="false" customHeight="false" outlineLevel="0" collapsed="false">
      <c r="A35" s="27" t="n">
        <f aca="false">SUM(B36:E36)</f>
        <v>157.32</v>
      </c>
      <c r="B35" s="1" t="s">
        <v>216</v>
      </c>
      <c r="C35" s="1" t="s">
        <v>239</v>
      </c>
      <c r="D35" s="1" t="s">
        <v>218</v>
      </c>
      <c r="E35" s="1" t="s">
        <v>219</v>
      </c>
      <c r="G35" s="1" t="s">
        <v>220</v>
      </c>
    </row>
    <row r="36" customFormat="false" ht="12.8" hidden="false" customHeight="false" outlineLevel="0" collapsed="false">
      <c r="A36" s="1" t="s">
        <v>221</v>
      </c>
      <c r="B36" s="13" t="n">
        <f aca="false">B42*B39</f>
        <v>68.04</v>
      </c>
      <c r="C36" s="13" t="n">
        <f aca="false">C42*C39</f>
        <v>21.45</v>
      </c>
      <c r="D36" s="13" t="n">
        <f aca="false">D42*D39</f>
        <v>5.88</v>
      </c>
      <c r="E36" s="13" t="n">
        <f aca="false">E42*E39</f>
        <v>61.95</v>
      </c>
      <c r="F36" s="13"/>
      <c r="G36" s="13" t="n">
        <f aca="false">G42*G39</f>
        <v>55.08</v>
      </c>
    </row>
    <row r="37" customFormat="false" ht="12.8" hidden="false" customHeight="false" outlineLevel="0" collapsed="false">
      <c r="A37" s="1" t="s">
        <v>221</v>
      </c>
      <c r="B37" s="13" t="n">
        <f aca="false">B43*B40</f>
        <v>58.32</v>
      </c>
      <c r="C37" s="13" t="n">
        <f aca="false">C43*C40</f>
        <v>23.04</v>
      </c>
      <c r="D37" s="13" t="n">
        <f aca="false">D43*D40</f>
        <v>6.72</v>
      </c>
      <c r="E37" s="13" t="n">
        <f aca="false">E43*E40</f>
        <v>66.36</v>
      </c>
      <c r="F37" s="13"/>
      <c r="G37" s="13" t="n">
        <f aca="false">G43*G40</f>
        <v>51.99</v>
      </c>
    </row>
    <row r="38" customFormat="false" ht="12.8" hidden="false" customHeight="false" outlineLevel="0" collapsed="false">
      <c r="B38" s="13" t="n">
        <f aca="false">B44*B41</f>
        <v>48.6</v>
      </c>
      <c r="G38" s="13" t="n">
        <f aca="false">G44*G41</f>
        <v>77.15</v>
      </c>
    </row>
    <row r="39" customFormat="false" ht="12.8" hidden="false" customHeight="false" outlineLevel="0" collapsed="false">
      <c r="A39" s="1" t="s">
        <v>222</v>
      </c>
      <c r="B39" s="29" t="s">
        <v>223</v>
      </c>
      <c r="C39" s="29" t="s">
        <v>224</v>
      </c>
      <c r="D39" s="29" t="s">
        <v>225</v>
      </c>
      <c r="E39" s="29" t="s">
        <v>226</v>
      </c>
      <c r="G39" s="29" t="s">
        <v>227</v>
      </c>
    </row>
    <row r="40" customFormat="false" ht="12.8" hidden="false" customHeight="false" outlineLevel="0" collapsed="false">
      <c r="B40" s="29" t="s">
        <v>223</v>
      </c>
      <c r="C40" s="29" t="s">
        <v>229</v>
      </c>
      <c r="D40" s="29" t="s">
        <v>225</v>
      </c>
      <c r="E40" s="29" t="s">
        <v>230</v>
      </c>
      <c r="G40" s="29" t="s">
        <v>231</v>
      </c>
    </row>
    <row r="41" customFormat="false" ht="12.8" hidden="false" customHeight="false" outlineLevel="0" collapsed="false">
      <c r="B41" s="29" t="s">
        <v>223</v>
      </c>
      <c r="G41" s="29" t="s">
        <v>232</v>
      </c>
    </row>
    <row r="42" customFormat="false" ht="12.8" hidden="false" customHeight="false" outlineLevel="0" collapsed="false">
      <c r="A42" s="1" t="s">
        <v>208</v>
      </c>
      <c r="B42" s="1" t="n">
        <f aca="false">ROUNDUP((B$48-2*0.1)/B$45,0)</f>
        <v>7</v>
      </c>
      <c r="C42" s="1" t="n">
        <f aca="false">ROUNDUP((C$48-2*0.1)/C45,0)</f>
        <v>5</v>
      </c>
      <c r="D42" s="1" t="n">
        <f aca="false">ROUNDUP((D$48-2*0.25)/D45,0)*B42</f>
        <v>21</v>
      </c>
      <c r="E42" s="1" t="n">
        <f aca="false">ROUNDUP(E$48/E45,0)</f>
        <v>5</v>
      </c>
      <c r="G42" s="1" t="n">
        <f aca="false">ROUNDUP(G48/18,0)</f>
        <v>1</v>
      </c>
    </row>
    <row r="43" customFormat="false" ht="12.8" hidden="false" customHeight="false" outlineLevel="0" collapsed="false">
      <c r="A43" s="1" t="s">
        <v>233</v>
      </c>
      <c r="B43" s="1" t="n">
        <f aca="false">ROUNDUP((B$48-2*0.1)/B46,0)</f>
        <v>6</v>
      </c>
      <c r="C43" s="1" t="n">
        <f aca="false">ROUNDUP((C$48-2*0.1)/C46,0)</f>
        <v>4</v>
      </c>
      <c r="D43" s="1" t="n">
        <f aca="false">ROUNDUP((D$48-2*0.25)/D46,0)*B43</f>
        <v>24</v>
      </c>
      <c r="E43" s="1" t="n">
        <f aca="false">ROUNDUP(E$48/E46,0)</f>
        <v>4</v>
      </c>
      <c r="G43" s="1" t="n">
        <f aca="false">ROUNDUP(G48/15.6,0)</f>
        <v>1</v>
      </c>
    </row>
    <row r="44" customFormat="false" ht="12.8" hidden="false" customHeight="false" outlineLevel="0" collapsed="false">
      <c r="A44" s="1" t="s">
        <v>234</v>
      </c>
      <c r="B44" s="1" t="n">
        <f aca="false">ROUNDUP((B$48-2*0.1)/B47,0)</f>
        <v>5</v>
      </c>
      <c r="G44" s="1" t="n">
        <f aca="false">ROUNDUP(G48/19.68,0)</f>
        <v>1</v>
      </c>
    </row>
    <row r="45" customFormat="false" ht="12.8" hidden="false" customHeight="false" outlineLevel="0" collapsed="false">
      <c r="A45" s="1" t="s">
        <v>235</v>
      </c>
      <c r="B45" s="1" t="n">
        <v>0.4</v>
      </c>
      <c r="C45" s="1" t="n">
        <v>3</v>
      </c>
      <c r="D45" s="31" t="n">
        <v>1.15</v>
      </c>
      <c r="E45" s="1" t="n">
        <f aca="false">2*1.2</f>
        <v>2.4</v>
      </c>
    </row>
    <row r="46" customFormat="false" ht="12.8" hidden="false" customHeight="false" outlineLevel="0" collapsed="false">
      <c r="A46" s="1" t="s">
        <v>236</v>
      </c>
      <c r="B46" s="1" t="n">
        <v>0.5</v>
      </c>
      <c r="C46" s="1" t="n">
        <v>4</v>
      </c>
      <c r="D46" s="1" t="n">
        <v>1.05</v>
      </c>
      <c r="E46" s="1" t="n">
        <f aca="false">2.6*1.2</f>
        <v>3.12</v>
      </c>
    </row>
    <row r="47" customFormat="false" ht="12.8" hidden="false" customHeight="false" outlineLevel="0" collapsed="false">
      <c r="A47" s="1" t="s">
        <v>237</v>
      </c>
      <c r="B47" s="1" t="n">
        <v>0.6</v>
      </c>
    </row>
    <row r="48" customFormat="false" ht="12.8" hidden="false" customHeight="false" outlineLevel="0" collapsed="false">
      <c r="A48" s="1" t="s">
        <v>238</v>
      </c>
      <c r="B48" s="1" t="n">
        <v>2.93</v>
      </c>
      <c r="C48" s="1" t="n">
        <f aca="false">2*(2.93+3.75)</f>
        <v>13.36</v>
      </c>
      <c r="D48" s="1" t="n">
        <v>3.7</v>
      </c>
      <c r="E48" s="1" t="n">
        <f aca="false">3.7*2.93</f>
        <v>10.841</v>
      </c>
      <c r="G48" s="1" t="n">
        <f aca="false">E48</f>
        <v>10.841</v>
      </c>
    </row>
    <row r="49" customFormat="false" ht="12.8" hidden="false" customHeight="false" outlineLevel="0" collapsed="false">
      <c r="A49" s="31" t="s">
        <v>241</v>
      </c>
    </row>
    <row r="50" customFormat="false" ht="12.8" hidden="false" customHeight="false" outlineLevel="0" collapsed="false">
      <c r="A50" s="27" t="n">
        <f aca="false">SUM(B51:E51)</f>
        <v>156.84</v>
      </c>
      <c r="B50" s="1" t="s">
        <v>242</v>
      </c>
      <c r="C50" s="1" t="s">
        <v>239</v>
      </c>
      <c r="D50" s="1" t="s">
        <v>218</v>
      </c>
      <c r="E50" s="1" t="s">
        <v>219</v>
      </c>
      <c r="G50" s="1" t="s">
        <v>220</v>
      </c>
    </row>
    <row r="51" customFormat="false" ht="12.8" hidden="false" customHeight="false" outlineLevel="0" collapsed="false">
      <c r="A51" s="1" t="s">
        <v>221</v>
      </c>
      <c r="B51" s="13" t="n">
        <f aca="false">B57*B54</f>
        <v>65.88</v>
      </c>
      <c r="C51" s="13" t="n">
        <f aca="false">C57*C54</f>
        <v>21.45</v>
      </c>
      <c r="D51" s="13" t="n">
        <f aca="false">D57*D54</f>
        <v>7.56</v>
      </c>
      <c r="E51" s="13" t="n">
        <f aca="false">E57*E54</f>
        <v>61.95</v>
      </c>
      <c r="F51" s="13"/>
      <c r="G51" s="13" t="n">
        <f aca="false">G57*G54</f>
        <v>55.08</v>
      </c>
    </row>
    <row r="52" customFormat="false" ht="12.8" hidden="false" customHeight="false" outlineLevel="0" collapsed="false">
      <c r="A52" s="1" t="s">
        <v>221</v>
      </c>
      <c r="B52" s="13" t="n">
        <f aca="false">B58*B55</f>
        <v>51.24</v>
      </c>
      <c r="C52" s="13" t="n">
        <f aca="false">C58*C55</f>
        <v>23.04</v>
      </c>
      <c r="D52" s="13" t="n">
        <f aca="false">D58*D55</f>
        <v>5.88</v>
      </c>
      <c r="E52" s="13" t="n">
        <f aca="false">E58*E55</f>
        <v>66.36</v>
      </c>
      <c r="F52" s="13"/>
      <c r="G52" s="13" t="n">
        <f aca="false">G58*G55</f>
        <v>51.99</v>
      </c>
    </row>
    <row r="53" customFormat="false" ht="12.8" hidden="false" customHeight="false" outlineLevel="0" collapsed="false">
      <c r="B53" s="13" t="n">
        <f aca="false">B59*B56</f>
        <v>43.92</v>
      </c>
      <c r="G53" s="13" t="n">
        <f aca="false">G59*G56</f>
        <v>77.15</v>
      </c>
    </row>
    <row r="54" customFormat="false" ht="12.8" hidden="false" customHeight="false" outlineLevel="0" collapsed="false">
      <c r="A54" s="1" t="s">
        <v>222</v>
      </c>
      <c r="B54" s="29" t="s">
        <v>228</v>
      </c>
      <c r="C54" s="29" t="s">
        <v>224</v>
      </c>
      <c r="D54" s="29" t="s">
        <v>225</v>
      </c>
      <c r="E54" s="29" t="s">
        <v>226</v>
      </c>
      <c r="G54" s="29" t="s">
        <v>227</v>
      </c>
    </row>
    <row r="55" customFormat="false" ht="12.8" hidden="false" customHeight="false" outlineLevel="0" collapsed="false">
      <c r="B55" s="29" t="s">
        <v>228</v>
      </c>
      <c r="C55" s="29" t="s">
        <v>229</v>
      </c>
      <c r="D55" s="29" t="s">
        <v>225</v>
      </c>
      <c r="E55" s="29" t="s">
        <v>230</v>
      </c>
      <c r="G55" s="29" t="s">
        <v>231</v>
      </c>
    </row>
    <row r="56" customFormat="false" ht="12.8" hidden="false" customHeight="false" outlineLevel="0" collapsed="false">
      <c r="B56" s="29" t="s">
        <v>228</v>
      </c>
      <c r="G56" s="29" t="s">
        <v>232</v>
      </c>
    </row>
    <row r="57" customFormat="false" ht="12.8" hidden="false" customHeight="false" outlineLevel="0" collapsed="false">
      <c r="A57" s="1" t="s">
        <v>208</v>
      </c>
      <c r="B57" s="1" t="n">
        <f aca="false">ROUNDUP((B$63-2*0.1)/B60,0)</f>
        <v>9</v>
      </c>
      <c r="C57" s="1" t="n">
        <f aca="false">ROUNDUP((C$63-2*0.1)/C60,0)</f>
        <v>5</v>
      </c>
      <c r="D57" s="1" t="n">
        <f aca="false">ROUNDUP((D$63-2*0.25)/D60,0)*B57</f>
        <v>27</v>
      </c>
      <c r="E57" s="1" t="n">
        <f aca="false">ROUNDUP(E$63/E60,0)</f>
        <v>5</v>
      </c>
      <c r="G57" s="1" t="n">
        <f aca="false">ROUNDUP(G63/18,0)</f>
        <v>1</v>
      </c>
    </row>
    <row r="58" customFormat="false" ht="12.8" hidden="false" customHeight="false" outlineLevel="0" collapsed="false">
      <c r="A58" s="1" t="s">
        <v>233</v>
      </c>
      <c r="B58" s="1" t="n">
        <f aca="false">ROUNDUP((B$63-2*0.1)/B61,0)</f>
        <v>7</v>
      </c>
      <c r="C58" s="1" t="n">
        <f aca="false">ROUNDUP((C$63-2*0.1)/C61,0)</f>
        <v>4</v>
      </c>
      <c r="D58" s="1" t="n">
        <f aca="false">ROUNDUP((D$63-2*0.25)/D61,0)*B58</f>
        <v>21</v>
      </c>
      <c r="E58" s="1" t="n">
        <f aca="false">ROUNDUP(E$63/E61,0)</f>
        <v>4</v>
      </c>
      <c r="G58" s="1" t="n">
        <f aca="false">ROUNDUP(G63/15.6,0)</f>
        <v>1</v>
      </c>
    </row>
    <row r="59" customFormat="false" ht="12.8" hidden="false" customHeight="false" outlineLevel="0" collapsed="false">
      <c r="A59" s="1" t="s">
        <v>234</v>
      </c>
      <c r="B59" s="1" t="n">
        <f aca="false">ROUNDUP((B$63-2*0.1)/B62,0)</f>
        <v>6</v>
      </c>
      <c r="G59" s="1" t="n">
        <f aca="false">ROUNDUP(G63/19.68,0)</f>
        <v>1</v>
      </c>
    </row>
    <row r="60" customFormat="false" ht="12.8" hidden="false" customHeight="false" outlineLevel="0" collapsed="false">
      <c r="A60" s="1" t="s">
        <v>235</v>
      </c>
      <c r="B60" s="1" t="n">
        <v>0.4</v>
      </c>
      <c r="C60" s="1" t="n">
        <v>3</v>
      </c>
      <c r="D60" s="31" t="n">
        <v>1.15</v>
      </c>
      <c r="E60" s="1" t="n">
        <f aca="false">2*1.2</f>
        <v>2.4</v>
      </c>
    </row>
    <row r="61" customFormat="false" ht="12.8" hidden="false" customHeight="false" outlineLevel="0" collapsed="false">
      <c r="A61" s="1" t="s">
        <v>236</v>
      </c>
      <c r="B61" s="1" t="n">
        <v>0.5</v>
      </c>
      <c r="C61" s="1" t="n">
        <v>4</v>
      </c>
      <c r="D61" s="1" t="n">
        <v>1.05</v>
      </c>
      <c r="E61" s="1" t="n">
        <f aca="false">2.6*1.2</f>
        <v>3.12</v>
      </c>
    </row>
    <row r="62" customFormat="false" ht="12.8" hidden="false" customHeight="false" outlineLevel="0" collapsed="false">
      <c r="A62" s="1" t="s">
        <v>237</v>
      </c>
      <c r="B62" s="1" t="n">
        <v>0.6</v>
      </c>
    </row>
    <row r="63" customFormat="false" ht="12.8" hidden="false" customHeight="false" outlineLevel="0" collapsed="false">
      <c r="A63" s="1" t="s">
        <v>238</v>
      </c>
      <c r="B63" s="1" t="n">
        <v>3.7</v>
      </c>
      <c r="C63" s="1" t="n">
        <f aca="false">2*(2.93+3.75)</f>
        <v>13.36</v>
      </c>
      <c r="D63" s="1" t="n">
        <v>2.93</v>
      </c>
      <c r="E63" s="1" t="n">
        <f aca="false">3.7*2.93</f>
        <v>10.841</v>
      </c>
      <c r="G63" s="1" t="n">
        <f aca="false">E63</f>
        <v>10.841</v>
      </c>
    </row>
    <row r="64" customFormat="false" ht="12.8" hidden="false" customHeight="false" outlineLevel="0" collapsed="false">
      <c r="A64" s="31" t="s">
        <v>109</v>
      </c>
    </row>
    <row r="65" customFormat="false" ht="12.8" hidden="false" customHeight="false" outlineLevel="0" collapsed="false">
      <c r="A65" s="27" t="n">
        <f aca="false">SUM(B66:E66)</f>
        <v>118.6</v>
      </c>
      <c r="B65" s="1" t="s">
        <v>242</v>
      </c>
      <c r="C65" s="1" t="s">
        <v>239</v>
      </c>
      <c r="D65" s="1" t="s">
        <v>218</v>
      </c>
      <c r="E65" s="1" t="s">
        <v>219</v>
      </c>
      <c r="G65" s="1" t="s">
        <v>220</v>
      </c>
    </row>
    <row r="66" customFormat="false" ht="12.8" hidden="false" customHeight="false" outlineLevel="0" collapsed="false">
      <c r="A66" s="1" t="s">
        <v>221</v>
      </c>
      <c r="B66" s="13" t="n">
        <f aca="false">B72*B69</f>
        <v>36.6</v>
      </c>
      <c r="C66" s="13" t="n">
        <f aca="false">C72*C69</f>
        <v>21.45</v>
      </c>
      <c r="D66" s="13" t="n">
        <f aca="false">D72*D69</f>
        <v>-1.4</v>
      </c>
      <c r="E66" s="13" t="n">
        <f aca="false">E72*E69</f>
        <v>61.95</v>
      </c>
      <c r="F66" s="13"/>
      <c r="G66" s="13" t="n">
        <f aca="false">G72*G69</f>
        <v>55.08</v>
      </c>
    </row>
    <row r="67" customFormat="false" ht="12.8" hidden="false" customHeight="false" outlineLevel="0" collapsed="false">
      <c r="A67" s="1" t="s">
        <v>221</v>
      </c>
      <c r="B67" s="13" t="n">
        <f aca="false">B73*B70</f>
        <v>29.28</v>
      </c>
      <c r="C67" s="13" t="n">
        <f aca="false">C73*C70</f>
        <v>23.04</v>
      </c>
      <c r="D67" s="13" t="n">
        <f aca="false">D73*D70</f>
        <v>-1.12</v>
      </c>
      <c r="E67" s="13" t="n">
        <f aca="false">E73*E70</f>
        <v>66.36</v>
      </c>
      <c r="F67" s="13"/>
      <c r="G67" s="13" t="n">
        <f aca="false">G73*G70</f>
        <v>51.99</v>
      </c>
    </row>
    <row r="68" customFormat="false" ht="12.8" hidden="false" customHeight="false" outlineLevel="0" collapsed="false">
      <c r="B68" s="13" t="n">
        <f aca="false">B74*B71</f>
        <v>29.28</v>
      </c>
      <c r="G68" s="13" t="n">
        <f aca="false">G74*G71</f>
        <v>77.15</v>
      </c>
    </row>
    <row r="69" customFormat="false" ht="12.8" hidden="false" customHeight="false" outlineLevel="0" collapsed="false">
      <c r="A69" s="1" t="s">
        <v>222</v>
      </c>
      <c r="B69" s="29" t="s">
        <v>228</v>
      </c>
      <c r="C69" s="29" t="s">
        <v>224</v>
      </c>
      <c r="D69" s="29" t="s">
        <v>225</v>
      </c>
      <c r="E69" s="29" t="s">
        <v>226</v>
      </c>
      <c r="G69" s="29" t="s">
        <v>227</v>
      </c>
    </row>
    <row r="70" customFormat="false" ht="12.8" hidden="false" customHeight="false" outlineLevel="0" collapsed="false">
      <c r="B70" s="29" t="s">
        <v>228</v>
      </c>
      <c r="C70" s="29" t="s">
        <v>229</v>
      </c>
      <c r="D70" s="29" t="s">
        <v>225</v>
      </c>
      <c r="E70" s="29" t="s">
        <v>230</v>
      </c>
      <c r="G70" s="29" t="s">
        <v>231</v>
      </c>
    </row>
    <row r="71" customFormat="false" ht="12.8" hidden="false" customHeight="false" outlineLevel="0" collapsed="false">
      <c r="B71" s="29" t="s">
        <v>228</v>
      </c>
      <c r="G71" s="29" t="s">
        <v>232</v>
      </c>
    </row>
    <row r="72" customFormat="false" ht="12.8" hidden="false" customHeight="false" outlineLevel="0" collapsed="false">
      <c r="A72" s="1" t="s">
        <v>208</v>
      </c>
      <c r="B72" s="1" t="n">
        <f aca="false">ROUNDUP(((B$78-2*0.1)/B75/3)+2,0)</f>
        <v>5</v>
      </c>
      <c r="C72" s="1" t="n">
        <f aca="false">ROUNDUP((C$63-2*0.1)/C75,0)</f>
        <v>5</v>
      </c>
      <c r="D72" s="1" t="n">
        <f aca="false">ROUNDUP((D$78-2*0.25)/D75,0)*B72</f>
        <v>-5</v>
      </c>
      <c r="E72" s="1" t="n">
        <f aca="false">ROUNDUP(E$63/E75,0)</f>
        <v>5</v>
      </c>
      <c r="G72" s="1" t="n">
        <f aca="false">ROUNDUP(G78/18,0)</f>
        <v>1</v>
      </c>
    </row>
    <row r="73" customFormat="false" ht="12.8" hidden="false" customHeight="false" outlineLevel="0" collapsed="false">
      <c r="A73" s="1" t="s">
        <v>233</v>
      </c>
      <c r="B73" s="1" t="n">
        <f aca="false">ROUNDUP(((B$78-2*0.1)/B76/3)+2,0)</f>
        <v>4</v>
      </c>
      <c r="C73" s="1" t="n">
        <f aca="false">ROUNDUP((C$63-2*0.1)/C76,0)</f>
        <v>4</v>
      </c>
      <c r="D73" s="1" t="n">
        <f aca="false">ROUNDUP((D$78-2*0.25)/D76,0)*B73</f>
        <v>-4</v>
      </c>
      <c r="E73" s="1" t="n">
        <f aca="false">ROUNDUP(E$63/E76,0)</f>
        <v>4</v>
      </c>
      <c r="G73" s="1" t="n">
        <f aca="false">ROUNDUP(G78/15.6,0)</f>
        <v>1</v>
      </c>
    </row>
    <row r="74" customFormat="false" ht="12.8" hidden="false" customHeight="false" outlineLevel="0" collapsed="false">
      <c r="A74" s="1" t="s">
        <v>234</v>
      </c>
      <c r="B74" s="1" t="n">
        <f aca="false">ROUNDUP(((B$78-2*0.1)/B77/3)+2,0)</f>
        <v>4</v>
      </c>
      <c r="G74" s="1" t="n">
        <f aca="false">ROUNDUP(G78/19.68,0)</f>
        <v>1</v>
      </c>
    </row>
    <row r="75" customFormat="false" ht="12.8" hidden="false" customHeight="false" outlineLevel="0" collapsed="false">
      <c r="A75" s="1" t="s">
        <v>235</v>
      </c>
      <c r="B75" s="1" t="n">
        <v>0.4</v>
      </c>
      <c r="C75" s="1" t="n">
        <v>3</v>
      </c>
      <c r="D75" s="31" t="n">
        <v>1.15</v>
      </c>
      <c r="E75" s="1" t="n">
        <f aca="false">2*1.2</f>
        <v>2.4</v>
      </c>
    </row>
    <row r="76" customFormat="false" ht="12.8" hidden="false" customHeight="false" outlineLevel="0" collapsed="false">
      <c r="A76" s="1" t="s">
        <v>236</v>
      </c>
      <c r="B76" s="1" t="n">
        <v>0.5</v>
      </c>
      <c r="C76" s="1" t="n">
        <v>4</v>
      </c>
      <c r="D76" s="1" t="n">
        <v>1.05</v>
      </c>
      <c r="E76" s="1" t="n">
        <f aca="false">2.6*1.2</f>
        <v>3.12</v>
      </c>
    </row>
    <row r="77" customFormat="false" ht="12.8" hidden="false" customHeight="false" outlineLevel="0" collapsed="false">
      <c r="A77" s="1" t="s">
        <v>237</v>
      </c>
      <c r="B77" s="1" t="n">
        <v>0.6</v>
      </c>
    </row>
    <row r="78" customFormat="false" ht="12.8" hidden="false" customHeight="false" outlineLevel="0" collapsed="false">
      <c r="A78" s="1" t="s">
        <v>238</v>
      </c>
      <c r="B78" s="1" t="n">
        <v>3.2</v>
      </c>
      <c r="C78" s="1" t="n">
        <f aca="false">(3.2+3+1)*2</f>
        <v>14.4</v>
      </c>
      <c r="D78" s="1" t="n">
        <v>0</v>
      </c>
      <c r="E78" s="1" t="n">
        <f aca="false">3.2*1.3+2*1</f>
        <v>6.16</v>
      </c>
      <c r="G78" s="1" t="n">
        <f aca="false">E78</f>
        <v>6.16</v>
      </c>
    </row>
    <row r="79" customFormat="false" ht="12.8" hidden="false" customHeight="false" outlineLevel="0" collapsed="false">
      <c r="A79" s="31" t="s">
        <v>105</v>
      </c>
    </row>
    <row r="80" customFormat="false" ht="12.8" hidden="false" customHeight="false" outlineLevel="0" collapsed="false">
      <c r="A80" s="27" t="n">
        <f aca="false">SUM(B81:E81)</f>
        <v>77.75</v>
      </c>
      <c r="B80" s="1" t="s">
        <v>242</v>
      </c>
      <c r="C80" s="1" t="s">
        <v>239</v>
      </c>
      <c r="D80" s="1" t="s">
        <v>218</v>
      </c>
      <c r="E80" s="1" t="s">
        <v>219</v>
      </c>
      <c r="G80" s="1" t="s">
        <v>220</v>
      </c>
    </row>
    <row r="81" customFormat="false" ht="12.8" hidden="false" customHeight="false" outlineLevel="0" collapsed="false">
      <c r="A81" s="1" t="s">
        <v>221</v>
      </c>
      <c r="B81" s="13" t="n">
        <f aca="false">B87*B84</f>
        <v>29.28</v>
      </c>
      <c r="C81" s="13" t="n">
        <f aca="false">C87*C84</f>
        <v>21.45</v>
      </c>
      <c r="D81" s="13" t="n">
        <f aca="false">D87*D84</f>
        <v>2.24</v>
      </c>
      <c r="E81" s="13" t="n">
        <f aca="false">E87*E84</f>
        <v>24.78</v>
      </c>
      <c r="F81" s="13"/>
      <c r="G81" s="13" t="n">
        <f aca="false">G87*G84</f>
        <v>55.08</v>
      </c>
    </row>
    <row r="82" customFormat="false" ht="12.8" hidden="false" customHeight="false" outlineLevel="0" collapsed="false">
      <c r="A82" s="1" t="s">
        <v>221</v>
      </c>
      <c r="B82" s="13" t="n">
        <f aca="false">B88*B85</f>
        <v>29.28</v>
      </c>
      <c r="C82" s="13" t="n">
        <f aca="false">C88*C85</f>
        <v>23.04</v>
      </c>
      <c r="D82" s="13" t="n">
        <f aca="false">D88*D85</f>
        <v>2.24</v>
      </c>
      <c r="E82" s="13" t="n">
        <f aca="false">E88*E85</f>
        <v>33.18</v>
      </c>
      <c r="F82" s="13"/>
      <c r="G82" s="13" t="n">
        <f aca="false">G88*G85</f>
        <v>51.99</v>
      </c>
    </row>
    <row r="83" customFormat="false" ht="12.8" hidden="false" customHeight="false" outlineLevel="0" collapsed="false">
      <c r="B83" s="13" t="n">
        <f aca="false">B89*B86</f>
        <v>21.96</v>
      </c>
      <c r="G83" s="13" t="n">
        <f aca="false">G89*G86</f>
        <v>77.15</v>
      </c>
    </row>
    <row r="84" customFormat="false" ht="12.8" hidden="false" customHeight="false" outlineLevel="0" collapsed="false">
      <c r="A84" s="1" t="s">
        <v>222</v>
      </c>
      <c r="B84" s="29" t="s">
        <v>228</v>
      </c>
      <c r="C84" s="29" t="s">
        <v>224</v>
      </c>
      <c r="D84" s="29" t="s">
        <v>225</v>
      </c>
      <c r="E84" s="29" t="s">
        <v>226</v>
      </c>
      <c r="G84" s="29" t="s">
        <v>227</v>
      </c>
    </row>
    <row r="85" customFormat="false" ht="12.8" hidden="false" customHeight="false" outlineLevel="0" collapsed="false">
      <c r="B85" s="29" t="s">
        <v>228</v>
      </c>
      <c r="C85" s="29" t="s">
        <v>229</v>
      </c>
      <c r="D85" s="29" t="s">
        <v>225</v>
      </c>
      <c r="E85" s="29" t="s">
        <v>230</v>
      </c>
      <c r="G85" s="29" t="s">
        <v>231</v>
      </c>
    </row>
    <row r="86" customFormat="false" ht="12.8" hidden="false" customHeight="false" outlineLevel="0" collapsed="false">
      <c r="B86" s="29" t="s">
        <v>228</v>
      </c>
      <c r="G86" s="29" t="s">
        <v>232</v>
      </c>
    </row>
    <row r="87" customFormat="false" ht="12.8" hidden="false" customHeight="false" outlineLevel="0" collapsed="false">
      <c r="A87" s="1" t="s">
        <v>208</v>
      </c>
      <c r="B87" s="1" t="n">
        <f aca="false">ROUNDUP(((B$93-2*0.1)/B90/3)+2,0)</f>
        <v>4</v>
      </c>
      <c r="C87" s="1" t="n">
        <f aca="false">ROUNDUP((C$93-2*0.1)/C90,0)</f>
        <v>5</v>
      </c>
      <c r="D87" s="1" t="n">
        <f aca="false">ROUNDUP((D$93-2*0.25)/D90,0)*B87</f>
        <v>8</v>
      </c>
      <c r="E87" s="1" t="n">
        <f aca="false">ROUNDUP(E$93/E90,0)</f>
        <v>2</v>
      </c>
      <c r="G87" s="1" t="n">
        <f aca="false">ROUNDUP(G93/18,0)</f>
        <v>1</v>
      </c>
    </row>
    <row r="88" customFormat="false" ht="12.8" hidden="false" customHeight="false" outlineLevel="0" collapsed="false">
      <c r="A88" s="1" t="s">
        <v>233</v>
      </c>
      <c r="B88" s="1" t="n">
        <f aca="false">ROUNDUP(((B$93-2*0.1)/B91/3)+2,0)</f>
        <v>4</v>
      </c>
      <c r="C88" s="1" t="n">
        <f aca="false">ROUNDUP((C$93-2*0.1)/C91,0)</f>
        <v>4</v>
      </c>
      <c r="D88" s="1" t="n">
        <f aca="false">ROUNDUP((D$93-2*0.25)/D91,0)*B88</f>
        <v>8</v>
      </c>
      <c r="E88" s="1" t="n">
        <f aca="false">ROUNDUP(E$93/E91,0)</f>
        <v>2</v>
      </c>
      <c r="G88" s="1" t="n">
        <f aca="false">ROUNDUP(G93/15.6,0)</f>
        <v>1</v>
      </c>
    </row>
    <row r="89" customFormat="false" ht="12.8" hidden="false" customHeight="false" outlineLevel="0" collapsed="false">
      <c r="A89" s="1" t="s">
        <v>234</v>
      </c>
      <c r="B89" s="1" t="n">
        <f aca="false">ROUNDUP(((B$93-2*0.1)/B92/3)+2,0)</f>
        <v>3</v>
      </c>
      <c r="G89" s="1" t="n">
        <f aca="false">ROUNDUP(G93/19.68,0)</f>
        <v>1</v>
      </c>
    </row>
    <row r="90" customFormat="false" ht="12.8" hidden="false" customHeight="false" outlineLevel="0" collapsed="false">
      <c r="A90" s="1" t="s">
        <v>235</v>
      </c>
      <c r="B90" s="1" t="n">
        <v>0.4</v>
      </c>
      <c r="C90" s="1" t="n">
        <v>3</v>
      </c>
      <c r="D90" s="31" t="n">
        <v>1.15</v>
      </c>
      <c r="E90" s="1" t="n">
        <f aca="false">2*1.2</f>
        <v>2.4</v>
      </c>
    </row>
    <row r="91" customFormat="false" ht="12.8" hidden="false" customHeight="false" outlineLevel="0" collapsed="false">
      <c r="A91" s="1" t="s">
        <v>236</v>
      </c>
      <c r="B91" s="1" t="n">
        <v>0.5</v>
      </c>
      <c r="C91" s="1" t="n">
        <v>4</v>
      </c>
      <c r="D91" s="1" t="n">
        <v>1.05</v>
      </c>
      <c r="E91" s="1" t="n">
        <f aca="false">2.6*1.2</f>
        <v>3.12</v>
      </c>
    </row>
    <row r="92" customFormat="false" ht="12.8" hidden="false" customHeight="false" outlineLevel="0" collapsed="false">
      <c r="A92" s="1" t="s">
        <v>237</v>
      </c>
      <c r="B92" s="1" t="n">
        <v>0.6</v>
      </c>
    </row>
    <row r="93" customFormat="false" ht="12.8" hidden="false" customHeight="false" outlineLevel="0" collapsed="false">
      <c r="A93" s="1" t="s">
        <v>238</v>
      </c>
      <c r="B93" s="1" t="n">
        <v>1.9</v>
      </c>
      <c r="C93" s="1" t="n">
        <f aca="false">(1.9+3+2.1)*2</f>
        <v>14</v>
      </c>
      <c r="D93" s="1" t="n">
        <v>1.9</v>
      </c>
      <c r="E93" s="1" t="n">
        <f aca="false">2.1*1.9</f>
        <v>3.99</v>
      </c>
      <c r="G93" s="1" t="n">
        <f aca="false">E93</f>
        <v>3.99</v>
      </c>
    </row>
    <row r="95" customFormat="false" ht="12.8" hidden="false" customHeight="false" outlineLevel="0" collapsed="false">
      <c r="G95" s="1" t="n">
        <v>19.5</v>
      </c>
    </row>
    <row r="96" customFormat="false" ht="12.8" hidden="false" customHeight="false" outlineLevel="0" collapsed="false">
      <c r="G96" s="1" t="n">
        <v>11.6</v>
      </c>
    </row>
    <row r="97" customFormat="false" ht="12.8" hidden="false" customHeight="false" outlineLevel="0" collapsed="false">
      <c r="G97" s="1" t="n">
        <v>3.1</v>
      </c>
    </row>
    <row r="98" customFormat="false" ht="12.8" hidden="false" customHeight="false" outlineLevel="0" collapsed="false">
      <c r="G98" s="1" t="n">
        <v>1.7</v>
      </c>
    </row>
    <row r="99" customFormat="false" ht="12.8" hidden="false" customHeight="false" outlineLevel="0" collapsed="false">
      <c r="G99" s="1" t="n">
        <v>4.9</v>
      </c>
    </row>
    <row r="100" customFormat="false" ht="12.8" hidden="false" customHeight="false" outlineLevel="0" collapsed="false">
      <c r="G100" s="1" t="n">
        <v>3.1</v>
      </c>
    </row>
    <row r="101" customFormat="false" ht="12.8" hidden="false" customHeight="false" outlineLevel="0" collapsed="false">
      <c r="G101" s="1" t="n">
        <v>0.6</v>
      </c>
    </row>
    <row r="102" customFormat="false" ht="12.8" hidden="false" customHeight="false" outlineLevel="0" collapsed="false">
      <c r="G102" s="1" t="n">
        <f aca="false">SUM(G95:G101)</f>
        <v>44.5</v>
      </c>
    </row>
  </sheetData>
  <hyperlinks>
    <hyperlink ref="B8" r:id="rId2" display="9,72"/>
    <hyperlink ref="C8" r:id="rId3" display="4,29"/>
    <hyperlink ref="D8" r:id="rId4" display="0,28"/>
    <hyperlink ref="E8" r:id="rId5" display="12,39"/>
    <hyperlink ref="G8" r:id="rId6" display="55,08"/>
    <hyperlink ref="B9" r:id="rId7" display="7,32"/>
    <hyperlink ref="C9" r:id="rId8" display="5,76"/>
    <hyperlink ref="D9" r:id="rId9" display="0,28"/>
    <hyperlink ref="E9" r:id="rId10" display="16,59"/>
    <hyperlink ref="G9" r:id="rId11" display="51,99"/>
    <hyperlink ref="G10" r:id="rId12" display="77,15"/>
    <hyperlink ref="B24" r:id="rId13" display="9,72"/>
    <hyperlink ref="C24" r:id="rId14" display="4,29"/>
    <hyperlink ref="D24" r:id="rId15" display="0,28"/>
    <hyperlink ref="E24" r:id="rId16" display="12,39"/>
    <hyperlink ref="G24" r:id="rId17" display="55,08"/>
    <hyperlink ref="B25" r:id="rId18" display="9,72"/>
    <hyperlink ref="C25" r:id="rId19" display="5,76"/>
    <hyperlink ref="D25" r:id="rId20" display="0,28"/>
    <hyperlink ref="E25" r:id="rId21" display="16,59"/>
    <hyperlink ref="G25" r:id="rId22" display="51,99"/>
    <hyperlink ref="B26" r:id="rId23" display="9,72"/>
    <hyperlink ref="G26" r:id="rId24" display="77,15"/>
    <hyperlink ref="B39" r:id="rId25" display="9,72"/>
    <hyperlink ref="C39" r:id="rId26" display="4,29"/>
    <hyperlink ref="D39" r:id="rId27" display="0,28"/>
    <hyperlink ref="E39" r:id="rId28" display="12,39"/>
    <hyperlink ref="G39" r:id="rId29" display="55,08"/>
    <hyperlink ref="B40" r:id="rId30" display="9,72"/>
    <hyperlink ref="C40" r:id="rId31" display="5,76"/>
    <hyperlink ref="D40" r:id="rId32" display="0,28"/>
    <hyperlink ref="E40" r:id="rId33" display="16,59"/>
    <hyperlink ref="G40" r:id="rId34" display="51,99"/>
    <hyperlink ref="B41" r:id="rId35" display="9,72"/>
    <hyperlink ref="G41" r:id="rId36" display="77,15"/>
    <hyperlink ref="B54" r:id="rId37" display="7,32"/>
    <hyperlink ref="C54" r:id="rId38" display="4,29"/>
    <hyperlink ref="D54" r:id="rId39" display="0,28"/>
    <hyperlink ref="E54" r:id="rId40" display="12,39"/>
    <hyperlink ref="G54" r:id="rId41" display="55,08"/>
    <hyperlink ref="B55" r:id="rId42" display="7,32"/>
    <hyperlink ref="C55" r:id="rId43" display="5,76"/>
    <hyperlink ref="D55" r:id="rId44" display="0,28"/>
    <hyperlink ref="E55" r:id="rId45" display="16,59"/>
    <hyperlink ref="G55" r:id="rId46" display="51,99"/>
    <hyperlink ref="B56" r:id="rId47" display="7,32"/>
    <hyperlink ref="G56" r:id="rId48" display="77,15"/>
    <hyperlink ref="B69" r:id="rId49" display="7,32"/>
    <hyperlink ref="C69" r:id="rId50" display="4,29"/>
    <hyperlink ref="D69" r:id="rId51" display="0,28"/>
    <hyperlink ref="E69" r:id="rId52" display="12,39"/>
    <hyperlink ref="G69" r:id="rId53" display="55,08"/>
    <hyperlink ref="B70" r:id="rId54" display="7,32"/>
    <hyperlink ref="C70" r:id="rId55" display="5,76"/>
    <hyperlink ref="D70" r:id="rId56" display="0,28"/>
    <hyperlink ref="E70" r:id="rId57" display="16,59"/>
    <hyperlink ref="G70" r:id="rId58" display="51,99"/>
    <hyperlink ref="B71" r:id="rId59" display="7,32"/>
    <hyperlink ref="G71" r:id="rId60" display="77,15"/>
    <hyperlink ref="B84" r:id="rId61" display="7,32"/>
    <hyperlink ref="C84" r:id="rId62" display="4,29"/>
    <hyperlink ref="D84" r:id="rId63" display="0,28"/>
    <hyperlink ref="E84" r:id="rId64" display="12,39"/>
    <hyperlink ref="G84" r:id="rId65" display="55,08"/>
    <hyperlink ref="B85" r:id="rId66" display="7,32"/>
    <hyperlink ref="C85" r:id="rId67" display="5,76"/>
    <hyperlink ref="D85" r:id="rId68" display="0,28"/>
    <hyperlink ref="E85" r:id="rId69" display="16,59"/>
    <hyperlink ref="G85" r:id="rId70" display="51,99"/>
    <hyperlink ref="B86" r:id="rId71" display="7,32"/>
    <hyperlink ref="G86" r:id="rId72" display="77,15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legacyDrawing r:id="rId7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2" activeCellId="0" sqref="A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2"/>
    <col collapsed="false" customWidth="true" hidden="false" outlineLevel="0" max="8" min="2" style="1" width="6.43"/>
    <col collapsed="false" customWidth="true" hidden="false" outlineLevel="0" max="9" min="9" style="1" width="5.97"/>
    <col collapsed="false" customWidth="true" hidden="false" outlineLevel="0" max="10" min="10" style="1" width="5.54"/>
    <col collapsed="false" customWidth="true" hidden="false" outlineLevel="0" max="11" min="11" style="1" width="5.41"/>
    <col collapsed="false" customWidth="true" hidden="false" outlineLevel="0" max="12" min="12" style="1" width="6.2"/>
    <col collapsed="false" customWidth="true" hidden="false" outlineLevel="0" max="13" min="13" style="1" width="6.26"/>
    <col collapsed="false" customWidth="true" hidden="false" outlineLevel="0" max="14" min="14" style="1" width="5.66"/>
    <col collapsed="false" customWidth="true" hidden="false" outlineLevel="0" max="15" min="15" style="1" width="7.46"/>
    <col collapsed="false" customWidth="true" hidden="false" outlineLevel="0" max="16" min="16" style="1" width="7.1"/>
    <col collapsed="false" customWidth="true" hidden="false" outlineLevel="0" max="17" min="17" style="1" width="7.34"/>
  </cols>
  <sheetData>
    <row r="1" customFormat="false" ht="12.8" hidden="false" customHeight="false" outlineLevel="0" collapsed="false">
      <c r="J1" s="1" t="s">
        <v>208</v>
      </c>
      <c r="K1" s="1" t="s">
        <v>243</v>
      </c>
      <c r="L1" s="1" t="s">
        <v>244</v>
      </c>
      <c r="M1" s="1" t="s">
        <v>245</v>
      </c>
      <c r="N1" s="1" t="s">
        <v>4</v>
      </c>
      <c r="O1" s="1" t="s">
        <v>64</v>
      </c>
      <c r="P1" s="1" t="s">
        <v>246</v>
      </c>
      <c r="Q1" s="1" t="s">
        <v>174</v>
      </c>
    </row>
    <row r="14" customFormat="false" ht="12.8" hidden="false" customHeight="false" outlineLevel="0" collapsed="false">
      <c r="A14" s="1" t="s">
        <v>37</v>
      </c>
      <c r="B14" s="1" t="n">
        <v>0.58</v>
      </c>
      <c r="C14" s="1" t="n">
        <v>1.5</v>
      </c>
      <c r="D14" s="1" t="n">
        <v>0.76</v>
      </c>
      <c r="E14" s="1" t="n">
        <v>0.2</v>
      </c>
      <c r="F14" s="1" t="n">
        <v>1.47</v>
      </c>
      <c r="G14" s="1" t="n">
        <v>1.3</v>
      </c>
      <c r="H14" s="1" t="n">
        <v>0.97</v>
      </c>
      <c r="I14" s="1" t="n">
        <v>0.7</v>
      </c>
    </row>
    <row r="15" customFormat="false" ht="12.8" hidden="false" customHeight="false" outlineLevel="0" collapsed="false">
      <c r="A15" s="1" t="s">
        <v>247</v>
      </c>
    </row>
    <row r="16" customFormat="false" ht="12.8" hidden="false" customHeight="false" outlineLevel="0" collapsed="false">
      <c r="A16" s="1" t="n">
        <v>0.5</v>
      </c>
      <c r="B16" s="1" t="n">
        <f aca="false">B14/$A16</f>
        <v>1.16</v>
      </c>
      <c r="C16" s="1" t="n">
        <f aca="false">C14/$A16</f>
        <v>3</v>
      </c>
      <c r="D16" s="1" t="n">
        <f aca="false">D14/$A16</f>
        <v>1.52</v>
      </c>
      <c r="E16" s="1" t="n">
        <f aca="false">E14/$A16</f>
        <v>0.4</v>
      </c>
      <c r="F16" s="1" t="n">
        <f aca="false">F14/$A16</f>
        <v>2.94</v>
      </c>
      <c r="G16" s="1" t="n">
        <f aca="false">G14/$A16</f>
        <v>2.6</v>
      </c>
      <c r="H16" s="1" t="n">
        <f aca="false">H14/$A16</f>
        <v>1.94</v>
      </c>
      <c r="I16" s="1" t="n">
        <f aca="false">I14/$A16</f>
        <v>1.4</v>
      </c>
    </row>
    <row r="17" customFormat="false" ht="12.8" hidden="false" customHeight="false" outlineLevel="0" collapsed="false">
      <c r="B17" s="1" t="n">
        <f aca="false">ROUND(B16,0)</f>
        <v>1</v>
      </c>
      <c r="C17" s="1" t="n">
        <f aca="false">ROUND(C16,0)</f>
        <v>3</v>
      </c>
      <c r="D17" s="1" t="n">
        <f aca="false">ROUND(D16,0)</f>
        <v>2</v>
      </c>
      <c r="E17" s="1" t="n">
        <f aca="false">ROUNDUP(E16,0)</f>
        <v>1</v>
      </c>
      <c r="F17" s="1" t="n">
        <f aca="false">ROUND(F16,0)</f>
        <v>3</v>
      </c>
      <c r="G17" s="1" t="n">
        <f aca="false">ROUND(G16,0)</f>
        <v>3</v>
      </c>
      <c r="H17" s="1" t="n">
        <f aca="false">ROUND(H16,0)</f>
        <v>2</v>
      </c>
      <c r="I17" s="1" t="n">
        <f aca="false">ROUND(I16,0)</f>
        <v>1</v>
      </c>
    </row>
    <row r="18" customFormat="false" ht="12.8" hidden="false" customHeight="false" outlineLevel="0" collapsed="false">
      <c r="A18" s="1" t="n">
        <f aca="false">ROUND(2.5/0.2,0)</f>
        <v>13</v>
      </c>
      <c r="B18" s="1" t="n">
        <f aca="false">B17*$A18</f>
        <v>13</v>
      </c>
      <c r="C18" s="1" t="n">
        <f aca="false">C17*$A18</f>
        <v>39</v>
      </c>
      <c r="D18" s="1" t="n">
        <f aca="false">D17*$A18</f>
        <v>26</v>
      </c>
      <c r="E18" s="1" t="n">
        <f aca="false">E17*$A18</f>
        <v>13</v>
      </c>
      <c r="F18" s="1" t="n">
        <f aca="false">F17*$A18</f>
        <v>39</v>
      </c>
      <c r="G18" s="1" t="n">
        <f aca="false">G17*$A18</f>
        <v>39</v>
      </c>
      <c r="H18" s="1" t="n">
        <f aca="false">H17*$A18</f>
        <v>26</v>
      </c>
      <c r="I18" s="1" t="n">
        <f aca="false">I17*$A18-2/0.2</f>
        <v>3</v>
      </c>
      <c r="J18" s="1" t="n">
        <f aca="false">SUM(B18:I18)</f>
        <v>198</v>
      </c>
      <c r="K18" s="1" t="n">
        <f aca="false">ROUNDDOWN(J18/11,0)</f>
        <v>18</v>
      </c>
    </row>
    <row r="19" customFormat="false" ht="12.8" hidden="false" customHeight="false" outlineLevel="0" collapsed="false">
      <c r="A19" s="1" t="s">
        <v>248</v>
      </c>
      <c r="B19" s="23" t="s">
        <v>249</v>
      </c>
      <c r="C19" s="23"/>
      <c r="D19" s="23" t="s">
        <v>249</v>
      </c>
      <c r="E19" s="23" t="s">
        <v>249</v>
      </c>
      <c r="F19" s="23" t="s">
        <v>249</v>
      </c>
      <c r="G19" s="23"/>
      <c r="H19" s="23" t="s">
        <v>249</v>
      </c>
      <c r="I19" s="23" t="s">
        <v>249</v>
      </c>
      <c r="J19" s="1" t="n">
        <f aca="false">SUMIF(B19:I19,"х",B18:I18)</f>
        <v>120</v>
      </c>
      <c r="K19" s="3" t="n">
        <f aca="false">ROUNDDOWN(J19/11,0)</f>
        <v>10</v>
      </c>
      <c r="L19" s="3" t="n">
        <f aca="false">(J19/11-K19)*11</f>
        <v>9.99999999999999</v>
      </c>
      <c r="M19" s="2" t="n">
        <f aca="false">K19+1</f>
        <v>11</v>
      </c>
      <c r="N19" s="2" t="n">
        <f aca="false">11-L19</f>
        <v>1.00000000000001</v>
      </c>
      <c r="O19" s="1" t="n">
        <f aca="false">6+11</f>
        <v>17</v>
      </c>
      <c r="P19" s="1" t="n">
        <f aca="false">O19-M19</f>
        <v>6</v>
      </c>
      <c r="Q19" s="1" t="n">
        <f aca="false">O19*11-J19</f>
        <v>67</v>
      </c>
    </row>
    <row r="20" customFormat="false" ht="12.8" hidden="false" customHeight="false" outlineLevel="0" collapsed="false">
      <c r="A20" s="1" t="s">
        <v>250</v>
      </c>
      <c r="B20" s="23"/>
      <c r="C20" s="23" t="s">
        <v>249</v>
      </c>
      <c r="D20" s="23"/>
      <c r="E20" s="23"/>
      <c r="F20" s="23"/>
      <c r="G20" s="23" t="s">
        <v>249</v>
      </c>
      <c r="H20" s="23"/>
      <c r="I20" s="23"/>
      <c r="J20" s="1" t="n">
        <f aca="false">SUMIF(B20:I20,"х",B18:I18)</f>
        <v>78</v>
      </c>
      <c r="K20" s="3" t="n">
        <f aca="false">ROUNDDOWN(J20/11,0)</f>
        <v>7</v>
      </c>
      <c r="L20" s="3" t="n">
        <f aca="false">(J20/11-K20)*11</f>
        <v>0.999999999999999</v>
      </c>
      <c r="M20" s="2" t="n">
        <f aca="false">K20+1</f>
        <v>8</v>
      </c>
      <c r="N20" s="2" t="n">
        <f aca="false">11-L20</f>
        <v>10</v>
      </c>
      <c r="O20" s="1" t="n">
        <f aca="false">8</f>
        <v>8</v>
      </c>
      <c r="P20" s="1" t="n">
        <f aca="false">O20-M20</f>
        <v>0</v>
      </c>
      <c r="Q20" s="1" t="n">
        <f aca="false">O20*11-J20</f>
        <v>10</v>
      </c>
    </row>
    <row r="21" customFormat="false" ht="12.8" hidden="false" customHeight="false" outlineLevel="0" collapsed="false">
      <c r="A21" s="1" t="s">
        <v>251</v>
      </c>
      <c r="O21" s="1" t="n">
        <v>3</v>
      </c>
      <c r="P21" s="1" t="n">
        <f aca="false">O21-M21</f>
        <v>3</v>
      </c>
    </row>
    <row r="22" customFormat="false" ht="12.8" hidden="false" customHeight="false" outlineLevel="0" collapsed="false">
      <c r="P22" s="1" t="n">
        <f aca="false">SUM(P19:P21)</f>
        <v>9</v>
      </c>
    </row>
    <row r="24" customFormat="false" ht="12.8" hidden="false" customHeight="false" outlineLevel="0" collapsed="false">
      <c r="A24" s="1" t="s">
        <v>252</v>
      </c>
    </row>
    <row r="25" customFormat="false" ht="12.8" hidden="false" customHeight="false" outlineLevel="0" collapsed="false">
      <c r="A25" s="1" t="s">
        <v>247</v>
      </c>
      <c r="B25" s="1" t="n">
        <f aca="false">(2-0.8)/2</f>
        <v>0.6</v>
      </c>
      <c r="C25" s="1" t="n">
        <v>1</v>
      </c>
      <c r="D25" s="1" t="n">
        <v>0.5</v>
      </c>
      <c r="E25" s="1" t="n">
        <v>1</v>
      </c>
      <c r="F25" s="1" t="n">
        <v>0.5</v>
      </c>
      <c r="G25" s="1" t="n">
        <v>1</v>
      </c>
      <c r="H25" s="1" t="n">
        <f aca="false">B25</f>
        <v>0.6</v>
      </c>
      <c r="I25" s="1" t="n">
        <f aca="false">0.8</f>
        <v>0.8</v>
      </c>
      <c r="K25" s="1" t="n">
        <f aca="false">SUM(B25:I25)-I25</f>
        <v>5.2</v>
      </c>
      <c r="L25" s="1" t="n">
        <f aca="false">K25/0.5</f>
        <v>10.4</v>
      </c>
    </row>
    <row r="26" customFormat="false" ht="12.8" hidden="false" customHeight="false" outlineLevel="0" collapsed="false">
      <c r="A26" s="1" t="n">
        <v>0.5</v>
      </c>
      <c r="B26" s="1" t="n">
        <f aca="false">B25/$A26</f>
        <v>1.2</v>
      </c>
      <c r="C26" s="1" t="n">
        <f aca="false">C25/$A26</f>
        <v>2</v>
      </c>
      <c r="D26" s="1" t="n">
        <f aca="false">D25/$A26</f>
        <v>1</v>
      </c>
      <c r="E26" s="1" t="n">
        <f aca="false">E25/$A26</f>
        <v>2</v>
      </c>
      <c r="F26" s="1" t="n">
        <f aca="false">F25/$A26</f>
        <v>1</v>
      </c>
      <c r="G26" s="1" t="n">
        <f aca="false">G25/$A26</f>
        <v>2</v>
      </c>
      <c r="H26" s="1" t="n">
        <f aca="false">H25/$A26</f>
        <v>1.2</v>
      </c>
      <c r="I26" s="1" t="n">
        <f aca="false">I25/$A26</f>
        <v>1.6</v>
      </c>
    </row>
    <row r="27" customFormat="false" ht="12.8" hidden="false" customHeight="false" outlineLevel="0" collapsed="false">
      <c r="B27" s="1" t="n">
        <f aca="false">ROUNDUP(B26,0)</f>
        <v>2</v>
      </c>
      <c r="C27" s="1" t="n">
        <f aca="false">ROUND(C26,0)</f>
        <v>2</v>
      </c>
      <c r="D27" s="1" t="n">
        <f aca="false">ROUND(D26,0)</f>
        <v>1</v>
      </c>
      <c r="E27" s="1" t="n">
        <f aca="false">ROUND(E26,0)</f>
        <v>2</v>
      </c>
      <c r="F27" s="1" t="n">
        <f aca="false">ROUND(F26,0)</f>
        <v>1</v>
      </c>
      <c r="G27" s="1" t="n">
        <f aca="false">ROUND(G26,0)</f>
        <v>2</v>
      </c>
      <c r="H27" s="1" t="n">
        <f aca="false">ROUND(H26,0)</f>
        <v>1</v>
      </c>
      <c r="I27" s="1" t="n">
        <f aca="false">ROUND(I26,0)</f>
        <v>2</v>
      </c>
      <c r="K27" s="1" t="n">
        <f aca="false">SUM(B27:I27)</f>
        <v>13</v>
      </c>
    </row>
    <row r="28" customFormat="false" ht="12.8" hidden="false" customHeight="false" outlineLevel="0" collapsed="false">
      <c r="A28" s="1" t="n">
        <f aca="false">2.4/0.2</f>
        <v>12</v>
      </c>
      <c r="B28" s="1" t="n">
        <f aca="false">B27*$A28</f>
        <v>24</v>
      </c>
      <c r="C28" s="1" t="n">
        <f aca="false">C27*$A28</f>
        <v>24</v>
      </c>
      <c r="D28" s="1" t="n">
        <f aca="false">D27*$A28</f>
        <v>12</v>
      </c>
      <c r="E28" s="1" t="n">
        <f aca="false">E27*$A28</f>
        <v>24</v>
      </c>
      <c r="F28" s="1" t="n">
        <f aca="false">F27*$A28</f>
        <v>12</v>
      </c>
      <c r="G28" s="1" t="n">
        <f aca="false">G27*$A28</f>
        <v>24</v>
      </c>
      <c r="H28" s="1" t="n">
        <f aca="false">H27*$A28</f>
        <v>12</v>
      </c>
      <c r="I28" s="1" t="n">
        <f aca="false">(2.4-2)/0.2*I27</f>
        <v>4</v>
      </c>
      <c r="L28" s="1" t="n">
        <f aca="false">SUM(B28:K28)</f>
        <v>136</v>
      </c>
      <c r="M28" s="1" t="n">
        <f aca="false">L28/11</f>
        <v>12.3636363636364</v>
      </c>
      <c r="O28" s="1" t="n">
        <f aca="false">8+5+3</f>
        <v>16</v>
      </c>
    </row>
    <row r="29" customFormat="false" ht="12.8" hidden="false" customHeight="false" outlineLevel="0" collapsed="false">
      <c r="A29" s="1" t="s">
        <v>248</v>
      </c>
      <c r="C29" s="1" t="s">
        <v>249</v>
      </c>
      <c r="D29" s="1" t="s">
        <v>249</v>
      </c>
      <c r="G29" s="1" t="s">
        <v>249</v>
      </c>
      <c r="J29" s="1" t="n">
        <f aca="false">SUMIF(B29:I29,"х",B28:I28)</f>
        <v>60</v>
      </c>
      <c r="K29" s="3" t="n">
        <f aca="false">ROUNDDOWN(J29/11,0)</f>
        <v>5</v>
      </c>
      <c r="L29" s="3" t="n">
        <f aca="false">(J29/11-K29)*11</f>
        <v>5</v>
      </c>
      <c r="M29" s="2" t="n">
        <f aca="false">K29+1</f>
        <v>6</v>
      </c>
      <c r="N29" s="2" t="n">
        <f aca="false">11-L29</f>
        <v>6</v>
      </c>
      <c r="O29" s="1" t="n">
        <v>6</v>
      </c>
      <c r="P29" s="1" t="n">
        <f aca="false">O29-M29</f>
        <v>0</v>
      </c>
      <c r="Q29" s="1" t="n">
        <f aca="false">O29*11-J29</f>
        <v>6.00000000000001</v>
      </c>
    </row>
    <row r="30" customFormat="false" ht="12.8" hidden="false" customHeight="false" outlineLevel="0" collapsed="false">
      <c r="A30" s="1" t="s">
        <v>251</v>
      </c>
      <c r="B30" s="1" t="s">
        <v>249</v>
      </c>
      <c r="E30" s="1" t="s">
        <v>249</v>
      </c>
      <c r="F30" s="1" t="s">
        <v>249</v>
      </c>
      <c r="H30" s="1" t="s">
        <v>249</v>
      </c>
      <c r="I30" s="1" t="s">
        <v>249</v>
      </c>
      <c r="J30" s="1" t="n">
        <f aca="false">SUMIF(B30:I30,"х",B28:I28)</f>
        <v>76</v>
      </c>
      <c r="K30" s="3" t="n">
        <f aca="false">ROUNDDOWN(J30/11,0)</f>
        <v>6</v>
      </c>
      <c r="L30" s="3" t="n">
        <f aca="false">(J30/11-K30)*11</f>
        <v>9.99999999999998</v>
      </c>
      <c r="M30" s="2" t="n">
        <f aca="false">K30+1</f>
        <v>7</v>
      </c>
      <c r="N30" s="2" t="n">
        <f aca="false">11-L30</f>
        <v>1.00000000000002</v>
      </c>
      <c r="O30" s="1" t="n">
        <v>3</v>
      </c>
      <c r="P30" s="1" t="n">
        <f aca="false">O30-M30</f>
        <v>-4</v>
      </c>
      <c r="Q30" s="1" t="n">
        <f aca="false">O30*11-J30</f>
        <v>-43</v>
      </c>
    </row>
    <row r="31" customFormat="false" ht="12.8" hidden="false" customHeight="false" outlineLevel="0" collapsed="false">
      <c r="B31" s="1" t="s">
        <v>253</v>
      </c>
      <c r="C31" s="1" t="s">
        <v>254</v>
      </c>
      <c r="P31" s="1" t="s">
        <v>255</v>
      </c>
      <c r="Q31" s="1" t="n">
        <f aca="false">Q20+Q29+Q30</f>
        <v>-27</v>
      </c>
      <c r="R31" s="4" t="n">
        <f aca="false">ROUNDUP(Q31/11,0)</f>
        <v>-3</v>
      </c>
    </row>
    <row r="32" customFormat="false" ht="12.8" hidden="false" customHeight="false" outlineLevel="0" collapsed="false">
      <c r="A32" s="1" t="s">
        <v>251</v>
      </c>
      <c r="B32" s="1" t="n">
        <v>3</v>
      </c>
      <c r="C32" s="1" t="n">
        <v>11</v>
      </c>
      <c r="D32" s="1" t="s">
        <v>256</v>
      </c>
    </row>
    <row r="33" customFormat="false" ht="12.8" hidden="false" customHeight="false" outlineLevel="0" collapsed="false">
      <c r="A33" s="1" t="s">
        <v>248</v>
      </c>
      <c r="B33" s="1" t="n">
        <v>6</v>
      </c>
      <c r="C33" s="1" t="n">
        <v>11</v>
      </c>
      <c r="D33" s="1" t="s">
        <v>256</v>
      </c>
    </row>
    <row r="34" customFormat="false" ht="12.8" hidden="false" customHeight="false" outlineLevel="0" collapsed="false">
      <c r="A34" s="1" t="s">
        <v>257</v>
      </c>
      <c r="B34" s="1" t="n">
        <v>3</v>
      </c>
      <c r="C34" s="1" t="n">
        <v>11</v>
      </c>
      <c r="D34" s="1" t="s">
        <v>256</v>
      </c>
      <c r="E34" s="1" t="e">
        <f aca="false">+'тъмно'</f>
        <v>#NAME?</v>
      </c>
    </row>
    <row r="47" customFormat="false" ht="12.8" hidden="false" customHeight="false" outlineLevel="0" collapsed="false">
      <c r="A47" s="1" t="s">
        <v>258</v>
      </c>
      <c r="B47" s="1" t="n">
        <v>28.59</v>
      </c>
      <c r="C47" s="1" t="n">
        <f aca="false">B47*0.9</f>
        <v>25.731</v>
      </c>
      <c r="D47" s="1" t="n">
        <v>3</v>
      </c>
      <c r="E47" s="13" t="n">
        <f aca="false">D47*C47</f>
        <v>77.193</v>
      </c>
    </row>
    <row r="48" customFormat="false" ht="12.8" hidden="false" customHeight="false" outlineLevel="0" collapsed="false">
      <c r="A48" s="1" t="s">
        <v>259</v>
      </c>
      <c r="B48" s="1" t="n">
        <v>37.47</v>
      </c>
      <c r="C48" s="1" t="n">
        <f aca="false">B48*0.9</f>
        <v>33.723</v>
      </c>
      <c r="D48" s="1" t="n">
        <v>2</v>
      </c>
      <c r="E48" s="13" t="n">
        <f aca="false">D48*C48</f>
        <v>67.446</v>
      </c>
    </row>
    <row r="49" customFormat="false" ht="12.8" hidden="false" customHeight="false" outlineLevel="0" collapsed="false">
      <c r="E49" s="13" t="n">
        <f aca="false">SUM(E47:E48)</f>
        <v>144.639</v>
      </c>
    </row>
    <row r="51" customFormat="false" ht="12.8" hidden="false" customHeight="false" outlineLevel="0" collapsed="false">
      <c r="A51" s="1" t="s">
        <v>77</v>
      </c>
    </row>
    <row r="52" customFormat="false" ht="12.8" hidden="false" customHeight="false" outlineLevel="0" collapsed="false">
      <c r="B52" s="1" t="n">
        <v>0.337</v>
      </c>
      <c r="C52" s="1" t="n">
        <v>1</v>
      </c>
      <c r="D52" s="1" t="n">
        <f aca="false">C52/B52</f>
        <v>2.9673590504451</v>
      </c>
      <c r="E52" s="1" t="n">
        <f aca="false">ROUNDUP(C52/B52,0)</f>
        <v>3</v>
      </c>
      <c r="I52" s="32" t="n">
        <v>1.44157</v>
      </c>
    </row>
    <row r="53" customFormat="false" ht="12.8" hidden="false" customHeight="false" outlineLevel="0" collapsed="false">
      <c r="B53" s="1" t="n">
        <v>0.337</v>
      </c>
      <c r="C53" s="1" t="n">
        <v>2</v>
      </c>
      <c r="D53" s="1" t="n">
        <f aca="false">C53/B53</f>
        <v>5.93471810089021</v>
      </c>
      <c r="E53" s="1" t="n">
        <f aca="false">ROUNDUP(C53/B53,0)</f>
        <v>6</v>
      </c>
      <c r="I53" s="1" t="n">
        <f aca="false">I52/0.333/0.333</f>
        <v>13.0001172343515</v>
      </c>
    </row>
    <row r="54" customFormat="false" ht="12.8" hidden="false" customHeight="false" outlineLevel="0" collapsed="false">
      <c r="E54" s="1" t="n">
        <f aca="false">E52*E53</f>
        <v>18</v>
      </c>
      <c r="F54" s="1" t="n">
        <f aca="false">3*13</f>
        <v>39</v>
      </c>
    </row>
    <row r="56" customFormat="false" ht="12.8" hidden="false" customHeight="false" outlineLevel="0" collapsed="false">
      <c r="B56" s="1" t="n">
        <v>0.337</v>
      </c>
      <c r="C56" s="1" t="n">
        <v>2.2</v>
      </c>
      <c r="D56" s="1" t="n">
        <f aca="false">C56/B56</f>
        <v>6.52818991097923</v>
      </c>
      <c r="E56" s="1" t="n">
        <f aca="false">ROUNDUP(C56/B56,0)</f>
        <v>7</v>
      </c>
    </row>
    <row r="57" customFormat="false" ht="12.8" hidden="false" customHeight="false" outlineLevel="0" collapsed="false">
      <c r="B57" s="1" t="n">
        <v>0.337</v>
      </c>
      <c r="C57" s="1" t="n">
        <v>1.5</v>
      </c>
      <c r="D57" s="1" t="n">
        <f aca="false">C57/B57</f>
        <v>4.45103857566766</v>
      </c>
      <c r="E57" s="1" t="n">
        <f aca="false">ROUNDUP(C57/B57,0)</f>
        <v>5</v>
      </c>
    </row>
    <row r="58" customFormat="false" ht="12.8" hidden="false" customHeight="false" outlineLevel="0" collapsed="false">
      <c r="E58" s="1" t="n">
        <f aca="false">E56*E57</f>
        <v>35</v>
      </c>
      <c r="F58" s="1" t="n">
        <f aca="false">E58/13</f>
        <v>2.69230769230769</v>
      </c>
    </row>
    <row r="60" customFormat="false" ht="12.8" hidden="false" customHeight="false" outlineLevel="0" collapsed="false">
      <c r="E60" s="1" t="n">
        <f aca="false">E54+E58</f>
        <v>53</v>
      </c>
      <c r="F60" s="1" t="n">
        <f aca="false">E60/13</f>
        <v>4.07692307692308</v>
      </c>
      <c r="G60" s="1" t="n">
        <f aca="false">4*13</f>
        <v>52</v>
      </c>
    </row>
    <row r="61" customFormat="false" ht="12.8" hidden="false" customHeight="false" outlineLevel="0" collapsed="false">
      <c r="F61" s="4" t="n">
        <f aca="false">F60-2</f>
        <v>2.07692307692308</v>
      </c>
      <c r="G61" s="1" t="s">
        <v>260</v>
      </c>
      <c r="H61" s="1" t="n">
        <f aca="false">F61*C48</f>
        <v>70.0400769230769</v>
      </c>
      <c r="J61" s="1" t="n">
        <f aca="false">H61</f>
        <v>70.0400769230769</v>
      </c>
    </row>
    <row r="62" customFormat="false" ht="12.8" hidden="false" customHeight="false" outlineLevel="0" collapsed="false">
      <c r="A62" s="1" t="s">
        <v>261</v>
      </c>
      <c r="F62" s="1" t="n">
        <v>2</v>
      </c>
      <c r="G62" s="1" t="n">
        <f aca="false">32.38*0.9</f>
        <v>29.142</v>
      </c>
      <c r="H62" s="1" t="n">
        <f aca="false">F62*G62</f>
        <v>58.284</v>
      </c>
      <c r="I62" s="1" t="n">
        <f aca="false">C48</f>
        <v>33.723</v>
      </c>
      <c r="J62" s="1" t="n">
        <f aca="false">H62+I62</f>
        <v>92.007</v>
      </c>
    </row>
    <row r="63" customFormat="false" ht="12.8" hidden="false" customHeight="false" outlineLevel="0" collapsed="false">
      <c r="A63" s="1" t="s">
        <v>262</v>
      </c>
      <c r="B63" s="1" t="n">
        <v>0.3</v>
      </c>
      <c r="C63" s="1" t="n">
        <v>1</v>
      </c>
      <c r="D63" s="1" t="n">
        <f aca="false">C63/B63</f>
        <v>3.33333333333333</v>
      </c>
      <c r="E63" s="1" t="n">
        <f aca="false">ROUNDUP(C63/B63,0)</f>
        <v>4</v>
      </c>
    </row>
    <row r="64" customFormat="false" ht="12.8" hidden="false" customHeight="false" outlineLevel="0" collapsed="false">
      <c r="B64" s="1" t="n">
        <v>0.6</v>
      </c>
      <c r="C64" s="1" t="n">
        <v>2</v>
      </c>
      <c r="D64" s="1" t="n">
        <f aca="false">C64/B64</f>
        <v>3.33333333333333</v>
      </c>
      <c r="E64" s="1" t="n">
        <f aca="false">ROUNDUP(C64/B64,0)</f>
        <v>4</v>
      </c>
    </row>
    <row r="65" customFormat="false" ht="12.8" hidden="false" customHeight="false" outlineLevel="0" collapsed="false">
      <c r="E65" s="1" t="n">
        <f aca="false">E63*E64</f>
        <v>16</v>
      </c>
      <c r="F65" s="1" t="n">
        <f aca="false">E65/8</f>
        <v>2</v>
      </c>
      <c r="G65" s="32" t="n">
        <v>28.79</v>
      </c>
      <c r="H65" s="1" t="n">
        <f aca="false">F65*G65</f>
        <v>57.58</v>
      </c>
      <c r="I65" s="1" t="n">
        <f aca="false">C48</f>
        <v>33.723</v>
      </c>
      <c r="J65" s="1" t="n">
        <f aca="false">H65+I65</f>
        <v>91.303</v>
      </c>
    </row>
    <row r="67" customFormat="false" ht="12.8" hidden="false" customHeight="false" outlineLevel="0" collapsed="false">
      <c r="A67" s="1" t="s">
        <v>263</v>
      </c>
      <c r="B67" s="1" t="n">
        <v>0.333</v>
      </c>
      <c r="C67" s="1" t="n">
        <v>1</v>
      </c>
      <c r="D67" s="1" t="n">
        <f aca="false">C67/B67</f>
        <v>3.003003003003</v>
      </c>
      <c r="E67" s="1" t="n">
        <v>3</v>
      </c>
    </row>
    <row r="68" customFormat="false" ht="12.8" hidden="false" customHeight="false" outlineLevel="0" collapsed="false">
      <c r="B68" s="1" t="n">
        <v>0.333</v>
      </c>
      <c r="C68" s="1" t="n">
        <v>2</v>
      </c>
      <c r="D68" s="1" t="n">
        <f aca="false">C68/B68</f>
        <v>6.00600600600601</v>
      </c>
      <c r="E68" s="1" t="n">
        <v>6</v>
      </c>
    </row>
    <row r="69" customFormat="false" ht="12.8" hidden="false" customHeight="false" outlineLevel="0" collapsed="false">
      <c r="E69" s="1" t="n">
        <f aca="false">E67*E68</f>
        <v>18</v>
      </c>
      <c r="G69" s="1" t="n">
        <v>2</v>
      </c>
    </row>
    <row r="70" customFormat="false" ht="12.8" hidden="false" customHeight="false" outlineLevel="0" collapsed="false">
      <c r="E70" s="1" t="n">
        <f aca="false">1.66335/B68/B67</f>
        <v>15.0001352704055</v>
      </c>
      <c r="F70" s="1" t="n">
        <v>2</v>
      </c>
      <c r="G70" s="1" t="n">
        <f aca="false">34.91</f>
        <v>34.91</v>
      </c>
      <c r="H70" s="1" t="n">
        <f aca="false">F70*G70</f>
        <v>69.82</v>
      </c>
      <c r="I70" s="1" t="n">
        <f aca="false">C48</f>
        <v>33.723</v>
      </c>
      <c r="J70" s="1" t="n">
        <f aca="false">H70+I70</f>
        <v>103.543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13.77"/>
    <col collapsed="false" customWidth="true" hidden="false" outlineLevel="0" max="3" min="3" style="0" width="12.17"/>
    <col collapsed="false" customWidth="true" hidden="false" outlineLevel="0" max="4" min="4" style="0" width="9.67"/>
    <col collapsed="false" customWidth="true" hidden="false" outlineLevel="0" max="6" min="6" style="0" width="12.94"/>
  </cols>
  <sheetData>
    <row r="1" customFormat="false" ht="13.45" hidden="false" customHeight="false" outlineLevel="0" collapsed="false">
      <c r="B1" s="33" t="s">
        <v>264</v>
      </c>
      <c r="C1" s="34" t="s">
        <v>265</v>
      </c>
      <c r="D1" s="34" t="s">
        <v>266</v>
      </c>
      <c r="E1" s="34" t="s">
        <v>267</v>
      </c>
      <c r="F1" s="34" t="s">
        <v>268</v>
      </c>
      <c r="G1" s="34" t="s">
        <v>269</v>
      </c>
      <c r="H1" s="34" t="s">
        <v>270</v>
      </c>
      <c r="I1" s="34" t="s">
        <v>254</v>
      </c>
      <c r="J1" s="34" t="s">
        <v>270</v>
      </c>
      <c r="K1" s="35" t="n">
        <f aca="false">SUM(K2:K7)</f>
        <v>374.355824</v>
      </c>
    </row>
    <row r="2" customFormat="false" ht="36.6" hidden="false" customHeight="false" outlineLevel="0" collapsed="false">
      <c r="B2" s="36" t="s">
        <v>271</v>
      </c>
      <c r="C2" s="37" t="s">
        <v>272</v>
      </c>
      <c r="D2" s="38" t="n">
        <f aca="false">G2/E2/F2</f>
        <v>0.901627400041805</v>
      </c>
      <c r="E2" s="38" t="n">
        <v>3.66</v>
      </c>
      <c r="F2" s="38" t="n">
        <v>1.83</v>
      </c>
      <c r="G2" s="38" t="n">
        <f aca="false">SUM(G8:G16)+G23</f>
        <v>6.03892</v>
      </c>
      <c r="H2" s="38"/>
      <c r="I2" s="38"/>
      <c r="J2" s="38"/>
      <c r="K2" s="39" t="n">
        <v>117.9</v>
      </c>
    </row>
    <row r="3" customFormat="false" ht="25.1" hidden="false" customHeight="false" outlineLevel="0" collapsed="false">
      <c r="B3" s="36" t="s">
        <v>273</v>
      </c>
      <c r="C3" s="37" t="s">
        <v>274</v>
      </c>
      <c r="D3" s="38" t="n">
        <f aca="false">G3/E3/F3</f>
        <v>0.726820843091335</v>
      </c>
      <c r="E3" s="38" t="n">
        <v>2.8</v>
      </c>
      <c r="F3" s="38" t="n">
        <v>1.22</v>
      </c>
      <c r="G3" s="38" t="n">
        <f aca="false">SUM(G17:G22)</f>
        <v>2.48282</v>
      </c>
      <c r="H3" s="38"/>
      <c r="I3" s="38"/>
      <c r="J3" s="38"/>
      <c r="K3" s="39" t="n">
        <v>149.8</v>
      </c>
    </row>
    <row r="4" customFormat="false" ht="13.45" hidden="false" customHeight="false" outlineLevel="0" collapsed="false">
      <c r="B4" s="36" t="s">
        <v>275</v>
      </c>
      <c r="C4" s="37"/>
      <c r="D4" s="38" t="n">
        <f aca="false">SUM(D8:D16)+D23</f>
        <v>30</v>
      </c>
      <c r="E4" s="38" t="n">
        <v>1.4</v>
      </c>
      <c r="F4" s="38"/>
      <c r="G4" s="38" t="n">
        <v>4.5</v>
      </c>
      <c r="H4" s="38"/>
      <c r="I4" s="38"/>
      <c r="J4" s="38"/>
      <c r="K4" s="39" t="n">
        <f aca="false">D4*E4+G4</f>
        <v>46.5</v>
      </c>
    </row>
    <row r="5" customFormat="false" ht="13.45" hidden="false" customHeight="false" outlineLevel="0" collapsed="false">
      <c r="B5" s="36" t="s">
        <v>275</v>
      </c>
      <c r="C5" s="37"/>
      <c r="D5" s="38" t="n">
        <f aca="false">SUM(D17:D22)</f>
        <v>8</v>
      </c>
      <c r="E5" s="38" t="n">
        <v>2.5</v>
      </c>
      <c r="F5" s="38"/>
      <c r="G5" s="38" t="n">
        <v>4.5</v>
      </c>
      <c r="H5" s="38"/>
      <c r="I5" s="38"/>
      <c r="J5" s="38"/>
      <c r="K5" s="39" t="n">
        <f aca="false">D5*E5+G5</f>
        <v>24.5</v>
      </c>
    </row>
    <row r="6" customFormat="false" ht="13.45" hidden="false" customHeight="false" outlineLevel="0" collapsed="false">
      <c r="B6" s="36" t="s">
        <v>276</v>
      </c>
      <c r="C6" s="37"/>
      <c r="D6" s="38" t="n">
        <v>0.259</v>
      </c>
      <c r="E6" s="38" t="n">
        <v>1.1</v>
      </c>
      <c r="F6" s="38"/>
      <c r="G6" s="38"/>
      <c r="H6" s="38"/>
      <c r="I6" s="38" t="n">
        <f aca="false">SUM(H8:H16)/1000</f>
        <v>4.916</v>
      </c>
      <c r="J6" s="38"/>
      <c r="K6" s="39" t="n">
        <f aca="false">(E6+D6)*I6</f>
        <v>6.680844</v>
      </c>
    </row>
    <row r="7" customFormat="false" ht="13.45" hidden="false" customHeight="false" outlineLevel="0" collapsed="false">
      <c r="B7" s="36" t="s">
        <v>276</v>
      </c>
      <c r="C7" s="37"/>
      <c r="D7" s="38" t="n">
        <v>1.164</v>
      </c>
      <c r="E7" s="38" t="n">
        <v>1.43</v>
      </c>
      <c r="F7" s="38"/>
      <c r="G7" s="38"/>
      <c r="H7" s="38"/>
      <c r="I7" s="38" t="n">
        <f aca="false">SUM(H17:H21)*2/1000+SUM(J17:J21)*2/1000+H22/1000</f>
        <v>11.17</v>
      </c>
      <c r="J7" s="38"/>
      <c r="K7" s="39" t="n">
        <f aca="false">(E7+D7)*I7</f>
        <v>28.97498</v>
      </c>
    </row>
    <row r="8" customFormat="false" ht="13.45" hidden="false" customHeight="false" outlineLevel="0" collapsed="false">
      <c r="A8" s="0" t="n">
        <v>1</v>
      </c>
      <c r="B8" s="40" t="s">
        <v>277</v>
      </c>
      <c r="C8" s="41" t="s">
        <v>278</v>
      </c>
      <c r="D8" s="41" t="n">
        <v>6</v>
      </c>
      <c r="E8" s="41" t="n">
        <v>770</v>
      </c>
      <c r="F8" s="41" t="n">
        <v>550</v>
      </c>
      <c r="G8" s="42" t="n">
        <f aca="false">D8*E8*F8/1000000</f>
        <v>2.541</v>
      </c>
      <c r="H8" s="41" t="n">
        <f aca="false">E8</f>
        <v>770</v>
      </c>
      <c r="I8" s="41" t="n">
        <v>1</v>
      </c>
      <c r="J8" s="41" t="n">
        <f aca="false">F8</f>
        <v>550</v>
      </c>
      <c r="K8" s="43" t="n">
        <v>1</v>
      </c>
    </row>
    <row r="9" customFormat="false" ht="13.45" hidden="false" customHeight="false" outlineLevel="0" collapsed="false">
      <c r="A9" s="0" t="n">
        <v>2</v>
      </c>
      <c r="B9" s="36" t="s">
        <v>279</v>
      </c>
      <c r="C9" s="38" t="s">
        <v>278</v>
      </c>
      <c r="D9" s="38" t="n">
        <v>1</v>
      </c>
      <c r="E9" s="38" t="n">
        <v>517</v>
      </c>
      <c r="F9" s="38" t="n">
        <v>550</v>
      </c>
      <c r="G9" s="44" t="n">
        <f aca="false">D9*E9*F9/1000000</f>
        <v>0.28435</v>
      </c>
      <c r="H9" s="38" t="n">
        <f aca="false">E9</f>
        <v>517</v>
      </c>
      <c r="I9" s="38" t="n">
        <v>1</v>
      </c>
      <c r="J9" s="38" t="n">
        <f aca="false">F9</f>
        <v>550</v>
      </c>
      <c r="K9" s="45" t="n">
        <v>0</v>
      </c>
    </row>
    <row r="10" customFormat="false" ht="13.45" hidden="false" customHeight="false" outlineLevel="0" collapsed="false">
      <c r="A10" s="0" t="n">
        <v>3</v>
      </c>
      <c r="B10" s="40" t="s">
        <v>280</v>
      </c>
      <c r="C10" s="41" t="s">
        <v>278</v>
      </c>
      <c r="D10" s="41" t="n">
        <v>2</v>
      </c>
      <c r="E10" s="41" t="n">
        <v>582</v>
      </c>
      <c r="F10" s="41" t="n">
        <v>550</v>
      </c>
      <c r="G10" s="42" t="n">
        <f aca="false">D10*E10*F10/1000000</f>
        <v>0.6402</v>
      </c>
      <c r="H10" s="41" t="n">
        <f aca="false">E10</f>
        <v>582</v>
      </c>
      <c r="I10" s="41" t="n">
        <v>1</v>
      </c>
      <c r="J10" s="41" t="n">
        <f aca="false">F10</f>
        <v>550</v>
      </c>
      <c r="K10" s="43" t="n">
        <v>0</v>
      </c>
    </row>
    <row r="11" customFormat="false" ht="13.45" hidden="false" customHeight="false" outlineLevel="0" collapsed="false">
      <c r="A11" s="0" t="n">
        <v>4</v>
      </c>
      <c r="B11" s="36" t="s">
        <v>281</v>
      </c>
      <c r="C11" s="38" t="s">
        <v>278</v>
      </c>
      <c r="D11" s="38" t="n">
        <v>2</v>
      </c>
      <c r="E11" s="38" t="n">
        <v>573</v>
      </c>
      <c r="F11" s="38" t="n">
        <v>550</v>
      </c>
      <c r="G11" s="44" t="n">
        <f aca="false">D11*E11*F11/1000000</f>
        <v>0.6303</v>
      </c>
      <c r="H11" s="38" t="n">
        <f aca="false">E11</f>
        <v>573</v>
      </c>
      <c r="I11" s="38" t="n">
        <v>1</v>
      </c>
      <c r="J11" s="38" t="n">
        <f aca="false">F11</f>
        <v>550</v>
      </c>
      <c r="K11" s="45" t="n">
        <v>0</v>
      </c>
    </row>
    <row r="12" customFormat="false" ht="13.45" hidden="false" customHeight="false" outlineLevel="0" collapsed="false">
      <c r="A12" s="0" t="n">
        <v>5</v>
      </c>
      <c r="B12" s="40" t="s">
        <v>282</v>
      </c>
      <c r="C12" s="41" t="s">
        <v>278</v>
      </c>
      <c r="D12" s="41" t="n">
        <v>2</v>
      </c>
      <c r="E12" s="41" t="n">
        <v>564</v>
      </c>
      <c r="F12" s="41" t="n">
        <v>550</v>
      </c>
      <c r="G12" s="42" t="n">
        <f aca="false">D12*E12*F12/1000000</f>
        <v>0.6204</v>
      </c>
      <c r="H12" s="41" t="n">
        <f aca="false">E12</f>
        <v>564</v>
      </c>
      <c r="I12" s="41" t="n">
        <v>1</v>
      </c>
      <c r="J12" s="41" t="n">
        <f aca="false">F12</f>
        <v>550</v>
      </c>
      <c r="K12" s="43" t="n">
        <v>0</v>
      </c>
    </row>
    <row r="13" customFormat="false" ht="13.45" hidden="false" customHeight="false" outlineLevel="0" collapsed="false">
      <c r="A13" s="0" t="n">
        <v>6</v>
      </c>
      <c r="B13" s="36" t="s">
        <v>32</v>
      </c>
      <c r="C13" s="38" t="s">
        <v>278</v>
      </c>
      <c r="D13" s="38" t="n">
        <v>6</v>
      </c>
      <c r="E13" s="38" t="n">
        <v>501</v>
      </c>
      <c r="F13" s="38" t="n">
        <v>140</v>
      </c>
      <c r="G13" s="44" t="n">
        <f aca="false">D13*E13*F13/1000000</f>
        <v>0.42084</v>
      </c>
      <c r="H13" s="38" t="n">
        <f aca="false">E13</f>
        <v>501</v>
      </c>
      <c r="I13" s="38" t="n">
        <v>1</v>
      </c>
      <c r="J13" s="38" t="n">
        <f aca="false">F13</f>
        <v>140</v>
      </c>
      <c r="K13" s="45" t="n">
        <v>0</v>
      </c>
    </row>
    <row r="14" customFormat="false" ht="13.45" hidden="false" customHeight="false" outlineLevel="0" collapsed="false">
      <c r="A14" s="0" t="n">
        <v>7</v>
      </c>
      <c r="B14" s="40" t="s">
        <v>32</v>
      </c>
      <c r="C14" s="41" t="s">
        <v>278</v>
      </c>
      <c r="D14" s="41" t="n">
        <v>4</v>
      </c>
      <c r="E14" s="41" t="n">
        <v>454</v>
      </c>
      <c r="F14" s="41" t="n">
        <v>140</v>
      </c>
      <c r="G14" s="42" t="n">
        <f aca="false">D14*E14*F14/1000000</f>
        <v>0.25424</v>
      </c>
      <c r="H14" s="41" t="n">
        <f aca="false">E14</f>
        <v>454</v>
      </c>
      <c r="I14" s="41" t="n">
        <v>1</v>
      </c>
      <c r="J14" s="41" t="n">
        <f aca="false">F14</f>
        <v>140</v>
      </c>
      <c r="K14" s="43" t="n">
        <v>0</v>
      </c>
    </row>
    <row r="15" customFormat="false" ht="13.45" hidden="false" customHeight="false" outlineLevel="0" collapsed="false">
      <c r="A15" s="0" t="n">
        <v>8</v>
      </c>
      <c r="B15" s="36" t="s">
        <v>32</v>
      </c>
      <c r="C15" s="38" t="s">
        <v>278</v>
      </c>
      <c r="D15" s="38" t="n">
        <v>2</v>
      </c>
      <c r="E15" s="38" t="n">
        <v>454</v>
      </c>
      <c r="F15" s="38" t="n">
        <v>260</v>
      </c>
      <c r="G15" s="44" t="n">
        <f aca="false">D15*E15*F15/1000000</f>
        <v>0.23608</v>
      </c>
      <c r="H15" s="38" t="n">
        <f aca="false">E15</f>
        <v>454</v>
      </c>
      <c r="I15" s="38" t="n">
        <v>1</v>
      </c>
      <c r="J15" s="38" t="n">
        <f aca="false">F15</f>
        <v>260</v>
      </c>
      <c r="K15" s="45" t="n">
        <v>0</v>
      </c>
    </row>
    <row r="16" customFormat="false" ht="13.45" hidden="false" customHeight="false" outlineLevel="0" collapsed="false">
      <c r="A16" s="0" t="n">
        <v>6</v>
      </c>
      <c r="B16" s="40" t="s">
        <v>32</v>
      </c>
      <c r="C16" s="41" t="s">
        <v>278</v>
      </c>
      <c r="D16" s="41" t="n">
        <v>4</v>
      </c>
      <c r="E16" s="41" t="n">
        <v>501</v>
      </c>
      <c r="F16" s="41" t="n">
        <v>100</v>
      </c>
      <c r="G16" s="42" t="n">
        <f aca="false">D16*E16*F16/1000000</f>
        <v>0.2004</v>
      </c>
      <c r="H16" s="41" t="n">
        <f aca="false">E16</f>
        <v>501</v>
      </c>
      <c r="I16" s="41" t="n">
        <v>1</v>
      </c>
      <c r="J16" s="41" t="n">
        <f aca="false">F16</f>
        <v>100</v>
      </c>
      <c r="K16" s="43" t="n">
        <v>0</v>
      </c>
    </row>
    <row r="17" customFormat="false" ht="13.45" hidden="false" customHeight="false" outlineLevel="0" collapsed="false">
      <c r="A17" s="0" t="n">
        <v>9</v>
      </c>
      <c r="B17" s="36" t="s">
        <v>283</v>
      </c>
      <c r="C17" s="38" t="s">
        <v>284</v>
      </c>
      <c r="D17" s="38" t="n">
        <v>1</v>
      </c>
      <c r="E17" s="38" t="n">
        <v>597</v>
      </c>
      <c r="F17" s="38" t="n">
        <v>168</v>
      </c>
      <c r="G17" s="44" t="n">
        <f aca="false">D17*E17*F17/1000000</f>
        <v>0.100296</v>
      </c>
      <c r="H17" s="38" t="n">
        <f aca="false">E17</f>
        <v>597</v>
      </c>
      <c r="I17" s="38" t="n">
        <v>2</v>
      </c>
      <c r="J17" s="38" t="n">
        <f aca="false">F17</f>
        <v>168</v>
      </c>
      <c r="K17" s="45" t="n">
        <v>2</v>
      </c>
    </row>
    <row r="18" customFormat="false" ht="13.45" hidden="false" customHeight="false" outlineLevel="0" collapsed="false">
      <c r="A18" s="0" t="n">
        <v>10</v>
      </c>
      <c r="B18" s="40" t="s">
        <v>285</v>
      </c>
      <c r="C18" s="41" t="s">
        <v>284</v>
      </c>
      <c r="D18" s="41" t="n">
        <v>2</v>
      </c>
      <c r="E18" s="41" t="n">
        <v>190</v>
      </c>
      <c r="F18" s="41" t="n">
        <v>542</v>
      </c>
      <c r="G18" s="42" t="n">
        <f aca="false">D18*E18*F18/1000000</f>
        <v>0.20596</v>
      </c>
      <c r="H18" s="41" t="n">
        <f aca="false">E18</f>
        <v>190</v>
      </c>
      <c r="I18" s="41" t="n">
        <v>2</v>
      </c>
      <c r="J18" s="41" t="n">
        <f aca="false">F18</f>
        <v>542</v>
      </c>
      <c r="K18" s="43" t="n">
        <v>2</v>
      </c>
    </row>
    <row r="19" customFormat="false" ht="13.45" hidden="false" customHeight="false" outlineLevel="0" collapsed="false">
      <c r="A19" s="0" t="n">
        <v>11</v>
      </c>
      <c r="B19" s="36" t="s">
        <v>286</v>
      </c>
      <c r="C19" s="38" t="s">
        <v>284</v>
      </c>
      <c r="D19" s="38" t="n">
        <v>1</v>
      </c>
      <c r="E19" s="38" t="n">
        <v>380</v>
      </c>
      <c r="F19" s="38" t="n">
        <v>542</v>
      </c>
      <c r="G19" s="44" t="n">
        <f aca="false">D19*E19*F19/1000000</f>
        <v>0.20596</v>
      </c>
      <c r="H19" s="38" t="n">
        <f aca="false">E19</f>
        <v>380</v>
      </c>
      <c r="I19" s="38" t="n">
        <v>2</v>
      </c>
      <c r="J19" s="38" t="n">
        <f aca="false">F19</f>
        <v>542</v>
      </c>
      <c r="K19" s="45" t="n">
        <v>2</v>
      </c>
    </row>
    <row r="20" customFormat="false" ht="13.45" hidden="false" customHeight="false" outlineLevel="0" collapsed="false">
      <c r="A20" s="0" t="n">
        <v>12</v>
      </c>
      <c r="B20" s="40" t="s">
        <v>287</v>
      </c>
      <c r="C20" s="41" t="s">
        <v>284</v>
      </c>
      <c r="D20" s="41" t="n">
        <v>1</v>
      </c>
      <c r="E20" s="41" t="n">
        <v>766</v>
      </c>
      <c r="F20" s="41" t="n">
        <v>597</v>
      </c>
      <c r="G20" s="42" t="n">
        <f aca="false">D20*E20*F20/1000000</f>
        <v>0.457302</v>
      </c>
      <c r="H20" s="41" t="n">
        <f aca="false">E20</f>
        <v>766</v>
      </c>
      <c r="I20" s="41" t="n">
        <v>2</v>
      </c>
      <c r="J20" s="41" t="n">
        <f aca="false">F20</f>
        <v>597</v>
      </c>
      <c r="K20" s="43" t="n">
        <v>2</v>
      </c>
    </row>
    <row r="21" customFormat="false" ht="13.45" hidden="false" customHeight="false" outlineLevel="0" collapsed="false">
      <c r="A21" s="0" t="n">
        <v>13</v>
      </c>
      <c r="B21" s="36" t="s">
        <v>288</v>
      </c>
      <c r="C21" s="38" t="s">
        <v>284</v>
      </c>
      <c r="D21" s="38" t="n">
        <v>1</v>
      </c>
      <c r="E21" s="38" t="n">
        <v>766</v>
      </c>
      <c r="F21" s="38" t="n">
        <v>597</v>
      </c>
      <c r="G21" s="44" t="n">
        <f aca="false">D21*E21*F21/1000000</f>
        <v>0.457302</v>
      </c>
      <c r="H21" s="38" t="n">
        <f aca="false">E21</f>
        <v>766</v>
      </c>
      <c r="I21" s="38" t="n">
        <v>2</v>
      </c>
      <c r="J21" s="38" t="n">
        <f aca="false">F21</f>
        <v>597</v>
      </c>
      <c r="K21" s="45" t="n">
        <v>2</v>
      </c>
    </row>
    <row r="22" customFormat="false" ht="13.45" hidden="false" customHeight="false" outlineLevel="0" collapsed="false">
      <c r="A22" s="0" t="n">
        <v>14</v>
      </c>
      <c r="B22" s="40" t="s">
        <v>289</v>
      </c>
      <c r="C22" s="41" t="s">
        <v>284</v>
      </c>
      <c r="D22" s="41" t="n">
        <v>2</v>
      </c>
      <c r="E22" s="41" t="n">
        <v>880</v>
      </c>
      <c r="F22" s="41" t="n">
        <v>600</v>
      </c>
      <c r="G22" s="42" t="n">
        <f aca="false">D22*E22*F22/1000000</f>
        <v>1.056</v>
      </c>
      <c r="H22" s="41" t="n">
        <f aca="false">E22</f>
        <v>880</v>
      </c>
      <c r="I22" s="41" t="n">
        <v>1</v>
      </c>
      <c r="J22" s="41" t="n">
        <f aca="false">F22</f>
        <v>600</v>
      </c>
      <c r="K22" s="43" t="n">
        <v>0</v>
      </c>
    </row>
    <row r="23" customFormat="false" ht="13.45" hidden="false" customHeight="false" outlineLevel="0" collapsed="false">
      <c r="A23" s="0" t="n">
        <v>15</v>
      </c>
      <c r="B23" s="36" t="s">
        <v>290</v>
      </c>
      <c r="C23" s="38" t="s">
        <v>278</v>
      </c>
      <c r="D23" s="38" t="n">
        <v>1</v>
      </c>
      <c r="E23" s="38" t="n">
        <v>454</v>
      </c>
      <c r="F23" s="38" t="n">
        <v>465</v>
      </c>
      <c r="G23" s="44" t="n">
        <f aca="false">D23*E23*F23/1000000</f>
        <v>0.21111</v>
      </c>
      <c r="H23" s="38" t="n">
        <f aca="false">E23</f>
        <v>454</v>
      </c>
      <c r="I23" s="38" t="n">
        <v>0</v>
      </c>
      <c r="J23" s="38" t="n">
        <f aca="false">F23</f>
        <v>465</v>
      </c>
      <c r="K23" s="4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13.77"/>
    <col collapsed="false" customWidth="true" hidden="false" outlineLevel="0" max="3" min="3" style="0" width="12.17"/>
    <col collapsed="false" customWidth="true" hidden="false" outlineLevel="0" max="4" min="4" style="0" width="9.67"/>
    <col collapsed="false" customWidth="true" hidden="false" outlineLevel="0" max="6" min="6" style="0" width="12.94"/>
  </cols>
  <sheetData>
    <row r="1" customFormat="false" ht="13.45" hidden="false" customHeight="false" outlineLevel="0" collapsed="false">
      <c r="B1" s="33" t="s">
        <v>264</v>
      </c>
      <c r="C1" s="34" t="s">
        <v>265</v>
      </c>
      <c r="D1" s="34" t="s">
        <v>266</v>
      </c>
      <c r="E1" s="34" t="s">
        <v>267</v>
      </c>
      <c r="F1" s="34" t="s">
        <v>268</v>
      </c>
      <c r="G1" s="34" t="s">
        <v>269</v>
      </c>
      <c r="H1" s="34" t="s">
        <v>270</v>
      </c>
      <c r="I1" s="34" t="s">
        <v>254</v>
      </c>
      <c r="J1" s="34" t="s">
        <v>270</v>
      </c>
      <c r="K1" s="35" t="n">
        <f aca="false">SUM(K2:K7)</f>
        <v>369.663528</v>
      </c>
    </row>
    <row r="2" customFormat="false" ht="36.6" hidden="false" customHeight="false" outlineLevel="0" collapsed="false">
      <c r="B2" s="36" t="s">
        <v>271</v>
      </c>
      <c r="C2" s="37" t="s">
        <v>272</v>
      </c>
      <c r="D2" s="38" t="n">
        <f aca="false">G2/E2/F2</f>
        <v>0.884505359968945</v>
      </c>
      <c r="E2" s="38" t="n">
        <v>3.66</v>
      </c>
      <c r="F2" s="38" t="n">
        <v>1.83</v>
      </c>
      <c r="G2" s="38" t="n">
        <f aca="false">SUM(G8:G15)</f>
        <v>5.92424</v>
      </c>
      <c r="H2" s="38"/>
      <c r="I2" s="38"/>
      <c r="J2" s="38"/>
      <c r="K2" s="39" t="n">
        <v>117.9</v>
      </c>
    </row>
    <row r="3" customFormat="false" ht="25.1" hidden="false" customHeight="false" outlineLevel="0" collapsed="false">
      <c r="B3" s="36" t="s">
        <v>273</v>
      </c>
      <c r="C3" s="37" t="s">
        <v>274</v>
      </c>
      <c r="D3" s="38" t="n">
        <f aca="false">G3/E3/F3</f>
        <v>0.790627341920375</v>
      </c>
      <c r="E3" s="38" t="n">
        <v>2.8</v>
      </c>
      <c r="F3" s="38" t="n">
        <v>1.22</v>
      </c>
      <c r="G3" s="38" t="n">
        <f aca="false">SUM(G16:G22)</f>
        <v>2.700783</v>
      </c>
      <c r="H3" s="38"/>
      <c r="I3" s="38"/>
      <c r="J3" s="38"/>
      <c r="K3" s="39" t="n">
        <v>149.8</v>
      </c>
    </row>
    <row r="4" customFormat="false" ht="13.45" hidden="false" customHeight="false" outlineLevel="0" collapsed="false">
      <c r="B4" s="36" t="s">
        <v>275</v>
      </c>
      <c r="C4" s="37"/>
      <c r="D4" s="38" t="n">
        <f aca="false">SUM(D8:D15)</f>
        <v>26</v>
      </c>
      <c r="E4" s="38" t="n">
        <v>1.4</v>
      </c>
      <c r="F4" s="38"/>
      <c r="G4" s="38" t="n">
        <v>4.5</v>
      </c>
      <c r="H4" s="38"/>
      <c r="I4" s="38"/>
      <c r="J4" s="38"/>
      <c r="K4" s="39" t="n">
        <f aca="false">D4*E4+G4</f>
        <v>40.9</v>
      </c>
    </row>
    <row r="5" customFormat="false" ht="13.45" hidden="false" customHeight="false" outlineLevel="0" collapsed="false">
      <c r="B5" s="36" t="s">
        <v>275</v>
      </c>
      <c r="C5" s="37"/>
      <c r="D5" s="38" t="n">
        <f aca="false">SUM(D16:D22)</f>
        <v>10</v>
      </c>
      <c r="E5" s="38" t="n">
        <v>2.5</v>
      </c>
      <c r="F5" s="38"/>
      <c r="G5" s="38" t="n">
        <v>4.5</v>
      </c>
      <c r="H5" s="38"/>
      <c r="I5" s="38"/>
      <c r="J5" s="38"/>
      <c r="K5" s="39" t="n">
        <f aca="false">D5*E5+G5</f>
        <v>29.5</v>
      </c>
    </row>
    <row r="6" customFormat="false" ht="13.45" hidden="false" customHeight="false" outlineLevel="0" collapsed="false">
      <c r="B6" s="36" t="s">
        <v>276</v>
      </c>
      <c r="C6" s="37"/>
      <c r="D6" s="38" t="n">
        <v>0.12</v>
      </c>
      <c r="E6" s="38" t="n">
        <v>1</v>
      </c>
      <c r="F6" s="38"/>
      <c r="G6" s="38"/>
      <c r="H6" s="38"/>
      <c r="I6" s="38" t="n">
        <f aca="false">SUM(H8:H15)/1000</f>
        <v>4.53</v>
      </c>
      <c r="J6" s="38"/>
      <c r="K6" s="39" t="n">
        <f aca="false">(E6+D6)*I6</f>
        <v>5.0736</v>
      </c>
    </row>
    <row r="7" customFormat="false" ht="13.45" hidden="false" customHeight="false" outlineLevel="0" collapsed="false">
      <c r="B7" s="36" t="s">
        <v>276</v>
      </c>
      <c r="C7" s="37"/>
      <c r="D7" s="38" t="n">
        <v>1.164</v>
      </c>
      <c r="E7" s="38" t="n">
        <v>1.43</v>
      </c>
      <c r="F7" s="38"/>
      <c r="G7" s="38"/>
      <c r="H7" s="38"/>
      <c r="I7" s="38" t="n">
        <f aca="false">SUM(H16:H20)*2/1000+SUM(J16:J20)*2/1000+H21/1000</f>
        <v>10.212</v>
      </c>
      <c r="J7" s="38"/>
      <c r="K7" s="39" t="n">
        <f aca="false">(E7+D7)*I7</f>
        <v>26.489928</v>
      </c>
    </row>
    <row r="8" customFormat="false" ht="13.45" hidden="false" customHeight="false" outlineLevel="0" collapsed="false">
      <c r="A8" s="0" t="n">
        <v>1</v>
      </c>
      <c r="B8" s="40" t="s">
        <v>277</v>
      </c>
      <c r="C8" s="41" t="s">
        <v>278</v>
      </c>
      <c r="D8" s="41" t="n">
        <v>6</v>
      </c>
      <c r="E8" s="41" t="n">
        <v>800</v>
      </c>
      <c r="F8" s="41" t="n">
        <v>560</v>
      </c>
      <c r="G8" s="42" t="n">
        <f aca="false">D8*E8*F8/1000000</f>
        <v>2.688</v>
      </c>
      <c r="H8" s="41" t="n">
        <f aca="false">E8</f>
        <v>800</v>
      </c>
      <c r="I8" s="41" t="n">
        <v>1</v>
      </c>
      <c r="J8" s="41" t="n">
        <f aca="false">F8</f>
        <v>560</v>
      </c>
      <c r="K8" s="43" t="n">
        <v>0</v>
      </c>
    </row>
    <row r="9" customFormat="false" ht="13.45" hidden="false" customHeight="false" outlineLevel="0" collapsed="false">
      <c r="A9" s="0" t="n">
        <v>2</v>
      </c>
      <c r="B9" s="36" t="s">
        <v>279</v>
      </c>
      <c r="C9" s="38" t="s">
        <v>278</v>
      </c>
      <c r="D9" s="38" t="n">
        <v>4</v>
      </c>
      <c r="E9" s="38" t="n">
        <v>564</v>
      </c>
      <c r="F9" s="38" t="n">
        <v>560</v>
      </c>
      <c r="G9" s="44" t="n">
        <f aca="false">D9*E9*F9/1000000</f>
        <v>1.26336</v>
      </c>
      <c r="H9" s="38" t="n">
        <f aca="false">E9</f>
        <v>564</v>
      </c>
      <c r="I9" s="38" t="n">
        <v>1</v>
      </c>
      <c r="J9" s="38" t="n">
        <f aca="false">F9</f>
        <v>560</v>
      </c>
      <c r="K9" s="45" t="n">
        <v>0</v>
      </c>
    </row>
    <row r="10" customFormat="false" ht="13.45" hidden="false" customHeight="false" outlineLevel="0" collapsed="false">
      <c r="A10" s="0" t="n">
        <v>3</v>
      </c>
      <c r="B10" s="40" t="s">
        <v>291</v>
      </c>
      <c r="C10" s="41" t="s">
        <v>278</v>
      </c>
      <c r="D10" s="41" t="n">
        <v>1</v>
      </c>
      <c r="E10" s="41" t="n">
        <v>542</v>
      </c>
      <c r="F10" s="41" t="n">
        <v>500</v>
      </c>
      <c r="G10" s="42" t="n">
        <f aca="false">D10*E10*F10/1000000</f>
        <v>0.271</v>
      </c>
      <c r="H10" s="41" t="n">
        <f aca="false">E10</f>
        <v>542</v>
      </c>
      <c r="I10" s="41" t="n">
        <v>1</v>
      </c>
      <c r="J10" s="41" t="n">
        <f aca="false">F10</f>
        <v>500</v>
      </c>
      <c r="K10" s="43" t="n">
        <v>0</v>
      </c>
    </row>
    <row r="11" customFormat="false" ht="13.45" hidden="false" customHeight="false" outlineLevel="0" collapsed="false">
      <c r="A11" s="0" t="n">
        <v>4</v>
      </c>
      <c r="B11" s="36" t="s">
        <v>281</v>
      </c>
      <c r="C11" s="38" t="s">
        <v>278</v>
      </c>
      <c r="D11" s="38" t="n">
        <v>1</v>
      </c>
      <c r="E11" s="38" t="n">
        <v>544</v>
      </c>
      <c r="F11" s="38" t="n">
        <v>560</v>
      </c>
      <c r="G11" s="44" t="n">
        <f aca="false">D11*E11*F11/1000000</f>
        <v>0.30464</v>
      </c>
      <c r="H11" s="38" t="n">
        <f aca="false">E11</f>
        <v>544</v>
      </c>
      <c r="I11" s="38" t="n">
        <v>1</v>
      </c>
      <c r="J11" s="38" t="n">
        <f aca="false">F11</f>
        <v>560</v>
      </c>
      <c r="K11" s="45" t="n">
        <v>0</v>
      </c>
    </row>
    <row r="12" customFormat="false" ht="13.45" hidden="false" customHeight="false" outlineLevel="0" collapsed="false">
      <c r="A12" s="0" t="n">
        <v>5</v>
      </c>
      <c r="B12" s="40" t="s">
        <v>292</v>
      </c>
      <c r="C12" s="41" t="s">
        <v>278</v>
      </c>
      <c r="D12" s="41" t="n">
        <v>2</v>
      </c>
      <c r="E12" s="41" t="n">
        <v>562</v>
      </c>
      <c r="F12" s="41" t="n">
        <v>500</v>
      </c>
      <c r="G12" s="42" t="n">
        <f aca="false">D12*E12*F12/1000000</f>
        <v>0.562</v>
      </c>
      <c r="H12" s="41" t="n">
        <f aca="false">E12</f>
        <v>562</v>
      </c>
      <c r="I12" s="41" t="n">
        <v>1</v>
      </c>
      <c r="J12" s="41" t="n">
        <f aca="false">F12</f>
        <v>500</v>
      </c>
      <c r="K12" s="43" t="n">
        <v>0</v>
      </c>
    </row>
    <row r="13" customFormat="false" ht="13.45" hidden="false" customHeight="false" outlineLevel="0" collapsed="false">
      <c r="A13" s="0" t="n">
        <v>6</v>
      </c>
      <c r="B13" s="36" t="s">
        <v>32</v>
      </c>
      <c r="C13" s="38" t="s">
        <v>278</v>
      </c>
      <c r="D13" s="38" t="n">
        <v>6</v>
      </c>
      <c r="E13" s="38" t="n">
        <v>464</v>
      </c>
      <c r="F13" s="38" t="n">
        <v>140</v>
      </c>
      <c r="G13" s="44" t="n">
        <f aca="false">D13*E13*F13/1000000</f>
        <v>0.38976</v>
      </c>
      <c r="H13" s="38" t="n">
        <f aca="false">E13</f>
        <v>464</v>
      </c>
      <c r="I13" s="38" t="n">
        <v>1</v>
      </c>
      <c r="J13" s="38" t="n">
        <f aca="false">F13</f>
        <v>140</v>
      </c>
      <c r="K13" s="45" t="n">
        <v>0</v>
      </c>
    </row>
    <row r="14" customFormat="false" ht="13.45" hidden="false" customHeight="false" outlineLevel="0" collapsed="false">
      <c r="A14" s="0" t="n">
        <v>7</v>
      </c>
      <c r="B14" s="40" t="s">
        <v>32</v>
      </c>
      <c r="C14" s="41" t="s">
        <v>278</v>
      </c>
      <c r="D14" s="41" t="n">
        <v>4</v>
      </c>
      <c r="E14" s="41" t="n">
        <v>537</v>
      </c>
      <c r="F14" s="41" t="n">
        <v>140</v>
      </c>
      <c r="G14" s="42" t="n">
        <f aca="false">D14*E14*F14/1000000</f>
        <v>0.30072</v>
      </c>
      <c r="H14" s="41" t="n">
        <f aca="false">E14</f>
        <v>537</v>
      </c>
      <c r="I14" s="41" t="n">
        <v>1</v>
      </c>
      <c r="J14" s="41" t="n">
        <f aca="false">F14</f>
        <v>140</v>
      </c>
      <c r="K14" s="43" t="n">
        <v>0</v>
      </c>
    </row>
    <row r="15" customFormat="false" ht="13.45" hidden="false" customHeight="false" outlineLevel="0" collapsed="false">
      <c r="A15" s="0" t="n">
        <v>8</v>
      </c>
      <c r="B15" s="36" t="s">
        <v>32</v>
      </c>
      <c r="C15" s="38" t="s">
        <v>278</v>
      </c>
      <c r="D15" s="38" t="n">
        <v>2</v>
      </c>
      <c r="E15" s="38" t="n">
        <v>517</v>
      </c>
      <c r="F15" s="38" t="n">
        <v>140</v>
      </c>
      <c r="G15" s="44" t="n">
        <f aca="false">D15*E15*F15/1000000</f>
        <v>0.14476</v>
      </c>
      <c r="H15" s="38" t="n">
        <f aca="false">E15</f>
        <v>517</v>
      </c>
      <c r="I15" s="38" t="n">
        <v>1</v>
      </c>
      <c r="J15" s="38" t="n">
        <f aca="false">F15</f>
        <v>140</v>
      </c>
      <c r="K15" s="45" t="n">
        <v>0</v>
      </c>
    </row>
    <row r="16" customFormat="false" ht="13.45" hidden="false" customHeight="false" outlineLevel="0" collapsed="false">
      <c r="A16" s="0" t="n">
        <v>9</v>
      </c>
      <c r="B16" s="40" t="s">
        <v>293</v>
      </c>
      <c r="C16" s="41" t="s">
        <v>284</v>
      </c>
      <c r="D16" s="41" t="n">
        <v>1</v>
      </c>
      <c r="E16" s="41" t="n">
        <v>598</v>
      </c>
      <c r="F16" s="41" t="n">
        <v>200</v>
      </c>
      <c r="G16" s="42" t="n">
        <f aca="false">D16*E16*F16/1000000</f>
        <v>0.1196</v>
      </c>
      <c r="H16" s="41" t="n">
        <f aca="false">E16</f>
        <v>598</v>
      </c>
      <c r="I16" s="41" t="n">
        <v>2</v>
      </c>
      <c r="J16" s="41" t="n">
        <f aca="false">F16</f>
        <v>200</v>
      </c>
      <c r="K16" s="43" t="n">
        <v>2</v>
      </c>
    </row>
    <row r="17" customFormat="false" ht="13.45" hidden="false" customHeight="false" outlineLevel="0" collapsed="false">
      <c r="A17" s="0" t="n">
        <v>10</v>
      </c>
      <c r="B17" s="36" t="s">
        <v>293</v>
      </c>
      <c r="C17" s="38" t="s">
        <v>284</v>
      </c>
      <c r="D17" s="38" t="n">
        <v>2</v>
      </c>
      <c r="E17" s="38" t="n">
        <v>598</v>
      </c>
      <c r="F17" s="38" t="n">
        <v>197</v>
      </c>
      <c r="G17" s="44" t="n">
        <f aca="false">D17*E17*F17/1000000</f>
        <v>0.235612</v>
      </c>
      <c r="H17" s="38" t="n">
        <f aca="false">E17</f>
        <v>598</v>
      </c>
      <c r="I17" s="38" t="n">
        <v>2</v>
      </c>
      <c r="J17" s="38" t="n">
        <f aca="false">F17</f>
        <v>197</v>
      </c>
      <c r="K17" s="45" t="n">
        <v>2</v>
      </c>
    </row>
    <row r="18" customFormat="false" ht="13.45" hidden="false" customHeight="false" outlineLevel="0" collapsed="false">
      <c r="A18" s="0" t="n">
        <v>11</v>
      </c>
      <c r="B18" s="40" t="s">
        <v>293</v>
      </c>
      <c r="C18" s="41" t="s">
        <v>284</v>
      </c>
      <c r="D18" s="41" t="n">
        <v>1</v>
      </c>
      <c r="E18" s="41" t="n">
        <v>542</v>
      </c>
      <c r="F18" s="41" t="n">
        <v>197</v>
      </c>
      <c r="G18" s="42" t="n">
        <f aca="false">D18*E18*F18/1000000</f>
        <v>0.106774</v>
      </c>
      <c r="H18" s="41" t="n">
        <f aca="false">E18</f>
        <v>542</v>
      </c>
      <c r="I18" s="41" t="n">
        <v>2</v>
      </c>
      <c r="J18" s="41" t="n">
        <f aca="false">F18</f>
        <v>197</v>
      </c>
      <c r="K18" s="43" t="n">
        <v>2</v>
      </c>
    </row>
    <row r="19" customFormat="false" ht="13.45" hidden="false" customHeight="false" outlineLevel="0" collapsed="false">
      <c r="A19" s="0" t="n">
        <v>12</v>
      </c>
      <c r="B19" s="36" t="s">
        <v>100</v>
      </c>
      <c r="C19" s="38" t="s">
        <v>284</v>
      </c>
      <c r="D19" s="38" t="n">
        <v>1</v>
      </c>
      <c r="E19" s="38" t="n">
        <v>597</v>
      </c>
      <c r="F19" s="38" t="n">
        <v>542</v>
      </c>
      <c r="G19" s="44" t="n">
        <f aca="false">D19*E19*F19/1000000</f>
        <v>0.323574</v>
      </c>
      <c r="H19" s="38" t="n">
        <f aca="false">E19</f>
        <v>597</v>
      </c>
      <c r="I19" s="38" t="n">
        <v>2</v>
      </c>
      <c r="J19" s="38" t="n">
        <f aca="false">F19</f>
        <v>542</v>
      </c>
      <c r="K19" s="45" t="n">
        <v>2</v>
      </c>
    </row>
    <row r="20" customFormat="false" ht="13.45" hidden="false" customHeight="false" outlineLevel="0" collapsed="false">
      <c r="A20" s="0" t="n">
        <v>13</v>
      </c>
      <c r="B20" s="40" t="s">
        <v>100</v>
      </c>
      <c r="C20" s="41" t="s">
        <v>284</v>
      </c>
      <c r="D20" s="41" t="n">
        <v>2</v>
      </c>
      <c r="E20" s="41" t="n">
        <v>598</v>
      </c>
      <c r="F20" s="41" t="n">
        <v>597</v>
      </c>
      <c r="G20" s="42" t="n">
        <f aca="false">D20*E20*F20/1000000</f>
        <v>0.714012</v>
      </c>
      <c r="H20" s="41" t="n">
        <f aca="false">E20</f>
        <v>598</v>
      </c>
      <c r="I20" s="41" t="n">
        <v>2</v>
      </c>
      <c r="J20" s="41" t="n">
        <f aca="false">F20</f>
        <v>597</v>
      </c>
      <c r="K20" s="43" t="n">
        <v>2</v>
      </c>
    </row>
    <row r="21" customFormat="false" ht="13.45" hidden="false" customHeight="false" outlineLevel="0" collapsed="false">
      <c r="A21" s="0" t="n">
        <v>14</v>
      </c>
      <c r="B21" s="36" t="s">
        <v>289</v>
      </c>
      <c r="C21" s="38" t="s">
        <v>284</v>
      </c>
      <c r="D21" s="38" t="n">
        <v>2</v>
      </c>
      <c r="E21" s="38" t="n">
        <v>880</v>
      </c>
      <c r="F21" s="38" t="n">
        <v>580</v>
      </c>
      <c r="G21" s="44" t="n">
        <f aca="false">D21*E21*F21/1000000</f>
        <v>1.0208</v>
      </c>
      <c r="H21" s="38" t="n">
        <f aca="false">E21</f>
        <v>880</v>
      </c>
      <c r="I21" s="38" t="n">
        <v>1</v>
      </c>
      <c r="J21" s="38" t="n">
        <f aca="false">F21</f>
        <v>580</v>
      </c>
      <c r="K21" s="45" t="n">
        <v>0</v>
      </c>
    </row>
    <row r="22" customFormat="false" ht="13.45" hidden="false" customHeight="false" outlineLevel="0" collapsed="false">
      <c r="A22" s="0" t="n">
        <v>15</v>
      </c>
      <c r="B22" s="46" t="s">
        <v>294</v>
      </c>
      <c r="C22" s="47" t="s">
        <v>284</v>
      </c>
      <c r="D22" s="47" t="n">
        <v>1</v>
      </c>
      <c r="E22" s="47" t="n">
        <v>2343</v>
      </c>
      <c r="F22" s="47" t="n">
        <v>77</v>
      </c>
      <c r="G22" s="48" t="n">
        <f aca="false">D22*E22*F22/1000000</f>
        <v>0.180411</v>
      </c>
      <c r="H22" s="47" t="n">
        <f aca="false">E22</f>
        <v>2343</v>
      </c>
      <c r="I22" s="47" t="n">
        <v>0</v>
      </c>
      <c r="J22" s="47" t="n">
        <f aca="false">F22</f>
        <v>77</v>
      </c>
      <c r="K22" s="4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5" t="s">
        <v>1</v>
      </c>
      <c r="B1" s="16"/>
      <c r="C1" s="17"/>
      <c r="D1" s="4" t="s">
        <v>63</v>
      </c>
      <c r="E1" s="17" t="s">
        <v>64</v>
      </c>
      <c r="F1" s="16" t="s">
        <v>4</v>
      </c>
      <c r="H1" s="18" t="s">
        <v>2</v>
      </c>
      <c r="I1" s="17"/>
      <c r="J1" s="4" t="s">
        <v>63</v>
      </c>
      <c r="K1" s="17" t="s">
        <v>64</v>
      </c>
      <c r="L1" s="16" t="s">
        <v>4</v>
      </c>
    </row>
    <row r="2" customFormat="false" ht="12.8" hidden="false" customHeight="false" outlineLevel="0" collapsed="false">
      <c r="A2" s="17"/>
      <c r="B2" s="16"/>
      <c r="C2" s="17"/>
      <c r="D2" s="19" t="n">
        <f aca="false">SUM(D4:D59)</f>
        <v>1172</v>
      </c>
      <c r="E2" s="20" t="n">
        <v>6363</v>
      </c>
      <c r="F2" s="19" t="n">
        <f aca="false">E2-D2</f>
        <v>5191</v>
      </c>
      <c r="G2" s="8"/>
      <c r="H2" s="19"/>
      <c r="I2" s="20"/>
      <c r="J2" s="19" t="n">
        <f aca="false">SUM(J3:J59)</f>
        <v>8933</v>
      </c>
      <c r="K2" s="20" t="n">
        <f aca="false">F2</f>
        <v>5191</v>
      </c>
      <c r="L2" s="19" t="n">
        <f aca="false">K2-J2</f>
        <v>-3742</v>
      </c>
    </row>
    <row r="3" customFormat="false" ht="12.8" hidden="false" customHeight="false" outlineLevel="0" collapsed="false">
      <c r="A3" s="2" t="s">
        <v>65</v>
      </c>
      <c r="B3" s="16"/>
      <c r="C3" s="17"/>
      <c r="D3" s="16"/>
      <c r="E3" s="17"/>
      <c r="F3" s="16"/>
      <c r="H3" s="16" t="s">
        <v>8</v>
      </c>
      <c r="I3" s="17" t="s">
        <v>66</v>
      </c>
      <c r="J3" s="16" t="n">
        <v>5000</v>
      </c>
    </row>
    <row r="4" customFormat="false" ht="12.8" hidden="false" customHeight="false" outlineLevel="0" collapsed="false">
      <c r="A4" s="17"/>
      <c r="B4" s="4" t="s">
        <v>67</v>
      </c>
      <c r="C4" s="2" t="s">
        <v>68</v>
      </c>
      <c r="D4" s="4" t="n">
        <v>0</v>
      </c>
      <c r="E4" s="17"/>
      <c r="F4" s="16"/>
      <c r="H4" s="16"/>
      <c r="I4" s="17" t="s">
        <v>11</v>
      </c>
      <c r="J4" s="16" t="n">
        <v>400</v>
      </c>
    </row>
    <row r="5" customFormat="false" ht="12.8" hidden="false" customHeight="false" outlineLevel="0" collapsed="false">
      <c r="A5" s="17"/>
      <c r="B5" s="16"/>
      <c r="C5" s="2"/>
      <c r="D5" s="4"/>
      <c r="E5" s="17"/>
      <c r="F5" s="16"/>
      <c r="H5" s="16"/>
      <c r="I5" s="17" t="s">
        <v>12</v>
      </c>
      <c r="J5" s="16" t="n">
        <v>0</v>
      </c>
    </row>
    <row r="6" customFormat="false" ht="12.8" hidden="false" customHeight="false" outlineLevel="0" collapsed="false">
      <c r="A6" s="17"/>
      <c r="B6" s="16"/>
      <c r="C6" s="2"/>
      <c r="D6" s="4"/>
      <c r="E6" s="17"/>
      <c r="F6" s="16"/>
      <c r="H6" s="16"/>
      <c r="I6" s="17" t="s">
        <v>10</v>
      </c>
      <c r="J6" s="16" t="n">
        <v>299</v>
      </c>
    </row>
    <row r="7" customFormat="false" ht="12.8" hidden="false" customHeight="false" outlineLevel="0" collapsed="false">
      <c r="A7" s="17"/>
      <c r="B7" s="4" t="s">
        <v>69</v>
      </c>
      <c r="C7" s="2"/>
      <c r="D7" s="4" t="n">
        <v>0</v>
      </c>
      <c r="E7" s="17"/>
      <c r="F7" s="16"/>
      <c r="H7" s="16"/>
      <c r="I7" s="17" t="s">
        <v>70</v>
      </c>
      <c r="J7" s="16" t="n">
        <f aca="false">3*0.6*70</f>
        <v>126</v>
      </c>
    </row>
    <row r="8" customFormat="false" ht="12.8" hidden="false" customHeight="false" outlineLevel="0" collapsed="false">
      <c r="A8" s="17"/>
      <c r="B8" s="4" t="s">
        <v>71</v>
      </c>
      <c r="C8" s="2" t="s">
        <v>72</v>
      </c>
      <c r="D8" s="4" t="n">
        <v>10</v>
      </c>
      <c r="E8" s="17"/>
      <c r="F8" s="16"/>
      <c r="H8" s="16"/>
      <c r="I8" s="17" t="s">
        <v>38</v>
      </c>
      <c r="J8" s="16" t="n">
        <v>0</v>
      </c>
    </row>
    <row r="9" customFormat="false" ht="12.8" hidden="false" customHeight="false" outlineLevel="0" collapsed="false">
      <c r="A9" s="17"/>
      <c r="B9" s="4" t="s">
        <v>73</v>
      </c>
      <c r="C9" s="2" t="s">
        <v>74</v>
      </c>
      <c r="D9" s="4" t="n">
        <v>0</v>
      </c>
      <c r="E9" s="17"/>
      <c r="F9" s="16"/>
      <c r="H9" s="16"/>
      <c r="I9" s="17"/>
      <c r="J9" s="16"/>
    </row>
    <row r="10" customFormat="false" ht="12.8" hidden="false" customHeight="false" outlineLevel="0" collapsed="false">
      <c r="A10" s="17"/>
      <c r="B10" s="4" t="s">
        <v>75</v>
      </c>
      <c r="C10" s="2" t="s">
        <v>76</v>
      </c>
      <c r="D10" s="4" t="n">
        <v>0</v>
      </c>
      <c r="E10" s="17"/>
      <c r="F10" s="16"/>
      <c r="H10" s="16" t="s">
        <v>77</v>
      </c>
      <c r="I10" s="17" t="s">
        <v>78</v>
      </c>
      <c r="J10" s="16" t="n">
        <f aca="false">3*0.8*30</f>
        <v>72</v>
      </c>
    </row>
    <row r="11" customFormat="false" ht="12.8" hidden="false" customHeight="false" outlineLevel="0" collapsed="false">
      <c r="A11" s="17"/>
      <c r="B11" s="4"/>
      <c r="C11" s="2" t="s">
        <v>79</v>
      </c>
      <c r="D11" s="4" t="n">
        <v>0</v>
      </c>
      <c r="E11" s="17"/>
      <c r="F11" s="16"/>
      <c r="H11" s="16"/>
      <c r="I11" s="17" t="s">
        <v>80</v>
      </c>
      <c r="J11" s="16" t="n">
        <v>25</v>
      </c>
    </row>
    <row r="12" customFormat="false" ht="12.8" hidden="false" customHeight="false" outlineLevel="0" collapsed="false">
      <c r="A12" s="17"/>
      <c r="B12" s="4" t="s">
        <v>81</v>
      </c>
      <c r="C12" s="2" t="s">
        <v>82</v>
      </c>
      <c r="D12" s="4" t="n">
        <f aca="false">120+40</f>
        <v>160</v>
      </c>
      <c r="E12" s="17"/>
      <c r="F12" s="16"/>
      <c r="H12" s="16"/>
      <c r="I12" s="17" t="s">
        <v>68</v>
      </c>
      <c r="J12" s="16" t="n">
        <v>15</v>
      </c>
    </row>
    <row r="13" customFormat="false" ht="12.8" hidden="false" customHeight="false" outlineLevel="0" collapsed="false">
      <c r="A13" s="17"/>
      <c r="B13" s="16"/>
      <c r="C13" s="2" t="s">
        <v>83</v>
      </c>
      <c r="D13" s="4" t="n">
        <v>180</v>
      </c>
      <c r="E13" s="17"/>
      <c r="F13" s="16"/>
      <c r="H13" s="16"/>
      <c r="I13" s="17" t="s">
        <v>84</v>
      </c>
      <c r="J13" s="16" t="n">
        <v>20</v>
      </c>
    </row>
    <row r="14" customFormat="false" ht="12.8" hidden="false" customHeight="false" outlineLevel="0" collapsed="false">
      <c r="A14" s="17"/>
      <c r="B14" s="16"/>
      <c r="C14" s="2" t="s">
        <v>85</v>
      </c>
      <c r="D14" s="4" t="n">
        <v>50</v>
      </c>
      <c r="E14" s="17"/>
      <c r="F14" s="16"/>
      <c r="H14" s="16"/>
      <c r="I14" s="17" t="s">
        <v>35</v>
      </c>
      <c r="J14" s="16" t="n">
        <f aca="false">20*30</f>
        <v>600</v>
      </c>
      <c r="L14" s="1" t="n">
        <f aca="false">6*150</f>
        <v>900</v>
      </c>
    </row>
    <row r="15" customFormat="false" ht="12.8" hidden="false" customHeight="false" outlineLevel="0" collapsed="false">
      <c r="A15" s="17"/>
      <c r="B15" s="4" t="s">
        <v>86</v>
      </c>
      <c r="C15" s="2"/>
      <c r="D15" s="16" t="n">
        <v>0</v>
      </c>
      <c r="E15" s="17"/>
      <c r="F15" s="16"/>
      <c r="H15" s="16"/>
      <c r="I15" s="17" t="s">
        <v>87</v>
      </c>
      <c r="J15" s="16" t="n">
        <f aca="false">(5+5+4+2)/2*7+40</f>
        <v>96</v>
      </c>
    </row>
    <row r="16" customFormat="false" ht="12.8" hidden="false" customHeight="false" outlineLevel="0" collapsed="false">
      <c r="A16" s="17"/>
      <c r="B16" s="4" t="s">
        <v>88</v>
      </c>
      <c r="C16" s="2"/>
      <c r="D16" s="4" t="n">
        <v>0</v>
      </c>
      <c r="E16" s="17"/>
      <c r="F16" s="16"/>
      <c r="H16" s="16"/>
      <c r="I16" s="17"/>
      <c r="J16" s="16"/>
      <c r="L16" s="1" t="n">
        <v>2000</v>
      </c>
    </row>
    <row r="17" customFormat="false" ht="12.8" hidden="false" customHeight="false" outlineLevel="0" collapsed="false">
      <c r="A17" s="17"/>
      <c r="B17" s="16" t="s">
        <v>89</v>
      </c>
      <c r="C17" s="17"/>
      <c r="D17" s="16" t="n">
        <v>600</v>
      </c>
      <c r="E17" s="17"/>
      <c r="F17" s="16"/>
      <c r="H17" s="16" t="s">
        <v>20</v>
      </c>
      <c r="I17" s="17" t="s">
        <v>20</v>
      </c>
      <c r="J17" s="16" t="n">
        <v>400</v>
      </c>
      <c r="L17" s="1" t="n">
        <v>1000</v>
      </c>
    </row>
    <row r="18" customFormat="false" ht="12.8" hidden="false" customHeight="false" outlineLevel="0" collapsed="false">
      <c r="A18" s="2" t="s">
        <v>90</v>
      </c>
      <c r="B18" s="4" t="s">
        <v>67</v>
      </c>
      <c r="C18" s="2"/>
      <c r="D18" s="16"/>
      <c r="E18" s="17"/>
      <c r="F18" s="16"/>
      <c r="H18" s="16"/>
      <c r="I18" s="17"/>
      <c r="J18" s="16"/>
      <c r="L18" s="1" t="n">
        <v>1500</v>
      </c>
    </row>
    <row r="19" customFormat="false" ht="12.8" hidden="false" customHeight="false" outlineLevel="0" collapsed="false">
      <c r="A19" s="17"/>
      <c r="B19" s="16"/>
      <c r="C19" s="2" t="s">
        <v>91</v>
      </c>
      <c r="D19" s="16" t="n">
        <v>50</v>
      </c>
      <c r="E19" s="17"/>
      <c r="F19" s="16"/>
      <c r="H19" s="16" t="s">
        <v>37</v>
      </c>
      <c r="I19" s="17" t="s">
        <v>92</v>
      </c>
      <c r="J19" s="16" t="n">
        <v>200</v>
      </c>
    </row>
    <row r="20" customFormat="false" ht="12.8" hidden="false" customHeight="false" outlineLevel="0" collapsed="false">
      <c r="A20" s="17"/>
      <c r="B20" s="16"/>
      <c r="C20" s="2" t="s">
        <v>76</v>
      </c>
      <c r="D20" s="16" t="n">
        <f aca="false">15/2.5*7+10</f>
        <v>52</v>
      </c>
      <c r="E20" s="17"/>
      <c r="F20" s="16"/>
      <c r="H20" s="16"/>
      <c r="I20" s="17" t="s">
        <v>93</v>
      </c>
      <c r="J20" s="16" t="n">
        <v>150</v>
      </c>
      <c r="L20" s="1" t="n">
        <f aca="false">SUM(L16:L18)</f>
        <v>4500</v>
      </c>
      <c r="M20" s="8" t="n">
        <f aca="false">L2</f>
        <v>-3742</v>
      </c>
      <c r="N20" s="8" t="n">
        <v>150</v>
      </c>
      <c r="O20" s="1" t="s">
        <v>94</v>
      </c>
    </row>
    <row r="21" customFormat="false" ht="12.8" hidden="false" customHeight="false" outlineLevel="0" collapsed="false">
      <c r="A21" s="17"/>
      <c r="B21" s="4" t="s">
        <v>69</v>
      </c>
      <c r="C21" s="2" t="s">
        <v>74</v>
      </c>
      <c r="D21" s="16" t="n">
        <v>15</v>
      </c>
      <c r="E21" s="17"/>
      <c r="F21" s="16"/>
      <c r="H21" s="16"/>
      <c r="I21" s="17" t="s">
        <v>95</v>
      </c>
      <c r="J21" s="16" t="n">
        <v>30</v>
      </c>
      <c r="N21" s="21" t="n">
        <f aca="false">M20/N20</f>
        <v>-24.9466666666667</v>
      </c>
      <c r="O21" s="1" t="s">
        <v>96</v>
      </c>
    </row>
    <row r="22" customFormat="false" ht="12.8" hidden="false" customHeight="false" outlineLevel="0" collapsed="false">
      <c r="A22" s="17"/>
      <c r="B22" s="4" t="s">
        <v>71</v>
      </c>
      <c r="C22" s="2" t="s">
        <v>72</v>
      </c>
      <c r="D22" s="16" t="n">
        <v>10</v>
      </c>
      <c r="E22" s="17"/>
      <c r="F22" s="16"/>
      <c r="H22" s="16"/>
      <c r="I22" s="17"/>
      <c r="J22" s="16"/>
      <c r="N22" s="21" t="n">
        <f aca="false">N21/12</f>
        <v>-2.07888888888889</v>
      </c>
      <c r="O22" s="1" t="s">
        <v>97</v>
      </c>
    </row>
    <row r="23" customFormat="false" ht="12.8" hidden="false" customHeight="false" outlineLevel="0" collapsed="false">
      <c r="A23" s="17"/>
      <c r="B23" s="4" t="s">
        <v>73</v>
      </c>
      <c r="C23" s="2" t="s">
        <v>74</v>
      </c>
      <c r="D23" s="16" t="n">
        <v>10</v>
      </c>
      <c r="E23" s="17"/>
      <c r="F23" s="16"/>
      <c r="H23" s="16"/>
      <c r="I23" s="17"/>
      <c r="J23" s="16"/>
      <c r="R23" s="8" t="n">
        <v>150</v>
      </c>
      <c r="S23" s="1" t="s">
        <v>98</v>
      </c>
    </row>
    <row r="24" customFormat="false" ht="12.8" hidden="false" customHeight="false" outlineLevel="0" collapsed="false">
      <c r="A24" s="17"/>
      <c r="B24" s="4" t="s">
        <v>75</v>
      </c>
      <c r="C24" s="2" t="s">
        <v>76</v>
      </c>
      <c r="D24" s="4" t="n">
        <v>0</v>
      </c>
      <c r="E24" s="17"/>
      <c r="F24" s="16"/>
      <c r="H24" s="16" t="s">
        <v>99</v>
      </c>
      <c r="I24" s="17" t="s">
        <v>100</v>
      </c>
      <c r="J24" s="16" t="n">
        <v>200</v>
      </c>
      <c r="M24" s="1" t="s">
        <v>8</v>
      </c>
      <c r="P24" s="1" t="n">
        <f aca="false">SUM(P25:P31)</f>
        <v>13.59</v>
      </c>
      <c r="Q24" s="1" t="n">
        <f aca="false">P24/2.8/2.07</f>
        <v>2.34472049689441</v>
      </c>
      <c r="R24" s="8" t="n">
        <f aca="false">ROUNDUP(Q24,0)*R23</f>
        <v>450</v>
      </c>
      <c r="S24" s="8" t="n">
        <f aca="false">R24*1.8</f>
        <v>810</v>
      </c>
      <c r="T24" s="1" t="n">
        <f aca="false">SUM(S24:S40)</f>
        <v>1507</v>
      </c>
    </row>
    <row r="25" customFormat="false" ht="12.8" hidden="false" customHeight="false" outlineLevel="0" collapsed="false">
      <c r="A25" s="17"/>
      <c r="B25" s="4"/>
      <c r="C25" s="2" t="s">
        <v>79</v>
      </c>
      <c r="D25" s="4" t="n">
        <v>0</v>
      </c>
      <c r="E25" s="17"/>
      <c r="F25" s="16"/>
      <c r="H25" s="16"/>
      <c r="I25" s="17"/>
      <c r="J25" s="16"/>
      <c r="M25" s="1" t="n">
        <v>0.85</v>
      </c>
      <c r="N25" s="1" t="n">
        <v>0.6</v>
      </c>
      <c r="O25" s="1" t="n">
        <v>8</v>
      </c>
      <c r="P25" s="1" t="n">
        <f aca="false">M25*N25*O25</f>
        <v>4.08</v>
      </c>
    </row>
    <row r="26" customFormat="false" ht="12.8" hidden="false" customHeight="false" outlineLevel="0" collapsed="false">
      <c r="A26" s="17"/>
      <c r="B26" s="4" t="s">
        <v>86</v>
      </c>
      <c r="C26" s="17"/>
      <c r="D26" s="16" t="n">
        <v>15</v>
      </c>
      <c r="E26" s="17"/>
      <c r="F26" s="16"/>
      <c r="H26" s="16" t="s">
        <v>90</v>
      </c>
      <c r="I26" s="17" t="s">
        <v>25</v>
      </c>
      <c r="J26" s="16" t="n">
        <v>800</v>
      </c>
      <c r="M26" s="1" t="n">
        <v>0.6</v>
      </c>
      <c r="N26" s="1" t="n">
        <v>0.6</v>
      </c>
      <c r="O26" s="1" t="n">
        <v>7</v>
      </c>
      <c r="P26" s="1" t="n">
        <f aca="false">M26*N26*O26</f>
        <v>2.52</v>
      </c>
    </row>
    <row r="27" customFormat="false" ht="12.8" hidden="false" customHeight="false" outlineLevel="0" collapsed="false">
      <c r="A27" s="17"/>
      <c r="B27" s="4" t="s">
        <v>88</v>
      </c>
      <c r="C27" s="2" t="s">
        <v>101</v>
      </c>
      <c r="D27" s="16" t="n">
        <v>0</v>
      </c>
      <c r="E27" s="17"/>
      <c r="F27" s="16"/>
      <c r="H27" s="16"/>
      <c r="I27" s="17" t="s">
        <v>102</v>
      </c>
      <c r="J27" s="16" t="n">
        <v>300</v>
      </c>
      <c r="P27" s="1" t="n">
        <f aca="false">M27*N27*O27</f>
        <v>0</v>
      </c>
    </row>
    <row r="28" customFormat="false" ht="12.8" hidden="false" customHeight="false" outlineLevel="0" collapsed="false">
      <c r="A28" s="17"/>
      <c r="B28" s="16"/>
      <c r="C28" s="2" t="s">
        <v>103</v>
      </c>
      <c r="D28" s="16" t="n">
        <v>0</v>
      </c>
      <c r="E28" s="17"/>
      <c r="F28" s="16"/>
      <c r="H28" s="16"/>
      <c r="I28" s="17" t="s">
        <v>77</v>
      </c>
      <c r="J28" s="16" t="n">
        <v>200</v>
      </c>
      <c r="M28" s="1" t="n">
        <v>0.8</v>
      </c>
      <c r="N28" s="1" t="n">
        <v>0.4</v>
      </c>
      <c r="O28" s="1" t="n">
        <f aca="false">3*3</f>
        <v>9</v>
      </c>
      <c r="P28" s="1" t="n">
        <f aca="false">M28*N28*O28</f>
        <v>2.88</v>
      </c>
    </row>
    <row r="29" customFormat="false" ht="12.8" hidden="false" customHeight="false" outlineLevel="0" collapsed="false">
      <c r="A29" s="17"/>
      <c r="B29" s="16"/>
      <c r="C29" s="2"/>
      <c r="D29" s="16"/>
      <c r="E29" s="17"/>
      <c r="F29" s="16"/>
      <c r="H29" s="16"/>
      <c r="I29" s="17"/>
      <c r="J29" s="16"/>
      <c r="M29" s="1" t="n">
        <v>0.6</v>
      </c>
      <c r="N29" s="1" t="n">
        <v>0.4</v>
      </c>
      <c r="O29" s="1" t="n">
        <v>4</v>
      </c>
      <c r="P29" s="1" t="n">
        <f aca="false">M29*N29*O29</f>
        <v>0.96</v>
      </c>
    </row>
    <row r="30" customFormat="false" ht="12.8" hidden="false" customHeight="false" outlineLevel="0" collapsed="false">
      <c r="A30" s="17"/>
      <c r="B30" s="16"/>
      <c r="C30" s="17"/>
      <c r="D30" s="16"/>
      <c r="E30" s="17"/>
      <c r="F30" s="16"/>
      <c r="H30" s="16" t="s">
        <v>104</v>
      </c>
      <c r="I30" s="17"/>
      <c r="J30" s="16"/>
      <c r="M30" s="1" t="s">
        <v>16</v>
      </c>
    </row>
    <row r="31" customFormat="false" ht="12.8" hidden="false" customHeight="false" outlineLevel="0" collapsed="false">
      <c r="A31" s="2" t="s">
        <v>105</v>
      </c>
      <c r="B31" s="4" t="s">
        <v>67</v>
      </c>
      <c r="C31" s="2" t="s">
        <v>80</v>
      </c>
      <c r="D31" s="16" t="n">
        <v>0</v>
      </c>
      <c r="E31" s="17"/>
      <c r="F31" s="16"/>
      <c r="H31" s="16"/>
      <c r="I31" s="17"/>
      <c r="J31" s="16"/>
      <c r="M31" s="1" t="n">
        <f aca="false">0.75</f>
        <v>0.75</v>
      </c>
      <c r="N31" s="1" t="n">
        <f aca="false">0.6</f>
        <v>0.6</v>
      </c>
      <c r="O31" s="1" t="n">
        <v>7</v>
      </c>
      <c r="P31" s="1" t="n">
        <f aca="false">M31*N31*O31</f>
        <v>3.15</v>
      </c>
    </row>
    <row r="32" customFormat="false" ht="12.8" hidden="false" customHeight="false" outlineLevel="0" collapsed="false">
      <c r="A32" s="17"/>
      <c r="B32" s="16"/>
      <c r="C32" s="2" t="s">
        <v>68</v>
      </c>
      <c r="D32" s="16" t="n">
        <v>0</v>
      </c>
      <c r="E32" s="17"/>
      <c r="F32" s="16"/>
      <c r="H32" s="16"/>
      <c r="I32" s="17"/>
      <c r="J32" s="16"/>
      <c r="M32" s="1" t="s">
        <v>106</v>
      </c>
    </row>
    <row r="33" customFormat="false" ht="12.8" hidden="false" customHeight="false" outlineLevel="0" collapsed="false">
      <c r="A33" s="17"/>
      <c r="B33" s="16"/>
      <c r="C33" s="2" t="s">
        <v>84</v>
      </c>
      <c r="D33" s="16" t="n">
        <v>0</v>
      </c>
      <c r="E33" s="17"/>
      <c r="F33" s="16"/>
      <c r="H33" s="16"/>
      <c r="I33" s="17"/>
      <c r="J33" s="16"/>
      <c r="M33" s="1" t="n">
        <v>20</v>
      </c>
      <c r="N33" s="1" t="n">
        <v>1</v>
      </c>
      <c r="O33" s="1" t="n">
        <v>7</v>
      </c>
      <c r="P33" s="1" t="n">
        <f aca="false">M33*N33*O33</f>
        <v>140</v>
      </c>
      <c r="S33" s="1" t="n">
        <f aca="false">P33</f>
        <v>140</v>
      </c>
    </row>
    <row r="34" customFormat="false" ht="12.8" hidden="false" customHeight="false" outlineLevel="0" collapsed="false">
      <c r="A34" s="17"/>
      <c r="B34" s="4" t="s">
        <v>69</v>
      </c>
      <c r="C34" s="2" t="s">
        <v>107</v>
      </c>
      <c r="D34" s="16" t="n">
        <v>0</v>
      </c>
      <c r="E34" s="17"/>
      <c r="F34" s="16"/>
      <c r="H34" s="16"/>
      <c r="I34" s="17"/>
      <c r="J34" s="16"/>
      <c r="M34" s="1" t="n">
        <v>80</v>
      </c>
      <c r="N34" s="1" t="n">
        <v>1</v>
      </c>
      <c r="O34" s="1" t="n">
        <v>3</v>
      </c>
      <c r="P34" s="1" t="n">
        <f aca="false">M34*N34*O34</f>
        <v>240</v>
      </c>
      <c r="S34" s="1" t="n">
        <f aca="false">P34</f>
        <v>240</v>
      </c>
    </row>
    <row r="35" customFormat="false" ht="12.8" hidden="false" customHeight="false" outlineLevel="0" collapsed="false">
      <c r="A35" s="17"/>
      <c r="B35" s="16"/>
      <c r="C35" s="2" t="s">
        <v>108</v>
      </c>
      <c r="D35" s="16" t="n">
        <v>0</v>
      </c>
      <c r="E35" s="17"/>
      <c r="F35" s="16"/>
      <c r="H35" s="16"/>
      <c r="I35" s="17"/>
      <c r="J35" s="16"/>
      <c r="M35" s="1" t="n">
        <v>100</v>
      </c>
      <c r="N35" s="1" t="n">
        <v>1</v>
      </c>
      <c r="O35" s="1" t="n">
        <v>1</v>
      </c>
      <c r="P35" s="1" t="n">
        <f aca="false">M35*N35*O35</f>
        <v>100</v>
      </c>
      <c r="S35" s="1" t="n">
        <f aca="false">P35</f>
        <v>100</v>
      </c>
    </row>
    <row r="36" customFormat="false" ht="12.8" hidden="false" customHeight="false" outlineLevel="0" collapsed="false">
      <c r="A36" s="17"/>
      <c r="B36" s="16"/>
      <c r="C36" s="2"/>
      <c r="D36" s="16"/>
      <c r="E36" s="17"/>
      <c r="F36" s="16"/>
      <c r="H36" s="16"/>
      <c r="I36" s="17"/>
      <c r="J36" s="16"/>
      <c r="M36" s="1" t="s">
        <v>10</v>
      </c>
    </row>
    <row r="37" customFormat="false" ht="12.8" hidden="false" customHeight="false" outlineLevel="0" collapsed="false">
      <c r="A37" s="17"/>
      <c r="B37" s="16"/>
      <c r="C37" s="2"/>
      <c r="D37" s="16"/>
      <c r="E37" s="17"/>
      <c r="F37" s="16"/>
      <c r="H37" s="16"/>
      <c r="I37" s="17"/>
      <c r="J37" s="16"/>
      <c r="M37" s="1" t="n">
        <v>217</v>
      </c>
      <c r="N37" s="1" t="n">
        <v>1</v>
      </c>
      <c r="O37" s="1" t="n">
        <v>1</v>
      </c>
      <c r="P37" s="1" t="n">
        <f aca="false">M37*N37*O37</f>
        <v>217</v>
      </c>
      <c r="S37" s="1" t="n">
        <f aca="false">P37</f>
        <v>217</v>
      </c>
    </row>
    <row r="38" customFormat="false" ht="12.8" hidden="false" customHeight="false" outlineLevel="0" collapsed="false">
      <c r="A38" s="17"/>
      <c r="B38" s="4" t="s">
        <v>73</v>
      </c>
      <c r="C38" s="2" t="s">
        <v>74</v>
      </c>
      <c r="D38" s="16" t="n">
        <v>10</v>
      </c>
      <c r="E38" s="17"/>
      <c r="F38" s="16"/>
      <c r="H38" s="16"/>
      <c r="I38" s="17"/>
      <c r="J38" s="16"/>
    </row>
    <row r="39" customFormat="false" ht="12.8" hidden="false" customHeight="false" outlineLevel="0" collapsed="false">
      <c r="A39" s="17"/>
      <c r="B39" s="4" t="s">
        <v>75</v>
      </c>
      <c r="C39" s="2" t="s">
        <v>76</v>
      </c>
      <c r="D39" s="4" t="n">
        <v>0</v>
      </c>
      <c r="E39" s="17"/>
      <c r="F39" s="16"/>
      <c r="H39" s="16"/>
      <c r="I39" s="17"/>
      <c r="J39" s="16"/>
    </row>
    <row r="40" customFormat="false" ht="12.8" hidden="false" customHeight="false" outlineLevel="0" collapsed="false">
      <c r="A40" s="17"/>
      <c r="B40" s="4"/>
      <c r="C40" s="2" t="s">
        <v>79</v>
      </c>
      <c r="D40" s="4" t="n">
        <v>0</v>
      </c>
      <c r="E40" s="17"/>
      <c r="F40" s="16"/>
      <c r="H40" s="16"/>
      <c r="I40" s="17"/>
      <c r="J40" s="16"/>
    </row>
    <row r="41" customFormat="false" ht="12.8" hidden="false" customHeight="false" outlineLevel="0" collapsed="false">
      <c r="A41" s="17"/>
      <c r="B41" s="4" t="s">
        <v>86</v>
      </c>
      <c r="C41" s="2"/>
      <c r="D41" s="16" t="n">
        <v>0</v>
      </c>
      <c r="E41" s="17"/>
      <c r="F41" s="16"/>
      <c r="H41" s="16"/>
      <c r="I41" s="17"/>
      <c r="J41" s="16"/>
    </row>
    <row r="42" customFormat="false" ht="12.8" hidden="false" customHeight="false" outlineLevel="0" collapsed="false">
      <c r="A42" s="17"/>
      <c r="B42" s="4" t="s">
        <v>88</v>
      </c>
      <c r="C42" s="2"/>
      <c r="D42" s="16"/>
      <c r="E42" s="17"/>
      <c r="F42" s="16"/>
      <c r="H42" s="16"/>
      <c r="I42" s="17"/>
      <c r="J42" s="16"/>
    </row>
    <row r="43" customFormat="false" ht="12.8" hidden="false" customHeight="false" outlineLevel="0" collapsed="false">
      <c r="A43" s="17"/>
      <c r="B43" s="16"/>
      <c r="C43" s="2"/>
      <c r="D43" s="16"/>
      <c r="E43" s="17"/>
      <c r="F43" s="16"/>
      <c r="H43" s="16"/>
      <c r="I43" s="17"/>
      <c r="J43" s="16"/>
    </row>
    <row r="44" customFormat="false" ht="12.8" hidden="false" customHeight="false" outlineLevel="0" collapsed="false">
      <c r="A44" s="17"/>
      <c r="B44" s="16"/>
      <c r="C44" s="2"/>
      <c r="D44" s="16"/>
      <c r="E44" s="17"/>
      <c r="F44" s="16"/>
      <c r="H44" s="16"/>
      <c r="I44" s="17"/>
      <c r="J44" s="16"/>
    </row>
    <row r="45" customFormat="false" ht="12.8" hidden="false" customHeight="false" outlineLevel="0" collapsed="false">
      <c r="A45" s="17"/>
      <c r="B45" s="16"/>
      <c r="C45" s="2"/>
      <c r="D45" s="16"/>
      <c r="E45" s="17"/>
      <c r="F45" s="16"/>
      <c r="H45" s="16"/>
      <c r="I45" s="17"/>
      <c r="J45" s="16"/>
    </row>
    <row r="46" customFormat="false" ht="12.8" hidden="false" customHeight="false" outlineLevel="0" collapsed="false">
      <c r="A46" s="2" t="s">
        <v>109</v>
      </c>
      <c r="B46" s="4" t="s">
        <v>67</v>
      </c>
      <c r="C46" s="2"/>
      <c r="D46" s="16" t="n">
        <v>0</v>
      </c>
      <c r="E46" s="17"/>
      <c r="F46" s="16"/>
      <c r="H46" s="16"/>
      <c r="I46" s="17"/>
      <c r="J46" s="16"/>
    </row>
    <row r="47" customFormat="false" ht="12.8" hidden="false" customHeight="false" outlineLevel="0" collapsed="false">
      <c r="A47" s="17"/>
      <c r="B47" s="16"/>
      <c r="C47" s="2"/>
      <c r="D47" s="16"/>
      <c r="E47" s="17"/>
      <c r="F47" s="16"/>
      <c r="H47" s="16"/>
      <c r="I47" s="17"/>
      <c r="J47" s="16"/>
    </row>
    <row r="48" customFormat="false" ht="12.8" hidden="false" customHeight="false" outlineLevel="0" collapsed="false">
      <c r="A48" s="17"/>
      <c r="B48" s="4" t="s">
        <v>69</v>
      </c>
      <c r="C48" s="2"/>
      <c r="D48" s="16" t="n">
        <v>0</v>
      </c>
      <c r="E48" s="17"/>
      <c r="F48" s="16"/>
      <c r="H48" s="16"/>
      <c r="I48" s="17"/>
      <c r="J48" s="16"/>
    </row>
    <row r="49" customFormat="false" ht="12.8" hidden="false" customHeight="false" outlineLevel="0" collapsed="false">
      <c r="A49" s="17"/>
      <c r="B49" s="4" t="s">
        <v>73</v>
      </c>
      <c r="C49" s="2"/>
      <c r="D49" s="16" t="n">
        <v>10</v>
      </c>
      <c r="E49" s="17"/>
      <c r="F49" s="16"/>
      <c r="H49" s="16"/>
      <c r="I49" s="17"/>
      <c r="J49" s="16"/>
    </row>
    <row r="50" customFormat="false" ht="12.8" hidden="false" customHeight="false" outlineLevel="0" collapsed="false">
      <c r="A50" s="17"/>
      <c r="B50" s="4" t="s">
        <v>86</v>
      </c>
      <c r="C50" s="2"/>
      <c r="D50" s="16" t="n">
        <v>0</v>
      </c>
      <c r="E50" s="17"/>
      <c r="F50" s="16"/>
      <c r="H50" s="16"/>
      <c r="I50" s="17"/>
      <c r="J50" s="16"/>
    </row>
    <row r="51" customFormat="false" ht="12.8" hidden="false" customHeight="false" outlineLevel="0" collapsed="false">
      <c r="A51" s="17"/>
      <c r="B51" s="4" t="s">
        <v>88</v>
      </c>
      <c r="C51" s="2"/>
      <c r="D51" s="16" t="n">
        <v>0</v>
      </c>
      <c r="E51" s="17"/>
      <c r="F51" s="16"/>
      <c r="H51" s="16"/>
      <c r="I51" s="17"/>
      <c r="J51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5" t="s">
        <v>1</v>
      </c>
      <c r="B1" s="16"/>
      <c r="C1" s="17"/>
      <c r="D1" s="4" t="s">
        <v>63</v>
      </c>
      <c r="E1" s="17" t="s">
        <v>64</v>
      </c>
      <c r="F1" s="16" t="s">
        <v>4</v>
      </c>
      <c r="H1" s="18" t="s">
        <v>2</v>
      </c>
      <c r="I1" s="17"/>
      <c r="J1" s="4" t="s">
        <v>63</v>
      </c>
      <c r="K1" s="17" t="s">
        <v>64</v>
      </c>
      <c r="L1" s="16" t="s">
        <v>4</v>
      </c>
    </row>
    <row r="2" customFormat="false" ht="12.8" hidden="false" customHeight="false" outlineLevel="0" collapsed="false">
      <c r="A2" s="17"/>
      <c r="B2" s="16"/>
      <c r="C2" s="17"/>
      <c r="D2" s="19" t="n">
        <f aca="false">SUM(D4:D59)</f>
        <v>1332</v>
      </c>
      <c r="E2" s="20" t="n">
        <v>7751</v>
      </c>
      <c r="F2" s="19" t="n">
        <f aca="false">E2-D2</f>
        <v>6419</v>
      </c>
      <c r="G2" s="8"/>
      <c r="H2" s="19"/>
      <c r="I2" s="20"/>
      <c r="J2" s="19" t="n">
        <f aca="false">SUM(J3:J59)</f>
        <v>9933</v>
      </c>
      <c r="K2" s="20" t="n">
        <f aca="false">F2</f>
        <v>6419</v>
      </c>
      <c r="L2" s="19" t="n">
        <f aca="false">K2-J2</f>
        <v>-3514</v>
      </c>
    </row>
    <row r="3" customFormat="false" ht="12.8" hidden="false" customHeight="false" outlineLevel="0" collapsed="false">
      <c r="A3" s="2" t="s">
        <v>65</v>
      </c>
      <c r="B3" s="16"/>
      <c r="C3" s="17"/>
      <c r="D3" s="16"/>
      <c r="E3" s="17"/>
      <c r="F3" s="16"/>
      <c r="H3" s="16" t="s">
        <v>8</v>
      </c>
      <c r="I3" s="17" t="s">
        <v>66</v>
      </c>
      <c r="J3" s="16" t="n">
        <v>5000</v>
      </c>
    </row>
    <row r="4" customFormat="false" ht="12.8" hidden="false" customHeight="false" outlineLevel="0" collapsed="false">
      <c r="A4" s="17"/>
      <c r="B4" s="4" t="s">
        <v>67</v>
      </c>
      <c r="C4" s="2" t="s">
        <v>68</v>
      </c>
      <c r="D4" s="4" t="n">
        <v>10</v>
      </c>
      <c r="E4" s="17"/>
      <c r="F4" s="16"/>
      <c r="H4" s="16"/>
      <c r="I4" s="17" t="s">
        <v>11</v>
      </c>
      <c r="J4" s="16" t="n">
        <v>400</v>
      </c>
    </row>
    <row r="5" customFormat="false" ht="12.8" hidden="false" customHeight="false" outlineLevel="0" collapsed="false">
      <c r="A5" s="17"/>
      <c r="B5" s="16"/>
      <c r="C5" s="2"/>
      <c r="D5" s="4"/>
      <c r="E5" s="17"/>
      <c r="F5" s="16"/>
      <c r="H5" s="16"/>
      <c r="I5" s="17" t="s">
        <v>12</v>
      </c>
      <c r="J5" s="16" t="n">
        <v>700</v>
      </c>
    </row>
    <row r="6" customFormat="false" ht="12.8" hidden="false" customHeight="false" outlineLevel="0" collapsed="false">
      <c r="A6" s="17"/>
      <c r="B6" s="16"/>
      <c r="C6" s="2"/>
      <c r="D6" s="4"/>
      <c r="E6" s="17"/>
      <c r="F6" s="16"/>
      <c r="H6" s="16"/>
      <c r="I6" s="17" t="s">
        <v>10</v>
      </c>
      <c r="J6" s="16" t="n">
        <v>299</v>
      </c>
    </row>
    <row r="7" customFormat="false" ht="12.8" hidden="false" customHeight="false" outlineLevel="0" collapsed="false">
      <c r="A7" s="17"/>
      <c r="B7" s="4" t="s">
        <v>69</v>
      </c>
      <c r="C7" s="2"/>
      <c r="D7" s="4" t="n">
        <v>0</v>
      </c>
      <c r="E7" s="17"/>
      <c r="F7" s="16"/>
      <c r="H7" s="16"/>
      <c r="I7" s="17" t="s">
        <v>70</v>
      </c>
      <c r="J7" s="16" t="n">
        <f aca="false">3*0.6*70</f>
        <v>126</v>
      </c>
    </row>
    <row r="8" customFormat="false" ht="12.8" hidden="false" customHeight="false" outlineLevel="0" collapsed="false">
      <c r="A8" s="17"/>
      <c r="B8" s="4" t="s">
        <v>71</v>
      </c>
      <c r="C8" s="2" t="s">
        <v>72</v>
      </c>
      <c r="D8" s="4" t="n">
        <v>10</v>
      </c>
      <c r="E8" s="17"/>
      <c r="F8" s="16"/>
      <c r="H8" s="16"/>
      <c r="I8" s="17" t="s">
        <v>38</v>
      </c>
      <c r="J8" s="16" t="n">
        <v>300</v>
      </c>
    </row>
    <row r="9" customFormat="false" ht="12.8" hidden="false" customHeight="false" outlineLevel="0" collapsed="false">
      <c r="A9" s="17"/>
      <c r="B9" s="4" t="s">
        <v>73</v>
      </c>
      <c r="C9" s="2" t="s">
        <v>74</v>
      </c>
      <c r="D9" s="4" t="n">
        <v>0</v>
      </c>
      <c r="E9" s="17"/>
      <c r="F9" s="16"/>
      <c r="H9" s="16"/>
      <c r="I9" s="17"/>
      <c r="J9" s="16"/>
    </row>
    <row r="10" customFormat="false" ht="12.8" hidden="false" customHeight="false" outlineLevel="0" collapsed="false">
      <c r="A10" s="17"/>
      <c r="B10" s="4" t="s">
        <v>75</v>
      </c>
      <c r="C10" s="2" t="s">
        <v>76</v>
      </c>
      <c r="D10" s="4" t="n">
        <v>0</v>
      </c>
      <c r="E10" s="17"/>
      <c r="F10" s="16"/>
      <c r="H10" s="16" t="s">
        <v>77</v>
      </c>
      <c r="I10" s="17" t="s">
        <v>78</v>
      </c>
      <c r="J10" s="16" t="n">
        <f aca="false">3*0.8*30</f>
        <v>72</v>
      </c>
    </row>
    <row r="11" customFormat="false" ht="12.8" hidden="false" customHeight="false" outlineLevel="0" collapsed="false">
      <c r="A11" s="17"/>
      <c r="B11" s="4"/>
      <c r="C11" s="2" t="s">
        <v>79</v>
      </c>
      <c r="D11" s="4" t="n">
        <v>0</v>
      </c>
      <c r="E11" s="17"/>
      <c r="F11" s="16"/>
      <c r="H11" s="16"/>
      <c r="I11" s="17" t="s">
        <v>80</v>
      </c>
      <c r="J11" s="16" t="n">
        <v>25</v>
      </c>
    </row>
    <row r="12" customFormat="false" ht="12.8" hidden="false" customHeight="false" outlineLevel="0" collapsed="false">
      <c r="A12" s="17"/>
      <c r="B12" s="4" t="s">
        <v>81</v>
      </c>
      <c r="C12" s="2" t="s">
        <v>82</v>
      </c>
      <c r="D12" s="4" t="n">
        <f aca="false">120+40</f>
        <v>160</v>
      </c>
      <c r="E12" s="17"/>
      <c r="F12" s="16"/>
      <c r="H12" s="16"/>
      <c r="I12" s="17" t="s">
        <v>68</v>
      </c>
      <c r="J12" s="16" t="n">
        <v>15</v>
      </c>
    </row>
    <row r="13" customFormat="false" ht="12.8" hidden="false" customHeight="false" outlineLevel="0" collapsed="false">
      <c r="A13" s="17"/>
      <c r="B13" s="16"/>
      <c r="C13" s="2" t="s">
        <v>83</v>
      </c>
      <c r="D13" s="4" t="n">
        <v>180</v>
      </c>
      <c r="E13" s="17"/>
      <c r="F13" s="16"/>
      <c r="H13" s="16"/>
      <c r="I13" s="17" t="s">
        <v>84</v>
      </c>
      <c r="J13" s="16" t="n">
        <v>20</v>
      </c>
    </row>
    <row r="14" customFormat="false" ht="12.8" hidden="false" customHeight="false" outlineLevel="0" collapsed="false">
      <c r="A14" s="17"/>
      <c r="B14" s="16"/>
      <c r="C14" s="2" t="s">
        <v>85</v>
      </c>
      <c r="D14" s="4" t="n">
        <v>50</v>
      </c>
      <c r="E14" s="17"/>
      <c r="F14" s="16"/>
      <c r="H14" s="16"/>
      <c r="I14" s="17" t="s">
        <v>35</v>
      </c>
      <c r="J14" s="16" t="n">
        <f aca="false">20*30</f>
        <v>600</v>
      </c>
      <c r="L14" s="1" t="n">
        <f aca="false">6*150</f>
        <v>900</v>
      </c>
    </row>
    <row r="15" customFormat="false" ht="12.8" hidden="false" customHeight="false" outlineLevel="0" collapsed="false">
      <c r="A15" s="17"/>
      <c r="B15" s="4" t="s">
        <v>86</v>
      </c>
      <c r="C15" s="2"/>
      <c r="D15" s="16" t="n">
        <v>0</v>
      </c>
      <c r="E15" s="17"/>
      <c r="F15" s="16"/>
      <c r="H15" s="16"/>
      <c r="I15" s="17" t="s">
        <v>87</v>
      </c>
      <c r="J15" s="16" t="n">
        <f aca="false">(5+5+4+2)/2*7+40</f>
        <v>96</v>
      </c>
    </row>
    <row r="16" customFormat="false" ht="12.8" hidden="false" customHeight="false" outlineLevel="0" collapsed="false">
      <c r="A16" s="17"/>
      <c r="B16" s="4" t="s">
        <v>88</v>
      </c>
      <c r="C16" s="2"/>
      <c r="D16" s="4" t="n">
        <v>0</v>
      </c>
      <c r="E16" s="17"/>
      <c r="F16" s="16"/>
      <c r="H16" s="16"/>
      <c r="I16" s="17"/>
      <c r="J16" s="16"/>
      <c r="L16" s="1" t="n">
        <v>2000</v>
      </c>
    </row>
    <row r="17" customFormat="false" ht="12.8" hidden="false" customHeight="false" outlineLevel="0" collapsed="false">
      <c r="A17" s="17"/>
      <c r="B17" s="16" t="s">
        <v>89</v>
      </c>
      <c r="C17" s="17"/>
      <c r="D17" s="16" t="n">
        <v>600</v>
      </c>
      <c r="E17" s="17"/>
      <c r="F17" s="16"/>
      <c r="H17" s="16" t="s">
        <v>20</v>
      </c>
      <c r="I17" s="17" t="s">
        <v>20</v>
      </c>
      <c r="J17" s="16" t="n">
        <v>400</v>
      </c>
      <c r="L17" s="1" t="n">
        <v>1000</v>
      </c>
    </row>
    <row r="18" customFormat="false" ht="12.8" hidden="false" customHeight="false" outlineLevel="0" collapsed="false">
      <c r="A18" s="2" t="s">
        <v>90</v>
      </c>
      <c r="B18" s="4" t="s">
        <v>67</v>
      </c>
      <c r="C18" s="2"/>
      <c r="D18" s="16"/>
      <c r="E18" s="17"/>
      <c r="F18" s="16"/>
      <c r="H18" s="16"/>
      <c r="I18" s="17"/>
      <c r="J18" s="16"/>
      <c r="L18" s="1" t="n">
        <v>1500</v>
      </c>
    </row>
    <row r="19" customFormat="false" ht="12.8" hidden="false" customHeight="false" outlineLevel="0" collapsed="false">
      <c r="A19" s="17"/>
      <c r="B19" s="16"/>
      <c r="C19" s="2" t="s">
        <v>91</v>
      </c>
      <c r="D19" s="16" t="n">
        <v>50</v>
      </c>
      <c r="E19" s="17"/>
      <c r="F19" s="16"/>
      <c r="H19" s="16" t="s">
        <v>37</v>
      </c>
      <c r="I19" s="17" t="s">
        <v>92</v>
      </c>
      <c r="J19" s="16" t="n">
        <v>200</v>
      </c>
    </row>
    <row r="20" customFormat="false" ht="12.8" hidden="false" customHeight="false" outlineLevel="0" collapsed="false">
      <c r="A20" s="17"/>
      <c r="B20" s="16"/>
      <c r="C20" s="2" t="s">
        <v>76</v>
      </c>
      <c r="D20" s="16" t="n">
        <f aca="false">15/2.5*7+10</f>
        <v>52</v>
      </c>
      <c r="E20" s="17"/>
      <c r="F20" s="16"/>
      <c r="H20" s="16"/>
      <c r="I20" s="17" t="s">
        <v>93</v>
      </c>
      <c r="J20" s="16" t="n">
        <v>150</v>
      </c>
      <c r="L20" s="1" t="n">
        <f aca="false">SUM(L16:L18)</f>
        <v>4500</v>
      </c>
      <c r="M20" s="8" t="n">
        <f aca="false">L2</f>
        <v>-3514</v>
      </c>
      <c r="N20" s="8" t="n">
        <v>150</v>
      </c>
      <c r="O20" s="1" t="s">
        <v>94</v>
      </c>
    </row>
    <row r="21" customFormat="false" ht="12.8" hidden="false" customHeight="false" outlineLevel="0" collapsed="false">
      <c r="A21" s="17"/>
      <c r="B21" s="4" t="s">
        <v>69</v>
      </c>
      <c r="C21" s="2" t="s">
        <v>74</v>
      </c>
      <c r="D21" s="16" t="n">
        <v>15</v>
      </c>
      <c r="E21" s="17"/>
      <c r="F21" s="16"/>
      <c r="H21" s="16"/>
      <c r="I21" s="17" t="s">
        <v>95</v>
      </c>
      <c r="J21" s="16" t="n">
        <v>30</v>
      </c>
      <c r="N21" s="21" t="n">
        <f aca="false">M20/N20</f>
        <v>-23.4266666666667</v>
      </c>
      <c r="O21" s="1" t="s">
        <v>96</v>
      </c>
    </row>
    <row r="22" customFormat="false" ht="12.8" hidden="false" customHeight="false" outlineLevel="0" collapsed="false">
      <c r="A22" s="17"/>
      <c r="B22" s="4" t="s">
        <v>71</v>
      </c>
      <c r="C22" s="2" t="s">
        <v>72</v>
      </c>
      <c r="D22" s="16" t="n">
        <v>10</v>
      </c>
      <c r="E22" s="17"/>
      <c r="F22" s="16"/>
      <c r="H22" s="16"/>
      <c r="I22" s="17"/>
      <c r="J22" s="16"/>
      <c r="N22" s="21" t="n">
        <f aca="false">N21/12</f>
        <v>-1.95222222222222</v>
      </c>
      <c r="O22" s="1" t="s">
        <v>97</v>
      </c>
    </row>
    <row r="23" customFormat="false" ht="12.8" hidden="false" customHeight="false" outlineLevel="0" collapsed="false">
      <c r="A23" s="17"/>
      <c r="B23" s="4" t="s">
        <v>73</v>
      </c>
      <c r="C23" s="2" t="s">
        <v>74</v>
      </c>
      <c r="D23" s="16" t="n">
        <v>10</v>
      </c>
      <c r="E23" s="17"/>
      <c r="F23" s="16"/>
      <c r="H23" s="16"/>
      <c r="I23" s="17"/>
      <c r="J23" s="16"/>
      <c r="R23" s="8" t="n">
        <v>150</v>
      </c>
      <c r="S23" s="1" t="s">
        <v>98</v>
      </c>
    </row>
    <row r="24" customFormat="false" ht="12.8" hidden="false" customHeight="false" outlineLevel="0" collapsed="false">
      <c r="A24" s="17"/>
      <c r="B24" s="4" t="s">
        <v>75</v>
      </c>
      <c r="C24" s="2" t="s">
        <v>76</v>
      </c>
      <c r="D24" s="4" t="n">
        <v>0</v>
      </c>
      <c r="E24" s="17"/>
      <c r="F24" s="16"/>
      <c r="H24" s="16" t="s">
        <v>99</v>
      </c>
      <c r="I24" s="17" t="s">
        <v>100</v>
      </c>
      <c r="J24" s="16" t="n">
        <v>200</v>
      </c>
      <c r="M24" s="1" t="s">
        <v>8</v>
      </c>
      <c r="P24" s="1" t="n">
        <f aca="false">SUM(P25:P31)</f>
        <v>13.59</v>
      </c>
      <c r="Q24" s="1" t="n">
        <f aca="false">P24/2.8/2.07</f>
        <v>2.34472049689441</v>
      </c>
      <c r="R24" s="8" t="n">
        <f aca="false">ROUNDUP(Q24,0)*R23</f>
        <v>450</v>
      </c>
      <c r="S24" s="8" t="n">
        <f aca="false">R24*1.8</f>
        <v>810</v>
      </c>
      <c r="T24" s="1" t="n">
        <f aca="false">SUM(S24:S40)</f>
        <v>1507</v>
      </c>
    </row>
    <row r="25" customFormat="false" ht="12.8" hidden="false" customHeight="false" outlineLevel="0" collapsed="false">
      <c r="A25" s="17"/>
      <c r="B25" s="4"/>
      <c r="C25" s="2" t="s">
        <v>79</v>
      </c>
      <c r="D25" s="4" t="n">
        <v>0</v>
      </c>
      <c r="E25" s="17"/>
      <c r="F25" s="16"/>
      <c r="H25" s="16"/>
      <c r="I25" s="17"/>
      <c r="J25" s="16"/>
      <c r="M25" s="1" t="n">
        <v>0.85</v>
      </c>
      <c r="N25" s="1" t="n">
        <v>0.6</v>
      </c>
      <c r="O25" s="1" t="n">
        <v>8</v>
      </c>
      <c r="P25" s="1" t="n">
        <f aca="false">M25*N25*O25</f>
        <v>4.08</v>
      </c>
    </row>
    <row r="26" customFormat="false" ht="12.8" hidden="false" customHeight="false" outlineLevel="0" collapsed="false">
      <c r="A26" s="17"/>
      <c r="B26" s="4" t="s">
        <v>86</v>
      </c>
      <c r="C26" s="17"/>
      <c r="D26" s="16" t="n">
        <v>15</v>
      </c>
      <c r="E26" s="17"/>
      <c r="F26" s="16"/>
      <c r="H26" s="16" t="s">
        <v>90</v>
      </c>
      <c r="I26" s="17" t="s">
        <v>25</v>
      </c>
      <c r="J26" s="16" t="n">
        <v>800</v>
      </c>
      <c r="M26" s="1" t="n">
        <v>0.6</v>
      </c>
      <c r="N26" s="1" t="n">
        <v>0.6</v>
      </c>
      <c r="O26" s="1" t="n">
        <v>7</v>
      </c>
      <c r="P26" s="1" t="n">
        <f aca="false">M26*N26*O26</f>
        <v>2.52</v>
      </c>
    </row>
    <row r="27" customFormat="false" ht="12.8" hidden="false" customHeight="false" outlineLevel="0" collapsed="false">
      <c r="A27" s="17"/>
      <c r="B27" s="4" t="s">
        <v>88</v>
      </c>
      <c r="C27" s="2" t="s">
        <v>101</v>
      </c>
      <c r="D27" s="16" t="n">
        <v>0</v>
      </c>
      <c r="E27" s="17"/>
      <c r="F27" s="16"/>
      <c r="H27" s="16"/>
      <c r="I27" s="17" t="s">
        <v>102</v>
      </c>
      <c r="J27" s="16" t="n">
        <v>300</v>
      </c>
      <c r="P27" s="1" t="n">
        <f aca="false">M27*N27*O27</f>
        <v>0</v>
      </c>
    </row>
    <row r="28" customFormat="false" ht="12.8" hidden="false" customHeight="false" outlineLevel="0" collapsed="false">
      <c r="A28" s="17"/>
      <c r="B28" s="16"/>
      <c r="C28" s="2" t="s">
        <v>103</v>
      </c>
      <c r="D28" s="16" t="n">
        <v>0</v>
      </c>
      <c r="E28" s="17"/>
      <c r="F28" s="16"/>
      <c r="H28" s="16"/>
      <c r="I28" s="17" t="s">
        <v>77</v>
      </c>
      <c r="J28" s="16" t="n">
        <v>200</v>
      </c>
      <c r="M28" s="1" t="n">
        <v>0.8</v>
      </c>
      <c r="N28" s="1" t="n">
        <v>0.4</v>
      </c>
      <c r="O28" s="1" t="n">
        <f aca="false">3*3</f>
        <v>9</v>
      </c>
      <c r="P28" s="1" t="n">
        <f aca="false">M28*N28*O28</f>
        <v>2.88</v>
      </c>
    </row>
    <row r="29" customFormat="false" ht="12.8" hidden="false" customHeight="false" outlineLevel="0" collapsed="false">
      <c r="A29" s="17"/>
      <c r="B29" s="16"/>
      <c r="C29" s="2"/>
      <c r="D29" s="16"/>
      <c r="E29" s="17"/>
      <c r="F29" s="16"/>
      <c r="H29" s="16"/>
      <c r="I29" s="17"/>
      <c r="J29" s="16"/>
      <c r="M29" s="1" t="n">
        <v>0.6</v>
      </c>
      <c r="N29" s="1" t="n">
        <v>0.4</v>
      </c>
      <c r="O29" s="1" t="n">
        <v>4</v>
      </c>
      <c r="P29" s="1" t="n">
        <f aca="false">M29*N29*O29</f>
        <v>0.96</v>
      </c>
    </row>
    <row r="30" customFormat="false" ht="12.8" hidden="false" customHeight="false" outlineLevel="0" collapsed="false">
      <c r="A30" s="17"/>
      <c r="B30" s="16"/>
      <c r="C30" s="17"/>
      <c r="D30" s="16"/>
      <c r="E30" s="17"/>
      <c r="F30" s="16"/>
      <c r="H30" s="16" t="s">
        <v>104</v>
      </c>
      <c r="I30" s="17"/>
      <c r="J30" s="16"/>
      <c r="M30" s="1" t="s">
        <v>16</v>
      </c>
    </row>
    <row r="31" customFormat="false" ht="12.8" hidden="false" customHeight="false" outlineLevel="0" collapsed="false">
      <c r="A31" s="2" t="s">
        <v>105</v>
      </c>
      <c r="B31" s="4" t="s">
        <v>67</v>
      </c>
      <c r="C31" s="2" t="s">
        <v>80</v>
      </c>
      <c r="D31" s="16" t="n">
        <v>50</v>
      </c>
      <c r="E31" s="17"/>
      <c r="F31" s="16"/>
      <c r="H31" s="16"/>
      <c r="I31" s="17"/>
      <c r="J31" s="16"/>
      <c r="M31" s="1" t="n">
        <f aca="false">0.75</f>
        <v>0.75</v>
      </c>
      <c r="N31" s="1" t="n">
        <f aca="false">0.6</f>
        <v>0.6</v>
      </c>
      <c r="O31" s="1" t="n">
        <v>7</v>
      </c>
      <c r="P31" s="1" t="n">
        <f aca="false">M31*N31*O31</f>
        <v>3.15</v>
      </c>
    </row>
    <row r="32" customFormat="false" ht="12.8" hidden="false" customHeight="false" outlineLevel="0" collapsed="false">
      <c r="A32" s="17"/>
      <c r="B32" s="16"/>
      <c r="C32" s="2" t="s">
        <v>68</v>
      </c>
      <c r="D32" s="16" t="n">
        <v>20</v>
      </c>
      <c r="E32" s="17"/>
      <c r="F32" s="16"/>
      <c r="H32" s="16"/>
      <c r="I32" s="17"/>
      <c r="J32" s="16"/>
      <c r="M32" s="1" t="s">
        <v>106</v>
      </c>
    </row>
    <row r="33" customFormat="false" ht="12.8" hidden="false" customHeight="false" outlineLevel="0" collapsed="false">
      <c r="A33" s="17"/>
      <c r="B33" s="16"/>
      <c r="C33" s="2" t="s">
        <v>84</v>
      </c>
      <c r="D33" s="16" t="n">
        <v>10</v>
      </c>
      <c r="E33" s="17"/>
      <c r="F33" s="16"/>
      <c r="H33" s="16"/>
      <c r="I33" s="17"/>
      <c r="J33" s="16"/>
      <c r="M33" s="1" t="n">
        <v>20</v>
      </c>
      <c r="N33" s="1" t="n">
        <v>1</v>
      </c>
      <c r="O33" s="1" t="n">
        <v>7</v>
      </c>
      <c r="P33" s="1" t="n">
        <f aca="false">M33*N33*O33</f>
        <v>140</v>
      </c>
      <c r="S33" s="1" t="n">
        <f aca="false">P33</f>
        <v>140</v>
      </c>
    </row>
    <row r="34" customFormat="false" ht="12.8" hidden="false" customHeight="false" outlineLevel="0" collapsed="false">
      <c r="A34" s="17"/>
      <c r="B34" s="4" t="s">
        <v>69</v>
      </c>
      <c r="C34" s="2" t="s">
        <v>107</v>
      </c>
      <c r="D34" s="16" t="n">
        <v>30</v>
      </c>
      <c r="E34" s="17"/>
      <c r="F34" s="16"/>
      <c r="H34" s="16"/>
      <c r="I34" s="17"/>
      <c r="J34" s="16"/>
      <c r="M34" s="1" t="n">
        <v>80</v>
      </c>
      <c r="N34" s="1" t="n">
        <v>1</v>
      </c>
      <c r="O34" s="1" t="n">
        <v>3</v>
      </c>
      <c r="P34" s="1" t="n">
        <f aca="false">M34*N34*O34</f>
        <v>240</v>
      </c>
      <c r="S34" s="1" t="n">
        <f aca="false">P34</f>
        <v>240</v>
      </c>
    </row>
    <row r="35" customFormat="false" ht="12.8" hidden="false" customHeight="false" outlineLevel="0" collapsed="false">
      <c r="A35" s="17"/>
      <c r="B35" s="16"/>
      <c r="C35" s="2" t="s">
        <v>108</v>
      </c>
      <c r="D35" s="16" t="n">
        <v>20</v>
      </c>
      <c r="E35" s="17"/>
      <c r="F35" s="16"/>
      <c r="H35" s="16"/>
      <c r="I35" s="17"/>
      <c r="J35" s="16"/>
      <c r="M35" s="1" t="n">
        <v>100</v>
      </c>
      <c r="N35" s="1" t="n">
        <v>1</v>
      </c>
      <c r="O35" s="1" t="n">
        <v>1</v>
      </c>
      <c r="P35" s="1" t="n">
        <f aca="false">M35*N35*O35</f>
        <v>100</v>
      </c>
      <c r="S35" s="1" t="n">
        <f aca="false">P35</f>
        <v>100</v>
      </c>
    </row>
    <row r="36" customFormat="false" ht="12.8" hidden="false" customHeight="false" outlineLevel="0" collapsed="false">
      <c r="A36" s="17"/>
      <c r="B36" s="16"/>
      <c r="C36" s="2"/>
      <c r="D36" s="16"/>
      <c r="E36" s="17"/>
      <c r="F36" s="16"/>
      <c r="H36" s="16"/>
      <c r="I36" s="17"/>
      <c r="J36" s="16"/>
      <c r="M36" s="1" t="s">
        <v>10</v>
      </c>
    </row>
    <row r="37" customFormat="false" ht="12.8" hidden="false" customHeight="false" outlineLevel="0" collapsed="false">
      <c r="A37" s="17"/>
      <c r="B37" s="16"/>
      <c r="C37" s="2"/>
      <c r="D37" s="16"/>
      <c r="E37" s="17"/>
      <c r="F37" s="16"/>
      <c r="H37" s="16"/>
      <c r="I37" s="17"/>
      <c r="J37" s="16"/>
      <c r="M37" s="1" t="n">
        <v>217</v>
      </c>
      <c r="N37" s="1" t="n">
        <v>1</v>
      </c>
      <c r="O37" s="1" t="n">
        <v>1</v>
      </c>
      <c r="P37" s="1" t="n">
        <f aca="false">M37*N37*O37</f>
        <v>217</v>
      </c>
      <c r="S37" s="1" t="n">
        <f aca="false">P37</f>
        <v>217</v>
      </c>
    </row>
    <row r="38" customFormat="false" ht="12.8" hidden="false" customHeight="false" outlineLevel="0" collapsed="false">
      <c r="A38" s="17"/>
      <c r="B38" s="4" t="s">
        <v>73</v>
      </c>
      <c r="C38" s="2" t="s">
        <v>74</v>
      </c>
      <c r="D38" s="16" t="n">
        <v>10</v>
      </c>
      <c r="E38" s="17"/>
      <c r="F38" s="16"/>
      <c r="H38" s="16"/>
      <c r="I38" s="17"/>
      <c r="J38" s="16"/>
    </row>
    <row r="39" customFormat="false" ht="12.8" hidden="false" customHeight="false" outlineLevel="0" collapsed="false">
      <c r="A39" s="17"/>
      <c r="B39" s="4" t="s">
        <v>75</v>
      </c>
      <c r="C39" s="2" t="s">
        <v>76</v>
      </c>
      <c r="D39" s="4" t="n">
        <v>0</v>
      </c>
      <c r="E39" s="17"/>
      <c r="F39" s="16"/>
      <c r="H39" s="16"/>
      <c r="I39" s="17"/>
      <c r="J39" s="16"/>
    </row>
    <row r="40" customFormat="false" ht="12.8" hidden="false" customHeight="false" outlineLevel="0" collapsed="false">
      <c r="A40" s="17"/>
      <c r="B40" s="4"/>
      <c r="C40" s="2" t="s">
        <v>79</v>
      </c>
      <c r="D40" s="4" t="n">
        <v>0</v>
      </c>
      <c r="E40" s="17"/>
      <c r="F40" s="16"/>
      <c r="H40" s="16"/>
      <c r="I40" s="17"/>
      <c r="J40" s="16"/>
    </row>
    <row r="41" customFormat="false" ht="12.8" hidden="false" customHeight="false" outlineLevel="0" collapsed="false">
      <c r="A41" s="17"/>
      <c r="B41" s="4" t="s">
        <v>86</v>
      </c>
      <c r="C41" s="2"/>
      <c r="D41" s="16" t="n">
        <v>20</v>
      </c>
      <c r="E41" s="17"/>
      <c r="F41" s="16"/>
      <c r="H41" s="16"/>
      <c r="I41" s="17"/>
      <c r="J41" s="16"/>
    </row>
    <row r="42" customFormat="false" ht="12.8" hidden="false" customHeight="false" outlineLevel="0" collapsed="false">
      <c r="A42" s="17"/>
      <c r="B42" s="4" t="s">
        <v>88</v>
      </c>
      <c r="C42" s="2"/>
      <c r="D42" s="16"/>
      <c r="E42" s="17"/>
      <c r="F42" s="16"/>
      <c r="H42" s="16"/>
      <c r="I42" s="17"/>
      <c r="J42" s="16"/>
    </row>
    <row r="43" customFormat="false" ht="12.8" hidden="false" customHeight="false" outlineLevel="0" collapsed="false">
      <c r="A43" s="17"/>
      <c r="B43" s="16"/>
      <c r="C43" s="2"/>
      <c r="D43" s="16"/>
      <c r="E43" s="17"/>
      <c r="F43" s="16"/>
      <c r="H43" s="16"/>
      <c r="I43" s="17"/>
      <c r="J43" s="16"/>
    </row>
    <row r="44" customFormat="false" ht="12.8" hidden="false" customHeight="false" outlineLevel="0" collapsed="false">
      <c r="A44" s="17"/>
      <c r="B44" s="16"/>
      <c r="C44" s="2"/>
      <c r="D44" s="16"/>
      <c r="E44" s="17"/>
      <c r="F44" s="16"/>
      <c r="H44" s="16"/>
      <c r="I44" s="17"/>
      <c r="J44" s="16"/>
    </row>
    <row r="45" customFormat="false" ht="12.8" hidden="false" customHeight="false" outlineLevel="0" collapsed="false">
      <c r="A45" s="17"/>
      <c r="B45" s="16"/>
      <c r="C45" s="2"/>
      <c r="D45" s="16"/>
      <c r="E45" s="17"/>
      <c r="F45" s="16"/>
      <c r="H45" s="16"/>
      <c r="I45" s="17"/>
      <c r="J45" s="16"/>
    </row>
    <row r="46" customFormat="false" ht="12.8" hidden="false" customHeight="false" outlineLevel="0" collapsed="false">
      <c r="A46" s="2" t="s">
        <v>109</v>
      </c>
      <c r="B46" s="4" t="s">
        <v>67</v>
      </c>
      <c r="C46" s="2"/>
      <c r="D46" s="16" t="n">
        <v>0</v>
      </c>
      <c r="E46" s="17"/>
      <c r="F46" s="16"/>
      <c r="H46" s="16"/>
      <c r="I46" s="17"/>
      <c r="J46" s="16"/>
    </row>
    <row r="47" customFormat="false" ht="12.8" hidden="false" customHeight="false" outlineLevel="0" collapsed="false">
      <c r="A47" s="17"/>
      <c r="B47" s="16"/>
      <c r="C47" s="2"/>
      <c r="D47" s="16"/>
      <c r="E47" s="17"/>
      <c r="F47" s="16"/>
      <c r="H47" s="16"/>
      <c r="I47" s="17"/>
      <c r="J47" s="16"/>
    </row>
    <row r="48" customFormat="false" ht="12.8" hidden="false" customHeight="false" outlineLevel="0" collapsed="false">
      <c r="A48" s="17"/>
      <c r="B48" s="4" t="s">
        <v>69</v>
      </c>
      <c r="C48" s="2"/>
      <c r="D48" s="16" t="n">
        <v>0</v>
      </c>
      <c r="E48" s="17"/>
      <c r="F48" s="16"/>
      <c r="H48" s="16"/>
      <c r="I48" s="17"/>
      <c r="J48" s="16"/>
    </row>
    <row r="49" customFormat="false" ht="12.8" hidden="false" customHeight="false" outlineLevel="0" collapsed="false">
      <c r="A49" s="17"/>
      <c r="B49" s="4" t="s">
        <v>73</v>
      </c>
      <c r="C49" s="2"/>
      <c r="D49" s="16" t="n">
        <v>10</v>
      </c>
      <c r="E49" s="17"/>
      <c r="F49" s="16"/>
      <c r="H49" s="16"/>
      <c r="I49" s="17"/>
      <c r="J49" s="16"/>
    </row>
    <row r="50" customFormat="false" ht="12.8" hidden="false" customHeight="false" outlineLevel="0" collapsed="false">
      <c r="A50" s="17"/>
      <c r="B50" s="4" t="s">
        <v>86</v>
      </c>
      <c r="C50" s="2"/>
      <c r="D50" s="16" t="n">
        <v>0</v>
      </c>
      <c r="E50" s="17"/>
      <c r="F50" s="16"/>
      <c r="H50" s="16"/>
      <c r="I50" s="17"/>
      <c r="J50" s="16"/>
    </row>
    <row r="51" customFormat="false" ht="12.8" hidden="false" customHeight="false" outlineLevel="0" collapsed="false">
      <c r="A51" s="17"/>
      <c r="B51" s="4" t="s">
        <v>88</v>
      </c>
      <c r="C51" s="2"/>
      <c r="D51" s="16" t="n">
        <v>0</v>
      </c>
      <c r="E51" s="17"/>
      <c r="F51" s="16"/>
      <c r="H51" s="16"/>
      <c r="I51" s="17"/>
      <c r="J51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5" t="s">
        <v>1</v>
      </c>
      <c r="B1" s="16"/>
      <c r="C1" s="17"/>
      <c r="D1" s="4" t="s">
        <v>63</v>
      </c>
      <c r="E1" s="17" t="s">
        <v>64</v>
      </c>
      <c r="F1" s="16" t="s">
        <v>4</v>
      </c>
      <c r="H1" s="18" t="s">
        <v>2</v>
      </c>
      <c r="I1" s="17"/>
      <c r="J1" s="4" t="s">
        <v>63</v>
      </c>
      <c r="K1" s="17" t="s">
        <v>64</v>
      </c>
      <c r="L1" s="16" t="s">
        <v>4</v>
      </c>
    </row>
    <row r="2" customFormat="false" ht="12.8" hidden="false" customHeight="false" outlineLevel="0" collapsed="false">
      <c r="A2" s="17"/>
      <c r="B2" s="16"/>
      <c r="C2" s="17"/>
      <c r="D2" s="19" t="n">
        <f aca="false">SUM(D4:D59)</f>
        <v>1752</v>
      </c>
      <c r="E2" s="20" t="n">
        <f aca="false">8633</f>
        <v>8633</v>
      </c>
      <c r="F2" s="19" t="n">
        <f aca="false">E2-D2</f>
        <v>6881</v>
      </c>
      <c r="G2" s="8"/>
      <c r="H2" s="19"/>
      <c r="I2" s="20"/>
      <c r="J2" s="19" t="n">
        <f aca="false">SUM(J3:J59)</f>
        <v>9933</v>
      </c>
      <c r="K2" s="20" t="n">
        <f aca="false">F2</f>
        <v>6881</v>
      </c>
      <c r="L2" s="19" t="n">
        <f aca="false">K2-J2</f>
        <v>-3052</v>
      </c>
    </row>
    <row r="3" customFormat="false" ht="12.8" hidden="false" customHeight="false" outlineLevel="0" collapsed="false">
      <c r="A3" s="2" t="s">
        <v>65</v>
      </c>
      <c r="B3" s="16"/>
      <c r="C3" s="17"/>
      <c r="D3" s="16"/>
      <c r="E3" s="17"/>
      <c r="F3" s="16"/>
      <c r="H3" s="16" t="s">
        <v>8</v>
      </c>
      <c r="I3" s="17" t="s">
        <v>66</v>
      </c>
      <c r="J3" s="16" t="n">
        <v>5000</v>
      </c>
    </row>
    <row r="4" customFormat="false" ht="12.8" hidden="false" customHeight="false" outlineLevel="0" collapsed="false">
      <c r="A4" s="17"/>
      <c r="B4" s="4" t="s">
        <v>67</v>
      </c>
      <c r="C4" s="2" t="s">
        <v>68</v>
      </c>
      <c r="D4" s="4" t="n">
        <v>10</v>
      </c>
      <c r="E4" s="17"/>
      <c r="F4" s="16"/>
      <c r="H4" s="16"/>
      <c r="I4" s="17" t="s">
        <v>11</v>
      </c>
      <c r="J4" s="16" t="n">
        <v>400</v>
      </c>
    </row>
    <row r="5" customFormat="false" ht="12.8" hidden="false" customHeight="false" outlineLevel="0" collapsed="false">
      <c r="A5" s="17"/>
      <c r="B5" s="16"/>
      <c r="C5" s="2"/>
      <c r="D5" s="4"/>
      <c r="E5" s="17"/>
      <c r="F5" s="16"/>
      <c r="H5" s="16"/>
      <c r="I5" s="17" t="s">
        <v>12</v>
      </c>
      <c r="J5" s="16" t="n">
        <v>700</v>
      </c>
    </row>
    <row r="6" customFormat="false" ht="12.8" hidden="false" customHeight="false" outlineLevel="0" collapsed="false">
      <c r="A6" s="17"/>
      <c r="B6" s="16"/>
      <c r="C6" s="2"/>
      <c r="D6" s="4"/>
      <c r="E6" s="17"/>
      <c r="F6" s="16"/>
      <c r="H6" s="16"/>
      <c r="I6" s="17" t="s">
        <v>10</v>
      </c>
      <c r="J6" s="16" t="n">
        <v>299</v>
      </c>
    </row>
    <row r="7" customFormat="false" ht="12.8" hidden="false" customHeight="false" outlineLevel="0" collapsed="false">
      <c r="A7" s="17"/>
      <c r="B7" s="4" t="s">
        <v>69</v>
      </c>
      <c r="C7" s="2"/>
      <c r="D7" s="4" t="n">
        <v>0</v>
      </c>
      <c r="E7" s="17"/>
      <c r="F7" s="16"/>
      <c r="H7" s="16"/>
      <c r="I7" s="17" t="s">
        <v>70</v>
      </c>
      <c r="J7" s="16" t="n">
        <f aca="false">3*0.6*70</f>
        <v>126</v>
      </c>
    </row>
    <row r="8" customFormat="false" ht="12.8" hidden="false" customHeight="false" outlineLevel="0" collapsed="false">
      <c r="A8" s="17"/>
      <c r="B8" s="4" t="s">
        <v>71</v>
      </c>
      <c r="C8" s="2" t="s">
        <v>72</v>
      </c>
      <c r="D8" s="4" t="n">
        <v>10</v>
      </c>
      <c r="E8" s="17"/>
      <c r="F8" s="16"/>
      <c r="H8" s="16"/>
      <c r="I8" s="17" t="s">
        <v>38</v>
      </c>
      <c r="J8" s="16" t="n">
        <v>300</v>
      </c>
    </row>
    <row r="9" customFormat="false" ht="12.8" hidden="false" customHeight="false" outlineLevel="0" collapsed="false">
      <c r="A9" s="17"/>
      <c r="B9" s="4" t="s">
        <v>73</v>
      </c>
      <c r="C9" s="2" t="s">
        <v>74</v>
      </c>
      <c r="D9" s="4" t="n">
        <v>0</v>
      </c>
      <c r="E9" s="17"/>
      <c r="F9" s="16"/>
      <c r="H9" s="16"/>
      <c r="I9" s="17"/>
      <c r="J9" s="16"/>
    </row>
    <row r="10" customFormat="false" ht="12.8" hidden="false" customHeight="false" outlineLevel="0" collapsed="false">
      <c r="A10" s="17"/>
      <c r="B10" s="4" t="s">
        <v>75</v>
      </c>
      <c r="C10" s="2" t="s">
        <v>76</v>
      </c>
      <c r="D10" s="4" t="n">
        <v>0</v>
      </c>
      <c r="E10" s="17"/>
      <c r="F10" s="16"/>
      <c r="H10" s="16" t="s">
        <v>77</v>
      </c>
      <c r="I10" s="17" t="s">
        <v>78</v>
      </c>
      <c r="J10" s="16" t="n">
        <f aca="false">3*0.8*30</f>
        <v>72</v>
      </c>
    </row>
    <row r="11" customFormat="false" ht="12.8" hidden="false" customHeight="false" outlineLevel="0" collapsed="false">
      <c r="A11" s="17"/>
      <c r="B11" s="4"/>
      <c r="C11" s="2" t="s">
        <v>79</v>
      </c>
      <c r="D11" s="4" t="n">
        <v>0</v>
      </c>
      <c r="E11" s="17"/>
      <c r="F11" s="16"/>
      <c r="H11" s="16"/>
      <c r="I11" s="17" t="s">
        <v>80</v>
      </c>
      <c r="J11" s="16" t="n">
        <v>25</v>
      </c>
    </row>
    <row r="12" customFormat="false" ht="12.8" hidden="false" customHeight="false" outlineLevel="0" collapsed="false">
      <c r="A12" s="17"/>
      <c r="B12" s="4" t="s">
        <v>81</v>
      </c>
      <c r="C12" s="2" t="s">
        <v>82</v>
      </c>
      <c r="D12" s="4" t="n">
        <f aca="false">120+40</f>
        <v>160</v>
      </c>
      <c r="E12" s="17"/>
      <c r="F12" s="16"/>
      <c r="H12" s="16"/>
      <c r="I12" s="17" t="s">
        <v>68</v>
      </c>
      <c r="J12" s="16" t="n">
        <v>15</v>
      </c>
    </row>
    <row r="13" customFormat="false" ht="12.8" hidden="false" customHeight="false" outlineLevel="0" collapsed="false">
      <c r="A13" s="17"/>
      <c r="B13" s="16"/>
      <c r="C13" s="2" t="s">
        <v>83</v>
      </c>
      <c r="D13" s="4" t="n">
        <v>180</v>
      </c>
      <c r="E13" s="17"/>
      <c r="F13" s="16"/>
      <c r="H13" s="16"/>
      <c r="I13" s="17" t="s">
        <v>84</v>
      </c>
      <c r="J13" s="16" t="n">
        <v>20</v>
      </c>
    </row>
    <row r="14" customFormat="false" ht="12.8" hidden="false" customHeight="false" outlineLevel="0" collapsed="false">
      <c r="A14" s="17"/>
      <c r="B14" s="16"/>
      <c r="C14" s="2" t="s">
        <v>85</v>
      </c>
      <c r="D14" s="4" t="n">
        <v>50</v>
      </c>
      <c r="E14" s="17"/>
      <c r="F14" s="16"/>
      <c r="H14" s="16"/>
      <c r="I14" s="17" t="s">
        <v>35</v>
      </c>
      <c r="J14" s="16" t="n">
        <f aca="false">20*30</f>
        <v>600</v>
      </c>
      <c r="L14" s="1" t="n">
        <f aca="false">6*150</f>
        <v>900</v>
      </c>
    </row>
    <row r="15" customFormat="false" ht="12.8" hidden="false" customHeight="false" outlineLevel="0" collapsed="false">
      <c r="A15" s="17"/>
      <c r="B15" s="4" t="s">
        <v>86</v>
      </c>
      <c r="C15" s="2"/>
      <c r="D15" s="16" t="n">
        <v>0</v>
      </c>
      <c r="E15" s="17"/>
      <c r="F15" s="16"/>
      <c r="H15" s="16"/>
      <c r="I15" s="17" t="s">
        <v>87</v>
      </c>
      <c r="J15" s="16" t="n">
        <f aca="false">(5+5+4+2)/2*7+40</f>
        <v>96</v>
      </c>
    </row>
    <row r="16" customFormat="false" ht="12.8" hidden="false" customHeight="false" outlineLevel="0" collapsed="false">
      <c r="A16" s="17"/>
      <c r="B16" s="4" t="s">
        <v>88</v>
      </c>
      <c r="C16" s="2"/>
      <c r="D16" s="4" t="n">
        <v>0</v>
      </c>
      <c r="E16" s="17"/>
      <c r="F16" s="16"/>
      <c r="H16" s="16"/>
      <c r="I16" s="17"/>
      <c r="J16" s="16"/>
      <c r="L16" s="1" t="n">
        <v>2000</v>
      </c>
    </row>
    <row r="17" customFormat="false" ht="12.8" hidden="false" customHeight="false" outlineLevel="0" collapsed="false">
      <c r="A17" s="17"/>
      <c r="B17" s="16" t="s">
        <v>89</v>
      </c>
      <c r="C17" s="17"/>
      <c r="D17" s="16" t="n">
        <v>600</v>
      </c>
      <c r="E17" s="17"/>
      <c r="F17" s="16"/>
      <c r="H17" s="16" t="s">
        <v>20</v>
      </c>
      <c r="I17" s="17" t="s">
        <v>20</v>
      </c>
      <c r="J17" s="16" t="n">
        <v>400</v>
      </c>
      <c r="L17" s="1" t="n">
        <v>1000</v>
      </c>
    </row>
    <row r="18" customFormat="false" ht="12.8" hidden="false" customHeight="false" outlineLevel="0" collapsed="false">
      <c r="A18" s="2" t="s">
        <v>90</v>
      </c>
      <c r="B18" s="4" t="s">
        <v>67</v>
      </c>
      <c r="C18" s="2"/>
      <c r="D18" s="16"/>
      <c r="E18" s="17"/>
      <c r="F18" s="16"/>
      <c r="H18" s="16"/>
      <c r="I18" s="17"/>
      <c r="J18" s="16"/>
      <c r="L18" s="1" t="n">
        <v>1500</v>
      </c>
    </row>
    <row r="19" customFormat="false" ht="12.8" hidden="false" customHeight="false" outlineLevel="0" collapsed="false">
      <c r="A19" s="17"/>
      <c r="B19" s="16"/>
      <c r="C19" s="2" t="s">
        <v>91</v>
      </c>
      <c r="D19" s="16" t="n">
        <v>50</v>
      </c>
      <c r="E19" s="17"/>
      <c r="F19" s="16"/>
      <c r="H19" s="16" t="s">
        <v>37</v>
      </c>
      <c r="I19" s="17" t="s">
        <v>92</v>
      </c>
      <c r="J19" s="16" t="n">
        <v>200</v>
      </c>
    </row>
    <row r="20" customFormat="false" ht="12.8" hidden="false" customHeight="false" outlineLevel="0" collapsed="false">
      <c r="A20" s="17"/>
      <c r="B20" s="16"/>
      <c r="C20" s="2" t="s">
        <v>76</v>
      </c>
      <c r="D20" s="16" t="n">
        <f aca="false">15/2.5*7+10</f>
        <v>52</v>
      </c>
      <c r="E20" s="17"/>
      <c r="F20" s="16"/>
      <c r="H20" s="16"/>
      <c r="I20" s="17" t="s">
        <v>93</v>
      </c>
      <c r="J20" s="16" t="n">
        <v>150</v>
      </c>
      <c r="L20" s="1" t="n">
        <f aca="false">SUM(L16:L18)</f>
        <v>4500</v>
      </c>
      <c r="M20" s="8" t="n">
        <f aca="false">L2</f>
        <v>-3052</v>
      </c>
      <c r="N20" s="8" t="n">
        <v>150</v>
      </c>
      <c r="O20" s="1" t="s">
        <v>94</v>
      </c>
    </row>
    <row r="21" customFormat="false" ht="12.8" hidden="false" customHeight="false" outlineLevel="0" collapsed="false">
      <c r="A21" s="17"/>
      <c r="B21" s="4" t="s">
        <v>69</v>
      </c>
      <c r="C21" s="2" t="s">
        <v>74</v>
      </c>
      <c r="D21" s="16" t="n">
        <v>15</v>
      </c>
      <c r="E21" s="17"/>
      <c r="F21" s="16"/>
      <c r="H21" s="16"/>
      <c r="I21" s="17" t="s">
        <v>95</v>
      </c>
      <c r="J21" s="16" t="n">
        <v>30</v>
      </c>
      <c r="N21" s="21" t="n">
        <f aca="false">M20/N20</f>
        <v>-20.3466666666667</v>
      </c>
      <c r="O21" s="1" t="s">
        <v>96</v>
      </c>
    </row>
    <row r="22" customFormat="false" ht="12.8" hidden="false" customHeight="false" outlineLevel="0" collapsed="false">
      <c r="A22" s="17"/>
      <c r="B22" s="4" t="s">
        <v>71</v>
      </c>
      <c r="C22" s="2" t="s">
        <v>72</v>
      </c>
      <c r="D22" s="16" t="n">
        <v>10</v>
      </c>
      <c r="E22" s="17"/>
      <c r="F22" s="16"/>
      <c r="H22" s="16"/>
      <c r="I22" s="17"/>
      <c r="J22" s="16"/>
      <c r="N22" s="21" t="n">
        <f aca="false">N21/12</f>
        <v>-1.69555555555556</v>
      </c>
      <c r="O22" s="1" t="s">
        <v>97</v>
      </c>
    </row>
    <row r="23" customFormat="false" ht="12.8" hidden="false" customHeight="false" outlineLevel="0" collapsed="false">
      <c r="A23" s="17"/>
      <c r="B23" s="4" t="s">
        <v>73</v>
      </c>
      <c r="C23" s="2" t="s">
        <v>74</v>
      </c>
      <c r="D23" s="16" t="n">
        <v>10</v>
      </c>
      <c r="E23" s="17"/>
      <c r="F23" s="16"/>
      <c r="H23" s="16"/>
      <c r="I23" s="17"/>
      <c r="J23" s="16"/>
      <c r="R23" s="8" t="n">
        <v>150</v>
      </c>
      <c r="S23" s="1" t="s">
        <v>98</v>
      </c>
    </row>
    <row r="24" customFormat="false" ht="12.8" hidden="false" customHeight="false" outlineLevel="0" collapsed="false">
      <c r="A24" s="17"/>
      <c r="B24" s="4" t="s">
        <v>75</v>
      </c>
      <c r="C24" s="2" t="s">
        <v>76</v>
      </c>
      <c r="D24" s="4" t="n">
        <v>0</v>
      </c>
      <c r="E24" s="17"/>
      <c r="F24" s="16"/>
      <c r="H24" s="16" t="s">
        <v>99</v>
      </c>
      <c r="I24" s="17" t="s">
        <v>100</v>
      </c>
      <c r="J24" s="16" t="n">
        <v>200</v>
      </c>
      <c r="M24" s="1" t="s">
        <v>8</v>
      </c>
      <c r="P24" s="1" t="n">
        <f aca="false">SUM(P25:P31)</f>
        <v>13.59</v>
      </c>
      <c r="Q24" s="1" t="n">
        <f aca="false">P24/2.8/2.07</f>
        <v>2.34472049689441</v>
      </c>
      <c r="R24" s="8" t="n">
        <f aca="false">ROUNDUP(Q24,0)*R23</f>
        <v>450</v>
      </c>
      <c r="S24" s="8" t="n">
        <f aca="false">R24*1.8</f>
        <v>810</v>
      </c>
      <c r="T24" s="1" t="n">
        <f aca="false">SUM(S24:S40)</f>
        <v>1507</v>
      </c>
    </row>
    <row r="25" customFormat="false" ht="12.8" hidden="false" customHeight="false" outlineLevel="0" collapsed="false">
      <c r="A25" s="17"/>
      <c r="B25" s="4"/>
      <c r="C25" s="2" t="s">
        <v>79</v>
      </c>
      <c r="D25" s="4" t="n">
        <v>0</v>
      </c>
      <c r="E25" s="17"/>
      <c r="F25" s="16"/>
      <c r="H25" s="16"/>
      <c r="I25" s="17"/>
      <c r="J25" s="16"/>
      <c r="M25" s="1" t="n">
        <v>0.85</v>
      </c>
      <c r="N25" s="1" t="n">
        <v>0.6</v>
      </c>
      <c r="O25" s="1" t="n">
        <v>8</v>
      </c>
      <c r="P25" s="1" t="n">
        <f aca="false">M25*N25*O25</f>
        <v>4.08</v>
      </c>
    </row>
    <row r="26" customFormat="false" ht="12.8" hidden="false" customHeight="false" outlineLevel="0" collapsed="false">
      <c r="A26" s="17"/>
      <c r="B26" s="4" t="s">
        <v>86</v>
      </c>
      <c r="C26" s="17"/>
      <c r="D26" s="16" t="n">
        <v>15</v>
      </c>
      <c r="E26" s="17"/>
      <c r="F26" s="16"/>
      <c r="H26" s="16" t="s">
        <v>90</v>
      </c>
      <c r="I26" s="17" t="s">
        <v>25</v>
      </c>
      <c r="J26" s="16" t="n">
        <v>800</v>
      </c>
      <c r="M26" s="1" t="n">
        <v>0.6</v>
      </c>
      <c r="N26" s="1" t="n">
        <v>0.6</v>
      </c>
      <c r="O26" s="1" t="n">
        <v>7</v>
      </c>
      <c r="P26" s="1" t="n">
        <f aca="false">M26*N26*O26</f>
        <v>2.52</v>
      </c>
    </row>
    <row r="27" customFormat="false" ht="12.8" hidden="false" customHeight="false" outlineLevel="0" collapsed="false">
      <c r="A27" s="17"/>
      <c r="B27" s="4" t="s">
        <v>88</v>
      </c>
      <c r="C27" s="2" t="s">
        <v>101</v>
      </c>
      <c r="D27" s="16" t="n">
        <v>200</v>
      </c>
      <c r="E27" s="17"/>
      <c r="F27" s="16"/>
      <c r="H27" s="16"/>
      <c r="I27" s="17" t="s">
        <v>102</v>
      </c>
      <c r="J27" s="16" t="n">
        <v>300</v>
      </c>
      <c r="P27" s="1" t="n">
        <f aca="false">M27*N27*O27</f>
        <v>0</v>
      </c>
    </row>
    <row r="28" customFormat="false" ht="12.8" hidden="false" customHeight="false" outlineLevel="0" collapsed="false">
      <c r="A28" s="17"/>
      <c r="B28" s="16"/>
      <c r="C28" s="2" t="s">
        <v>103</v>
      </c>
      <c r="D28" s="16" t="n">
        <v>220</v>
      </c>
      <c r="E28" s="17"/>
      <c r="F28" s="16"/>
      <c r="H28" s="16"/>
      <c r="I28" s="17" t="s">
        <v>77</v>
      </c>
      <c r="J28" s="16" t="n">
        <v>200</v>
      </c>
      <c r="M28" s="1" t="n">
        <v>0.8</v>
      </c>
      <c r="N28" s="1" t="n">
        <v>0.4</v>
      </c>
      <c r="O28" s="1" t="n">
        <f aca="false">3*3</f>
        <v>9</v>
      </c>
      <c r="P28" s="1" t="n">
        <f aca="false">M28*N28*O28</f>
        <v>2.88</v>
      </c>
    </row>
    <row r="29" customFormat="false" ht="12.8" hidden="false" customHeight="false" outlineLevel="0" collapsed="false">
      <c r="A29" s="17"/>
      <c r="B29" s="16"/>
      <c r="C29" s="2"/>
      <c r="D29" s="16"/>
      <c r="E29" s="17"/>
      <c r="F29" s="16"/>
      <c r="H29" s="16"/>
      <c r="I29" s="17"/>
      <c r="J29" s="16"/>
      <c r="M29" s="1" t="n">
        <v>0.6</v>
      </c>
      <c r="N29" s="1" t="n">
        <v>0.4</v>
      </c>
      <c r="O29" s="1" t="n">
        <v>4</v>
      </c>
      <c r="P29" s="1" t="n">
        <f aca="false">M29*N29*O29</f>
        <v>0.96</v>
      </c>
    </row>
    <row r="30" customFormat="false" ht="12.8" hidden="false" customHeight="false" outlineLevel="0" collapsed="false">
      <c r="A30" s="17"/>
      <c r="B30" s="16"/>
      <c r="C30" s="17"/>
      <c r="D30" s="16"/>
      <c r="E30" s="17"/>
      <c r="F30" s="16"/>
      <c r="H30" s="16" t="s">
        <v>104</v>
      </c>
      <c r="I30" s="17"/>
      <c r="J30" s="16"/>
      <c r="M30" s="1" t="s">
        <v>16</v>
      </c>
    </row>
    <row r="31" customFormat="false" ht="12.8" hidden="false" customHeight="false" outlineLevel="0" collapsed="false">
      <c r="A31" s="2" t="s">
        <v>105</v>
      </c>
      <c r="B31" s="4" t="s">
        <v>67</v>
      </c>
      <c r="C31" s="2" t="s">
        <v>80</v>
      </c>
      <c r="D31" s="16" t="n">
        <v>50</v>
      </c>
      <c r="E31" s="17"/>
      <c r="F31" s="16"/>
      <c r="H31" s="16"/>
      <c r="I31" s="17"/>
      <c r="J31" s="16"/>
      <c r="M31" s="1" t="n">
        <f aca="false">0.75</f>
        <v>0.75</v>
      </c>
      <c r="N31" s="1" t="n">
        <f aca="false">0.6</f>
        <v>0.6</v>
      </c>
      <c r="O31" s="1" t="n">
        <v>7</v>
      </c>
      <c r="P31" s="1" t="n">
        <f aca="false">M31*N31*O31</f>
        <v>3.15</v>
      </c>
    </row>
    <row r="32" customFormat="false" ht="12.8" hidden="false" customHeight="false" outlineLevel="0" collapsed="false">
      <c r="A32" s="17"/>
      <c r="B32" s="16"/>
      <c r="C32" s="2" t="s">
        <v>68</v>
      </c>
      <c r="D32" s="16" t="n">
        <v>20</v>
      </c>
      <c r="E32" s="17"/>
      <c r="F32" s="16"/>
      <c r="H32" s="16"/>
      <c r="I32" s="17"/>
      <c r="J32" s="16"/>
      <c r="M32" s="1" t="s">
        <v>106</v>
      </c>
    </row>
    <row r="33" customFormat="false" ht="12.8" hidden="false" customHeight="false" outlineLevel="0" collapsed="false">
      <c r="A33" s="17"/>
      <c r="B33" s="16"/>
      <c r="C33" s="2" t="s">
        <v>84</v>
      </c>
      <c r="D33" s="16" t="n">
        <v>10</v>
      </c>
      <c r="E33" s="17"/>
      <c r="F33" s="16"/>
      <c r="H33" s="16"/>
      <c r="I33" s="17"/>
      <c r="J33" s="16"/>
      <c r="M33" s="1" t="n">
        <v>20</v>
      </c>
      <c r="N33" s="1" t="n">
        <v>1</v>
      </c>
      <c r="O33" s="1" t="n">
        <v>7</v>
      </c>
      <c r="P33" s="1" t="n">
        <f aca="false">M33*N33*O33</f>
        <v>140</v>
      </c>
      <c r="S33" s="1" t="n">
        <f aca="false">P33</f>
        <v>140</v>
      </c>
    </row>
    <row r="34" customFormat="false" ht="12.8" hidden="false" customHeight="false" outlineLevel="0" collapsed="false">
      <c r="A34" s="17"/>
      <c r="B34" s="4" t="s">
        <v>69</v>
      </c>
      <c r="C34" s="2" t="s">
        <v>107</v>
      </c>
      <c r="D34" s="16" t="n">
        <v>30</v>
      </c>
      <c r="E34" s="17"/>
      <c r="F34" s="16"/>
      <c r="H34" s="16"/>
      <c r="I34" s="17"/>
      <c r="J34" s="16"/>
      <c r="M34" s="1" t="n">
        <v>80</v>
      </c>
      <c r="N34" s="1" t="n">
        <v>1</v>
      </c>
      <c r="O34" s="1" t="n">
        <v>3</v>
      </c>
      <c r="P34" s="1" t="n">
        <f aca="false">M34*N34*O34</f>
        <v>240</v>
      </c>
      <c r="S34" s="1" t="n">
        <f aca="false">P34</f>
        <v>240</v>
      </c>
    </row>
    <row r="35" customFormat="false" ht="12.8" hidden="false" customHeight="false" outlineLevel="0" collapsed="false">
      <c r="A35" s="17"/>
      <c r="B35" s="16"/>
      <c r="C35" s="2" t="s">
        <v>108</v>
      </c>
      <c r="D35" s="16" t="n">
        <v>20</v>
      </c>
      <c r="E35" s="17"/>
      <c r="F35" s="16"/>
      <c r="H35" s="16"/>
      <c r="I35" s="17"/>
      <c r="J35" s="16"/>
      <c r="M35" s="1" t="n">
        <v>100</v>
      </c>
      <c r="N35" s="1" t="n">
        <v>1</v>
      </c>
      <c r="O35" s="1" t="n">
        <v>1</v>
      </c>
      <c r="P35" s="1" t="n">
        <f aca="false">M35*N35*O35</f>
        <v>100</v>
      </c>
      <c r="S35" s="1" t="n">
        <f aca="false">P35</f>
        <v>100</v>
      </c>
    </row>
    <row r="36" customFormat="false" ht="12.8" hidden="false" customHeight="false" outlineLevel="0" collapsed="false">
      <c r="A36" s="17"/>
      <c r="B36" s="16"/>
      <c r="C36" s="2"/>
      <c r="D36" s="16"/>
      <c r="E36" s="17"/>
      <c r="F36" s="16"/>
      <c r="H36" s="16"/>
      <c r="I36" s="17"/>
      <c r="J36" s="16"/>
      <c r="M36" s="1" t="s">
        <v>10</v>
      </c>
    </row>
    <row r="37" customFormat="false" ht="12.8" hidden="false" customHeight="false" outlineLevel="0" collapsed="false">
      <c r="A37" s="17"/>
      <c r="B37" s="16"/>
      <c r="C37" s="2"/>
      <c r="D37" s="16"/>
      <c r="E37" s="17"/>
      <c r="F37" s="16"/>
      <c r="H37" s="16"/>
      <c r="I37" s="17"/>
      <c r="J37" s="16"/>
      <c r="M37" s="1" t="n">
        <v>217</v>
      </c>
      <c r="N37" s="1" t="n">
        <v>1</v>
      </c>
      <c r="O37" s="1" t="n">
        <v>1</v>
      </c>
      <c r="P37" s="1" t="n">
        <f aca="false">M37*N37*O37</f>
        <v>217</v>
      </c>
      <c r="S37" s="1" t="n">
        <f aca="false">P37</f>
        <v>217</v>
      </c>
    </row>
    <row r="38" customFormat="false" ht="12.8" hidden="false" customHeight="false" outlineLevel="0" collapsed="false">
      <c r="A38" s="17"/>
      <c r="B38" s="4" t="s">
        <v>73</v>
      </c>
      <c r="C38" s="2" t="s">
        <v>74</v>
      </c>
      <c r="D38" s="16" t="n">
        <v>10</v>
      </c>
      <c r="E38" s="17"/>
      <c r="F38" s="16"/>
      <c r="H38" s="16"/>
      <c r="I38" s="17"/>
      <c r="J38" s="16"/>
    </row>
    <row r="39" customFormat="false" ht="12.8" hidden="false" customHeight="false" outlineLevel="0" collapsed="false">
      <c r="A39" s="17"/>
      <c r="B39" s="4" t="s">
        <v>75</v>
      </c>
      <c r="C39" s="2" t="s">
        <v>76</v>
      </c>
      <c r="D39" s="4" t="n">
        <v>0</v>
      </c>
      <c r="E39" s="17"/>
      <c r="F39" s="16"/>
      <c r="H39" s="16"/>
      <c r="I39" s="17"/>
      <c r="J39" s="16"/>
    </row>
    <row r="40" customFormat="false" ht="12.8" hidden="false" customHeight="false" outlineLevel="0" collapsed="false">
      <c r="A40" s="17"/>
      <c r="B40" s="4"/>
      <c r="C40" s="2" t="s">
        <v>79</v>
      </c>
      <c r="D40" s="4" t="n">
        <v>0</v>
      </c>
      <c r="E40" s="17"/>
      <c r="F40" s="16"/>
      <c r="H40" s="16"/>
      <c r="I40" s="17"/>
      <c r="J40" s="16"/>
    </row>
    <row r="41" customFormat="false" ht="12.8" hidden="false" customHeight="false" outlineLevel="0" collapsed="false">
      <c r="A41" s="17"/>
      <c r="B41" s="4" t="s">
        <v>86</v>
      </c>
      <c r="C41" s="2"/>
      <c r="D41" s="16" t="n">
        <v>20</v>
      </c>
      <c r="E41" s="17"/>
      <c r="F41" s="16"/>
      <c r="H41" s="16"/>
      <c r="I41" s="17"/>
      <c r="J41" s="16"/>
    </row>
    <row r="42" customFormat="false" ht="12.8" hidden="false" customHeight="false" outlineLevel="0" collapsed="false">
      <c r="A42" s="17"/>
      <c r="B42" s="4" t="s">
        <v>88</v>
      </c>
      <c r="C42" s="2"/>
      <c r="D42" s="16"/>
      <c r="E42" s="17"/>
      <c r="F42" s="16"/>
      <c r="H42" s="16"/>
      <c r="I42" s="17"/>
      <c r="J42" s="16"/>
    </row>
    <row r="43" customFormat="false" ht="12.8" hidden="false" customHeight="false" outlineLevel="0" collapsed="false">
      <c r="A43" s="17"/>
      <c r="B43" s="16"/>
      <c r="C43" s="2"/>
      <c r="D43" s="16"/>
      <c r="E43" s="17"/>
      <c r="F43" s="16"/>
      <c r="H43" s="16"/>
      <c r="I43" s="17"/>
      <c r="J43" s="16"/>
    </row>
    <row r="44" customFormat="false" ht="12.8" hidden="false" customHeight="false" outlineLevel="0" collapsed="false">
      <c r="A44" s="17"/>
      <c r="B44" s="16"/>
      <c r="C44" s="2"/>
      <c r="D44" s="16"/>
      <c r="E44" s="17"/>
      <c r="F44" s="16"/>
      <c r="H44" s="16"/>
      <c r="I44" s="17"/>
      <c r="J44" s="16"/>
    </row>
    <row r="45" customFormat="false" ht="12.8" hidden="false" customHeight="false" outlineLevel="0" collapsed="false">
      <c r="A45" s="17"/>
      <c r="B45" s="16"/>
      <c r="C45" s="2"/>
      <c r="D45" s="16"/>
      <c r="E45" s="17"/>
      <c r="F45" s="16"/>
      <c r="H45" s="16"/>
      <c r="I45" s="17"/>
      <c r="J45" s="16"/>
    </row>
    <row r="46" customFormat="false" ht="12.8" hidden="false" customHeight="false" outlineLevel="0" collapsed="false">
      <c r="A46" s="2" t="s">
        <v>109</v>
      </c>
      <c r="B46" s="4" t="s">
        <v>67</v>
      </c>
      <c r="C46" s="2"/>
      <c r="D46" s="16" t="n">
        <v>0</v>
      </c>
      <c r="E46" s="17"/>
      <c r="F46" s="16"/>
      <c r="H46" s="16"/>
      <c r="I46" s="17"/>
      <c r="J46" s="16"/>
    </row>
    <row r="47" customFormat="false" ht="12.8" hidden="false" customHeight="false" outlineLevel="0" collapsed="false">
      <c r="A47" s="17"/>
      <c r="B47" s="16"/>
      <c r="C47" s="2"/>
      <c r="D47" s="16"/>
      <c r="E47" s="17"/>
      <c r="F47" s="16"/>
      <c r="H47" s="16"/>
      <c r="I47" s="17"/>
      <c r="J47" s="16"/>
    </row>
    <row r="48" customFormat="false" ht="12.8" hidden="false" customHeight="false" outlineLevel="0" collapsed="false">
      <c r="A48" s="17"/>
      <c r="B48" s="4" t="s">
        <v>69</v>
      </c>
      <c r="C48" s="2"/>
      <c r="D48" s="16" t="n">
        <v>0</v>
      </c>
      <c r="E48" s="17"/>
      <c r="F48" s="16"/>
      <c r="H48" s="16"/>
      <c r="I48" s="17"/>
      <c r="J48" s="16"/>
    </row>
    <row r="49" customFormat="false" ht="12.8" hidden="false" customHeight="false" outlineLevel="0" collapsed="false">
      <c r="A49" s="17"/>
      <c r="B49" s="4" t="s">
        <v>73</v>
      </c>
      <c r="C49" s="2"/>
      <c r="D49" s="16" t="n">
        <v>10</v>
      </c>
      <c r="E49" s="17"/>
      <c r="F49" s="16"/>
      <c r="H49" s="16"/>
      <c r="I49" s="17"/>
      <c r="J49" s="16"/>
    </row>
    <row r="50" customFormat="false" ht="12.8" hidden="false" customHeight="false" outlineLevel="0" collapsed="false">
      <c r="A50" s="17"/>
      <c r="B50" s="4" t="s">
        <v>86</v>
      </c>
      <c r="C50" s="2"/>
      <c r="D50" s="16" t="n">
        <v>0</v>
      </c>
      <c r="E50" s="17"/>
      <c r="F50" s="16"/>
      <c r="H50" s="16"/>
      <c r="I50" s="17"/>
      <c r="J50" s="16"/>
    </row>
    <row r="51" customFormat="false" ht="12.8" hidden="false" customHeight="false" outlineLevel="0" collapsed="false">
      <c r="A51" s="17"/>
      <c r="B51" s="4" t="s">
        <v>88</v>
      </c>
      <c r="C51" s="2"/>
      <c r="D51" s="16" t="n">
        <v>0</v>
      </c>
      <c r="E51" s="17"/>
      <c r="F51" s="16"/>
      <c r="H51" s="16"/>
      <c r="I51" s="17"/>
      <c r="J51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4.59"/>
    <col collapsed="false" customWidth="true" hidden="false" outlineLevel="0" max="3" min="3" style="1" width="3.24"/>
    <col collapsed="false" customWidth="true" hidden="false" outlineLevel="0" max="5" min="5" style="1" width="4.48"/>
    <col collapsed="false" customWidth="true" hidden="false" outlineLevel="0" max="6" min="6" style="1" width="4.41"/>
    <col collapsed="false" customWidth="true" hidden="false" outlineLevel="0" max="7" min="7" style="1" width="13.84"/>
  </cols>
  <sheetData>
    <row r="1" customFormat="false" ht="12.8" hidden="false" customHeight="false" outlineLevel="0" collapsed="false">
      <c r="B1" s="1" t="s">
        <v>110</v>
      </c>
      <c r="D1" s="1" t="s">
        <v>111</v>
      </c>
      <c r="G1" s="1" t="s">
        <v>0</v>
      </c>
      <c r="H1" s="1" t="s">
        <v>112</v>
      </c>
      <c r="I1" s="1" t="s">
        <v>113</v>
      </c>
    </row>
    <row r="2" customFormat="false" ht="12.8" hidden="false" customHeight="false" outlineLevel="0" collapsed="false">
      <c r="H2" s="22" t="n">
        <f aca="false">SUM(H3:H119)</f>
        <v>8436.69</v>
      </c>
      <c r="I2" s="22" t="n">
        <f aca="false">SUM(I3:I119)</f>
        <v>2970.7</v>
      </c>
    </row>
    <row r="3" customFormat="false" ht="12.8" hidden="false" customHeight="false" outlineLevel="0" collapsed="false">
      <c r="A3" s="1" t="s">
        <v>77</v>
      </c>
      <c r="B3" s="1" t="s">
        <v>114</v>
      </c>
      <c r="D3" s="1" t="n">
        <v>0</v>
      </c>
    </row>
    <row r="5" customFormat="false" ht="12.8" hidden="false" customHeight="false" outlineLevel="0" collapsed="false">
      <c r="B5" s="1" t="s">
        <v>115</v>
      </c>
      <c r="D5" s="1" t="s">
        <v>78</v>
      </c>
      <c r="E5" s="1" t="n">
        <f aca="false">1.8*3.2</f>
        <v>5.76</v>
      </c>
      <c r="F5" s="1" t="s">
        <v>116</v>
      </c>
      <c r="G5" s="1" t="n">
        <v>30</v>
      </c>
      <c r="H5" s="1" t="n">
        <f aca="false">IF(C5="?",0,E5*G5)</f>
        <v>172.8</v>
      </c>
      <c r="I5" s="1" t="n">
        <f aca="false">IF(C5="?",E5*G5,0)</f>
        <v>0</v>
      </c>
    </row>
    <row r="6" customFormat="false" ht="12.8" hidden="false" customHeight="false" outlineLevel="0" collapsed="false">
      <c r="B6" s="1" t="s">
        <v>117</v>
      </c>
      <c r="D6" s="1" t="s">
        <v>80</v>
      </c>
      <c r="E6" s="1" t="n">
        <v>2</v>
      </c>
      <c r="F6" s="1" t="s">
        <v>118</v>
      </c>
      <c r="G6" s="1" t="n">
        <v>13</v>
      </c>
      <c r="H6" s="1" t="n">
        <f aca="false">IF(C6="?",0,E6*G6)</f>
        <v>26</v>
      </c>
      <c r="I6" s="1" t="n">
        <f aca="false">IF(C6="?",E6*G6,0)</f>
        <v>0</v>
      </c>
    </row>
    <row r="7" customFormat="false" ht="12.8" hidden="false" customHeight="false" outlineLevel="0" collapsed="false">
      <c r="D7" s="1" t="s">
        <v>119</v>
      </c>
      <c r="E7" s="1" t="n">
        <v>1</v>
      </c>
      <c r="F7" s="1" t="s">
        <v>118</v>
      </c>
      <c r="G7" s="1" t="n">
        <v>10</v>
      </c>
      <c r="H7" s="1" t="n">
        <f aca="false">IF(C7="?",0,E7*G7)</f>
        <v>10</v>
      </c>
      <c r="I7" s="1" t="n">
        <f aca="false">IF(C7="?",E7*G7,0)</f>
        <v>0</v>
      </c>
    </row>
    <row r="8" customFormat="false" ht="12.8" hidden="false" customHeight="false" outlineLevel="0" collapsed="false">
      <c r="D8" s="1" t="s">
        <v>120</v>
      </c>
      <c r="E8" s="1" t="n">
        <v>3</v>
      </c>
      <c r="F8" s="1" t="s">
        <v>118</v>
      </c>
      <c r="G8" s="1" t="n">
        <v>4</v>
      </c>
      <c r="H8" s="1" t="n">
        <f aca="false">IF(C8="?",0,E8*G8)</f>
        <v>12</v>
      </c>
      <c r="I8" s="1" t="n">
        <f aca="false">IF(C8="?",E8*G8,0)</f>
        <v>0</v>
      </c>
    </row>
    <row r="9" customFormat="false" ht="12.8" hidden="false" customHeight="false" outlineLevel="0" collapsed="false">
      <c r="H9" s="1" t="n">
        <f aca="false">IF(C9="?",0,E9*G9)</f>
        <v>0</v>
      </c>
      <c r="I9" s="1" t="n">
        <f aca="false">IF(C9="?",E9*G9,0)</f>
        <v>0</v>
      </c>
    </row>
    <row r="10" customFormat="false" ht="12.8" hidden="false" customHeight="false" outlineLevel="0" collapsed="false">
      <c r="B10" s="1" t="s">
        <v>115</v>
      </c>
      <c r="D10" s="1" t="s">
        <v>78</v>
      </c>
      <c r="E10" s="1" t="n">
        <f aca="false">3*1.2+1.2*2.5</f>
        <v>6.6</v>
      </c>
      <c r="F10" s="1" t="s">
        <v>116</v>
      </c>
      <c r="G10" s="1" t="n">
        <v>30</v>
      </c>
      <c r="H10" s="1" t="n">
        <f aca="false">IF(C10="?",0,E10*G10)</f>
        <v>198</v>
      </c>
      <c r="I10" s="1" t="n">
        <f aca="false">IF(C10="?",E10*G10,0)</f>
        <v>0</v>
      </c>
    </row>
    <row r="11" customFormat="false" ht="12.8" hidden="false" customHeight="false" outlineLevel="0" collapsed="false">
      <c r="B11" s="1" t="s">
        <v>121</v>
      </c>
      <c r="D11" s="1" t="s">
        <v>80</v>
      </c>
      <c r="E11" s="1" t="n">
        <v>2</v>
      </c>
      <c r="F11" s="1" t="s">
        <v>118</v>
      </c>
      <c r="G11" s="1" t="n">
        <v>20</v>
      </c>
      <c r="H11" s="1" t="n">
        <f aca="false">IF(C11="?",0,E11*G11)</f>
        <v>40</v>
      </c>
      <c r="I11" s="1" t="n">
        <f aca="false">IF(C11="?",E11*G11,0)</f>
        <v>0</v>
      </c>
    </row>
    <row r="12" customFormat="false" ht="12.8" hidden="false" customHeight="false" outlineLevel="0" collapsed="false">
      <c r="D12" s="1" t="s">
        <v>119</v>
      </c>
      <c r="E12" s="1" t="n">
        <v>2</v>
      </c>
      <c r="F12" s="1" t="s">
        <v>118</v>
      </c>
      <c r="G12" s="1" t="n">
        <v>10</v>
      </c>
      <c r="H12" s="1" t="n">
        <f aca="false">IF(C12="?",0,E12*G12)</f>
        <v>20</v>
      </c>
      <c r="I12" s="1" t="n">
        <f aca="false">IF(C12="?",E12*G12,0)</f>
        <v>0</v>
      </c>
    </row>
    <row r="13" customFormat="false" ht="12.8" hidden="false" customHeight="false" outlineLevel="0" collapsed="false">
      <c r="D13" s="1" t="s">
        <v>120</v>
      </c>
      <c r="E13" s="1" t="n">
        <v>1</v>
      </c>
      <c r="F13" s="1" t="s">
        <v>118</v>
      </c>
      <c r="G13" s="1" t="n">
        <v>4</v>
      </c>
      <c r="H13" s="1" t="n">
        <f aca="false">IF(C13="?",0,E13*G13)</f>
        <v>4</v>
      </c>
      <c r="I13" s="1" t="n">
        <f aca="false">IF(C13="?",E13*G13,0)</f>
        <v>0</v>
      </c>
    </row>
    <row r="14" customFormat="false" ht="12.8" hidden="false" customHeight="false" outlineLevel="0" collapsed="false">
      <c r="H14" s="1" t="n">
        <f aca="false">IF(C14="?",0,E14*G14)</f>
        <v>0</v>
      </c>
      <c r="I14" s="1" t="n">
        <f aca="false">IF(C14="?",E14*G14,0)</f>
        <v>0</v>
      </c>
    </row>
    <row r="15" customFormat="false" ht="12.8" hidden="false" customHeight="false" outlineLevel="0" collapsed="false">
      <c r="B15" s="1" t="s">
        <v>24</v>
      </c>
      <c r="C15" s="1" t="s">
        <v>122</v>
      </c>
      <c r="D15" s="1" t="s">
        <v>24</v>
      </c>
      <c r="E15" s="1" t="n">
        <f aca="false">(4.8+1.6)*3.75-E10</f>
        <v>17.4</v>
      </c>
      <c r="F15" s="1" t="s">
        <v>116</v>
      </c>
      <c r="G15" s="1" t="n">
        <v>20</v>
      </c>
      <c r="H15" s="1" t="n">
        <f aca="false">IF(C15="?",0,E15*G15)</f>
        <v>0</v>
      </c>
      <c r="I15" s="1" t="n">
        <f aca="false">IF(C15="?",E15*G15,0)</f>
        <v>348</v>
      </c>
    </row>
    <row r="16" customFormat="false" ht="12.8" hidden="false" customHeight="false" outlineLevel="0" collapsed="false">
      <c r="C16" s="1" t="s">
        <v>122</v>
      </c>
      <c r="D16" s="1" t="s">
        <v>123</v>
      </c>
      <c r="E16" s="1" t="n">
        <v>5</v>
      </c>
      <c r="F16" s="1" t="s">
        <v>118</v>
      </c>
      <c r="G16" s="1" t="n">
        <v>7</v>
      </c>
      <c r="H16" s="1" t="n">
        <f aca="false">IF(C16="?",0,E16*G16)</f>
        <v>0</v>
      </c>
      <c r="I16" s="1" t="n">
        <f aca="false">IF(C16="?",E16*G16,0)</f>
        <v>35</v>
      </c>
    </row>
    <row r="17" customFormat="false" ht="12.8" hidden="false" customHeight="false" outlineLevel="0" collapsed="false">
      <c r="C17" s="1" t="s">
        <v>122</v>
      </c>
      <c r="D17" s="1" t="s">
        <v>124</v>
      </c>
      <c r="E17" s="1" t="n">
        <v>15</v>
      </c>
      <c r="F17" s="1" t="s">
        <v>118</v>
      </c>
      <c r="G17" s="1" t="n">
        <v>3</v>
      </c>
      <c r="H17" s="1" t="n">
        <f aca="false">IF(C17="?",0,E17*G17)</f>
        <v>0</v>
      </c>
      <c r="I17" s="1" t="n">
        <f aca="false">IF(C17="?",E17*G17,0)</f>
        <v>45</v>
      </c>
    </row>
    <row r="18" customFormat="false" ht="12.8" hidden="false" customHeight="false" outlineLevel="0" collapsed="false">
      <c r="H18" s="1" t="n">
        <f aca="false">IF(C18="?",0,E18*G18)</f>
        <v>0</v>
      </c>
      <c r="I18" s="1" t="n">
        <f aca="false">IF(C18="?",E18*G18,0)</f>
        <v>0</v>
      </c>
    </row>
    <row r="19" customFormat="false" ht="12.8" hidden="false" customHeight="false" outlineLevel="0" collapsed="false">
      <c r="A19" s="1" t="s">
        <v>37</v>
      </c>
      <c r="B19" s="1" t="s">
        <v>125</v>
      </c>
      <c r="D19" s="1" t="n">
        <v>0</v>
      </c>
      <c r="H19" s="1" t="n">
        <f aca="false">IF(C19="?",0,E19*G19)</f>
        <v>0</v>
      </c>
      <c r="I19" s="1" t="n">
        <f aca="false">IF(C19="?",E19*G19,0)</f>
        <v>0</v>
      </c>
    </row>
    <row r="20" customFormat="false" ht="12.8" hidden="false" customHeight="false" outlineLevel="0" collapsed="false">
      <c r="H20" s="1" t="n">
        <f aca="false">IF(C20="?",0,E20*G20)</f>
        <v>0</v>
      </c>
      <c r="I20" s="1" t="n">
        <f aca="false">IF(C20="?",E20*G20,0)</f>
        <v>0</v>
      </c>
    </row>
    <row r="21" customFormat="false" ht="12.8" hidden="false" customHeight="false" outlineLevel="0" collapsed="false">
      <c r="B21" s="1" t="s">
        <v>126</v>
      </c>
      <c r="D21" s="1" t="s">
        <v>127</v>
      </c>
      <c r="E21" s="1" t="n">
        <f aca="false">2.5*1.8</f>
        <v>4.5</v>
      </c>
      <c r="F21" s="1" t="s">
        <v>116</v>
      </c>
      <c r="G21" s="1" t="n">
        <v>22.24</v>
      </c>
      <c r="H21" s="1" t="n">
        <f aca="false">IF(C21="?",0,E21*G21)</f>
        <v>100.08</v>
      </c>
      <c r="I21" s="1" t="n">
        <f aca="false">IF(C21="?",E21*G21,0)</f>
        <v>0</v>
      </c>
    </row>
    <row r="22" customFormat="false" ht="12.8" hidden="false" customHeight="false" outlineLevel="0" collapsed="false">
      <c r="C22" s="1" t="s">
        <v>122</v>
      </c>
      <c r="D22" s="1" t="s">
        <v>128</v>
      </c>
      <c r="E22" s="1" t="n">
        <f aca="false">2.5*1.8*2</f>
        <v>9</v>
      </c>
      <c r="F22" s="1" t="s">
        <v>116</v>
      </c>
      <c r="G22" s="1" t="n">
        <f aca="false">1/1.2/2*10.5</f>
        <v>4.375</v>
      </c>
      <c r="H22" s="1" t="n">
        <f aca="false">IF(C22="?",0,E22*G22)</f>
        <v>0</v>
      </c>
      <c r="I22" s="1" t="n">
        <f aca="false">IF(C22="?",E22*G22,0)</f>
        <v>39.375</v>
      </c>
      <c r="J22" s="1" t="n">
        <f aca="false">SUM(I22:I27)</f>
        <v>97.575</v>
      </c>
    </row>
    <row r="23" customFormat="false" ht="12.8" hidden="false" customHeight="false" outlineLevel="0" collapsed="false">
      <c r="C23" s="1" t="s">
        <v>122</v>
      </c>
      <c r="D23" s="1" t="s">
        <v>129</v>
      </c>
      <c r="E23" s="1" t="n">
        <f aca="false">1.8/0.6+2</f>
        <v>5</v>
      </c>
      <c r="F23" s="1" t="s">
        <v>118</v>
      </c>
      <c r="G23" s="1" t="n">
        <v>7</v>
      </c>
      <c r="H23" s="1" t="n">
        <f aca="false">IF(C23="?",0,E23*G23)</f>
        <v>0</v>
      </c>
      <c r="I23" s="1" t="n">
        <f aca="false">IF(C23="?",E23*G23,0)</f>
        <v>35</v>
      </c>
    </row>
    <row r="24" customFormat="false" ht="12.8" hidden="false" customHeight="false" outlineLevel="0" collapsed="false">
      <c r="C24" s="1" t="s">
        <v>122</v>
      </c>
      <c r="D24" s="1" t="s">
        <v>130</v>
      </c>
      <c r="E24" s="1" t="n">
        <f aca="false">1.8*2/3</f>
        <v>1.2</v>
      </c>
      <c r="F24" s="1" t="s">
        <v>118</v>
      </c>
      <c r="G24" s="1" t="n">
        <v>6</v>
      </c>
      <c r="H24" s="1" t="n">
        <f aca="false">IF(C24="?",0,E24*G24)</f>
        <v>0</v>
      </c>
      <c r="I24" s="1" t="n">
        <f aca="false">IF(C24="?",E24*G24,0)</f>
        <v>7.2</v>
      </c>
    </row>
    <row r="25" customFormat="false" ht="12.8" hidden="false" customHeight="false" outlineLevel="0" collapsed="false">
      <c r="C25" s="1" t="s">
        <v>122</v>
      </c>
      <c r="D25" s="1" t="s">
        <v>131</v>
      </c>
      <c r="E25" s="1" t="n">
        <v>0</v>
      </c>
      <c r="F25" s="1" t="s">
        <v>118</v>
      </c>
      <c r="G25" s="1" t="n">
        <v>1</v>
      </c>
      <c r="H25" s="1" t="n">
        <f aca="false">IF(C25="?",0,E25*G25)</f>
        <v>0</v>
      </c>
      <c r="I25" s="1" t="n">
        <f aca="false">IF(C25="?",E25*G25,0)</f>
        <v>0</v>
      </c>
    </row>
    <row r="26" customFormat="false" ht="12.8" hidden="false" customHeight="false" outlineLevel="0" collapsed="false">
      <c r="C26" s="1" t="s">
        <v>122</v>
      </c>
      <c r="D26" s="1" t="s">
        <v>132</v>
      </c>
      <c r="E26" s="1" t="n">
        <f aca="false">E24*2*3/0.6</f>
        <v>12</v>
      </c>
      <c r="F26" s="1" t="s">
        <v>118</v>
      </c>
      <c r="G26" s="1" t="n">
        <v>0.3</v>
      </c>
      <c r="H26" s="1" t="n">
        <f aca="false">IF(C26="?",0,E26*G26)</f>
        <v>0</v>
      </c>
      <c r="I26" s="1" t="n">
        <f aca="false">IF(C26="?",E26*G26,0)</f>
        <v>3.6</v>
      </c>
    </row>
    <row r="27" customFormat="false" ht="12.8" hidden="false" customHeight="false" outlineLevel="0" collapsed="false">
      <c r="C27" s="1" t="s">
        <v>122</v>
      </c>
      <c r="D27" s="1" t="s">
        <v>133</v>
      </c>
      <c r="E27" s="1" t="n">
        <f aca="false">(E24+E23)*3/0.3*2</f>
        <v>124</v>
      </c>
      <c r="F27" s="1" t="s">
        <v>118</v>
      </c>
      <c r="G27" s="1" t="n">
        <v>0.1</v>
      </c>
      <c r="H27" s="1" t="n">
        <f aca="false">IF(C27="?",0,E27*G27)</f>
        <v>0</v>
      </c>
      <c r="I27" s="1" t="n">
        <f aca="false">IF(C27="?",E27*G27,0)</f>
        <v>12.4</v>
      </c>
    </row>
    <row r="28" customFormat="false" ht="12.8" hidden="false" customHeight="false" outlineLevel="0" collapsed="false">
      <c r="D28" s="1" t="s">
        <v>134</v>
      </c>
      <c r="E28" s="1" t="n">
        <v>1</v>
      </c>
      <c r="G28" s="1" t="n">
        <v>20</v>
      </c>
      <c r="H28" s="1" t="n">
        <f aca="false">IF(C28="?",0,E28*G28)</f>
        <v>20</v>
      </c>
      <c r="I28" s="1" t="n">
        <f aca="false">IF(C28="?",E28*G28,0)</f>
        <v>0</v>
      </c>
    </row>
    <row r="29" customFormat="false" ht="12.8" hidden="false" customHeight="false" outlineLevel="0" collapsed="false">
      <c r="H29" s="1" t="n">
        <f aca="false">IF(C29="?",0,E29*G29)</f>
        <v>0</v>
      </c>
      <c r="I29" s="1" t="n">
        <f aca="false">IF(C29="?",E29*G29,0)</f>
        <v>0</v>
      </c>
    </row>
    <row r="30" customFormat="false" ht="12.8" hidden="false" customHeight="false" outlineLevel="0" collapsed="false">
      <c r="B30" s="1" t="s">
        <v>135</v>
      </c>
      <c r="D30" s="1" t="s">
        <v>127</v>
      </c>
      <c r="E30" s="1" t="n">
        <f aca="false">2.5*0.6</f>
        <v>1.5</v>
      </c>
      <c r="F30" s="1" t="s">
        <v>116</v>
      </c>
      <c r="G30" s="1" t="n">
        <v>22.24</v>
      </c>
      <c r="H30" s="1" t="n">
        <f aca="false">IF(C30="?",0,E30*G30)</f>
        <v>33.36</v>
      </c>
      <c r="I30" s="1" t="n">
        <f aca="false">IF(C30="?",E30*G30,0)</f>
        <v>0</v>
      </c>
    </row>
    <row r="31" customFormat="false" ht="12.8" hidden="false" customHeight="false" outlineLevel="0" collapsed="false">
      <c r="C31" s="1" t="s">
        <v>122</v>
      </c>
      <c r="D31" s="1" t="s">
        <v>128</v>
      </c>
      <c r="E31" s="1" t="n">
        <f aca="false">E30*2</f>
        <v>3</v>
      </c>
      <c r="F31" s="1" t="s">
        <v>116</v>
      </c>
      <c r="G31" s="1" t="n">
        <f aca="false">1/1.2/2*10.5</f>
        <v>4.375</v>
      </c>
      <c r="H31" s="1" t="n">
        <f aca="false">IF(C31="?",0,E31*G31)</f>
        <v>0</v>
      </c>
      <c r="I31" s="1" t="n">
        <f aca="false">IF(C31="?",E31*G31,0)</f>
        <v>13.125</v>
      </c>
      <c r="J31" s="1" t="n">
        <f aca="false">SUM(I31:I36)</f>
        <v>51.125</v>
      </c>
    </row>
    <row r="32" customFormat="false" ht="12.8" hidden="false" customHeight="false" outlineLevel="0" collapsed="false">
      <c r="C32" s="1" t="s">
        <v>122</v>
      </c>
      <c r="D32" s="1" t="s">
        <v>129</v>
      </c>
      <c r="E32" s="1" t="n">
        <f aca="false">1.8/0.6</f>
        <v>3</v>
      </c>
      <c r="F32" s="1" t="s">
        <v>118</v>
      </c>
      <c r="G32" s="1" t="n">
        <v>7</v>
      </c>
      <c r="H32" s="1" t="n">
        <f aca="false">IF(C32="?",0,E32*G32)</f>
        <v>0</v>
      </c>
      <c r="I32" s="1" t="n">
        <f aca="false">IF(C32="?",E32*G32,0)</f>
        <v>21</v>
      </c>
    </row>
    <row r="33" customFormat="false" ht="12.8" hidden="false" customHeight="false" outlineLevel="0" collapsed="false">
      <c r="C33" s="1" t="s">
        <v>122</v>
      </c>
      <c r="D33" s="1" t="s">
        <v>130</v>
      </c>
      <c r="E33" s="1" t="n">
        <v>1</v>
      </c>
      <c r="F33" s="1" t="s">
        <v>118</v>
      </c>
      <c r="G33" s="1" t="n">
        <v>6</v>
      </c>
      <c r="H33" s="1" t="n">
        <f aca="false">IF(C33="?",0,E33*G33)</f>
        <v>0</v>
      </c>
      <c r="I33" s="1" t="n">
        <f aca="false">IF(C33="?",E33*G33,0)</f>
        <v>6</v>
      </c>
    </row>
    <row r="34" customFormat="false" ht="12.8" hidden="false" customHeight="false" outlineLevel="0" collapsed="false">
      <c r="C34" s="1" t="s">
        <v>122</v>
      </c>
      <c r="D34" s="1" t="s">
        <v>131</v>
      </c>
      <c r="E34" s="1" t="n">
        <v>0</v>
      </c>
      <c r="F34" s="1" t="s">
        <v>118</v>
      </c>
      <c r="G34" s="1" t="n">
        <v>1</v>
      </c>
      <c r="H34" s="1" t="n">
        <f aca="false">IF(C34="?",0,E34*G34)</f>
        <v>0</v>
      </c>
      <c r="I34" s="1" t="n">
        <f aca="false">IF(C34="?",E34*G34,0)</f>
        <v>0</v>
      </c>
    </row>
    <row r="35" customFormat="false" ht="12.8" hidden="false" customHeight="false" outlineLevel="0" collapsed="false">
      <c r="C35" s="1" t="s">
        <v>122</v>
      </c>
      <c r="D35" s="1" t="s">
        <v>132</v>
      </c>
      <c r="E35" s="1" t="n">
        <f aca="false">E33*2*3/0.6</f>
        <v>10</v>
      </c>
      <c r="F35" s="1" t="s">
        <v>118</v>
      </c>
      <c r="G35" s="1" t="n">
        <v>0.3</v>
      </c>
      <c r="H35" s="1" t="n">
        <f aca="false">IF(C35="?",0,E35*G35)</f>
        <v>0</v>
      </c>
      <c r="I35" s="1" t="n">
        <f aca="false">IF(C35="?",E35*G35,0)</f>
        <v>3</v>
      </c>
    </row>
    <row r="36" customFormat="false" ht="12.8" hidden="false" customHeight="false" outlineLevel="0" collapsed="false">
      <c r="C36" s="1" t="s">
        <v>122</v>
      </c>
      <c r="D36" s="1" t="s">
        <v>133</v>
      </c>
      <c r="E36" s="1" t="n">
        <f aca="false">(E33+E32)*3/0.3*2</f>
        <v>80</v>
      </c>
      <c r="F36" s="1" t="s">
        <v>118</v>
      </c>
      <c r="G36" s="1" t="n">
        <v>0.1</v>
      </c>
      <c r="H36" s="1" t="n">
        <f aca="false">IF(C36="?",0,E36*G36)</f>
        <v>0</v>
      </c>
      <c r="I36" s="1" t="n">
        <f aca="false">IF(C36="?",E36*G36,0)</f>
        <v>8</v>
      </c>
    </row>
    <row r="37" customFormat="false" ht="12.8" hidden="false" customHeight="false" outlineLevel="0" collapsed="false">
      <c r="D37" s="1" t="s">
        <v>134</v>
      </c>
      <c r="E37" s="1" t="n">
        <v>1</v>
      </c>
      <c r="G37" s="1" t="n">
        <v>0</v>
      </c>
      <c r="H37" s="1" t="n">
        <f aca="false">IF(C37="?",0,E37*G37)</f>
        <v>0</v>
      </c>
      <c r="I37" s="1" t="n">
        <f aca="false">IF(C37="?",E37*G37,0)</f>
        <v>0</v>
      </c>
    </row>
    <row r="38" customFormat="false" ht="12.8" hidden="false" customHeight="false" outlineLevel="0" collapsed="false">
      <c r="H38" s="1" t="n">
        <f aca="false">IF(C38="?",0,E38*G38)</f>
        <v>0</v>
      </c>
      <c r="I38" s="1" t="n">
        <f aca="false">IF(C38="?",E38*G38,0)</f>
        <v>0</v>
      </c>
    </row>
    <row r="39" customFormat="false" ht="12.8" hidden="false" customHeight="false" outlineLevel="0" collapsed="false">
      <c r="B39" s="1" t="s">
        <v>136</v>
      </c>
      <c r="E39" s="1" t="n">
        <v>1</v>
      </c>
      <c r="F39" s="1" t="s">
        <v>118</v>
      </c>
      <c r="G39" s="1" t="n">
        <v>100</v>
      </c>
      <c r="H39" s="1" t="n">
        <f aca="false">IF(C39="?",0,E39*G39)</f>
        <v>100</v>
      </c>
      <c r="I39" s="1" t="n">
        <f aca="false">IF(C39="?",E39*G39,0)</f>
        <v>0</v>
      </c>
    </row>
    <row r="40" customFormat="false" ht="12.8" hidden="false" customHeight="false" outlineLevel="0" collapsed="false">
      <c r="H40" s="1" t="n">
        <f aca="false">IF(C40="?",0,E40*G40)</f>
        <v>0</v>
      </c>
      <c r="I40" s="1" t="n">
        <f aca="false">IF(C40="?",E40*G40,0)</f>
        <v>0</v>
      </c>
    </row>
    <row r="41" customFormat="false" ht="12.8" hidden="false" customHeight="false" outlineLevel="0" collapsed="false">
      <c r="B41" s="1" t="s">
        <v>137</v>
      </c>
      <c r="D41" s="1" t="s">
        <v>138</v>
      </c>
      <c r="E41" s="1" t="n">
        <v>3</v>
      </c>
      <c r="F41" s="1" t="s">
        <v>118</v>
      </c>
      <c r="G41" s="1" t="n">
        <v>25</v>
      </c>
      <c r="H41" s="1" t="n">
        <f aca="false">IF(C41="?",0,E41*G41)</f>
        <v>75</v>
      </c>
      <c r="I41" s="1" t="n">
        <f aca="false">IF(C41="?",E41*G41,0)</f>
        <v>0</v>
      </c>
    </row>
    <row r="42" customFormat="false" ht="12.8" hidden="false" customHeight="false" outlineLevel="0" collapsed="false">
      <c r="C42" s="1" t="s">
        <v>122</v>
      </c>
      <c r="D42" s="1" t="s">
        <v>139</v>
      </c>
      <c r="E42" s="1" t="n">
        <v>1</v>
      </c>
      <c r="F42" s="1" t="s">
        <v>118</v>
      </c>
      <c r="H42" s="1" t="n">
        <v>300</v>
      </c>
      <c r="I42" s="1" t="n">
        <f aca="false">IF(C42="?",E42*G42,0)</f>
        <v>0</v>
      </c>
    </row>
    <row r="43" customFormat="false" ht="12.8" hidden="false" customHeight="false" outlineLevel="0" collapsed="false">
      <c r="H43" s="1" t="n">
        <f aca="false">IF(C43="?",0,E43*G43)</f>
        <v>0</v>
      </c>
      <c r="I43" s="1" t="n">
        <f aca="false">IF(C43="?",E43*G43,0)</f>
        <v>0</v>
      </c>
    </row>
    <row r="44" customFormat="false" ht="12.8" hidden="false" customHeight="false" outlineLevel="0" collapsed="false">
      <c r="B44" s="1" t="s">
        <v>140</v>
      </c>
      <c r="E44" s="1" t="n">
        <f aca="false">(6.4+3.5)*2.5*2</f>
        <v>49.5</v>
      </c>
      <c r="F44" s="1" t="s">
        <v>116</v>
      </c>
      <c r="G44" s="1" t="n">
        <f aca="false">1/10/0.5*20</f>
        <v>4</v>
      </c>
      <c r="H44" s="1" t="n">
        <f aca="false">IF(C44="?",0,E44*G44)</f>
        <v>198</v>
      </c>
      <c r="I44" s="1" t="n">
        <f aca="false">IF(C44="?",E44*G44,0)</f>
        <v>0</v>
      </c>
    </row>
    <row r="45" customFormat="false" ht="12.8" hidden="false" customHeight="false" outlineLevel="0" collapsed="false">
      <c r="H45" s="1" t="n">
        <f aca="false">IF(C45="?",0,E45*G45)</f>
        <v>0</v>
      </c>
      <c r="I45" s="1" t="n">
        <f aca="false">IF(C45="?",E45*G45,0)</f>
        <v>0</v>
      </c>
    </row>
    <row r="46" customFormat="false" ht="12.8" hidden="false" customHeight="false" outlineLevel="0" collapsed="false">
      <c r="A46" s="1" t="s">
        <v>8</v>
      </c>
      <c r="B46" s="1" t="s">
        <v>141</v>
      </c>
      <c r="D46" s="1" t="s">
        <v>142</v>
      </c>
      <c r="E46" s="1" t="n">
        <v>1</v>
      </c>
      <c r="F46" s="1" t="s">
        <v>118</v>
      </c>
      <c r="G46" s="1" t="n">
        <v>850</v>
      </c>
      <c r="H46" s="1" t="n">
        <f aca="false">IF(C46="?",0,E46*G46)*0</f>
        <v>0</v>
      </c>
      <c r="I46" s="1" t="n">
        <f aca="false">IF(C46="?",E46*G46,0)</f>
        <v>0</v>
      </c>
    </row>
    <row r="47" customFormat="false" ht="12.8" hidden="false" customHeight="false" outlineLevel="0" collapsed="false">
      <c r="D47" s="1" t="s">
        <v>11</v>
      </c>
      <c r="E47" s="1" t="n">
        <v>1</v>
      </c>
      <c r="F47" s="1" t="s">
        <v>118</v>
      </c>
      <c r="G47" s="1" t="n">
        <v>350</v>
      </c>
      <c r="H47" s="1" t="n">
        <f aca="false">IF(C47="?",0,E47*G47)</f>
        <v>350</v>
      </c>
      <c r="I47" s="1" t="n">
        <f aca="false">IF(C47="?",E47*G47,0)</f>
        <v>0</v>
      </c>
    </row>
    <row r="48" customFormat="false" ht="12.8" hidden="false" customHeight="false" outlineLevel="0" collapsed="false">
      <c r="D48" s="1" t="s">
        <v>10</v>
      </c>
      <c r="E48" s="1" t="n">
        <v>1</v>
      </c>
      <c r="F48" s="1" t="s">
        <v>118</v>
      </c>
      <c r="G48" s="1" t="n">
        <v>200</v>
      </c>
      <c r="H48" s="1" t="n">
        <f aca="false">IF(C48="?",0,E48*G48)</f>
        <v>200</v>
      </c>
      <c r="I48" s="1" t="n">
        <f aca="false">IF(C48="?",E48*G48,0)</f>
        <v>0</v>
      </c>
    </row>
    <row r="49" customFormat="false" ht="12.8" hidden="false" customHeight="false" outlineLevel="0" collapsed="false">
      <c r="C49" s="1" t="s">
        <v>122</v>
      </c>
      <c r="D49" s="1" t="s">
        <v>14</v>
      </c>
      <c r="E49" s="1" t="n">
        <v>1</v>
      </c>
      <c r="F49" s="1" t="s">
        <v>118</v>
      </c>
      <c r="G49" s="1" t="n">
        <v>1000</v>
      </c>
      <c r="H49" s="1" t="n">
        <f aca="false">IF(C49="?",0,E49*G49)</f>
        <v>0</v>
      </c>
      <c r="I49" s="1" t="n">
        <f aca="false">IF(C49="?",E49*G49,0)</f>
        <v>1000</v>
      </c>
    </row>
    <row r="51" customFormat="false" ht="12.8" hidden="false" customHeight="false" outlineLevel="0" collapsed="false">
      <c r="B51" s="1" t="s">
        <v>143</v>
      </c>
      <c r="E51" s="1" t="n">
        <v>1</v>
      </c>
      <c r="G51" s="1" t="n">
        <v>5000</v>
      </c>
      <c r="H51" s="1" t="n">
        <f aca="false">IF(C51="?",0,E51*G51)</f>
        <v>5000</v>
      </c>
      <c r="I51" s="1" t="n">
        <f aca="false">IF(C51="?",E51*G51,0)</f>
        <v>0</v>
      </c>
    </row>
    <row r="52" customFormat="false" ht="12.8" hidden="false" customHeight="false" outlineLevel="0" collapsed="false">
      <c r="H52" s="1" t="n">
        <f aca="false">IF(C52="?",0,E52*G52)</f>
        <v>0</v>
      </c>
      <c r="I52" s="1" t="n">
        <f aca="false">IF(C52="?",E52*G52,0)</f>
        <v>0</v>
      </c>
    </row>
    <row r="53" customFormat="false" ht="12.8" hidden="false" customHeight="false" outlineLevel="0" collapsed="false">
      <c r="B53" s="1" t="s">
        <v>144</v>
      </c>
      <c r="D53" s="1" t="s">
        <v>145</v>
      </c>
      <c r="E53" s="1" t="n">
        <v>1</v>
      </c>
      <c r="F53" s="1" t="s">
        <v>118</v>
      </c>
      <c r="G53" s="1" t="n">
        <v>10</v>
      </c>
      <c r="H53" s="1" t="n">
        <f aca="false">IF(C53="?",0,E53*G53)</f>
        <v>10</v>
      </c>
      <c r="I53" s="1" t="n">
        <f aca="false">IF(C53="?",E53*G53,0)</f>
        <v>0</v>
      </c>
    </row>
    <row r="54" customFormat="false" ht="12.8" hidden="false" customHeight="false" outlineLevel="0" collapsed="false">
      <c r="D54" s="1" t="s">
        <v>146</v>
      </c>
      <c r="E54" s="1" t="n">
        <v>3</v>
      </c>
      <c r="F54" s="1" t="s">
        <v>118</v>
      </c>
      <c r="G54" s="1" t="n">
        <v>1</v>
      </c>
      <c r="H54" s="1" t="n">
        <f aca="false">IF(C54="?",0,E54*G54)</f>
        <v>3</v>
      </c>
      <c r="I54" s="1" t="n">
        <f aca="false">IF(C54="?",E54*G54,0)</f>
        <v>0</v>
      </c>
    </row>
    <row r="55" customFormat="false" ht="12.8" hidden="false" customHeight="false" outlineLevel="0" collapsed="false">
      <c r="D55" s="1" t="s">
        <v>147</v>
      </c>
      <c r="E55" s="1" t="n">
        <v>4</v>
      </c>
      <c r="F55" s="1" t="s">
        <v>118</v>
      </c>
      <c r="G55" s="1" t="n">
        <v>1</v>
      </c>
      <c r="H55" s="1" t="n">
        <f aca="false">IF(C55="?",0,E55*G55)</f>
        <v>4</v>
      </c>
      <c r="I55" s="1" t="n">
        <f aca="false">IF(C55="?",E55*G55,0)</f>
        <v>0</v>
      </c>
    </row>
    <row r="56" customFormat="false" ht="12.8" hidden="false" customHeight="false" outlineLevel="0" collapsed="false">
      <c r="H56" s="1" t="n">
        <f aca="false">IF(C56="?",0,E56*G56)</f>
        <v>0</v>
      </c>
      <c r="I56" s="1" t="n">
        <f aca="false">IF(C56="?",E56*G56,0)</f>
        <v>0</v>
      </c>
    </row>
    <row r="57" customFormat="false" ht="12.8" hidden="false" customHeight="false" outlineLevel="0" collapsed="false">
      <c r="B57" s="1" t="s">
        <v>148</v>
      </c>
      <c r="D57" s="1" t="s">
        <v>149</v>
      </c>
      <c r="E57" s="1" t="n">
        <v>3</v>
      </c>
      <c r="F57" s="1" t="s">
        <v>118</v>
      </c>
      <c r="G57" s="1" t="n">
        <v>4.5</v>
      </c>
      <c r="H57" s="1" t="n">
        <f aca="false">IF(C57="?",0,E57*G57)</f>
        <v>13.5</v>
      </c>
      <c r="I57" s="1" t="n">
        <f aca="false">IF(C57="?",E57*G57,0)</f>
        <v>0</v>
      </c>
    </row>
    <row r="58" customFormat="false" ht="12.8" hidden="false" customHeight="false" outlineLevel="0" collapsed="false">
      <c r="D58" s="1" t="s">
        <v>150</v>
      </c>
      <c r="E58" s="1" t="n">
        <v>3</v>
      </c>
      <c r="F58" s="1" t="s">
        <v>118</v>
      </c>
      <c r="G58" s="1" t="n">
        <v>1</v>
      </c>
      <c r="H58" s="1" t="n">
        <f aca="false">IF(C58="?",0,E58*G58)</f>
        <v>3</v>
      </c>
      <c r="I58" s="1" t="n">
        <f aca="false">IF(C58="?",E58*G58,0)</f>
        <v>0</v>
      </c>
    </row>
    <row r="59" customFormat="false" ht="12.8" hidden="false" customHeight="false" outlineLevel="0" collapsed="false">
      <c r="C59" s="1" t="s">
        <v>122</v>
      </c>
      <c r="D59" s="1" t="s">
        <v>151</v>
      </c>
      <c r="E59" s="1" t="n">
        <v>4</v>
      </c>
      <c r="F59" s="1" t="s">
        <v>118</v>
      </c>
      <c r="G59" s="1" t="n">
        <v>0.5</v>
      </c>
      <c r="H59" s="1" t="n">
        <f aca="false">IF(C59="?",0,E59*G59)</f>
        <v>0</v>
      </c>
      <c r="I59" s="1" t="n">
        <f aca="false">IF(C59="?",E59*G59,0)</f>
        <v>2</v>
      </c>
    </row>
    <row r="60" customFormat="false" ht="12.8" hidden="false" customHeight="false" outlineLevel="0" collapsed="false">
      <c r="C60" s="1" t="s">
        <v>122</v>
      </c>
      <c r="D60" s="1" t="s">
        <v>152</v>
      </c>
      <c r="E60" s="1" t="n">
        <v>4</v>
      </c>
      <c r="F60" s="1" t="s">
        <v>118</v>
      </c>
      <c r="G60" s="1" t="n">
        <v>0.5</v>
      </c>
      <c r="H60" s="1" t="n">
        <f aca="false">IF(C60="?",0,E60*G60)</f>
        <v>0</v>
      </c>
      <c r="I60" s="1" t="n">
        <f aca="false">IF(C60="?",E60*G60,0)</f>
        <v>2</v>
      </c>
    </row>
    <row r="61" customFormat="false" ht="12.8" hidden="false" customHeight="false" outlineLevel="0" collapsed="false">
      <c r="D61" s="1" t="s">
        <v>153</v>
      </c>
      <c r="E61" s="1" t="n">
        <v>6</v>
      </c>
      <c r="F61" s="1" t="s">
        <v>118</v>
      </c>
      <c r="G61" s="1" t="n">
        <v>3.5</v>
      </c>
      <c r="H61" s="1" t="n">
        <f aca="false">IF(C61="?",0,E61*G61)</f>
        <v>21</v>
      </c>
      <c r="I61" s="1" t="n">
        <f aca="false">IF(C61="?",E61*G61,0)</f>
        <v>0</v>
      </c>
    </row>
    <row r="62" customFormat="false" ht="12.8" hidden="false" customHeight="false" outlineLevel="0" collapsed="false">
      <c r="D62" s="1" t="s">
        <v>154</v>
      </c>
      <c r="E62" s="1" t="n">
        <v>4</v>
      </c>
      <c r="F62" s="1" t="s">
        <v>118</v>
      </c>
      <c r="G62" s="1" t="n">
        <v>7</v>
      </c>
      <c r="H62" s="1" t="n">
        <f aca="false">IF(C62="?",0,E62*G62)</f>
        <v>28</v>
      </c>
      <c r="I62" s="1" t="n">
        <f aca="false">IF(C62="?",E62*G62,0)</f>
        <v>0</v>
      </c>
    </row>
    <row r="63" customFormat="false" ht="12.8" hidden="false" customHeight="false" outlineLevel="0" collapsed="false">
      <c r="D63" s="1" t="s">
        <v>155</v>
      </c>
      <c r="E63" s="1" t="n">
        <v>1</v>
      </c>
      <c r="F63" s="1" t="s">
        <v>118</v>
      </c>
      <c r="G63" s="1" t="n">
        <v>12</v>
      </c>
      <c r="H63" s="1" t="n">
        <f aca="false">IF(C63="?",0,E63*G63)</f>
        <v>12</v>
      </c>
      <c r="I63" s="1" t="n">
        <f aca="false">IF(C63="?",E63*G63,0)</f>
        <v>0</v>
      </c>
    </row>
    <row r="64" customFormat="false" ht="12.8" hidden="false" customHeight="false" outlineLevel="0" collapsed="false">
      <c r="D64" s="1" t="s">
        <v>38</v>
      </c>
      <c r="E64" s="1" t="n">
        <v>1</v>
      </c>
      <c r="F64" s="1" t="s">
        <v>118</v>
      </c>
      <c r="G64" s="1" t="n">
        <v>250</v>
      </c>
      <c r="H64" s="1" t="n">
        <f aca="false">IF(C64="?",0,E64*G64)</f>
        <v>250</v>
      </c>
      <c r="I64" s="1" t="n">
        <f aca="false">IF(C64="?",E64*G64,0)</f>
        <v>0</v>
      </c>
    </row>
    <row r="65" customFormat="false" ht="12.8" hidden="false" customHeight="false" outlineLevel="0" collapsed="false">
      <c r="D65" s="1" t="s">
        <v>156</v>
      </c>
      <c r="E65" s="1" t="n">
        <v>6</v>
      </c>
      <c r="F65" s="1" t="s">
        <v>118</v>
      </c>
      <c r="G65" s="1" t="n">
        <v>1</v>
      </c>
      <c r="H65" s="1" t="n">
        <f aca="false">IF(C65="?",0,E65*G65)</f>
        <v>6</v>
      </c>
      <c r="I65" s="1" t="n">
        <f aca="false">IF(C65="?",E65*G65,0)</f>
        <v>0</v>
      </c>
    </row>
    <row r="66" customFormat="false" ht="12.8" hidden="false" customHeight="false" outlineLevel="0" collapsed="false">
      <c r="D66" s="1" t="s">
        <v>157</v>
      </c>
      <c r="E66" s="1" t="n">
        <v>1</v>
      </c>
      <c r="F66" s="1" t="s">
        <v>118</v>
      </c>
      <c r="G66" s="1" t="n">
        <v>25</v>
      </c>
      <c r="H66" s="1" t="n">
        <f aca="false">IF(C66="?",0,E66*G66)</f>
        <v>25</v>
      </c>
      <c r="I66" s="1" t="n">
        <f aca="false">IF(C66="?",E66*G66,0)</f>
        <v>0</v>
      </c>
    </row>
    <row r="67" customFormat="false" ht="12.8" hidden="false" customHeight="false" outlineLevel="0" collapsed="false">
      <c r="H67" s="1" t="n">
        <f aca="false">IF(C67="?",0,E67*G67)</f>
        <v>0</v>
      </c>
      <c r="I67" s="1" t="n">
        <f aca="false">IF(C67="?",E67*G67,0)</f>
        <v>0</v>
      </c>
    </row>
    <row r="68" customFormat="false" ht="12.8" hidden="false" customHeight="false" outlineLevel="0" collapsed="false">
      <c r="B68" s="1" t="s">
        <v>40</v>
      </c>
      <c r="D68" s="1" t="s">
        <v>40</v>
      </c>
      <c r="E68" s="1" t="n">
        <v>1</v>
      </c>
      <c r="F68" s="1" t="s">
        <v>118</v>
      </c>
      <c r="G68" s="17" t="n">
        <v>200</v>
      </c>
      <c r="H68" s="1" t="n">
        <f aca="false">IF(C68="?",0,E68*G68)</f>
        <v>200</v>
      </c>
      <c r="I68" s="1" t="n">
        <f aca="false">IF(C68="?",E68*G68,0)</f>
        <v>0</v>
      </c>
    </row>
    <row r="69" customFormat="false" ht="12.8" hidden="false" customHeight="false" outlineLevel="0" collapsed="false">
      <c r="D69" s="1" t="s">
        <v>158</v>
      </c>
      <c r="E69" s="1" t="n">
        <v>1</v>
      </c>
      <c r="F69" s="1" t="s">
        <v>118</v>
      </c>
      <c r="G69" s="17" t="n">
        <v>150</v>
      </c>
      <c r="H69" s="1" t="n">
        <f aca="false">IF(C69="?",0,E69*G69)</f>
        <v>150</v>
      </c>
      <c r="I69" s="1" t="n">
        <f aca="false">IF(C69="?",E69*G69,0)</f>
        <v>0</v>
      </c>
    </row>
    <row r="70" customFormat="false" ht="12.8" hidden="false" customHeight="false" outlineLevel="0" collapsed="false">
      <c r="H70" s="1" t="n">
        <f aca="false">IF(C70="?",0,E70*G70)</f>
        <v>0</v>
      </c>
      <c r="I70" s="1" t="n">
        <f aca="false">IF(C70="?",E70*G70,0)</f>
        <v>0</v>
      </c>
    </row>
    <row r="71" customFormat="false" ht="12.8" hidden="false" customHeight="false" outlineLevel="0" collapsed="false">
      <c r="B71" s="1" t="s">
        <v>159</v>
      </c>
      <c r="D71" s="1" t="s">
        <v>160</v>
      </c>
      <c r="E71" s="1" t="n">
        <v>7</v>
      </c>
      <c r="F71" s="1" t="s">
        <v>118</v>
      </c>
      <c r="G71" s="1" t="n">
        <v>6</v>
      </c>
      <c r="H71" s="1" t="n">
        <f aca="false">IF(C71="?",0,E71*G71)</f>
        <v>42</v>
      </c>
      <c r="I71" s="1" t="n">
        <f aca="false">IF(C71="?",E71*G71,0)</f>
        <v>0</v>
      </c>
    </row>
    <row r="72" customFormat="false" ht="12.8" hidden="false" customHeight="false" outlineLevel="0" collapsed="false">
      <c r="D72" s="1" t="s">
        <v>161</v>
      </c>
      <c r="E72" s="1" t="n">
        <f aca="false">(3*2+2*2+2)*1.2</f>
        <v>14.4</v>
      </c>
      <c r="F72" s="1" t="s">
        <v>162</v>
      </c>
      <c r="G72" s="1" t="n">
        <v>3</v>
      </c>
      <c r="H72" s="1" t="n">
        <f aca="false">IF(C72="?",0,E72*G72)</f>
        <v>43.2</v>
      </c>
      <c r="I72" s="1" t="n">
        <f aca="false">IF(C72="?",E72*G72,0)</f>
        <v>0</v>
      </c>
    </row>
    <row r="73" customFormat="false" ht="12.8" hidden="false" customHeight="false" outlineLevel="0" collapsed="false">
      <c r="D73" s="1" t="s">
        <v>163</v>
      </c>
      <c r="E73" s="1" t="n">
        <v>3</v>
      </c>
      <c r="F73" s="1" t="s">
        <v>118</v>
      </c>
      <c r="G73" s="1" t="n">
        <v>1</v>
      </c>
      <c r="H73" s="1" t="n">
        <f aca="false">IF(C73="?",0,E73*G73)</f>
        <v>3</v>
      </c>
      <c r="I73" s="1" t="n">
        <f aca="false">IF(C73="?",E73*G73,0)</f>
        <v>0</v>
      </c>
    </row>
    <row r="74" customFormat="false" ht="12.8" hidden="false" customHeight="false" outlineLevel="0" collapsed="false">
      <c r="D74" s="1" t="s">
        <v>164</v>
      </c>
      <c r="E74" s="1" t="n">
        <f aca="false">E71</f>
        <v>7</v>
      </c>
      <c r="F74" s="1" t="s">
        <v>118</v>
      </c>
      <c r="G74" s="1" t="n">
        <v>1</v>
      </c>
      <c r="H74" s="1" t="n">
        <f aca="false">IF(C74="?",0,E74*G74)</f>
        <v>7</v>
      </c>
      <c r="I74" s="1" t="n">
        <f aca="false">IF(C74="?",E74*G74,0)</f>
        <v>0</v>
      </c>
    </row>
    <row r="75" customFormat="false" ht="12.8" hidden="false" customHeight="false" outlineLevel="0" collapsed="false">
      <c r="D75" s="1" t="s">
        <v>165</v>
      </c>
      <c r="E75" s="1" t="n">
        <v>10</v>
      </c>
      <c r="F75" s="1" t="s">
        <v>162</v>
      </c>
      <c r="G75" s="1" t="n">
        <v>1.2</v>
      </c>
      <c r="H75" s="1" t="n">
        <f aca="false">IF(C75="?",0,E75*G75)</f>
        <v>12</v>
      </c>
      <c r="I75" s="1" t="n">
        <f aca="false">IF(C75="?",E75*G75,0)</f>
        <v>0</v>
      </c>
    </row>
    <row r="76" customFormat="false" ht="12.8" hidden="false" customHeight="false" outlineLevel="0" collapsed="false">
      <c r="C76" s="1" t="s">
        <v>122</v>
      </c>
      <c r="D76" s="1" t="s">
        <v>166</v>
      </c>
      <c r="E76" s="1" t="n">
        <v>6</v>
      </c>
      <c r="G76" s="1" t="n">
        <v>10</v>
      </c>
      <c r="H76" s="1" t="n">
        <f aca="false">IF(C76="?",0,E76*G76)</f>
        <v>0</v>
      </c>
      <c r="I76" s="1" t="n">
        <f aca="false">IF(C76="?",E76*G76,0)</f>
        <v>60</v>
      </c>
    </row>
    <row r="77" customFormat="false" ht="12.8" hidden="false" customHeight="false" outlineLevel="0" collapsed="false">
      <c r="H77" s="1" t="n">
        <f aca="false">IF(C77="?",0,E77*G77)</f>
        <v>0</v>
      </c>
      <c r="I77" s="1" t="n">
        <f aca="false">IF(C77="?",E77*G77,0)</f>
        <v>0</v>
      </c>
    </row>
    <row r="78" customFormat="false" ht="12.8" hidden="false" customHeight="false" outlineLevel="0" collapsed="false">
      <c r="B78" s="1" t="s">
        <v>167</v>
      </c>
      <c r="D78" s="1" t="s">
        <v>128</v>
      </c>
      <c r="E78" s="1" t="n">
        <f aca="false">3*1.2</f>
        <v>3.6</v>
      </c>
      <c r="G78" s="1" t="n">
        <f aca="false">1/1.2/2*10.5</f>
        <v>4.375</v>
      </c>
      <c r="H78" s="1" t="n">
        <f aca="false">IF(C78="?",0,E78*G78)</f>
        <v>15.75</v>
      </c>
      <c r="I78" s="1" t="n">
        <f aca="false">IF(C78="?",E78*G78,0)</f>
        <v>0</v>
      </c>
    </row>
    <row r="79" customFormat="false" ht="12.8" hidden="false" customHeight="false" outlineLevel="0" collapsed="false">
      <c r="D79" s="1" t="s">
        <v>168</v>
      </c>
      <c r="E79" s="1" t="n">
        <f aca="false">3+1+1</f>
        <v>5</v>
      </c>
      <c r="F79" s="1" t="s">
        <v>118</v>
      </c>
      <c r="G79" s="1" t="n">
        <v>6.5</v>
      </c>
      <c r="H79" s="1" t="n">
        <f aca="false">IF(C79="?",0,E79*G79)</f>
        <v>32.5</v>
      </c>
      <c r="I79" s="1" t="n">
        <f aca="false">IF(C79="?",E79*G79,0)</f>
        <v>0</v>
      </c>
    </row>
    <row r="80" customFormat="false" ht="12.8" hidden="false" customHeight="false" outlineLevel="0" collapsed="false">
      <c r="D80" s="1" t="s">
        <v>169</v>
      </c>
      <c r="E80" s="1" t="n">
        <f aca="false">2+1</f>
        <v>3</v>
      </c>
      <c r="F80" s="1" t="s">
        <v>118</v>
      </c>
      <c r="G80" s="1" t="n">
        <v>4.5</v>
      </c>
      <c r="H80" s="1" t="n">
        <f aca="false">IF(C80="?",0,E80*G80)</f>
        <v>13.5</v>
      </c>
      <c r="I80" s="1" t="n">
        <f aca="false">IF(C80="?",E80*G80,0)</f>
        <v>0</v>
      </c>
    </row>
    <row r="81" customFormat="false" ht="12.8" hidden="false" customHeight="false" outlineLevel="0" collapsed="false">
      <c r="D81" s="1" t="s">
        <v>131</v>
      </c>
      <c r="E81" s="1" t="n">
        <v>10</v>
      </c>
      <c r="F81" s="1" t="s">
        <v>118</v>
      </c>
      <c r="G81" s="1" t="n">
        <v>1</v>
      </c>
      <c r="H81" s="1" t="n">
        <f aca="false">IF(C81="?",0,E81*G81)</f>
        <v>10</v>
      </c>
      <c r="I81" s="1" t="n">
        <f aca="false">IF(C81="?",E81*G81,0)</f>
        <v>0</v>
      </c>
    </row>
    <row r="82" customFormat="false" ht="12.8" hidden="false" customHeight="false" outlineLevel="0" collapsed="false">
      <c r="D82" s="1" t="s">
        <v>132</v>
      </c>
      <c r="E82" s="1" t="n">
        <v>50</v>
      </c>
      <c r="F82" s="1" t="s">
        <v>118</v>
      </c>
      <c r="G82" s="1" t="n">
        <v>0.3</v>
      </c>
      <c r="H82" s="1" t="n">
        <f aca="false">IF(C82="?",0,E82*G82)</f>
        <v>15</v>
      </c>
      <c r="I82" s="1" t="n">
        <f aca="false">IF(C82="?",E82*G82,0)</f>
        <v>0</v>
      </c>
    </row>
    <row r="83" customFormat="false" ht="12.8" hidden="false" customHeight="false" outlineLevel="0" collapsed="false">
      <c r="D83" s="1" t="s">
        <v>133</v>
      </c>
      <c r="E83" s="1" t="n">
        <f aca="false">(E79+E80)*3/0.6*2</f>
        <v>80</v>
      </c>
      <c r="F83" s="1" t="s">
        <v>118</v>
      </c>
      <c r="G83" s="1" t="n">
        <v>0.1</v>
      </c>
      <c r="H83" s="1" t="n">
        <f aca="false">IF(C83="?",0,E83*G83)</f>
        <v>8</v>
      </c>
      <c r="I83" s="1" t="n">
        <f aca="false">IF(C83="?",E83*G83,0)</f>
        <v>0</v>
      </c>
    </row>
    <row r="84" customFormat="false" ht="12.8" hidden="false" customHeight="false" outlineLevel="0" collapsed="false">
      <c r="H84" s="1" t="n">
        <f aca="false">IF(C84="?",0,E84*G84)</f>
        <v>0</v>
      </c>
      <c r="I84" s="1" t="n">
        <f aca="false">IF(C84="?",E84*G84,0)</f>
        <v>0</v>
      </c>
    </row>
    <row r="85" customFormat="false" ht="12.8" hidden="false" customHeight="false" outlineLevel="0" collapsed="false">
      <c r="A85" s="1" t="s">
        <v>65</v>
      </c>
      <c r="B85" s="1" t="s">
        <v>170</v>
      </c>
      <c r="E85" s="1" t="n">
        <v>1</v>
      </c>
      <c r="G85" s="1" t="n">
        <v>350</v>
      </c>
      <c r="H85" s="1" t="n">
        <f aca="false">IF(C85="?",0,E85*G85)</f>
        <v>350</v>
      </c>
      <c r="I85" s="1" t="n">
        <f aca="false">IF(C85="?",E85*G85,0)</f>
        <v>0</v>
      </c>
    </row>
    <row r="86" customFormat="false" ht="12.8" hidden="false" customHeight="false" outlineLevel="0" collapsed="false">
      <c r="H86" s="1" t="n">
        <f aca="false">IF(C86="?",0,E86*G86)</f>
        <v>0</v>
      </c>
      <c r="I86" s="1" t="n">
        <f aca="false">IF(C86="?",E86*G86,0)</f>
        <v>0</v>
      </c>
    </row>
    <row r="87" customFormat="false" ht="12.8" hidden="false" customHeight="false" outlineLevel="0" collapsed="false">
      <c r="B87" s="1" t="s">
        <v>21</v>
      </c>
      <c r="E87" s="1" t="n">
        <v>1</v>
      </c>
      <c r="G87" s="1" t="n">
        <v>300</v>
      </c>
      <c r="H87" s="1" t="n">
        <f aca="false">IF(C87="?",0,E87*G87)</f>
        <v>300</v>
      </c>
      <c r="I87" s="1" t="n">
        <f aca="false">IF(C87="?",E87*G87,0)</f>
        <v>0</v>
      </c>
    </row>
    <row r="88" customFormat="false" ht="12.8" hidden="false" customHeight="false" outlineLevel="0" collapsed="false">
      <c r="H88" s="1" t="n">
        <f aca="false">IF(C88="?",0,E88*G88)</f>
        <v>0</v>
      </c>
      <c r="I88" s="1" t="n">
        <f aca="false">IF(C88="?",E88*G88,0)</f>
        <v>0</v>
      </c>
    </row>
    <row r="89" customFormat="false" ht="12.8" hidden="false" customHeight="false" outlineLevel="0" collapsed="false">
      <c r="B89" s="1" t="s">
        <v>171</v>
      </c>
      <c r="C89" s="1" t="s">
        <v>122</v>
      </c>
      <c r="E89" s="1" t="n">
        <v>1</v>
      </c>
      <c r="G89" s="1" t="n">
        <v>100</v>
      </c>
      <c r="H89" s="1" t="n">
        <f aca="false">IF(C89="?",0,E89*G89)</f>
        <v>0</v>
      </c>
      <c r="I89" s="1" t="n">
        <f aca="false">IF(C89="?",E89*G89,0)</f>
        <v>100</v>
      </c>
    </row>
    <row r="90" customFormat="false" ht="12.8" hidden="false" customHeight="false" outlineLevel="0" collapsed="false">
      <c r="H90" s="1" t="n">
        <f aca="false">IF(C90="?",0,E90*G90)</f>
        <v>0</v>
      </c>
      <c r="I90" s="1" t="n">
        <f aca="false">IF(C90="?",E90*G90,0)</f>
        <v>0</v>
      </c>
    </row>
    <row r="91" customFormat="false" ht="12.8" hidden="false" customHeight="false" outlineLevel="0" collapsed="false">
      <c r="A91" s="1" t="s">
        <v>90</v>
      </c>
      <c r="B91" s="1" t="s">
        <v>25</v>
      </c>
      <c r="C91" s="1" t="s">
        <v>122</v>
      </c>
      <c r="E91" s="1" t="n">
        <v>1</v>
      </c>
      <c r="G91" s="1" t="n">
        <v>850</v>
      </c>
      <c r="H91" s="1" t="n">
        <f aca="false">IF(C91="?",0,E91*G91)</f>
        <v>0</v>
      </c>
      <c r="I91" s="1" t="n">
        <f aca="false">IF(C91="?",E91*G91,0)</f>
        <v>850</v>
      </c>
    </row>
    <row r="92" customFormat="false" ht="12.8" hidden="false" customHeight="false" outlineLevel="0" collapsed="false">
      <c r="H92" s="1" t="n">
        <f aca="false">IF(C92="?",0,E92*G92)</f>
        <v>0</v>
      </c>
      <c r="I92" s="1" t="n">
        <f aca="false">IF(C92="?",E92*G92,0)</f>
        <v>0</v>
      </c>
    </row>
    <row r="93" customFormat="false" ht="12.8" hidden="false" customHeight="false" outlineLevel="0" collapsed="false">
      <c r="B93" s="1" t="s">
        <v>24</v>
      </c>
      <c r="C93" s="1" t="s">
        <v>122</v>
      </c>
      <c r="E93" s="1" t="n">
        <f aca="false">3.2*3.75</f>
        <v>12</v>
      </c>
      <c r="G93" s="1" t="n">
        <v>15</v>
      </c>
      <c r="H93" s="1" t="n">
        <f aca="false">IF(C93="?",0,E93*G93)</f>
        <v>0</v>
      </c>
      <c r="I93" s="1" t="n">
        <f aca="false">IF(C93="?",E93*G93,0)</f>
        <v>180</v>
      </c>
    </row>
    <row r="94" customFormat="false" ht="12.8" hidden="false" customHeight="false" outlineLevel="0" collapsed="false">
      <c r="H94" s="1" t="n">
        <f aca="false">IF(C94="?",0,E94*G94)</f>
        <v>0</v>
      </c>
      <c r="I94" s="1" t="n">
        <f aca="false">IF(C94="?",E94*G94,0)</f>
        <v>0</v>
      </c>
    </row>
    <row r="95" customFormat="false" ht="12.8" hidden="false" customHeight="false" outlineLevel="0" collapsed="false">
      <c r="B95" s="1" t="s">
        <v>102</v>
      </c>
      <c r="C95" s="1" t="s">
        <v>122</v>
      </c>
      <c r="E95" s="1" t="n">
        <v>1</v>
      </c>
      <c r="G95" s="1" t="n">
        <v>200</v>
      </c>
      <c r="H95" s="1" t="n">
        <f aca="false">IF(C95="?",0,E95*G95)</f>
        <v>0</v>
      </c>
      <c r="I95" s="1" t="n">
        <f aca="false">IF(C95="?",E95*G95,0)</f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79"/>
    <col collapsed="false" customWidth="true" hidden="false" outlineLevel="0" max="2" min="2" style="1" width="8.91"/>
    <col collapsed="false" customWidth="true" hidden="false" outlineLevel="0" max="3" min="3" style="1" width="9.15"/>
    <col collapsed="false" customWidth="true" hidden="false" outlineLevel="0" max="4" min="4" style="1" width="8.55"/>
    <col collapsed="false" customWidth="true" hidden="false" outlineLevel="0" max="5" min="5" style="1" width="10.35"/>
    <col collapsed="false" customWidth="true" hidden="false" outlineLevel="0" max="6" min="6" style="1" width="10.66"/>
    <col collapsed="false" customWidth="true" hidden="false" outlineLevel="0" max="7" min="7" style="1" width="10.25"/>
    <col collapsed="false" customWidth="true" hidden="false" outlineLevel="0" max="8" min="8" style="1" width="9.84"/>
  </cols>
  <sheetData>
    <row r="1" customFormat="false" ht="12.8" hidden="false" customHeight="false" outlineLevel="0" collapsed="false">
      <c r="B1" s="1" t="s">
        <v>0</v>
      </c>
      <c r="C1" s="1" t="s">
        <v>0</v>
      </c>
      <c r="D1" s="1" t="s">
        <v>0</v>
      </c>
      <c r="E1" s="2" t="s">
        <v>1</v>
      </c>
      <c r="F1" s="3" t="s">
        <v>2</v>
      </c>
      <c r="G1" s="4" t="s">
        <v>3</v>
      </c>
      <c r="H1" s="1" t="s">
        <v>4</v>
      </c>
    </row>
    <row r="2" customFormat="false" ht="12.8" hidden="false" customHeight="false" outlineLevel="0" collapsed="false">
      <c r="B2" s="1" t="s">
        <v>5</v>
      </c>
      <c r="C2" s="1" t="s">
        <v>6</v>
      </c>
      <c r="D2" s="1" t="s">
        <v>7</v>
      </c>
      <c r="E2" s="5" t="n">
        <f aca="false">G2-F2</f>
        <v>6212.22454631741</v>
      </c>
      <c r="F2" s="6" t="n">
        <f aca="false">E3+F3</f>
        <v>19987.8154536826</v>
      </c>
      <c r="G2" s="7" t="n">
        <f aca="false">16756-500+G3</f>
        <v>26200.04</v>
      </c>
    </row>
    <row r="3" customFormat="false" ht="12.8" hidden="false" customHeight="false" outlineLevel="0" collapsed="false">
      <c r="E3" s="6" t="n">
        <f aca="false">SUM(E4:E51)</f>
        <v>5557.81545368259</v>
      </c>
      <c r="F3" s="6" t="n">
        <f aca="false">SUM(F4:F51)</f>
        <v>14430</v>
      </c>
      <c r="G3" s="7" t="n">
        <f aca="false">SUM(G4:G52)</f>
        <v>9944.04</v>
      </c>
      <c r="H3" s="8" t="n">
        <f aca="false">SUM(H4:H52)</f>
        <v>10043.7754536826</v>
      </c>
    </row>
    <row r="4" customFormat="false" ht="12.8" hidden="false" customHeight="false" outlineLevel="0" collapsed="false">
      <c r="A4" s="1" t="s">
        <v>8</v>
      </c>
      <c r="B4" s="1" t="n">
        <v>3000</v>
      </c>
      <c r="C4" s="1" t="n">
        <v>4000</v>
      </c>
      <c r="D4" s="1" t="n">
        <v>5000</v>
      </c>
      <c r="E4" s="9" t="n">
        <v>350</v>
      </c>
      <c r="F4" s="3" t="n">
        <v>5000</v>
      </c>
      <c r="G4" s="4"/>
      <c r="H4" s="10" t="n">
        <f aca="false">SUM(E4:F4)-G4</f>
        <v>5350</v>
      </c>
    </row>
    <row r="5" customFormat="false" ht="12.8" hidden="false" customHeight="false" outlineLevel="0" collapsed="false">
      <c r="A5" s="1" t="s">
        <v>9</v>
      </c>
      <c r="B5" s="1" t="n">
        <v>300</v>
      </c>
      <c r="C5" s="1" t="n">
        <v>500</v>
      </c>
      <c r="D5" s="1" t="n">
        <v>750</v>
      </c>
      <c r="E5" s="9" t="n">
        <v>0</v>
      </c>
      <c r="F5" s="3" t="n">
        <v>560</v>
      </c>
      <c r="G5" s="4" t="n">
        <v>560</v>
      </c>
      <c r="H5" s="10" t="n">
        <f aca="false">SUM(E5:F5)-G5</f>
        <v>0</v>
      </c>
    </row>
    <row r="6" customFormat="false" ht="12.8" hidden="false" customHeight="false" outlineLevel="0" collapsed="false">
      <c r="A6" s="1" t="s">
        <v>10</v>
      </c>
      <c r="B6" s="1" t="n">
        <v>300</v>
      </c>
      <c r="C6" s="1" t="n">
        <v>400</v>
      </c>
      <c r="D6" s="1" t="n">
        <v>500</v>
      </c>
      <c r="E6" s="9" t="n">
        <v>0</v>
      </c>
      <c r="F6" s="3" t="n">
        <v>300</v>
      </c>
      <c r="G6" s="4"/>
      <c r="H6" s="10" t="n">
        <f aca="false">SUM(E6:F6)-G6</f>
        <v>300</v>
      </c>
    </row>
    <row r="7" customFormat="false" ht="12.8" hidden="false" customHeight="false" outlineLevel="0" collapsed="false">
      <c r="A7" s="1" t="s">
        <v>11</v>
      </c>
      <c r="B7" s="1" t="n">
        <v>100</v>
      </c>
      <c r="C7" s="1" t="n">
        <v>300</v>
      </c>
      <c r="D7" s="1" t="n">
        <v>550</v>
      </c>
      <c r="E7" s="9" t="n">
        <v>0</v>
      </c>
      <c r="F7" s="3" t="n">
        <v>400</v>
      </c>
      <c r="G7" s="4"/>
      <c r="H7" s="10" t="n">
        <f aca="false">SUM(E7:F7)-G7</f>
        <v>400</v>
      </c>
    </row>
    <row r="8" customFormat="false" ht="12.8" hidden="false" customHeight="false" outlineLevel="0" collapsed="false">
      <c r="A8" s="1" t="s">
        <v>12</v>
      </c>
      <c r="B8" s="1" t="n">
        <v>450</v>
      </c>
      <c r="C8" s="1" t="n">
        <v>600</v>
      </c>
      <c r="D8" s="1" t="n">
        <v>700</v>
      </c>
      <c r="E8" s="9" t="n">
        <v>0</v>
      </c>
      <c r="F8" s="3" t="n">
        <v>700</v>
      </c>
      <c r="G8" s="4"/>
      <c r="H8" s="10" t="n">
        <f aca="false">SUM(E8:F8)-G8</f>
        <v>700</v>
      </c>
    </row>
    <row r="9" customFormat="false" ht="12.8" hidden="false" customHeight="false" outlineLevel="0" collapsed="false">
      <c r="A9" s="1" t="s">
        <v>13</v>
      </c>
      <c r="B9" s="1" t="n">
        <v>350</v>
      </c>
      <c r="C9" s="1" t="n">
        <v>500</v>
      </c>
      <c r="D9" s="1" t="n">
        <v>600</v>
      </c>
      <c r="E9" s="9" t="n">
        <v>0</v>
      </c>
      <c r="F9" s="3" t="n">
        <v>750</v>
      </c>
      <c r="G9" s="4" t="n">
        <v>670</v>
      </c>
      <c r="H9" s="10" t="n">
        <f aca="false">SUM(E9:F9)-G9</f>
        <v>80</v>
      </c>
    </row>
    <row r="10" customFormat="false" ht="12.8" hidden="false" customHeight="false" outlineLevel="0" collapsed="false">
      <c r="A10" s="1" t="s">
        <v>14</v>
      </c>
      <c r="B10" s="1" t="n">
        <v>350</v>
      </c>
      <c r="C10" s="1" t="n">
        <v>700</v>
      </c>
      <c r="D10" s="1" t="n">
        <v>1100</v>
      </c>
      <c r="E10" s="9" t="n">
        <v>600</v>
      </c>
      <c r="F10" s="3" t="n">
        <v>0</v>
      </c>
      <c r="G10" s="4"/>
      <c r="H10" s="10" t="n">
        <f aca="false">SUM(E10:F10)-G10</f>
        <v>600</v>
      </c>
    </row>
    <row r="11" customFormat="false" ht="12.8" hidden="false" customHeight="false" outlineLevel="0" collapsed="false">
      <c r="A11" s="1" t="s">
        <v>15</v>
      </c>
      <c r="B11" s="1" t="n">
        <v>550</v>
      </c>
      <c r="C11" s="1" t="n">
        <v>1100</v>
      </c>
      <c r="D11" s="1" t="n">
        <v>1400</v>
      </c>
      <c r="E11" s="9" t="n">
        <v>250</v>
      </c>
      <c r="F11" s="3" t="n">
        <v>2000</v>
      </c>
      <c r="G11" s="4" t="n">
        <f aca="false">2000+60</f>
        <v>2060</v>
      </c>
      <c r="H11" s="10" t="n">
        <f aca="false">SUM(E11:F11)-G11</f>
        <v>190</v>
      </c>
    </row>
    <row r="12" customFormat="false" ht="12.8" hidden="false" customHeight="false" outlineLevel="0" collapsed="false">
      <c r="A12" s="1" t="s">
        <v>16</v>
      </c>
      <c r="B12" s="1" t="n">
        <f aca="false">5*350</f>
        <v>1750</v>
      </c>
      <c r="E12" s="2"/>
      <c r="F12" s="3"/>
      <c r="G12" s="4"/>
      <c r="H12" s="10" t="n">
        <f aca="false">SUM(E12:F12)-G12</f>
        <v>0</v>
      </c>
    </row>
    <row r="13" customFormat="false" ht="12.8" hidden="false" customHeight="false" outlineLevel="0" collapsed="false">
      <c r="A13" s="1" t="s">
        <v>17</v>
      </c>
      <c r="B13" s="1" t="n">
        <f aca="false">4*60</f>
        <v>240</v>
      </c>
      <c r="C13" s="1" t="n">
        <f aca="false">4*80</f>
        <v>320</v>
      </c>
      <c r="D13" s="1" t="n">
        <f aca="false">4*120</f>
        <v>480</v>
      </c>
      <c r="E13" s="9" t="n">
        <v>0</v>
      </c>
      <c r="F13" s="3" t="n">
        <v>320</v>
      </c>
      <c r="G13" s="4" t="n">
        <f aca="false">4*80</f>
        <v>320</v>
      </c>
      <c r="H13" s="10" t="n">
        <f aca="false">SUM(E13:F13)-G13</f>
        <v>0</v>
      </c>
    </row>
    <row r="14" customFormat="false" ht="12.8" hidden="false" customHeight="false" outlineLevel="0" collapsed="false">
      <c r="A14" s="1" t="s">
        <v>18</v>
      </c>
      <c r="B14" s="1" t="n">
        <v>180</v>
      </c>
      <c r="C14" s="1" t="n">
        <v>300</v>
      </c>
      <c r="D14" s="1" t="n">
        <v>500</v>
      </c>
      <c r="E14" s="9" t="n">
        <v>0</v>
      </c>
      <c r="F14" s="3" t="n">
        <v>300</v>
      </c>
      <c r="G14" s="4" t="n">
        <f aca="false">690-G13</f>
        <v>370</v>
      </c>
      <c r="H14" s="10" t="n">
        <f aca="false">SUM(E14:F14)-G14</f>
        <v>-70</v>
      </c>
    </row>
    <row r="15" customFormat="false" ht="12.8" hidden="false" customHeight="false" outlineLevel="0" collapsed="false">
      <c r="A15" s="1" t="s">
        <v>19</v>
      </c>
      <c r="B15" s="1" t="n">
        <v>2000</v>
      </c>
      <c r="E15" s="9" t="n">
        <f aca="false">300</f>
        <v>300</v>
      </c>
      <c r="F15" s="3" t="n">
        <v>2000</v>
      </c>
      <c r="G15" s="4" t="n">
        <f aca="false">140+53+20+277+1740</f>
        <v>2230</v>
      </c>
      <c r="H15" s="10" t="n">
        <f aca="false">SUM(E15:F15)-G15</f>
        <v>70</v>
      </c>
    </row>
    <row r="16" customFormat="false" ht="12.8" hidden="false" customHeight="false" outlineLevel="0" collapsed="false">
      <c r="A16" s="1" t="s">
        <v>20</v>
      </c>
      <c r="B16" s="1" t="n">
        <v>400</v>
      </c>
      <c r="E16" s="2"/>
      <c r="F16" s="3" t="n">
        <v>500</v>
      </c>
      <c r="G16" s="4"/>
      <c r="H16" s="10" t="n">
        <f aca="false">SUM(E16:F16)-G16</f>
        <v>500</v>
      </c>
    </row>
    <row r="17" customFormat="false" ht="12.8" hidden="false" customHeight="false" outlineLevel="0" collapsed="false">
      <c r="A17" s="1" t="s">
        <v>21</v>
      </c>
      <c r="B17" s="1" t="n">
        <v>350</v>
      </c>
      <c r="E17" s="2"/>
      <c r="F17" s="3" t="n">
        <v>350</v>
      </c>
      <c r="G17" s="4"/>
      <c r="H17" s="10" t="n">
        <f aca="false">SUM(E17:F17)-G17</f>
        <v>350</v>
      </c>
    </row>
    <row r="18" customFormat="false" ht="12.8" hidden="false" customHeight="false" outlineLevel="0" collapsed="false">
      <c r="A18" s="1" t="s">
        <v>22</v>
      </c>
      <c r="B18" s="1" t="n">
        <f aca="false">30*1.6*3</f>
        <v>144</v>
      </c>
      <c r="E18" s="2"/>
      <c r="F18" s="3" t="n">
        <v>200</v>
      </c>
      <c r="G18" s="4"/>
      <c r="H18" s="10" t="n">
        <f aca="false">SUM(E18:F18)-G18</f>
        <v>200</v>
      </c>
    </row>
    <row r="19" customFormat="false" ht="12.8" hidden="false" customHeight="false" outlineLevel="0" collapsed="false">
      <c r="A19" s="1" t="s">
        <v>23</v>
      </c>
      <c r="B19" s="1" t="n">
        <f aca="false">35*(1.6+1.6+1)*1.6</f>
        <v>235.2</v>
      </c>
      <c r="E19" s="2"/>
      <c r="F19" s="3" t="n">
        <v>250</v>
      </c>
      <c r="G19" s="4"/>
      <c r="H19" s="10" t="n">
        <f aca="false">SUM(E19:F19)-G19</f>
        <v>250</v>
      </c>
    </row>
    <row r="20" customFormat="false" ht="12.8" hidden="false" customHeight="false" outlineLevel="0" collapsed="false">
      <c r="A20" s="1" t="s">
        <v>24</v>
      </c>
      <c r="B20" s="1" t="n">
        <f aca="false">30*5*3.75</f>
        <v>562.5</v>
      </c>
      <c r="E20" s="2"/>
      <c r="F20" s="3"/>
      <c r="G20" s="4"/>
      <c r="H20" s="10" t="n">
        <f aca="false">SUM(E20:F20)-G20</f>
        <v>0</v>
      </c>
    </row>
    <row r="21" customFormat="false" ht="12.8" hidden="false" customHeight="false" outlineLevel="0" collapsed="false">
      <c r="A21" s="1" t="s">
        <v>25</v>
      </c>
      <c r="B21" s="1" t="n">
        <v>800</v>
      </c>
      <c r="E21" s="9" t="n">
        <v>0</v>
      </c>
      <c r="F21" s="3" t="n">
        <v>800</v>
      </c>
      <c r="G21" s="4"/>
      <c r="H21" s="10" t="n">
        <f aca="false">SUM(E21:F21)-G21</f>
        <v>800</v>
      </c>
      <c r="I21" s="1" t="s">
        <v>25</v>
      </c>
      <c r="K21" s="1" t="n">
        <f aca="false">SUM(K22*J22,K23*J23,K24*J24,K25*J25)</f>
        <v>970</v>
      </c>
    </row>
    <row r="22" customFormat="false" ht="12.8" hidden="false" customHeight="false" outlineLevel="0" collapsed="false">
      <c r="A22" s="1" t="s">
        <v>26</v>
      </c>
      <c r="B22" s="1" t="n">
        <v>500</v>
      </c>
      <c r="E22" s="9" t="n">
        <v>200</v>
      </c>
      <c r="F22" s="3" t="n">
        <v>0</v>
      </c>
      <c r="G22" s="4" t="n">
        <v>275</v>
      </c>
      <c r="H22" s="10" t="n">
        <f aca="false">SUM(E22:F22)-G22</f>
        <v>-75</v>
      </c>
      <c r="I22" s="1" t="s">
        <v>27</v>
      </c>
      <c r="J22" s="1" t="n">
        <v>170</v>
      </c>
      <c r="K22" s="1" t="n">
        <v>2</v>
      </c>
    </row>
    <row r="23" customFormat="false" ht="12.8" hidden="false" customHeight="false" outlineLevel="0" collapsed="false">
      <c r="A23" s="1" t="s">
        <v>28</v>
      </c>
      <c r="B23" s="1" t="n">
        <v>150</v>
      </c>
      <c r="E23" s="2" t="n">
        <v>450</v>
      </c>
      <c r="F23" s="3" t="n">
        <v>0</v>
      </c>
      <c r="G23" s="4" t="n">
        <v>120</v>
      </c>
      <c r="H23" s="10" t="n">
        <f aca="false">SUM(E23:F23)-G23</f>
        <v>330</v>
      </c>
      <c r="I23" s="1" t="s">
        <v>16</v>
      </c>
      <c r="J23" s="1" t="n">
        <v>100</v>
      </c>
      <c r="K23" s="1" t="n">
        <v>4</v>
      </c>
    </row>
    <row r="24" customFormat="false" ht="12.8" hidden="false" customHeight="false" outlineLevel="0" collapsed="false">
      <c r="A24" s="1" t="s">
        <v>29</v>
      </c>
      <c r="B24" s="1" t="n">
        <v>150</v>
      </c>
      <c r="E24" s="9" t="n">
        <v>0</v>
      </c>
      <c r="F24" s="3" t="n">
        <v>0</v>
      </c>
      <c r="G24" s="4"/>
      <c r="H24" s="10" t="n">
        <f aca="false">SUM(E24:F24)-G24</f>
        <v>0</v>
      </c>
      <c r="I24" s="1" t="s">
        <v>30</v>
      </c>
      <c r="J24" s="1" t="n">
        <v>20</v>
      </c>
      <c r="K24" s="1" t="n">
        <v>4</v>
      </c>
    </row>
    <row r="25" customFormat="false" ht="12.8" hidden="false" customHeight="false" outlineLevel="0" collapsed="false">
      <c r="A25" s="1" t="s">
        <v>31</v>
      </c>
      <c r="B25" s="1" t="n">
        <v>200</v>
      </c>
      <c r="E25" s="2"/>
      <c r="F25" s="3" t="n">
        <v>0</v>
      </c>
      <c r="G25" s="4"/>
      <c r="H25" s="10" t="n">
        <f aca="false">SUM(E25:F25)-G25</f>
        <v>0</v>
      </c>
      <c r="I25" s="1" t="s">
        <v>32</v>
      </c>
      <c r="J25" s="1" t="n">
        <v>75</v>
      </c>
      <c r="K25" s="1" t="n">
        <v>2</v>
      </c>
    </row>
    <row r="26" customFormat="false" ht="12.8" hidden="false" customHeight="false" outlineLevel="0" collapsed="false">
      <c r="A26" s="1" t="s">
        <v>33</v>
      </c>
      <c r="B26" s="1" t="n">
        <v>200</v>
      </c>
      <c r="E26" s="2"/>
      <c r="F26" s="3" t="n">
        <v>0</v>
      </c>
      <c r="G26" s="4"/>
      <c r="H26" s="10" t="n">
        <f aca="false">SUM(E26:F26)-G26</f>
        <v>0</v>
      </c>
    </row>
    <row r="27" customFormat="false" ht="12.8" hidden="false" customHeight="false" outlineLevel="0" collapsed="false">
      <c r="A27" s="1" t="s">
        <v>34</v>
      </c>
      <c r="E27" s="11" t="n">
        <v>353.5</v>
      </c>
      <c r="F27" s="3"/>
      <c r="G27" s="12" t="n">
        <f aca="false">575/2+100</f>
        <v>387.5</v>
      </c>
      <c r="H27" s="10" t="n">
        <f aca="false">SUM(E27:F27)-G27</f>
        <v>-34</v>
      </c>
      <c r="I27" s="1" t="n">
        <f aca="false">SUM(E27:E51)</f>
        <v>3407.81545368259</v>
      </c>
    </row>
    <row r="28" customFormat="false" ht="12.8" hidden="false" customHeight="false" outlineLevel="0" collapsed="false">
      <c r="A28" s="1" t="s">
        <v>35</v>
      </c>
      <c r="E28" s="11" t="n">
        <v>535.2</v>
      </c>
      <c r="F28" s="3"/>
      <c r="G28" s="12" t="n">
        <f aca="false">575/2+203</f>
        <v>490.5</v>
      </c>
      <c r="H28" s="10" t="n">
        <f aca="false">SUM(E28:F28)-G28</f>
        <v>44.7</v>
      </c>
    </row>
    <row r="29" customFormat="false" ht="12.8" hidden="false" customHeight="false" outlineLevel="0" collapsed="false">
      <c r="A29" s="1" t="s">
        <v>36</v>
      </c>
      <c r="E29" s="11" t="n">
        <v>250</v>
      </c>
      <c r="F29" s="3"/>
      <c r="G29" s="4" t="n">
        <f aca="false">13.92+15.59+22.07+36.4+50+47+27</f>
        <v>211.98</v>
      </c>
      <c r="H29" s="10" t="n">
        <f aca="false">SUM(E29:F29)-G29</f>
        <v>38.02</v>
      </c>
    </row>
    <row r="30" customFormat="false" ht="12.8" hidden="false" customHeight="false" outlineLevel="0" collapsed="false">
      <c r="A30" s="1" t="s">
        <v>37</v>
      </c>
      <c r="E30" s="11" t="n">
        <v>349.115453682589</v>
      </c>
      <c r="F30" s="3"/>
      <c r="G30" s="4" t="n">
        <f aca="false">162+160+14+42+20+20+17</f>
        <v>435</v>
      </c>
      <c r="H30" s="10" t="n">
        <f aca="false">SUM(E30:F30)-G30</f>
        <v>-85.884546317411</v>
      </c>
    </row>
    <row r="31" customFormat="false" ht="12.8" hidden="false" customHeight="false" outlineLevel="0" collapsed="false">
      <c r="A31" s="1" t="s">
        <v>38</v>
      </c>
      <c r="E31" s="11" t="n">
        <v>300</v>
      </c>
      <c r="F31" s="3"/>
      <c r="G31" s="4"/>
      <c r="H31" s="10" t="n">
        <f aca="false">SUM(E31:F31)-G31</f>
        <v>300</v>
      </c>
    </row>
    <row r="32" customFormat="false" ht="12.8" hidden="false" customHeight="false" outlineLevel="0" collapsed="false">
      <c r="A32" s="1" t="s">
        <v>39</v>
      </c>
      <c r="E32" s="11" t="n">
        <v>200</v>
      </c>
      <c r="F32" s="3"/>
      <c r="G32" s="4" t="n">
        <v>140</v>
      </c>
      <c r="H32" s="10" t="n">
        <f aca="false">SUM(E32:F32)-G32</f>
        <v>60</v>
      </c>
    </row>
    <row r="33" customFormat="false" ht="12.8" hidden="false" customHeight="false" outlineLevel="0" collapsed="false">
      <c r="A33" s="1" t="s">
        <v>40</v>
      </c>
      <c r="E33" s="11" t="n">
        <v>60</v>
      </c>
      <c r="F33" s="3"/>
      <c r="G33" s="4" t="n">
        <v>55</v>
      </c>
      <c r="H33" s="10" t="n">
        <f aca="false">SUM(E33:F33)-G33</f>
        <v>5</v>
      </c>
    </row>
    <row r="34" customFormat="false" ht="12.8" hidden="false" customHeight="false" outlineLevel="0" collapsed="false">
      <c r="A34" s="1" t="s">
        <v>41</v>
      </c>
      <c r="E34" s="11" t="n">
        <v>60</v>
      </c>
      <c r="F34" s="3"/>
      <c r="G34" s="4" t="n">
        <v>55</v>
      </c>
      <c r="H34" s="10" t="n">
        <f aca="false">SUM(E34:F34)-G34</f>
        <v>5</v>
      </c>
    </row>
    <row r="35" customFormat="false" ht="12.8" hidden="false" customHeight="false" outlineLevel="0" collapsed="false">
      <c r="A35" s="1" t="s">
        <v>42</v>
      </c>
      <c r="E35" s="11" t="n">
        <v>60</v>
      </c>
      <c r="F35" s="3"/>
      <c r="G35" s="4" t="n">
        <f aca="false">85+20</f>
        <v>105</v>
      </c>
      <c r="H35" s="10" t="n">
        <f aca="false">SUM(E35:F35)-G35</f>
        <v>-45</v>
      </c>
    </row>
    <row r="36" customFormat="false" ht="12.8" hidden="false" customHeight="false" outlineLevel="0" collapsed="false">
      <c r="A36" s="1" t="s">
        <v>43</v>
      </c>
      <c r="E36" s="11" t="n">
        <v>40</v>
      </c>
      <c r="F36" s="3"/>
      <c r="G36" s="4"/>
      <c r="H36" s="10" t="n">
        <f aca="false">SUM(E36:F36)-G36</f>
        <v>40</v>
      </c>
    </row>
    <row r="37" customFormat="false" ht="12.8" hidden="false" customHeight="false" outlineLevel="0" collapsed="false">
      <c r="A37" s="1" t="s">
        <v>44</v>
      </c>
      <c r="E37" s="11" t="n">
        <v>100</v>
      </c>
      <c r="F37" s="3"/>
      <c r="G37" s="4"/>
      <c r="H37" s="10" t="n">
        <f aca="false">SUM(E37:F37)-G37</f>
        <v>100</v>
      </c>
    </row>
    <row r="38" customFormat="false" ht="12.8" hidden="false" customHeight="false" outlineLevel="0" collapsed="false">
      <c r="A38" s="1" t="s">
        <v>45</v>
      </c>
      <c r="E38" s="11" t="n">
        <v>40</v>
      </c>
      <c r="F38" s="3"/>
      <c r="G38" s="4" t="n">
        <v>10</v>
      </c>
      <c r="H38" s="10" t="n">
        <f aca="false">SUM(E38:F38)-G38</f>
        <v>30</v>
      </c>
    </row>
    <row r="39" customFormat="false" ht="12.8" hidden="false" customHeight="false" outlineLevel="0" collapsed="false">
      <c r="A39" s="1" t="s">
        <v>46</v>
      </c>
      <c r="E39" s="11" t="n">
        <v>90</v>
      </c>
      <c r="F39" s="3"/>
      <c r="G39" s="4" t="n">
        <v>68</v>
      </c>
      <c r="H39" s="10" t="n">
        <f aca="false">SUM(E39:F39)-G39</f>
        <v>22</v>
      </c>
    </row>
    <row r="40" customFormat="false" ht="12.8" hidden="false" customHeight="false" outlineLevel="0" collapsed="false">
      <c r="A40" s="1" t="s">
        <v>47</v>
      </c>
      <c r="E40" s="11" t="n">
        <v>250</v>
      </c>
      <c r="F40" s="3"/>
      <c r="G40" s="4" t="n">
        <f aca="false">275+20+84</f>
        <v>379</v>
      </c>
      <c r="H40" s="10" t="n">
        <f aca="false">SUM(E40:F40)-G40</f>
        <v>-129</v>
      </c>
    </row>
    <row r="41" customFormat="false" ht="12.8" hidden="false" customHeight="false" outlineLevel="0" collapsed="false">
      <c r="A41" s="1" t="s">
        <v>48</v>
      </c>
      <c r="E41" s="11" t="n">
        <v>200</v>
      </c>
      <c r="F41" s="3"/>
      <c r="G41" s="4" t="n">
        <v>200</v>
      </c>
      <c r="H41" s="10" t="n">
        <f aca="false">SUM(E41:F41)-G41</f>
        <v>0</v>
      </c>
    </row>
    <row r="42" customFormat="false" ht="12.8" hidden="false" customHeight="false" outlineLevel="0" collapsed="false">
      <c r="A42" s="1" t="s">
        <v>49</v>
      </c>
      <c r="E42" s="11" t="n">
        <v>200</v>
      </c>
      <c r="F42" s="3"/>
      <c r="G42" s="4" t="n">
        <v>200</v>
      </c>
      <c r="H42" s="10" t="n">
        <f aca="false">SUM(E42:F42)-G42</f>
        <v>0</v>
      </c>
    </row>
    <row r="43" customFormat="false" ht="12.8" hidden="false" customHeight="false" outlineLevel="0" collapsed="false">
      <c r="A43" s="1" t="s">
        <v>50</v>
      </c>
      <c r="E43" s="11" t="n">
        <v>40</v>
      </c>
      <c r="F43" s="3"/>
      <c r="G43" s="12" t="n">
        <f aca="false">95/3</f>
        <v>31.6666666666667</v>
      </c>
      <c r="H43" s="10" t="n">
        <f aca="false">SUM(E43:F43)-G43</f>
        <v>8.33333333333333</v>
      </c>
    </row>
    <row r="44" customFormat="false" ht="12.8" hidden="false" customHeight="false" outlineLevel="0" collapsed="false">
      <c r="A44" s="1" t="s">
        <v>51</v>
      </c>
      <c r="E44" s="11" t="n">
        <v>40</v>
      </c>
      <c r="F44" s="3"/>
      <c r="G44" s="12" t="n">
        <f aca="false">95/3</f>
        <v>31.6666666666667</v>
      </c>
      <c r="H44" s="10" t="n">
        <f aca="false">SUM(E44:F44)-G44</f>
        <v>8.33333333333333</v>
      </c>
    </row>
    <row r="45" customFormat="false" ht="12.8" hidden="false" customHeight="false" outlineLevel="0" collapsed="false">
      <c r="A45" s="1" t="s">
        <v>52</v>
      </c>
      <c r="E45" s="11" t="n">
        <v>40</v>
      </c>
      <c r="F45" s="3"/>
      <c r="G45" s="12" t="n">
        <f aca="false">95/3</f>
        <v>31.6666666666667</v>
      </c>
      <c r="H45" s="10" t="n">
        <f aca="false">SUM(E45:F45)-G45</f>
        <v>8.33333333333333</v>
      </c>
    </row>
    <row r="46" customFormat="false" ht="12.8" hidden="false" customHeight="false" outlineLevel="0" collapsed="false">
      <c r="A46" s="1" t="s">
        <v>53</v>
      </c>
      <c r="E46" s="11" t="n">
        <v>40</v>
      </c>
      <c r="F46" s="3"/>
      <c r="G46" s="4" t="n">
        <v>0</v>
      </c>
      <c r="H46" s="10" t="n">
        <f aca="false">SUM(E46:F46)-G46</f>
        <v>40</v>
      </c>
    </row>
    <row r="47" customFormat="false" ht="12.8" hidden="false" customHeight="false" outlineLevel="0" collapsed="false">
      <c r="A47" s="1" t="s">
        <v>54</v>
      </c>
      <c r="E47" s="11" t="n">
        <v>40</v>
      </c>
      <c r="F47" s="3"/>
      <c r="G47" s="4"/>
      <c r="H47" s="10" t="n">
        <f aca="false">SUM(E47:F47)-G47</f>
        <v>40</v>
      </c>
    </row>
    <row r="48" customFormat="false" ht="12.8" hidden="false" customHeight="false" outlineLevel="0" collapsed="false">
      <c r="A48" s="1" t="s">
        <v>55</v>
      </c>
      <c r="E48" s="11" t="n">
        <v>40</v>
      </c>
      <c r="F48" s="3"/>
      <c r="G48" s="4" t="n">
        <v>15</v>
      </c>
      <c r="H48" s="10" t="n">
        <f aca="false">SUM(E48:F48)-G48</f>
        <v>25</v>
      </c>
    </row>
    <row r="49" customFormat="false" ht="12.8" hidden="false" customHeight="false" outlineLevel="0" collapsed="false">
      <c r="A49" s="1" t="s">
        <v>56</v>
      </c>
      <c r="E49" s="11" t="n">
        <v>40</v>
      </c>
      <c r="F49" s="3"/>
      <c r="G49" s="4"/>
      <c r="H49" s="10" t="n">
        <f aca="false">SUM(E49:F49)-G49</f>
        <v>40</v>
      </c>
    </row>
    <row r="50" customFormat="false" ht="12.8" hidden="false" customHeight="false" outlineLevel="0" collapsed="false">
      <c r="A50" s="1" t="s">
        <v>57</v>
      </c>
      <c r="E50" s="11" t="n">
        <v>40</v>
      </c>
      <c r="F50" s="3"/>
      <c r="G50" s="4"/>
      <c r="H50" s="10" t="n">
        <f aca="false">SUM(E50:F50)-G50</f>
        <v>40</v>
      </c>
    </row>
    <row r="51" customFormat="false" ht="12.8" hidden="false" customHeight="false" outlineLevel="0" collapsed="false">
      <c r="E51" s="11"/>
      <c r="F51" s="3"/>
      <c r="G51" s="4"/>
      <c r="H51" s="10" t="n">
        <f aca="false">SUM(E51:F51)-G51</f>
        <v>0</v>
      </c>
    </row>
    <row r="52" customFormat="false" ht="12.8" hidden="false" customHeight="false" outlineLevel="0" collapsed="false">
      <c r="A52" s="1" t="s">
        <v>58</v>
      </c>
      <c r="F52" s="1" t="n">
        <v>0</v>
      </c>
      <c r="G52" s="1" t="n">
        <f aca="false">160+155.06+32+57+32+56</f>
        <v>492.06</v>
      </c>
      <c r="H52" s="10" t="n">
        <f aca="false">SUM(E52:F52)-G52</f>
        <v>-492.06</v>
      </c>
    </row>
    <row r="63" customFormat="false" ht="12.8" hidden="false" customHeight="false" outlineLevel="0" collapsed="false">
      <c r="A63" s="1" t="n">
        <v>50000</v>
      </c>
    </row>
    <row r="64" customFormat="false" ht="12.8" hidden="false" customHeight="false" outlineLevel="0" collapsed="false">
      <c r="A64" s="1" t="n">
        <v>90000</v>
      </c>
      <c r="C64" s="1" t="n">
        <v>0.6</v>
      </c>
      <c r="D64" s="1" t="n">
        <v>0.7</v>
      </c>
    </row>
    <row r="65" customFormat="false" ht="12.8" hidden="false" customHeight="false" outlineLevel="0" collapsed="false">
      <c r="A65" s="1" t="n">
        <f aca="false">SUM(A63:A64)</f>
        <v>140000</v>
      </c>
      <c r="B65" s="8" t="n">
        <f aca="false">A65*1.95583</f>
        <v>273816.2</v>
      </c>
      <c r="C65" s="8" t="n">
        <f aca="false">B65*C64</f>
        <v>164289.72</v>
      </c>
      <c r="D65" s="8" t="n">
        <f aca="false">B65*D64</f>
        <v>191671.34</v>
      </c>
    </row>
    <row r="66" customFormat="false" ht="12.8" hidden="false" customHeight="false" outlineLevel="0" collapsed="false">
      <c r="B66" s="1" t="n">
        <v>173000</v>
      </c>
      <c r="C66" s="1" t="n">
        <f aca="false">B66/B65</f>
        <v>0.631810681763899</v>
      </c>
    </row>
    <row r="68" customFormat="false" ht="12.8" hidden="false" customHeight="false" outlineLevel="0" collapsed="false">
      <c r="A68" s="1" t="n">
        <v>0.25</v>
      </c>
    </row>
    <row r="69" customFormat="false" ht="12.8" hidden="false" customHeight="false" outlineLevel="0" collapsed="false">
      <c r="A69" s="1" t="n">
        <v>172000</v>
      </c>
    </row>
    <row r="70" customFormat="false" ht="12.8" hidden="false" customHeight="false" outlineLevel="0" collapsed="false">
      <c r="A70" s="13" t="n">
        <f aca="false">A68/100*A69</f>
        <v>430</v>
      </c>
    </row>
    <row r="73" customFormat="false" ht="12.8" hidden="false" customHeight="false" outlineLevel="0" collapsed="false">
      <c r="A73" s="1" t="s">
        <v>59</v>
      </c>
      <c r="B73" s="1" t="n">
        <v>4147</v>
      </c>
    </row>
    <row r="74" customFormat="false" ht="12.8" hidden="false" customHeight="false" outlineLevel="0" collapsed="false">
      <c r="A74" s="1" t="s">
        <v>60</v>
      </c>
      <c r="B74" s="1" t="n">
        <v>1227</v>
      </c>
    </row>
    <row r="75" customFormat="false" ht="12.8" hidden="false" customHeight="false" outlineLevel="0" collapsed="false">
      <c r="B75" s="1" t="n">
        <f aca="false">SUM(B73:B74)</f>
        <v>5374</v>
      </c>
    </row>
    <row r="77" customFormat="false" ht="12.8" hidden="false" customHeight="false" outlineLevel="0" collapsed="false">
      <c r="A77" s="1" t="s">
        <v>61</v>
      </c>
      <c r="B77" s="1" t="n">
        <v>120</v>
      </c>
      <c r="C77" s="1" t="n">
        <v>80</v>
      </c>
      <c r="D77" s="1" t="n">
        <f aca="false">B77*C77</f>
        <v>9600</v>
      </c>
    </row>
    <row r="78" customFormat="false" ht="12.8" hidden="false" customHeight="false" outlineLevel="0" collapsed="false">
      <c r="A78" s="1" t="s">
        <v>62</v>
      </c>
      <c r="C78" s="1" t="n">
        <f aca="false">SQRT(D77/3.14)</f>
        <v>55.293081310091</v>
      </c>
    </row>
    <row r="79" customFormat="false" ht="12.8" hidden="false" customHeight="false" outlineLevel="0" collapsed="false">
      <c r="B79" s="1" t="n">
        <v>55</v>
      </c>
      <c r="D79" s="14" t="n">
        <f aca="false">POWER(B79,2)*PI()</f>
        <v>9503.31777710913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5" t="s">
        <v>1</v>
      </c>
      <c r="B1" s="16"/>
      <c r="C1" s="17"/>
      <c r="D1" s="4" t="s">
        <v>63</v>
      </c>
      <c r="E1" s="17" t="s">
        <v>64</v>
      </c>
      <c r="F1" s="16" t="s">
        <v>4</v>
      </c>
      <c r="H1" s="18" t="s">
        <v>2</v>
      </c>
      <c r="I1" s="17"/>
      <c r="J1" s="4" t="s">
        <v>63</v>
      </c>
      <c r="K1" s="17" t="s">
        <v>64</v>
      </c>
      <c r="L1" s="16" t="s">
        <v>4</v>
      </c>
    </row>
    <row r="2" customFormat="false" ht="12.8" hidden="false" customHeight="false" outlineLevel="0" collapsed="false">
      <c r="A2" s="17"/>
      <c r="B2" s="16"/>
      <c r="C2" s="17"/>
      <c r="D2" s="19" t="n">
        <f aca="false">SUM(D4:D56)</f>
        <v>1953.64</v>
      </c>
      <c r="E2" s="20" t="n">
        <f aca="false">8018+70+785</f>
        <v>8873</v>
      </c>
      <c r="F2" s="19" t="n">
        <f aca="false">E2-D2</f>
        <v>6919.36</v>
      </c>
      <c r="G2" s="8"/>
      <c r="H2" s="19"/>
      <c r="I2" s="20"/>
      <c r="J2" s="19" t="n">
        <f aca="false">SUM(J3:J59)</f>
        <v>9809</v>
      </c>
      <c r="K2" s="20" t="n">
        <f aca="false">F2</f>
        <v>6919.36</v>
      </c>
      <c r="L2" s="19" t="n">
        <f aca="false">K2-J2</f>
        <v>-2889.64</v>
      </c>
    </row>
    <row r="3" customFormat="false" ht="12.8" hidden="false" customHeight="false" outlineLevel="0" collapsed="false">
      <c r="A3" s="2" t="s">
        <v>65</v>
      </c>
      <c r="B3" s="16"/>
      <c r="C3" s="17"/>
      <c r="D3" s="16"/>
      <c r="E3" s="17"/>
      <c r="F3" s="16"/>
      <c r="H3" s="16" t="s">
        <v>8</v>
      </c>
      <c r="I3" s="17" t="s">
        <v>66</v>
      </c>
      <c r="J3" s="16" t="n">
        <v>5500</v>
      </c>
    </row>
    <row r="4" customFormat="false" ht="12.8" hidden="false" customHeight="false" outlineLevel="0" collapsed="false">
      <c r="A4" s="17"/>
      <c r="B4" s="4" t="s">
        <v>67</v>
      </c>
      <c r="C4" s="2" t="s">
        <v>68</v>
      </c>
      <c r="D4" s="4" t="n">
        <v>0</v>
      </c>
      <c r="E4" s="17"/>
      <c r="F4" s="16"/>
      <c r="H4" s="16"/>
      <c r="I4" s="17" t="s">
        <v>9</v>
      </c>
      <c r="J4" s="16" t="n">
        <v>0</v>
      </c>
    </row>
    <row r="5" customFormat="false" ht="12.8" hidden="false" customHeight="false" outlineLevel="0" collapsed="false">
      <c r="A5" s="17"/>
      <c r="B5" s="16"/>
      <c r="C5" s="2" t="s">
        <v>78</v>
      </c>
      <c r="D5" s="4" t="n">
        <v>0</v>
      </c>
      <c r="E5" s="17"/>
      <c r="F5" s="16"/>
      <c r="H5" s="16"/>
      <c r="I5" s="17" t="s">
        <v>10</v>
      </c>
      <c r="J5" s="16" t="n">
        <v>400</v>
      </c>
    </row>
    <row r="6" customFormat="false" ht="12.8" hidden="false" customHeight="false" outlineLevel="0" collapsed="false">
      <c r="A6" s="17"/>
      <c r="B6" s="16"/>
      <c r="C6" s="2" t="s">
        <v>84</v>
      </c>
      <c r="D6" s="4" t="n">
        <v>0</v>
      </c>
      <c r="E6" s="17"/>
      <c r="F6" s="16"/>
      <c r="H6" s="16"/>
      <c r="I6" s="17" t="s">
        <v>11</v>
      </c>
      <c r="J6" s="16" t="n">
        <v>300</v>
      </c>
    </row>
    <row r="7" customFormat="false" ht="12.8" hidden="false" customHeight="false" outlineLevel="0" collapsed="false">
      <c r="A7" s="17"/>
      <c r="B7" s="4" t="s">
        <v>69</v>
      </c>
      <c r="C7" s="2" t="s">
        <v>74</v>
      </c>
      <c r="D7" s="4" t="n">
        <v>0</v>
      </c>
      <c r="E7" s="17"/>
      <c r="F7" s="16"/>
      <c r="H7" s="16"/>
      <c r="I7" s="17" t="s">
        <v>12</v>
      </c>
      <c r="J7" s="16" t="n">
        <v>600</v>
      </c>
    </row>
    <row r="8" customFormat="false" ht="12.8" hidden="false" customHeight="false" outlineLevel="0" collapsed="false">
      <c r="A8" s="17"/>
      <c r="B8" s="4" t="s">
        <v>71</v>
      </c>
      <c r="C8" s="2" t="s">
        <v>172</v>
      </c>
      <c r="D8" s="4" t="n">
        <v>30</v>
      </c>
      <c r="E8" s="17"/>
      <c r="F8" s="16"/>
      <c r="H8" s="16"/>
      <c r="I8" s="17" t="s">
        <v>14</v>
      </c>
      <c r="J8" s="16" t="n">
        <v>0</v>
      </c>
    </row>
    <row r="9" customFormat="false" ht="12.8" hidden="false" customHeight="false" outlineLevel="0" collapsed="false">
      <c r="A9" s="17"/>
      <c r="B9" s="4" t="s">
        <v>73</v>
      </c>
      <c r="C9" s="2" t="s">
        <v>74</v>
      </c>
      <c r="D9" s="4" t="n">
        <v>15</v>
      </c>
      <c r="E9" s="17"/>
      <c r="F9" s="16"/>
      <c r="H9" s="16"/>
      <c r="I9" s="17" t="s">
        <v>15</v>
      </c>
      <c r="J9" s="16" t="n">
        <v>0</v>
      </c>
    </row>
    <row r="10" customFormat="false" ht="12.8" hidden="false" customHeight="false" outlineLevel="0" collapsed="false">
      <c r="A10" s="17"/>
      <c r="B10" s="4" t="s">
        <v>75</v>
      </c>
      <c r="C10" s="2" t="s">
        <v>139</v>
      </c>
      <c r="D10" s="4" t="n">
        <v>0</v>
      </c>
      <c r="E10" s="17"/>
      <c r="F10" s="16"/>
      <c r="H10" s="16"/>
      <c r="I10" s="17" t="s">
        <v>19</v>
      </c>
      <c r="J10" s="16" t="n">
        <v>0</v>
      </c>
    </row>
    <row r="11" customFormat="false" ht="12.8" hidden="false" customHeight="false" outlineLevel="0" collapsed="false">
      <c r="A11" s="17"/>
      <c r="B11" s="4" t="s">
        <v>81</v>
      </c>
      <c r="C11" s="2" t="s">
        <v>83</v>
      </c>
      <c r="D11" s="4" t="n">
        <f aca="false">1*188</f>
        <v>188</v>
      </c>
      <c r="E11" s="17"/>
      <c r="F11" s="16"/>
      <c r="H11" s="16"/>
      <c r="I11" s="17"/>
      <c r="J11" s="16"/>
    </row>
    <row r="12" customFormat="false" ht="12.8" hidden="false" customHeight="false" outlineLevel="0" collapsed="false">
      <c r="A12" s="17"/>
      <c r="B12" s="16"/>
      <c r="C12" s="2" t="s">
        <v>173</v>
      </c>
      <c r="D12" s="4" t="n">
        <f aca="false">1*115</f>
        <v>115</v>
      </c>
      <c r="E12" s="17"/>
      <c r="F12" s="16"/>
      <c r="H12" s="16" t="s">
        <v>77</v>
      </c>
      <c r="I12" s="17" t="s">
        <v>174</v>
      </c>
      <c r="J12" s="16" t="n">
        <f aca="false">20*30</f>
        <v>600</v>
      </c>
    </row>
    <row r="13" customFormat="false" ht="12.8" hidden="false" customHeight="false" outlineLevel="0" collapsed="false">
      <c r="A13" s="17"/>
      <c r="B13" s="16"/>
      <c r="C13" s="2" t="s">
        <v>85</v>
      </c>
      <c r="D13" s="4" t="n">
        <v>92</v>
      </c>
      <c r="E13" s="17"/>
      <c r="F13" s="16"/>
      <c r="H13" s="16"/>
      <c r="I13" s="17" t="s">
        <v>175</v>
      </c>
      <c r="J13" s="16" t="n">
        <v>100</v>
      </c>
    </row>
    <row r="14" customFormat="false" ht="12.8" hidden="false" customHeight="false" outlineLevel="0" collapsed="false">
      <c r="A14" s="17"/>
      <c r="B14" s="4" t="s">
        <v>86</v>
      </c>
      <c r="C14" s="2" t="n">
        <v>0</v>
      </c>
      <c r="D14" s="16"/>
      <c r="E14" s="17"/>
      <c r="F14" s="16"/>
      <c r="H14" s="16"/>
      <c r="I14" s="17" t="s">
        <v>176</v>
      </c>
      <c r="J14" s="16" t="n">
        <v>100</v>
      </c>
    </row>
    <row r="15" customFormat="false" ht="12.8" hidden="false" customHeight="false" outlineLevel="0" collapsed="false">
      <c r="A15" s="17"/>
      <c r="B15" s="4" t="s">
        <v>88</v>
      </c>
      <c r="C15" s="2" t="s">
        <v>177</v>
      </c>
      <c r="D15" s="4" t="n">
        <v>0</v>
      </c>
      <c r="E15" s="17"/>
      <c r="F15" s="16"/>
      <c r="H15" s="16"/>
      <c r="I15" s="17" t="s">
        <v>178</v>
      </c>
      <c r="J15" s="16" t="n">
        <v>30</v>
      </c>
    </row>
    <row r="16" customFormat="false" ht="12.8" hidden="false" customHeight="false" outlineLevel="0" collapsed="false">
      <c r="A16" s="17"/>
      <c r="B16" s="16" t="s">
        <v>89</v>
      </c>
      <c r="C16" s="17"/>
      <c r="D16" s="16" t="n">
        <v>600</v>
      </c>
      <c r="E16" s="17"/>
      <c r="F16" s="16"/>
      <c r="H16" s="16"/>
      <c r="I16" s="17"/>
      <c r="J16" s="16"/>
    </row>
    <row r="17" customFormat="false" ht="12.8" hidden="false" customHeight="false" outlineLevel="0" collapsed="false">
      <c r="A17" s="2" t="s">
        <v>90</v>
      </c>
      <c r="B17" s="4" t="s">
        <v>67</v>
      </c>
      <c r="C17" s="2" t="s">
        <v>35</v>
      </c>
      <c r="D17" s="16" t="n">
        <v>0</v>
      </c>
      <c r="E17" s="17"/>
      <c r="F17" s="16"/>
      <c r="H17" s="16" t="s">
        <v>37</v>
      </c>
      <c r="I17" s="17" t="s">
        <v>179</v>
      </c>
      <c r="J17" s="16" t="n">
        <v>100</v>
      </c>
    </row>
    <row r="18" customFormat="false" ht="12.8" hidden="false" customHeight="false" outlineLevel="0" collapsed="false">
      <c r="A18" s="17"/>
      <c r="B18" s="16"/>
      <c r="C18" s="2" t="s">
        <v>91</v>
      </c>
      <c r="D18" s="16" t="n">
        <f aca="false">12*3.5</f>
        <v>42</v>
      </c>
      <c r="E18" s="17"/>
      <c r="F18" s="16"/>
      <c r="H18" s="16"/>
      <c r="I18" s="17" t="s">
        <v>95</v>
      </c>
      <c r="J18" s="16" t="n">
        <v>20</v>
      </c>
    </row>
    <row r="19" customFormat="false" ht="12.8" hidden="false" customHeight="false" outlineLevel="0" collapsed="false">
      <c r="A19" s="17"/>
      <c r="B19" s="16"/>
      <c r="C19" s="2" t="s">
        <v>87</v>
      </c>
      <c r="D19" s="16" t="n">
        <f aca="false">(3.7+3.2)*2/2.5*7</f>
        <v>38.64</v>
      </c>
      <c r="E19" s="17"/>
      <c r="F19" s="16"/>
      <c r="H19" s="16"/>
      <c r="I19" s="17" t="s">
        <v>180</v>
      </c>
      <c r="J19" s="16" t="n">
        <v>20</v>
      </c>
    </row>
    <row r="20" customFormat="false" ht="12.8" hidden="false" customHeight="false" outlineLevel="0" collapsed="false">
      <c r="A20" s="17"/>
      <c r="B20" s="4" t="s">
        <v>69</v>
      </c>
      <c r="C20" s="2" t="s">
        <v>74</v>
      </c>
      <c r="D20" s="16" t="n">
        <v>0</v>
      </c>
      <c r="E20" s="17"/>
      <c r="F20" s="16"/>
      <c r="H20" s="16"/>
      <c r="I20" s="17" t="s">
        <v>181</v>
      </c>
      <c r="J20" s="16" t="n">
        <v>150</v>
      </c>
    </row>
    <row r="21" customFormat="false" ht="12.8" hidden="false" customHeight="false" outlineLevel="0" collapsed="false">
      <c r="A21" s="17"/>
      <c r="B21" s="4" t="s">
        <v>71</v>
      </c>
      <c r="C21" s="2" t="s">
        <v>172</v>
      </c>
      <c r="D21" s="16" t="n">
        <v>10</v>
      </c>
      <c r="E21" s="17"/>
      <c r="F21" s="16"/>
      <c r="H21" s="16"/>
      <c r="I21" s="17"/>
      <c r="J21" s="16"/>
    </row>
    <row r="22" customFormat="false" ht="12.8" hidden="false" customHeight="false" outlineLevel="0" collapsed="false">
      <c r="A22" s="17"/>
      <c r="B22" s="4" t="s">
        <v>73</v>
      </c>
      <c r="C22" s="2" t="s">
        <v>74</v>
      </c>
      <c r="D22" s="16" t="n">
        <v>15</v>
      </c>
      <c r="E22" s="17"/>
      <c r="F22" s="16"/>
      <c r="H22" s="16" t="s">
        <v>99</v>
      </c>
      <c r="I22" s="17" t="s">
        <v>13</v>
      </c>
      <c r="J22" s="16" t="n">
        <v>0</v>
      </c>
    </row>
    <row r="23" customFormat="false" ht="12.8" hidden="false" customHeight="false" outlineLevel="0" collapsed="false">
      <c r="A23" s="17"/>
      <c r="B23" s="4" t="s">
        <v>75</v>
      </c>
      <c r="C23" s="2" t="s">
        <v>139</v>
      </c>
      <c r="D23" s="4" t="n">
        <v>0</v>
      </c>
      <c r="E23" s="17"/>
      <c r="F23" s="16"/>
      <c r="H23" s="16"/>
      <c r="I23" s="17" t="s">
        <v>182</v>
      </c>
      <c r="J23" s="16" t="n">
        <v>0</v>
      </c>
    </row>
    <row r="24" customFormat="false" ht="12.8" hidden="false" customHeight="false" outlineLevel="0" collapsed="false">
      <c r="A24" s="17"/>
      <c r="B24" s="4" t="s">
        <v>86</v>
      </c>
      <c r="C24" s="17"/>
      <c r="D24" s="16" t="n">
        <v>15</v>
      </c>
      <c r="E24" s="17"/>
      <c r="F24" s="16"/>
      <c r="H24" s="16"/>
      <c r="I24" s="17" t="s">
        <v>66</v>
      </c>
      <c r="J24" s="16" t="n">
        <v>200</v>
      </c>
    </row>
    <row r="25" customFormat="false" ht="12.8" hidden="false" customHeight="false" outlineLevel="0" collapsed="false">
      <c r="A25" s="17"/>
      <c r="B25" s="4" t="s">
        <v>88</v>
      </c>
      <c r="C25" s="2" t="s">
        <v>101</v>
      </c>
      <c r="D25" s="16" t="n">
        <v>200</v>
      </c>
      <c r="E25" s="17"/>
      <c r="F25" s="16"/>
      <c r="H25" s="16"/>
      <c r="I25" s="17" t="s">
        <v>100</v>
      </c>
      <c r="J25" s="16" t="n">
        <v>360</v>
      </c>
    </row>
    <row r="26" customFormat="false" ht="12.8" hidden="false" customHeight="false" outlineLevel="0" collapsed="false">
      <c r="A26" s="17"/>
      <c r="B26" s="16"/>
      <c r="C26" s="2" t="s">
        <v>103</v>
      </c>
      <c r="D26" s="16" t="n">
        <v>250</v>
      </c>
      <c r="E26" s="17"/>
      <c r="F26" s="16"/>
      <c r="H26" s="16"/>
      <c r="I26" s="17"/>
      <c r="J26" s="16"/>
    </row>
    <row r="27" customFormat="false" ht="12.8" hidden="false" customHeight="false" outlineLevel="0" collapsed="false">
      <c r="A27" s="17"/>
      <c r="B27" s="16"/>
      <c r="C27" s="2" t="s">
        <v>183</v>
      </c>
      <c r="D27" s="16" t="n">
        <v>0</v>
      </c>
      <c r="E27" s="17"/>
      <c r="F27" s="16"/>
      <c r="H27" s="16" t="s">
        <v>90</v>
      </c>
      <c r="I27" s="17" t="s">
        <v>25</v>
      </c>
      <c r="J27" s="16" t="n">
        <v>850</v>
      </c>
    </row>
    <row r="28" customFormat="false" ht="12.8" hidden="false" customHeight="false" outlineLevel="0" collapsed="false">
      <c r="A28" s="17"/>
      <c r="B28" s="16"/>
      <c r="C28" s="17"/>
      <c r="D28" s="16"/>
      <c r="E28" s="17"/>
      <c r="F28" s="16"/>
      <c r="H28" s="16"/>
      <c r="I28" s="17" t="s">
        <v>24</v>
      </c>
      <c r="J28" s="16" t="n">
        <f aca="false">12*25+40</f>
        <v>340</v>
      </c>
    </row>
    <row r="29" customFormat="false" ht="12.8" hidden="false" customHeight="false" outlineLevel="0" collapsed="false">
      <c r="A29" s="2" t="s">
        <v>105</v>
      </c>
      <c r="B29" s="4" t="s">
        <v>67</v>
      </c>
      <c r="C29" s="2" t="s">
        <v>68</v>
      </c>
      <c r="D29" s="16" t="n">
        <v>15</v>
      </c>
      <c r="E29" s="17"/>
      <c r="F29" s="16"/>
      <c r="H29" s="16"/>
      <c r="I29" s="17" t="s">
        <v>184</v>
      </c>
      <c r="J29" s="16" t="n">
        <v>50</v>
      </c>
    </row>
    <row r="30" customFormat="false" ht="12.8" hidden="false" customHeight="false" outlineLevel="0" collapsed="false">
      <c r="A30" s="17"/>
      <c r="B30" s="16"/>
      <c r="C30" s="2" t="s">
        <v>80</v>
      </c>
      <c r="D30" s="16" t="n">
        <v>15</v>
      </c>
      <c r="E30" s="17"/>
      <c r="F30" s="16"/>
      <c r="H30" s="16"/>
      <c r="I30" s="17"/>
      <c r="J30" s="16"/>
    </row>
    <row r="31" customFormat="false" ht="12.8" hidden="false" customHeight="false" outlineLevel="0" collapsed="false">
      <c r="A31" s="17"/>
      <c r="B31" s="16"/>
      <c r="C31" s="2" t="s">
        <v>185</v>
      </c>
      <c r="D31" s="16" t="n">
        <v>25</v>
      </c>
      <c r="E31" s="17"/>
      <c r="F31" s="16"/>
      <c r="H31" s="16" t="s">
        <v>104</v>
      </c>
      <c r="I31" s="17"/>
      <c r="J31" s="16" t="n">
        <f aca="false">32+57</f>
        <v>89</v>
      </c>
    </row>
    <row r="32" customFormat="false" ht="12.8" hidden="false" customHeight="false" outlineLevel="0" collapsed="false">
      <c r="A32" s="17"/>
      <c r="B32" s="4" t="s">
        <v>69</v>
      </c>
      <c r="C32" s="2" t="s">
        <v>68</v>
      </c>
      <c r="D32" s="16" t="n">
        <f aca="false">2*D4</f>
        <v>0</v>
      </c>
      <c r="E32" s="17"/>
      <c r="F32" s="16"/>
      <c r="H32" s="16"/>
      <c r="I32" s="17"/>
      <c r="J32" s="16"/>
      <c r="L32" s="1" t="n">
        <f aca="false">11831+785</f>
        <v>12616</v>
      </c>
    </row>
    <row r="33" customFormat="false" ht="12.8" hidden="false" customHeight="false" outlineLevel="0" collapsed="false">
      <c r="A33" s="17"/>
      <c r="B33" s="16"/>
      <c r="C33" s="2" t="s">
        <v>80</v>
      </c>
      <c r="D33" s="16" t="n">
        <f aca="false">3*15</f>
        <v>45</v>
      </c>
      <c r="E33" s="17"/>
      <c r="F33" s="16"/>
      <c r="H33" s="16"/>
      <c r="I33" s="17"/>
      <c r="J33" s="16"/>
    </row>
    <row r="34" customFormat="false" ht="12.8" hidden="false" customHeight="false" outlineLevel="0" collapsed="false">
      <c r="A34" s="17"/>
      <c r="B34" s="16"/>
      <c r="C34" s="2" t="s">
        <v>128</v>
      </c>
      <c r="D34" s="16" t="n">
        <v>50</v>
      </c>
      <c r="E34" s="17"/>
      <c r="F34" s="16"/>
      <c r="H34" s="16"/>
      <c r="I34" s="17"/>
      <c r="J34" s="16"/>
    </row>
    <row r="35" customFormat="false" ht="12.8" hidden="false" customHeight="false" outlineLevel="0" collapsed="false">
      <c r="A35" s="17"/>
      <c r="B35" s="16"/>
      <c r="C35" s="2" t="s">
        <v>186</v>
      </c>
      <c r="D35" s="16" t="n">
        <f aca="false">7</f>
        <v>7</v>
      </c>
      <c r="E35" s="17"/>
      <c r="F35" s="16"/>
      <c r="H35" s="16"/>
      <c r="I35" s="17"/>
      <c r="J35" s="16"/>
    </row>
    <row r="36" customFormat="false" ht="12.8" hidden="false" customHeight="false" outlineLevel="0" collapsed="false">
      <c r="A36" s="17"/>
      <c r="B36" s="4" t="s">
        <v>73</v>
      </c>
      <c r="C36" s="2" t="s">
        <v>128</v>
      </c>
      <c r="D36" s="16" t="n">
        <v>50</v>
      </c>
      <c r="E36" s="17"/>
      <c r="F36" s="16"/>
      <c r="H36" s="16"/>
      <c r="I36" s="17"/>
      <c r="J36" s="16"/>
    </row>
    <row r="37" customFormat="false" ht="12.8" hidden="false" customHeight="false" outlineLevel="0" collapsed="false">
      <c r="A37" s="17"/>
      <c r="B37" s="4" t="s">
        <v>75</v>
      </c>
      <c r="C37" s="2" t="s">
        <v>139</v>
      </c>
      <c r="D37" s="4" t="n">
        <v>0</v>
      </c>
      <c r="E37" s="17"/>
      <c r="F37" s="16"/>
      <c r="H37" s="16"/>
      <c r="I37" s="17"/>
      <c r="J37" s="16"/>
    </row>
    <row r="38" customFormat="false" ht="12.8" hidden="false" customHeight="false" outlineLevel="0" collapsed="false">
      <c r="A38" s="17"/>
      <c r="B38" s="4" t="s">
        <v>86</v>
      </c>
      <c r="C38" s="2" t="s">
        <v>187</v>
      </c>
      <c r="D38" s="16" t="n">
        <f aca="false">6*6</f>
        <v>36</v>
      </c>
      <c r="E38" s="17"/>
      <c r="F38" s="16"/>
      <c r="H38" s="16"/>
      <c r="I38" s="17"/>
      <c r="J38" s="16"/>
    </row>
    <row r="39" customFormat="false" ht="12.8" hidden="false" customHeight="false" outlineLevel="0" collapsed="false">
      <c r="A39" s="17"/>
      <c r="B39" s="4" t="s">
        <v>88</v>
      </c>
      <c r="C39" s="2" t="s">
        <v>188</v>
      </c>
      <c r="D39" s="16" t="n">
        <v>0</v>
      </c>
      <c r="E39" s="17"/>
      <c r="F39" s="16"/>
      <c r="H39" s="16"/>
      <c r="I39" s="17"/>
      <c r="J39" s="16"/>
    </row>
    <row r="40" customFormat="false" ht="12.8" hidden="false" customHeight="false" outlineLevel="0" collapsed="false">
      <c r="A40" s="17"/>
      <c r="B40" s="16"/>
      <c r="C40" s="2" t="s">
        <v>189</v>
      </c>
      <c r="D40" s="16" t="n">
        <v>0</v>
      </c>
      <c r="E40" s="17"/>
      <c r="F40" s="16"/>
      <c r="H40" s="16"/>
      <c r="I40" s="17"/>
      <c r="J40" s="16"/>
    </row>
    <row r="41" customFormat="false" ht="12.8" hidden="false" customHeight="false" outlineLevel="0" collapsed="false">
      <c r="A41" s="17"/>
      <c r="B41" s="16"/>
      <c r="C41" s="2" t="s">
        <v>154</v>
      </c>
      <c r="D41" s="16" t="n">
        <f aca="false">10</f>
        <v>10</v>
      </c>
      <c r="E41" s="17"/>
      <c r="F41" s="16"/>
      <c r="H41" s="16"/>
      <c r="I41" s="17"/>
      <c r="J41" s="16"/>
    </row>
    <row r="42" customFormat="false" ht="12.8" hidden="false" customHeight="false" outlineLevel="0" collapsed="false">
      <c r="A42" s="17"/>
      <c r="B42" s="16"/>
      <c r="C42" s="2" t="s">
        <v>190</v>
      </c>
      <c r="D42" s="16" t="n">
        <v>40</v>
      </c>
      <c r="E42" s="17"/>
      <c r="F42" s="16"/>
      <c r="H42" s="16"/>
      <c r="I42" s="17"/>
      <c r="J42" s="16"/>
    </row>
    <row r="43" customFormat="false" ht="12.8" hidden="false" customHeight="false" outlineLevel="0" collapsed="false">
      <c r="A43" s="2" t="s">
        <v>109</v>
      </c>
      <c r="B43" s="4" t="s">
        <v>67</v>
      </c>
      <c r="C43" s="2" t="s">
        <v>68</v>
      </c>
      <c r="D43" s="16" t="n">
        <v>0</v>
      </c>
      <c r="E43" s="17"/>
      <c r="F43" s="16"/>
      <c r="H43" s="16"/>
      <c r="I43" s="17"/>
      <c r="J43" s="16"/>
    </row>
    <row r="44" customFormat="false" ht="12.8" hidden="false" customHeight="false" outlineLevel="0" collapsed="false">
      <c r="A44" s="17"/>
      <c r="B44" s="16"/>
      <c r="C44" s="2" t="s">
        <v>80</v>
      </c>
      <c r="D44" s="16" t="n">
        <v>0</v>
      </c>
      <c r="E44" s="17"/>
      <c r="F44" s="16"/>
      <c r="H44" s="16"/>
      <c r="I44" s="17"/>
      <c r="J44" s="16"/>
    </row>
    <row r="45" customFormat="false" ht="12.8" hidden="false" customHeight="false" outlineLevel="0" collapsed="false">
      <c r="A45" s="17"/>
      <c r="B45" s="4" t="s">
        <v>69</v>
      </c>
      <c r="C45" s="2" t="s">
        <v>74</v>
      </c>
      <c r="D45" s="16" t="n">
        <v>15</v>
      </c>
      <c r="E45" s="17"/>
      <c r="F45" s="16"/>
      <c r="H45" s="16"/>
      <c r="I45" s="17"/>
      <c r="J45" s="16"/>
    </row>
    <row r="46" customFormat="false" ht="12.8" hidden="false" customHeight="false" outlineLevel="0" collapsed="false">
      <c r="A46" s="17"/>
      <c r="B46" s="4" t="s">
        <v>73</v>
      </c>
      <c r="C46" s="2" t="s">
        <v>74</v>
      </c>
      <c r="D46" s="16" t="n">
        <v>15</v>
      </c>
      <c r="E46" s="17"/>
      <c r="F46" s="16"/>
      <c r="H46" s="16"/>
      <c r="I46" s="17"/>
      <c r="J46" s="16"/>
    </row>
    <row r="47" customFormat="false" ht="12.8" hidden="false" customHeight="false" outlineLevel="0" collapsed="false">
      <c r="A47" s="17"/>
      <c r="B47" s="4" t="s">
        <v>86</v>
      </c>
      <c r="C47" s="2" t="n">
        <v>0</v>
      </c>
      <c r="D47" s="16"/>
      <c r="E47" s="17"/>
      <c r="F47" s="16"/>
      <c r="H47" s="16"/>
      <c r="I47" s="17"/>
      <c r="J47" s="16"/>
    </row>
    <row r="48" customFormat="false" ht="12.8" hidden="false" customHeight="false" outlineLevel="0" collapsed="false">
      <c r="A48" s="17"/>
      <c r="B48" s="4" t="s">
        <v>88</v>
      </c>
      <c r="C48" s="2" t="s">
        <v>191</v>
      </c>
      <c r="D48" s="16" t="n">
        <v>20</v>
      </c>
      <c r="E48" s="17"/>
      <c r="F48" s="16"/>
      <c r="H48" s="16"/>
      <c r="I48" s="17"/>
      <c r="J48" s="16"/>
    </row>
    <row r="49" customFormat="false" ht="12.8" hidden="false" customHeight="false" outlineLevel="0" collapsed="false">
      <c r="H49" s="16"/>
      <c r="I49" s="17"/>
      <c r="J49" s="16"/>
    </row>
    <row r="50" customFormat="false" ht="12.8" hidden="false" customHeight="false" outlineLevel="0" collapsed="false">
      <c r="H50" s="16"/>
      <c r="I50" s="17"/>
      <c r="J50" s="16"/>
    </row>
    <row r="51" customFormat="false" ht="12.8" hidden="false" customHeight="false" outlineLevel="0" collapsed="false">
      <c r="C51" s="1" t="n">
        <f aca="false">(219+30)*3</f>
        <v>747</v>
      </c>
      <c r="H51" s="16"/>
      <c r="I51" s="17"/>
      <c r="J51" s="16"/>
    </row>
    <row r="52" customFormat="false" ht="12.8" hidden="false" customHeight="false" outlineLevel="0" collapsed="false">
      <c r="C52" s="1" t="n">
        <f aca="false">3*360</f>
        <v>1080</v>
      </c>
    </row>
    <row r="53" customFormat="false" ht="12.8" hidden="false" customHeight="false" outlineLevel="0" collapsed="false">
      <c r="C53" s="1" t="n">
        <f aca="false">C52-C51</f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5"/>
    <col collapsed="false" customWidth="false" hidden="false" outlineLevel="0" max="4" min="4" style="23" width="11.53"/>
  </cols>
  <sheetData>
    <row r="1" customFormat="false" ht="12.8" hidden="false" customHeight="false" outlineLevel="0" collapsed="false">
      <c r="B1" s="1" t="s">
        <v>192</v>
      </c>
      <c r="C1" s="1" t="s">
        <v>193</v>
      </c>
    </row>
    <row r="2" customFormat="false" ht="12.8" hidden="false" customHeight="false" outlineLevel="0" collapsed="false">
      <c r="B2" s="13" t="n">
        <f aca="false">SUM(B3:B25)</f>
        <v>365</v>
      </c>
      <c r="C2" s="13" t="n">
        <f aca="false">SUM(C3:C25)</f>
        <v>754</v>
      </c>
      <c r="D2" s="23" t="n">
        <f aca="false">SUMIF(D3:D25,"x",C3:C25)</f>
        <v>475</v>
      </c>
    </row>
    <row r="3" customFormat="false" ht="12.8" hidden="false" customHeight="false" outlineLevel="0" collapsed="false">
      <c r="A3" s="1" t="s">
        <v>194</v>
      </c>
      <c r="B3" s="1" t="n">
        <v>80</v>
      </c>
      <c r="C3" s="1" t="n">
        <v>80</v>
      </c>
      <c r="D3" s="23" t="s">
        <v>195</v>
      </c>
    </row>
    <row r="4" customFormat="false" ht="12.8" hidden="false" customHeight="false" outlineLevel="0" collapsed="false">
      <c r="A4" s="1" t="s">
        <v>111</v>
      </c>
      <c r="C4" s="1" t="n">
        <v>25</v>
      </c>
      <c r="D4" s="23" t="s">
        <v>195</v>
      </c>
    </row>
    <row r="5" customFormat="false" ht="12.8" hidden="false" customHeight="false" outlineLevel="0" collapsed="false">
      <c r="A5" s="1" t="s">
        <v>111</v>
      </c>
      <c r="C5" s="1" t="n">
        <v>20</v>
      </c>
      <c r="D5" s="23" t="s">
        <v>195</v>
      </c>
    </row>
    <row r="6" customFormat="false" ht="12.8" hidden="false" customHeight="false" outlineLevel="0" collapsed="false">
      <c r="A6" s="1" t="s">
        <v>196</v>
      </c>
      <c r="C6" s="1" t="n">
        <v>56</v>
      </c>
    </row>
    <row r="7" customFormat="false" ht="12.8" hidden="false" customHeight="false" outlineLevel="0" collapsed="false">
      <c r="A7" s="1" t="s">
        <v>197</v>
      </c>
      <c r="C7" s="1" t="n">
        <v>100</v>
      </c>
    </row>
    <row r="8" customFormat="false" ht="12.8" hidden="false" customHeight="false" outlineLevel="0" collapsed="false">
      <c r="A8" s="1" t="s">
        <v>198</v>
      </c>
      <c r="C8" s="1" t="n">
        <v>43</v>
      </c>
    </row>
    <row r="9" customFormat="false" ht="12.8" hidden="false" customHeight="false" outlineLevel="0" collapsed="false">
      <c r="A9" s="1" t="s">
        <v>199</v>
      </c>
      <c r="C9" s="1" t="n">
        <v>80</v>
      </c>
    </row>
    <row r="10" customFormat="false" ht="12.8" hidden="false" customHeight="false" outlineLevel="0" collapsed="false">
      <c r="A10" s="1" t="s">
        <v>200</v>
      </c>
      <c r="B10" s="1" t="n">
        <v>80</v>
      </c>
    </row>
    <row r="11" customFormat="false" ht="12.8" hidden="false" customHeight="false" outlineLevel="0" collapsed="false">
      <c r="A11" s="1" t="s">
        <v>201</v>
      </c>
      <c r="C11" s="1" t="n">
        <v>103</v>
      </c>
      <c r="D11" s="23" t="s">
        <v>195</v>
      </c>
    </row>
    <row r="12" customFormat="false" ht="12.8" hidden="false" customHeight="false" outlineLevel="0" collapsed="false">
      <c r="A12" s="1" t="s">
        <v>202</v>
      </c>
      <c r="B12" s="1" t="n">
        <v>70</v>
      </c>
    </row>
    <row r="13" customFormat="false" ht="12.8" hidden="false" customHeight="false" outlineLevel="0" collapsed="false">
      <c r="A13" s="1" t="s">
        <v>203</v>
      </c>
      <c r="B13" s="1" t="n">
        <v>21</v>
      </c>
    </row>
    <row r="14" customFormat="false" ht="12.8" hidden="false" customHeight="false" outlineLevel="0" collapsed="false">
      <c r="A14" s="1" t="s">
        <v>204</v>
      </c>
      <c r="C14" s="1" t="n">
        <v>173</v>
      </c>
      <c r="D14" s="23" t="s">
        <v>195</v>
      </c>
    </row>
    <row r="15" customFormat="false" ht="12.8" hidden="false" customHeight="false" outlineLevel="0" collapsed="false">
      <c r="A15" s="1" t="s">
        <v>111</v>
      </c>
      <c r="C15" s="1" t="n">
        <v>47</v>
      </c>
      <c r="D15" s="23" t="s">
        <v>195</v>
      </c>
    </row>
    <row r="16" customFormat="false" ht="12.8" hidden="false" customHeight="false" outlineLevel="0" collapsed="false">
      <c r="A16" s="1" t="s">
        <v>111</v>
      </c>
      <c r="C16" s="1" t="n">
        <v>27</v>
      </c>
      <c r="D16" s="23" t="s">
        <v>195</v>
      </c>
    </row>
    <row r="17" customFormat="false" ht="12.8" hidden="false" customHeight="false" outlineLevel="0" collapsed="false">
      <c r="A17" s="1" t="s">
        <v>205</v>
      </c>
      <c r="B17" s="1" t="n">
        <v>55</v>
      </c>
    </row>
    <row r="18" customFormat="false" ht="12.8" hidden="false" customHeight="false" outlineLevel="0" collapsed="false">
      <c r="A18" s="1" t="s">
        <v>111</v>
      </c>
      <c r="B18" s="1" t="n">
        <v>21</v>
      </c>
    </row>
    <row r="19" customFormat="false" ht="12.8" hidden="false" customHeight="false" outlineLevel="0" collapsed="false">
      <c r="A19" s="1" t="s">
        <v>206</v>
      </c>
      <c r="B19" s="1" t="n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207</v>
      </c>
      <c r="C1" s="1" t="n">
        <v>0.31</v>
      </c>
      <c r="D1" s="1" t="n">
        <v>0.62</v>
      </c>
      <c r="E1" s="1" t="s">
        <v>208</v>
      </c>
    </row>
    <row r="2" customFormat="false" ht="12.8" hidden="false" customHeight="false" outlineLevel="0" collapsed="false">
      <c r="A2" s="1" t="s">
        <v>209</v>
      </c>
      <c r="B2" s="1" t="n">
        <v>5.75</v>
      </c>
      <c r="C2" s="1" t="n">
        <f aca="false">ROUNDUP((B2/C$1),0)</f>
        <v>19</v>
      </c>
      <c r="D2" s="1" t="n">
        <f aca="false">ROUNDUP((B2/D$1),0)</f>
        <v>10</v>
      </c>
    </row>
    <row r="3" customFormat="false" ht="12.8" hidden="false" customHeight="false" outlineLevel="0" collapsed="false">
      <c r="B3" s="1" t="n">
        <v>3.7</v>
      </c>
      <c r="C3" s="1" t="n">
        <f aca="false">ROUNDUP((B3/C$1),0)</f>
        <v>12</v>
      </c>
      <c r="D3" s="1" t="n">
        <f aca="false">ROUNDUP((B3/D$1),0)</f>
        <v>6</v>
      </c>
      <c r="E3" s="1" t="n">
        <f aca="false">C2*D3</f>
        <v>114</v>
      </c>
    </row>
    <row r="4" customFormat="false" ht="12.8" hidden="false" customHeight="false" outlineLevel="0" collapsed="false">
      <c r="A4" s="1" t="s">
        <v>210</v>
      </c>
      <c r="B4" s="1" t="n">
        <v>2.6</v>
      </c>
      <c r="C4" s="1" t="n">
        <f aca="false">ROUNDDOWN((B4/C$1),0)</f>
        <v>8</v>
      </c>
      <c r="D4" s="1" t="n">
        <f aca="false">ROUNDDOWN((B4/D$1),0)</f>
        <v>4</v>
      </c>
    </row>
    <row r="5" customFormat="false" ht="12.8" hidden="false" customHeight="false" outlineLevel="0" collapsed="false">
      <c r="B5" s="1" t="n">
        <f aca="false">3.7-3.1</f>
        <v>0.6</v>
      </c>
      <c r="C5" s="1" t="n">
        <f aca="false">ROUND((B5/C$1),0)</f>
        <v>2</v>
      </c>
      <c r="D5" s="1" t="n">
        <f aca="false">ROUND((B5/D$1),0)</f>
        <v>1</v>
      </c>
      <c r="E5" s="1" t="n">
        <f aca="false">C4*D5</f>
        <v>8</v>
      </c>
    </row>
    <row r="6" customFormat="false" ht="12.8" hidden="false" customHeight="false" outlineLevel="0" collapsed="false">
      <c r="B6" s="1" t="n">
        <f aca="false">B2*B3-B4*B5</f>
        <v>19.715</v>
      </c>
      <c r="E6" s="1" t="n">
        <f aca="false">E3-E5</f>
        <v>106</v>
      </c>
    </row>
    <row r="8" customFormat="false" ht="12.8" hidden="false" customHeight="false" outlineLevel="0" collapsed="false">
      <c r="A8" s="1" t="s">
        <v>109</v>
      </c>
      <c r="B8" s="1" t="n">
        <v>3.6</v>
      </c>
      <c r="C8" s="1" t="n">
        <f aca="false">ROUNDUP((B8/C$1),0)</f>
        <v>12</v>
      </c>
      <c r="D8" s="1" t="n">
        <f aca="false">ROUNDUP((B8/D$1),0)</f>
        <v>6</v>
      </c>
      <c r="E8" s="1" t="n">
        <f aca="false">C9*D8</f>
        <v>30</v>
      </c>
    </row>
    <row r="9" customFormat="false" ht="12.8" hidden="false" customHeight="false" outlineLevel="0" collapsed="false">
      <c r="B9" s="1" t="n">
        <v>1.35</v>
      </c>
      <c r="C9" s="1" t="n">
        <f aca="false">ROUNDUP((B9/C$1),0)</f>
        <v>5</v>
      </c>
      <c r="D9" s="1" t="n">
        <f aca="false">ROUNDUP((B9/D$1),0)</f>
        <v>3</v>
      </c>
    </row>
    <row r="10" customFormat="false" ht="12.8" hidden="false" customHeight="false" outlineLevel="0" collapsed="false">
      <c r="B10" s="1" t="n">
        <f aca="false">3.3-1.35</f>
        <v>1.95</v>
      </c>
      <c r="C10" s="1" t="n">
        <f aca="false">ROUNDUP((B10/C$1),0)</f>
        <v>7</v>
      </c>
      <c r="D10" s="1" t="n">
        <f aca="false">ROUNDUP((B10/D$1),0)</f>
        <v>4</v>
      </c>
      <c r="E10" s="1" t="n">
        <f aca="false">C11*D10</f>
        <v>16</v>
      </c>
    </row>
    <row r="11" customFormat="false" ht="12.8" hidden="false" customHeight="false" outlineLevel="0" collapsed="false">
      <c r="B11" s="1" t="n">
        <v>0.95</v>
      </c>
      <c r="C11" s="1" t="n">
        <f aca="false">ROUNDUP((B11/C$1),0)</f>
        <v>4</v>
      </c>
      <c r="D11" s="1" t="n">
        <f aca="false">ROUNDUP((B11/D$1),0)</f>
        <v>2</v>
      </c>
    </row>
    <row r="12" customFormat="false" ht="12.8" hidden="false" customHeight="false" outlineLevel="0" collapsed="false">
      <c r="B12" s="1" t="n">
        <f aca="false">B8*B9+B10*B11</f>
        <v>6.7125</v>
      </c>
      <c r="E12" s="1" t="n">
        <f aca="false">SUM(E8:E11)</f>
        <v>46</v>
      </c>
      <c r="G12" s="1" t="n">
        <f aca="false">E6+E12</f>
        <v>152</v>
      </c>
    </row>
    <row r="13" customFormat="false" ht="12.8" hidden="false" customHeight="false" outlineLevel="0" collapsed="false">
      <c r="G13" s="1" t="n">
        <f aca="false">G12/8</f>
        <v>19</v>
      </c>
    </row>
    <row r="14" customFormat="false" ht="12.8" hidden="false" customHeight="false" outlineLevel="0" collapsed="false">
      <c r="B14" s="1" t="n">
        <f aca="false">B6+B12</f>
        <v>26.4275</v>
      </c>
      <c r="G14" s="1" t="n">
        <f aca="false">G13*33.86</f>
        <v>643.34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184807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cp:lastPrinted>2024-05-29T21:49:55Z</cp:lastPrinted>
  <dcterms:modified xsi:type="dcterms:W3CDTF">2024-05-30T16:21:22Z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