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mpl14970\Desktop\Apr 2023\Sathishkumar\"/>
    </mc:Choice>
  </mc:AlternateContent>
  <bookViews>
    <workbookView xWindow="0" yWindow="0" windowWidth="24000" windowHeight="9600" tabRatio="893" firstSheet="4" activeTab="27"/>
  </bookViews>
  <sheets>
    <sheet name="Core Input Sheet" sheetId="9" r:id="rId1"/>
    <sheet name="Borrowers" sheetId="8" r:id="rId2"/>
    <sheet name="DSCR" sheetId="13" r:id="rId3"/>
    <sheet name="Consolidated" sheetId="2" r:id="rId4"/>
    <sheet name="Sathish Diamonds" sheetId="7" r:id="rId5"/>
    <sheet name="Sathish Jewellers" sheetId="3" r:id="rId6"/>
    <sheet name="Company 3" sheetId="4" state="hidden" r:id="rId7"/>
    <sheet name="Company 4" sheetId="5" state="hidden" r:id="rId8"/>
    <sheet name="Company 5" sheetId="6" state="hidden" r:id="rId9"/>
    <sheet name="Presumptive Income calculation" sheetId="32" r:id="rId10"/>
    <sheet name="Property Details" sheetId="10" r:id="rId11"/>
    <sheet name="Loan Details" sheetId="11" r:id="rId12"/>
    <sheet name="GST" sheetId="22" r:id="rId13"/>
    <sheet name="Business Banking" sheetId="12" r:id="rId14"/>
    <sheet name="Individual Banking" sheetId="18" state="hidden" r:id="rId15"/>
    <sheet name="Rental Income Eligibility" sheetId="14" state="hidden" r:id="rId16"/>
    <sheet name="Rent Agreements" sheetId="17" state="hidden" r:id="rId17"/>
    <sheet name="Salaried LAP" sheetId="15" state="hidden" r:id="rId18"/>
    <sheet name="Verifications" sheetId="31" state="hidden" r:id="rId19"/>
    <sheet name="High LTV" sheetId="20" state="hidden" r:id="rId20"/>
    <sheet name="Low LTV" sheetId="21" state="hidden" r:id="rId21"/>
    <sheet name="BT Loan" sheetId="27" state="hidden" r:id="rId22"/>
    <sheet name="Purchase case" sheetId="33" state="hidden" r:id="rId23"/>
    <sheet name="Credit Deviations" sheetId="28" state="hidden" r:id="rId24"/>
    <sheet name="Technical Devaitions" sheetId="29" state="hidden" r:id="rId25"/>
    <sheet name="Industry Classification" sheetId="19" state="hidden" r:id="rId26"/>
    <sheet name="Risk Category" sheetId="30" state="hidden" r:id="rId27"/>
    <sheet name="ITR Snapshot" sheetId="26" r:id="rId28"/>
    <sheet name="Kotak Group Relationship" sheetId="25" state="hidden" r:id="rId29"/>
    <sheet name="LRD NPV Method" sheetId="24" state="hidden" r:id="rId30"/>
    <sheet name="Debtor &amp; Creditor Analysis" sheetId="23" state="hidden" r:id="rId31"/>
  </sheets>
  <definedNames>
    <definedName name="_xlnm._FilterDatabase" localSheetId="11" hidden="1">'Loan Details'!$A$2:$Q$5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3" l="1"/>
  <c r="M16" i="22"/>
  <c r="L16" i="22"/>
  <c r="K16" i="22"/>
  <c r="J16" i="22"/>
  <c r="O4" i="11"/>
  <c r="L4" i="11"/>
  <c r="M4" i="11" s="1"/>
  <c r="D29" i="3"/>
  <c r="C29" i="3"/>
  <c r="C25" i="3"/>
  <c r="D29" i="7"/>
  <c r="C29" i="7" l="1"/>
  <c r="C25" i="7"/>
  <c r="C24" i="7"/>
  <c r="D12" i="8"/>
  <c r="D11" i="8"/>
  <c r="C69" i="7" l="1"/>
  <c r="D69" i="3" l="1"/>
  <c r="D64" i="3"/>
  <c r="D25" i="3"/>
  <c r="D24" i="3"/>
  <c r="C24" i="3"/>
  <c r="C69" i="3"/>
  <c r="C64" i="3"/>
  <c r="C71" i="7" l="1"/>
  <c r="C65" i="7"/>
  <c r="C76" i="7" s="1"/>
  <c r="C81" i="7" s="1"/>
  <c r="C83" i="7" s="1"/>
  <c r="C55" i="7"/>
  <c r="C58" i="7" s="1"/>
  <c r="C61" i="7" s="1"/>
  <c r="D71" i="7"/>
  <c r="D69" i="7"/>
  <c r="D65" i="7"/>
  <c r="D55" i="7"/>
  <c r="D58" i="7" s="1"/>
  <c r="D61" i="7" s="1"/>
  <c r="D24" i="7" l="1"/>
  <c r="D9" i="33" l="1"/>
  <c r="D7" i="33"/>
  <c r="D4" i="33"/>
  <c r="D5" i="33" s="1"/>
  <c r="D8" i="33" s="1"/>
  <c r="B21" i="32"/>
  <c r="D26" i="32"/>
  <c r="B22" i="32" l="1"/>
  <c r="B19" i="32"/>
  <c r="B20" i="32" s="1"/>
  <c r="C18" i="32"/>
  <c r="C19" i="32" s="1"/>
  <c r="C20" i="32" s="1"/>
  <c r="F10" i="32"/>
  <c r="F12" i="32" s="1"/>
  <c r="E10" i="32"/>
  <c r="E12" i="32" s="1"/>
  <c r="D10" i="32"/>
  <c r="D12" i="32" s="1"/>
  <c r="C10" i="32"/>
  <c r="C12" i="32" s="1"/>
  <c r="B10" i="32"/>
  <c r="B12" i="32" s="1"/>
  <c r="E9" i="32"/>
  <c r="E11" i="32" s="1"/>
  <c r="D9" i="32"/>
  <c r="D11" i="32" s="1"/>
  <c r="C9" i="32"/>
  <c r="C11" i="32" s="1"/>
  <c r="B9" i="32"/>
  <c r="G8" i="32"/>
  <c r="G7" i="32"/>
  <c r="G6" i="32"/>
  <c r="F9" i="32"/>
  <c r="F11" i="32" s="1"/>
  <c r="G4" i="32"/>
  <c r="B26" i="32" s="1"/>
  <c r="G3" i="32"/>
  <c r="C26" i="32" s="1"/>
  <c r="D13" i="32" l="1"/>
  <c r="G9" i="32"/>
  <c r="C13" i="32"/>
  <c r="E13" i="32"/>
  <c r="C32" i="32"/>
  <c r="D32" i="32" s="1"/>
  <c r="B32" i="32"/>
  <c r="C28" i="32"/>
  <c r="G11" i="32"/>
  <c r="F13" i="32"/>
  <c r="G10" i="32"/>
  <c r="G5" i="32"/>
  <c r="B11" i="32"/>
  <c r="B13" i="32" s="1"/>
  <c r="C30" i="32" l="1"/>
  <c r="C27" i="32"/>
  <c r="G12" i="32"/>
  <c r="G13" i="32" s="1"/>
  <c r="B28" i="32"/>
  <c r="D28" i="32" l="1"/>
  <c r="D29" i="32" s="1"/>
  <c r="D30" i="32" s="1"/>
  <c r="D27" i="32"/>
  <c r="B30" i="32"/>
  <c r="B27" i="32"/>
  <c r="C31" i="13" l="1"/>
  <c r="C32" i="13" s="1"/>
  <c r="C6" i="13"/>
  <c r="E90" i="2"/>
  <c r="E92" i="2" s="1"/>
  <c r="E89" i="2"/>
  <c r="E88" i="2"/>
  <c r="E91" i="2" s="1"/>
  <c r="E87" i="2"/>
  <c r="E86" i="2"/>
  <c r="E85" i="2"/>
  <c r="E84" i="2"/>
  <c r="E83" i="2"/>
  <c r="E82" i="2"/>
  <c r="E81" i="2"/>
  <c r="E80" i="2"/>
  <c r="E79" i="2"/>
  <c r="E99" i="6"/>
  <c r="E97" i="6"/>
  <c r="E100" i="6" s="1"/>
  <c r="D97" i="6"/>
  <c r="D99" i="6" s="1"/>
  <c r="C97" i="6"/>
  <c r="C99" i="6" s="1"/>
  <c r="E96" i="6"/>
  <c r="D96" i="6"/>
  <c r="C96" i="6"/>
  <c r="E95" i="6"/>
  <c r="D95" i="6"/>
  <c r="D98" i="6" s="1"/>
  <c r="C95" i="6"/>
  <c r="C98" i="6" s="1"/>
  <c r="E94" i="6"/>
  <c r="E98" i="6" s="1"/>
  <c r="D94" i="6"/>
  <c r="C94" i="6"/>
  <c r="E93" i="6"/>
  <c r="D93" i="6"/>
  <c r="C93" i="6"/>
  <c r="E92" i="6"/>
  <c r="D92" i="6"/>
  <c r="C92" i="6"/>
  <c r="E91" i="6"/>
  <c r="D91" i="6"/>
  <c r="C91" i="6"/>
  <c r="E90" i="6"/>
  <c r="D90" i="6"/>
  <c r="C90" i="6"/>
  <c r="E89" i="6"/>
  <c r="D89" i="6"/>
  <c r="C89" i="6"/>
  <c r="E88" i="6"/>
  <c r="D88" i="6"/>
  <c r="C88" i="6"/>
  <c r="E87" i="6"/>
  <c r="D87" i="6"/>
  <c r="C87" i="6"/>
  <c r="E86" i="6"/>
  <c r="D86" i="6"/>
  <c r="C86" i="6"/>
  <c r="E99" i="5"/>
  <c r="E97" i="5"/>
  <c r="E100" i="5" s="1"/>
  <c r="D97" i="5"/>
  <c r="D99" i="5" s="1"/>
  <c r="C97" i="5"/>
  <c r="C99" i="5" s="1"/>
  <c r="E96" i="5"/>
  <c r="D96" i="5"/>
  <c r="C96" i="5"/>
  <c r="E95" i="5"/>
  <c r="D95" i="5"/>
  <c r="D98" i="5" s="1"/>
  <c r="C95" i="5"/>
  <c r="C98" i="5" s="1"/>
  <c r="E94" i="5"/>
  <c r="E98" i="5" s="1"/>
  <c r="D94" i="5"/>
  <c r="C94" i="5"/>
  <c r="E93" i="5"/>
  <c r="D93" i="5"/>
  <c r="C93" i="5"/>
  <c r="E92" i="5"/>
  <c r="D92" i="5"/>
  <c r="C92" i="5"/>
  <c r="E91" i="5"/>
  <c r="D91" i="5"/>
  <c r="C91" i="5"/>
  <c r="E90" i="5"/>
  <c r="D90" i="5"/>
  <c r="C90" i="5"/>
  <c r="E89" i="5"/>
  <c r="D89" i="5"/>
  <c r="C89" i="5"/>
  <c r="E88" i="5"/>
  <c r="D88" i="5"/>
  <c r="C88" i="5"/>
  <c r="E87" i="5"/>
  <c r="D87" i="5"/>
  <c r="C87" i="5"/>
  <c r="E86" i="5"/>
  <c r="D86" i="5"/>
  <c r="C86" i="5"/>
  <c r="D100" i="4"/>
  <c r="E98" i="4"/>
  <c r="E97" i="4"/>
  <c r="E100" i="4" s="1"/>
  <c r="D97" i="4"/>
  <c r="D99" i="4" s="1"/>
  <c r="C97" i="4"/>
  <c r="C100" i="4" s="1"/>
  <c r="E96" i="4"/>
  <c r="D96" i="4"/>
  <c r="C96" i="4"/>
  <c r="C99" i="4" s="1"/>
  <c r="E95" i="4"/>
  <c r="D95" i="4"/>
  <c r="D98" i="4" s="1"/>
  <c r="C95" i="4"/>
  <c r="C98" i="4" s="1"/>
  <c r="E94" i="4"/>
  <c r="D94" i="4"/>
  <c r="C94" i="4"/>
  <c r="E93" i="4"/>
  <c r="D93" i="4"/>
  <c r="C93" i="4"/>
  <c r="E92" i="4"/>
  <c r="D92" i="4"/>
  <c r="C92" i="4"/>
  <c r="E91" i="4"/>
  <c r="D91" i="4"/>
  <c r="C91" i="4"/>
  <c r="E90" i="4"/>
  <c r="D90" i="4"/>
  <c r="C90" i="4"/>
  <c r="E89" i="4"/>
  <c r="D89" i="4"/>
  <c r="C89" i="4"/>
  <c r="E88" i="4"/>
  <c r="D88" i="4"/>
  <c r="C88" i="4"/>
  <c r="E87" i="4"/>
  <c r="D87" i="4"/>
  <c r="C87" i="4"/>
  <c r="E86" i="4"/>
  <c r="D86" i="4"/>
  <c r="C86" i="4"/>
  <c r="E99" i="3"/>
  <c r="E97" i="3"/>
  <c r="E100" i="3" s="1"/>
  <c r="E96" i="3"/>
  <c r="E95" i="3"/>
  <c r="D95" i="3"/>
  <c r="C95" i="3"/>
  <c r="E94" i="3"/>
  <c r="E98" i="3" s="1"/>
  <c r="E93" i="3"/>
  <c r="E92" i="3"/>
  <c r="D92" i="3"/>
  <c r="C92" i="3"/>
  <c r="E91" i="3"/>
  <c r="E90" i="3"/>
  <c r="E89" i="3"/>
  <c r="E88" i="3"/>
  <c r="E87" i="3"/>
  <c r="E86" i="3"/>
  <c r="E97" i="7"/>
  <c r="E99" i="7" s="1"/>
  <c r="E96" i="7"/>
  <c r="E95" i="7"/>
  <c r="E94" i="7"/>
  <c r="E98" i="7" s="1"/>
  <c r="E93" i="7"/>
  <c r="E92" i="7"/>
  <c r="E91" i="7"/>
  <c r="E90" i="7"/>
  <c r="E89" i="7"/>
  <c r="E88" i="7"/>
  <c r="E87" i="7"/>
  <c r="E86" i="7"/>
  <c r="D95" i="7"/>
  <c r="D92" i="7"/>
  <c r="E93" i="2" l="1"/>
  <c r="C100" i="6"/>
  <c r="D100" i="6"/>
  <c r="C100" i="5"/>
  <c r="D100" i="5"/>
  <c r="E99" i="4"/>
  <c r="E100" i="7"/>
  <c r="C95" i="7" l="1"/>
  <c r="C8" i="13" l="1"/>
  <c r="C9" i="13" s="1"/>
  <c r="H42" i="18"/>
  <c r="E42" i="18"/>
  <c r="H41" i="18"/>
  <c r="E41" i="18"/>
  <c r="H40" i="18"/>
  <c r="E40" i="18"/>
  <c r="H39" i="18"/>
  <c r="E39" i="18"/>
  <c r="H38" i="18"/>
  <c r="E38" i="18"/>
  <c r="H37" i="18"/>
  <c r="E37" i="18"/>
  <c r="H36" i="18"/>
  <c r="E36" i="18"/>
  <c r="H35" i="18"/>
  <c r="E35" i="18"/>
  <c r="H34" i="18"/>
  <c r="E34" i="18"/>
  <c r="H33" i="18"/>
  <c r="E33" i="18"/>
  <c r="H32" i="18"/>
  <c r="E32" i="18"/>
  <c r="H31" i="18"/>
  <c r="E31" i="18"/>
  <c r="H42" i="12"/>
  <c r="E42" i="12"/>
  <c r="H41" i="12"/>
  <c r="E41" i="12"/>
  <c r="H40" i="12"/>
  <c r="E40" i="12"/>
  <c r="H39" i="12"/>
  <c r="E39" i="12"/>
  <c r="H38" i="12"/>
  <c r="E38" i="12"/>
  <c r="H37" i="12"/>
  <c r="E37" i="12"/>
  <c r="H36" i="12"/>
  <c r="E36" i="12"/>
  <c r="H35" i="12"/>
  <c r="E35" i="12"/>
  <c r="H34" i="12"/>
  <c r="E34" i="12"/>
  <c r="H33" i="12"/>
  <c r="E33" i="12"/>
  <c r="H32" i="12"/>
  <c r="E32" i="12"/>
  <c r="H31" i="12"/>
  <c r="E31" i="12"/>
  <c r="D17" i="26" l="1"/>
  <c r="C17" i="26"/>
  <c r="D12" i="26"/>
  <c r="C12" i="26"/>
  <c r="I40" i="24"/>
  <c r="H40" i="24"/>
  <c r="J40" i="24" s="1"/>
  <c r="G40" i="24"/>
  <c r="F40" i="24"/>
  <c r="E40" i="24"/>
  <c r="D40" i="24"/>
  <c r="J39" i="24"/>
  <c r="I39" i="24"/>
  <c r="H39" i="24"/>
  <c r="F39" i="24"/>
  <c r="G39" i="24" s="1"/>
  <c r="E39" i="24"/>
  <c r="D39" i="24"/>
  <c r="I38" i="24"/>
  <c r="F38" i="24"/>
  <c r="G38" i="24" s="1"/>
  <c r="E38" i="24"/>
  <c r="H38" i="24" s="1"/>
  <c r="J38" i="24" s="1"/>
  <c r="D38" i="24"/>
  <c r="I37" i="24"/>
  <c r="F37" i="24"/>
  <c r="G37" i="24" s="1"/>
  <c r="E37" i="24"/>
  <c r="H37" i="24" s="1"/>
  <c r="J37" i="24" s="1"/>
  <c r="D37" i="24"/>
  <c r="I36" i="24"/>
  <c r="G36" i="24"/>
  <c r="F36" i="24"/>
  <c r="E36" i="24"/>
  <c r="H36" i="24" s="1"/>
  <c r="J36" i="24" s="1"/>
  <c r="D36" i="24"/>
  <c r="J35" i="24"/>
  <c r="I35" i="24"/>
  <c r="H35" i="24"/>
  <c r="F35" i="24"/>
  <c r="G35" i="24" s="1"/>
  <c r="E35" i="24"/>
  <c r="D35" i="24"/>
  <c r="I34" i="24"/>
  <c r="F34" i="24"/>
  <c r="E34" i="24"/>
  <c r="H34" i="24" s="1"/>
  <c r="J34" i="24" s="1"/>
  <c r="D34" i="24"/>
  <c r="I33" i="24"/>
  <c r="H33" i="24"/>
  <c r="J33" i="24" s="1"/>
  <c r="F33" i="24"/>
  <c r="G33" i="24" s="1"/>
  <c r="E33" i="24"/>
  <c r="D33" i="24"/>
  <c r="I32" i="24"/>
  <c r="H32" i="24"/>
  <c r="J32" i="24" s="1"/>
  <c r="G32" i="24"/>
  <c r="F32" i="24"/>
  <c r="E32" i="24"/>
  <c r="D32" i="24"/>
  <c r="J31" i="24"/>
  <c r="I31" i="24"/>
  <c r="H31" i="24"/>
  <c r="F31" i="24"/>
  <c r="G31" i="24" s="1"/>
  <c r="E31" i="24"/>
  <c r="D31" i="24"/>
  <c r="I30" i="24"/>
  <c r="F30" i="24"/>
  <c r="G30" i="24" s="1"/>
  <c r="E30" i="24"/>
  <c r="H30" i="24" s="1"/>
  <c r="J30" i="24" s="1"/>
  <c r="D30" i="24"/>
  <c r="I29" i="24"/>
  <c r="F29" i="24"/>
  <c r="G29" i="24" s="1"/>
  <c r="E29" i="24"/>
  <c r="H29" i="24" s="1"/>
  <c r="J29" i="24" s="1"/>
  <c r="D29" i="24"/>
  <c r="I28" i="24"/>
  <c r="G28" i="24"/>
  <c r="F28" i="24"/>
  <c r="E28" i="24"/>
  <c r="H28" i="24" s="1"/>
  <c r="J28" i="24" s="1"/>
  <c r="D28" i="24"/>
  <c r="J27" i="24"/>
  <c r="I27" i="24"/>
  <c r="H27" i="24"/>
  <c r="F27" i="24"/>
  <c r="G27" i="24" s="1"/>
  <c r="E27" i="24"/>
  <c r="D27" i="24"/>
  <c r="I26" i="24"/>
  <c r="F26" i="24"/>
  <c r="E26" i="24"/>
  <c r="H26" i="24" s="1"/>
  <c r="J26" i="24" s="1"/>
  <c r="D26" i="24"/>
  <c r="I25" i="24"/>
  <c r="H25" i="24"/>
  <c r="J25" i="24" s="1"/>
  <c r="F25" i="24"/>
  <c r="G25" i="24" s="1"/>
  <c r="E25" i="24"/>
  <c r="D25" i="24"/>
  <c r="I24" i="24"/>
  <c r="H24" i="24"/>
  <c r="J24" i="24" s="1"/>
  <c r="G24" i="24"/>
  <c r="F24" i="24"/>
  <c r="E24" i="24"/>
  <c r="D24" i="24"/>
  <c r="J23" i="24"/>
  <c r="I23" i="24"/>
  <c r="H23" i="24"/>
  <c r="F23" i="24"/>
  <c r="G23" i="24" s="1"/>
  <c r="E23" i="24"/>
  <c r="D23" i="24"/>
  <c r="I22" i="24"/>
  <c r="F22" i="24"/>
  <c r="G22" i="24" s="1"/>
  <c r="E22" i="24"/>
  <c r="H22" i="24" s="1"/>
  <c r="J22" i="24" s="1"/>
  <c r="D22" i="24"/>
  <c r="I21" i="24"/>
  <c r="F21" i="24"/>
  <c r="G21" i="24" s="1"/>
  <c r="E21" i="24"/>
  <c r="H21" i="24" s="1"/>
  <c r="J21" i="24" s="1"/>
  <c r="D21" i="24"/>
  <c r="I20" i="24"/>
  <c r="G20" i="24"/>
  <c r="F20" i="24"/>
  <c r="E20" i="24"/>
  <c r="H20" i="24" s="1"/>
  <c r="J20" i="24" s="1"/>
  <c r="D20" i="24"/>
  <c r="J19" i="24"/>
  <c r="I19" i="24"/>
  <c r="H19" i="24"/>
  <c r="F19" i="24"/>
  <c r="G19" i="24" s="1"/>
  <c r="E19" i="24"/>
  <c r="D19" i="24"/>
  <c r="I18" i="24"/>
  <c r="F18" i="24"/>
  <c r="E18" i="24"/>
  <c r="H18" i="24" s="1"/>
  <c r="J18" i="24" s="1"/>
  <c r="D18" i="24"/>
  <c r="I17" i="24"/>
  <c r="H17" i="24"/>
  <c r="J17" i="24" s="1"/>
  <c r="F17" i="24"/>
  <c r="G17" i="24" s="1"/>
  <c r="E17" i="24"/>
  <c r="D17" i="24"/>
  <c r="I16" i="24"/>
  <c r="H16" i="24"/>
  <c r="J16" i="24" s="1"/>
  <c r="G16" i="24"/>
  <c r="F16" i="24"/>
  <c r="E16" i="24"/>
  <c r="D16" i="24"/>
  <c r="J15" i="24"/>
  <c r="I15" i="24"/>
  <c r="H15" i="24"/>
  <c r="F15" i="24"/>
  <c r="G15" i="24" s="1"/>
  <c r="E15" i="24"/>
  <c r="D15" i="24"/>
  <c r="I14" i="24"/>
  <c r="F14" i="24"/>
  <c r="G14" i="24" s="1"/>
  <c r="E14" i="24"/>
  <c r="H14" i="24" s="1"/>
  <c r="J14" i="24" s="1"/>
  <c r="D14" i="24"/>
  <c r="I13" i="24"/>
  <c r="F13" i="24"/>
  <c r="G13" i="24" s="1"/>
  <c r="E13" i="24"/>
  <c r="H13" i="24" s="1"/>
  <c r="J13" i="24" s="1"/>
  <c r="D13" i="24"/>
  <c r="I12" i="24"/>
  <c r="G12" i="24"/>
  <c r="F12" i="24"/>
  <c r="E12" i="24"/>
  <c r="H12" i="24" s="1"/>
  <c r="J12" i="24" s="1"/>
  <c r="D12" i="24"/>
  <c r="D7" i="24"/>
  <c r="J12" i="23"/>
  <c r="I12" i="23"/>
  <c r="E12" i="23"/>
  <c r="D12" i="23"/>
  <c r="J4" i="24" l="1"/>
  <c r="G18" i="24"/>
  <c r="G26" i="24"/>
  <c r="G34" i="24"/>
  <c r="J6" i="24" l="1"/>
  <c r="J5" i="24"/>
  <c r="L3" i="11" l="1"/>
  <c r="C16" i="14"/>
  <c r="H10" i="11"/>
  <c r="F10" i="11"/>
  <c r="F9" i="11"/>
  <c r="C18" i="15" l="1"/>
  <c r="G16" i="17"/>
  <c r="G15" i="17"/>
  <c r="G14" i="17"/>
  <c r="G13" i="17"/>
  <c r="G12" i="17"/>
  <c r="G11" i="17"/>
  <c r="F16" i="22" l="1"/>
  <c r="E16" i="22"/>
  <c r="D16" i="22"/>
  <c r="C16" i="22"/>
  <c r="K5" i="11" l="1"/>
  <c r="D12" i="10"/>
  <c r="C13" i="10"/>
  <c r="B13" i="10"/>
  <c r="M3" i="11" l="1"/>
  <c r="J10" i="20" l="1"/>
  <c r="J9" i="20"/>
  <c r="I9" i="20"/>
  <c r="E31" i="19" l="1"/>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E2" i="19"/>
  <c r="K126" i="18" l="1"/>
  <c r="G126" i="18"/>
  <c r="F126" i="18"/>
  <c r="F127" i="18" s="1"/>
  <c r="J124" i="18"/>
  <c r="I124" i="18"/>
  <c r="E124" i="18"/>
  <c r="G123" i="18"/>
  <c r="F123" i="18"/>
  <c r="D123" i="18"/>
  <c r="C123" i="18"/>
  <c r="B123" i="18"/>
  <c r="H122" i="18"/>
  <c r="E122" i="18"/>
  <c r="H121" i="18"/>
  <c r="E121" i="18"/>
  <c r="H120" i="18"/>
  <c r="E120" i="18"/>
  <c r="H119" i="18"/>
  <c r="E119" i="18"/>
  <c r="H118" i="18"/>
  <c r="E118" i="18"/>
  <c r="H117" i="18"/>
  <c r="E117" i="18"/>
  <c r="H116" i="18"/>
  <c r="E116" i="18"/>
  <c r="H115" i="18"/>
  <c r="E115" i="18"/>
  <c r="H114" i="18"/>
  <c r="E114" i="18"/>
  <c r="H113" i="18"/>
  <c r="E113" i="18"/>
  <c r="H112" i="18"/>
  <c r="E112" i="18"/>
  <c r="H111" i="18"/>
  <c r="H124" i="18" s="1"/>
  <c r="E111" i="18"/>
  <c r="E125" i="18" s="1"/>
  <c r="J105" i="18"/>
  <c r="J104" i="18"/>
  <c r="F101" i="18"/>
  <c r="K100" i="18"/>
  <c r="G100" i="18"/>
  <c r="F100" i="18"/>
  <c r="J98" i="18"/>
  <c r="I98" i="18"/>
  <c r="H98" i="18"/>
  <c r="G97" i="18"/>
  <c r="F97" i="18"/>
  <c r="D97" i="18"/>
  <c r="C97" i="18"/>
  <c r="B97" i="18"/>
  <c r="H96" i="18"/>
  <c r="E96" i="18"/>
  <c r="H95" i="18"/>
  <c r="E95" i="18"/>
  <c r="H94" i="18"/>
  <c r="E94" i="18"/>
  <c r="H93" i="18"/>
  <c r="E93" i="18"/>
  <c r="H92" i="18"/>
  <c r="E92" i="18"/>
  <c r="H91" i="18"/>
  <c r="E91" i="18"/>
  <c r="H90" i="18"/>
  <c r="E90" i="18"/>
  <c r="H89" i="18"/>
  <c r="E89" i="18"/>
  <c r="H88" i="18"/>
  <c r="E88" i="18"/>
  <c r="H87" i="18"/>
  <c r="E87" i="18"/>
  <c r="H86" i="18"/>
  <c r="E86" i="18"/>
  <c r="H85" i="18"/>
  <c r="H99" i="18" s="1"/>
  <c r="E85" i="18"/>
  <c r="E98" i="18" s="1"/>
  <c r="J79" i="18"/>
  <c r="J78" i="18"/>
  <c r="K74" i="18"/>
  <c r="G74" i="18"/>
  <c r="F74" i="18"/>
  <c r="F75" i="18" s="1"/>
  <c r="E73" i="18"/>
  <c r="J72" i="18"/>
  <c r="I72" i="18"/>
  <c r="G71" i="18"/>
  <c r="F71" i="18"/>
  <c r="D71" i="18"/>
  <c r="C71" i="18"/>
  <c r="B71" i="18"/>
  <c r="H70" i="18"/>
  <c r="E70" i="18"/>
  <c r="H69" i="18"/>
  <c r="E69" i="18"/>
  <c r="H68" i="18"/>
  <c r="E68" i="18"/>
  <c r="H67" i="18"/>
  <c r="E67" i="18"/>
  <c r="H66" i="18"/>
  <c r="E66" i="18"/>
  <c r="H65" i="18"/>
  <c r="E65" i="18"/>
  <c r="H64" i="18"/>
  <c r="E64" i="18"/>
  <c r="H63" i="18"/>
  <c r="E63" i="18"/>
  <c r="H62" i="18"/>
  <c r="E62" i="18"/>
  <c r="H61" i="18"/>
  <c r="E61" i="18"/>
  <c r="H60" i="18"/>
  <c r="E60" i="18"/>
  <c r="H59" i="18"/>
  <c r="H72" i="18" s="1"/>
  <c r="E59" i="18"/>
  <c r="E72" i="18" s="1"/>
  <c r="J53" i="18"/>
  <c r="J52" i="18"/>
  <c r="K46" i="18"/>
  <c r="G46" i="18"/>
  <c r="F46" i="18"/>
  <c r="F47" i="18" s="1"/>
  <c r="J44" i="18"/>
  <c r="I44" i="18"/>
  <c r="G43" i="18"/>
  <c r="F43" i="18"/>
  <c r="D43" i="18"/>
  <c r="C43" i="18"/>
  <c r="B43" i="18"/>
  <c r="H45" i="18"/>
  <c r="J25" i="18"/>
  <c r="J24" i="18"/>
  <c r="K16" i="18"/>
  <c r="J16" i="18"/>
  <c r="I16" i="18"/>
  <c r="G16" i="18"/>
  <c r="F16" i="18"/>
  <c r="D16" i="18"/>
  <c r="C16" i="18"/>
  <c r="B16" i="18"/>
  <c r="K15" i="18"/>
  <c r="J15" i="18"/>
  <c r="I15" i="18"/>
  <c r="G15" i="18"/>
  <c r="F15" i="18"/>
  <c r="D15" i="18"/>
  <c r="C15" i="18"/>
  <c r="B15" i="18"/>
  <c r="K14" i="18"/>
  <c r="J14" i="18"/>
  <c r="I14" i="18"/>
  <c r="G14" i="18"/>
  <c r="F14" i="18"/>
  <c r="D14" i="18"/>
  <c r="C14" i="18"/>
  <c r="B14" i="18"/>
  <c r="E14" i="18" s="1"/>
  <c r="K13" i="18"/>
  <c r="J13" i="18"/>
  <c r="I13" i="18"/>
  <c r="G13" i="18"/>
  <c r="F13" i="18"/>
  <c r="D13" i="18"/>
  <c r="C13" i="18"/>
  <c r="B13" i="18"/>
  <c r="K12" i="18"/>
  <c r="J12" i="18"/>
  <c r="I12" i="18"/>
  <c r="G12" i="18"/>
  <c r="F12" i="18"/>
  <c r="D12" i="18"/>
  <c r="C12" i="18"/>
  <c r="B12" i="18"/>
  <c r="K11" i="18"/>
  <c r="J11" i="18"/>
  <c r="I11" i="18"/>
  <c r="G11" i="18"/>
  <c r="F11" i="18"/>
  <c r="D11" i="18"/>
  <c r="C11" i="18"/>
  <c r="B11" i="18"/>
  <c r="K10" i="18"/>
  <c r="J10" i="18"/>
  <c r="I10" i="18"/>
  <c r="G10" i="18"/>
  <c r="F10" i="18"/>
  <c r="D10" i="18"/>
  <c r="C10" i="18"/>
  <c r="B10" i="18"/>
  <c r="K9" i="18"/>
  <c r="J9" i="18"/>
  <c r="I9" i="18"/>
  <c r="G9" i="18"/>
  <c r="F9" i="18"/>
  <c r="D9" i="18"/>
  <c r="C9" i="18"/>
  <c r="B9" i="18"/>
  <c r="K8" i="18"/>
  <c r="J8" i="18"/>
  <c r="I8" i="18"/>
  <c r="G8" i="18"/>
  <c r="F8" i="18"/>
  <c r="D8" i="18"/>
  <c r="C8" i="18"/>
  <c r="B8" i="18"/>
  <c r="E8" i="18" s="1"/>
  <c r="K7" i="18"/>
  <c r="J7" i="18"/>
  <c r="I7" i="18"/>
  <c r="G7" i="18"/>
  <c r="F7" i="18"/>
  <c r="D7" i="18"/>
  <c r="C7" i="18"/>
  <c r="B7" i="18"/>
  <c r="K6" i="18"/>
  <c r="J6" i="18"/>
  <c r="I6" i="18"/>
  <c r="G6" i="18"/>
  <c r="F6" i="18"/>
  <c r="D6" i="18"/>
  <c r="C6" i="18"/>
  <c r="B6" i="18"/>
  <c r="K5" i="18"/>
  <c r="K20" i="18" s="1"/>
  <c r="J5" i="18"/>
  <c r="I5" i="18"/>
  <c r="G5" i="18"/>
  <c r="F5" i="18"/>
  <c r="F20" i="18" s="1"/>
  <c r="D5" i="18"/>
  <c r="C5" i="18"/>
  <c r="B5" i="18"/>
  <c r="B17" i="18" s="1"/>
  <c r="D4" i="18"/>
  <c r="H122" i="12"/>
  <c r="E122" i="12"/>
  <c r="H121" i="12"/>
  <c r="E121" i="12"/>
  <c r="H120" i="12"/>
  <c r="E120" i="12"/>
  <c r="H119" i="12"/>
  <c r="E119" i="12"/>
  <c r="H118" i="12"/>
  <c r="E118" i="12"/>
  <c r="H117" i="12"/>
  <c r="E117" i="12"/>
  <c r="H116" i="12"/>
  <c r="E116" i="12"/>
  <c r="H115" i="12"/>
  <c r="E115" i="12"/>
  <c r="H114" i="12"/>
  <c r="E114" i="12"/>
  <c r="H113" i="12"/>
  <c r="E113" i="12"/>
  <c r="H112" i="12"/>
  <c r="E112" i="12"/>
  <c r="H111" i="12"/>
  <c r="E111" i="12"/>
  <c r="H96" i="12"/>
  <c r="E96" i="12"/>
  <c r="H95" i="12"/>
  <c r="E95" i="12"/>
  <c r="H94" i="12"/>
  <c r="E94" i="12"/>
  <c r="H93" i="12"/>
  <c r="E93" i="12"/>
  <c r="H92" i="12"/>
  <c r="E92" i="12"/>
  <c r="H91" i="12"/>
  <c r="E91" i="12"/>
  <c r="H90" i="12"/>
  <c r="E90" i="12"/>
  <c r="H89" i="12"/>
  <c r="E89" i="12"/>
  <c r="H88" i="12"/>
  <c r="E88" i="12"/>
  <c r="H87" i="12"/>
  <c r="E87" i="12"/>
  <c r="H86" i="12"/>
  <c r="E86" i="12"/>
  <c r="H85" i="12"/>
  <c r="E85" i="12"/>
  <c r="H70" i="12"/>
  <c r="E70" i="12"/>
  <c r="H69" i="12"/>
  <c r="E69" i="12"/>
  <c r="H68" i="12"/>
  <c r="E68" i="12"/>
  <c r="H67" i="12"/>
  <c r="E67" i="12"/>
  <c r="H66" i="12"/>
  <c r="E66" i="12"/>
  <c r="H65" i="12"/>
  <c r="E65" i="12"/>
  <c r="H64" i="12"/>
  <c r="E64" i="12"/>
  <c r="H63" i="12"/>
  <c r="E63" i="12"/>
  <c r="H62" i="12"/>
  <c r="E62" i="12"/>
  <c r="H61" i="12"/>
  <c r="E61" i="12"/>
  <c r="H60" i="12"/>
  <c r="E60" i="12"/>
  <c r="H59" i="12"/>
  <c r="E59" i="12"/>
  <c r="J16" i="12"/>
  <c r="I16" i="12"/>
  <c r="G16" i="12"/>
  <c r="F16" i="12"/>
  <c r="D16" i="12"/>
  <c r="C16" i="12"/>
  <c r="B16" i="12"/>
  <c r="J15" i="12"/>
  <c r="I15" i="12"/>
  <c r="G15" i="12"/>
  <c r="F15" i="12"/>
  <c r="D15" i="12"/>
  <c r="C15" i="12"/>
  <c r="B15" i="12"/>
  <c r="J14" i="12"/>
  <c r="I14" i="12"/>
  <c r="G14" i="12"/>
  <c r="F14" i="12"/>
  <c r="D14" i="12"/>
  <c r="C14" i="12"/>
  <c r="B14" i="12"/>
  <c r="J13" i="12"/>
  <c r="I13" i="12"/>
  <c r="G13" i="12"/>
  <c r="F13" i="12"/>
  <c r="D13" i="12"/>
  <c r="C13" i="12"/>
  <c r="B13" i="12"/>
  <c r="J12" i="12"/>
  <c r="I12" i="12"/>
  <c r="G12" i="12"/>
  <c r="F12" i="12"/>
  <c r="D12" i="12"/>
  <c r="C12" i="12"/>
  <c r="B12" i="12"/>
  <c r="J11" i="12"/>
  <c r="I11" i="12"/>
  <c r="G11" i="12"/>
  <c r="F11" i="12"/>
  <c r="H11" i="12" s="1"/>
  <c r="D11" i="12"/>
  <c r="C11" i="12"/>
  <c r="B11" i="12"/>
  <c r="J10" i="12"/>
  <c r="I10" i="12"/>
  <c r="G10" i="12"/>
  <c r="F10" i="12"/>
  <c r="D10" i="12"/>
  <c r="C10" i="12"/>
  <c r="B10" i="12"/>
  <c r="J9" i="12"/>
  <c r="I9" i="12"/>
  <c r="G9" i="12"/>
  <c r="F9" i="12"/>
  <c r="D9" i="12"/>
  <c r="C9" i="12"/>
  <c r="B9" i="12"/>
  <c r="J8" i="12"/>
  <c r="I8" i="12"/>
  <c r="G8" i="12"/>
  <c r="F8" i="12"/>
  <c r="D8" i="12"/>
  <c r="C8" i="12"/>
  <c r="B8" i="12"/>
  <c r="J7" i="12"/>
  <c r="I7" i="12"/>
  <c r="G7" i="12"/>
  <c r="F7" i="12"/>
  <c r="D7" i="12"/>
  <c r="C7" i="12"/>
  <c r="B7" i="12"/>
  <c r="J6" i="12"/>
  <c r="I6" i="12"/>
  <c r="F6" i="12"/>
  <c r="D6" i="12"/>
  <c r="C6" i="12"/>
  <c r="B6" i="12"/>
  <c r="J5" i="12"/>
  <c r="I5" i="12"/>
  <c r="G5" i="12"/>
  <c r="F5" i="12"/>
  <c r="D5" i="12"/>
  <c r="C5" i="12"/>
  <c r="B5" i="12"/>
  <c r="E9" i="12" l="1"/>
  <c r="I20" i="18"/>
  <c r="J20" i="18"/>
  <c r="H9" i="12"/>
  <c r="H16" i="12"/>
  <c r="H14" i="12"/>
  <c r="E11" i="18"/>
  <c r="E13" i="18"/>
  <c r="E15" i="18"/>
  <c r="E16" i="18"/>
  <c r="E6" i="18"/>
  <c r="E12" i="18"/>
  <c r="H6" i="18"/>
  <c r="H9" i="18"/>
  <c r="H12" i="18"/>
  <c r="H15" i="18"/>
  <c r="F17" i="18"/>
  <c r="H5" i="18"/>
  <c r="H8" i="18"/>
  <c r="H11" i="18"/>
  <c r="H14" i="18"/>
  <c r="H44" i="18"/>
  <c r="G20" i="18"/>
  <c r="H7" i="18"/>
  <c r="H10" i="18"/>
  <c r="H13" i="18"/>
  <c r="H16" i="18"/>
  <c r="E5" i="18"/>
  <c r="E7" i="18"/>
  <c r="E10" i="18"/>
  <c r="E45" i="18"/>
  <c r="D17" i="18"/>
  <c r="E9" i="18"/>
  <c r="H15" i="12"/>
  <c r="H12" i="12"/>
  <c r="F21" i="18"/>
  <c r="C17" i="18"/>
  <c r="G17" i="18"/>
  <c r="H73" i="18"/>
  <c r="E99" i="18"/>
  <c r="E44" i="18"/>
  <c r="H125" i="18"/>
  <c r="E16" i="12"/>
  <c r="H8" i="12"/>
  <c r="E15" i="12"/>
  <c r="H7" i="12"/>
  <c r="E12" i="12"/>
  <c r="H13" i="12"/>
  <c r="H10" i="12"/>
  <c r="E11" i="12"/>
  <c r="E14" i="12"/>
  <c r="E8" i="12"/>
  <c r="E10" i="12"/>
  <c r="E7" i="12"/>
  <c r="E13" i="12"/>
  <c r="E6" i="12"/>
  <c r="J104" i="12"/>
  <c r="J105" i="12"/>
  <c r="B123" i="12"/>
  <c r="C123" i="12"/>
  <c r="D123" i="12"/>
  <c r="F123" i="12"/>
  <c r="G123" i="12"/>
  <c r="E124" i="12"/>
  <c r="I124" i="12"/>
  <c r="J124" i="12"/>
  <c r="E125" i="12"/>
  <c r="F126" i="12"/>
  <c r="G126" i="12"/>
  <c r="K126" i="12"/>
  <c r="K100" i="12"/>
  <c r="F100" i="12"/>
  <c r="J98" i="12"/>
  <c r="I98" i="12"/>
  <c r="F97" i="12"/>
  <c r="D97" i="12"/>
  <c r="C97" i="12"/>
  <c r="B97" i="12"/>
  <c r="E98" i="12"/>
  <c r="J79" i="12"/>
  <c r="J78" i="12"/>
  <c r="K74" i="12"/>
  <c r="F74" i="12"/>
  <c r="J72" i="12"/>
  <c r="I72" i="12"/>
  <c r="F71" i="12"/>
  <c r="D71" i="12"/>
  <c r="C71" i="12"/>
  <c r="B71" i="12"/>
  <c r="E73" i="12"/>
  <c r="J53" i="12"/>
  <c r="J52" i="12"/>
  <c r="K46" i="12"/>
  <c r="F46" i="12"/>
  <c r="J44" i="12"/>
  <c r="I44" i="12"/>
  <c r="F43" i="12"/>
  <c r="D43" i="12"/>
  <c r="C43" i="12"/>
  <c r="B43" i="12"/>
  <c r="J25" i="12"/>
  <c r="J24" i="12"/>
  <c r="K16" i="12"/>
  <c r="K15" i="12"/>
  <c r="K14" i="12"/>
  <c r="K13" i="12"/>
  <c r="K12" i="12"/>
  <c r="K11" i="12"/>
  <c r="K10" i="12"/>
  <c r="K9" i="12"/>
  <c r="K8" i="12"/>
  <c r="K7" i="12"/>
  <c r="K6" i="12"/>
  <c r="K5" i="12"/>
  <c r="D4" i="12"/>
  <c r="E9" i="11"/>
  <c r="D9" i="11"/>
  <c r="C9" i="11"/>
  <c r="E10" i="11"/>
  <c r="D10" i="11"/>
  <c r="C10" i="11"/>
  <c r="I5" i="11"/>
  <c r="H5" i="11"/>
  <c r="O3" i="11"/>
  <c r="D11" i="10"/>
  <c r="D13" i="10" s="1"/>
  <c r="C28" i="15" s="1"/>
  <c r="E19" i="18" l="1"/>
  <c r="O5" i="11"/>
  <c r="E18" i="18"/>
  <c r="H18" i="18"/>
  <c r="H19" i="18"/>
  <c r="F127" i="12"/>
  <c r="G6" i="12"/>
  <c r="H6" i="12" s="1"/>
  <c r="E45" i="12"/>
  <c r="H124" i="12"/>
  <c r="H125" i="12"/>
  <c r="F75" i="12"/>
  <c r="E5" i="12"/>
  <c r="F47" i="12"/>
  <c r="D17" i="12"/>
  <c r="F101" i="12"/>
  <c r="F17" i="12"/>
  <c r="I20" i="12"/>
  <c r="J20" i="12"/>
  <c r="E72" i="12"/>
  <c r="K20" i="12"/>
  <c r="G74" i="12"/>
  <c r="C17" i="12"/>
  <c r="G97" i="12"/>
  <c r="E99" i="12"/>
  <c r="H98" i="12"/>
  <c r="B17" i="12"/>
  <c r="G46" i="12"/>
  <c r="H72" i="12"/>
  <c r="E44" i="12"/>
  <c r="G100" i="12"/>
  <c r="H5" i="12"/>
  <c r="F20" i="12"/>
  <c r="G43" i="12"/>
  <c r="G71" i="12"/>
  <c r="B31" i="32" l="1"/>
  <c r="C25" i="15"/>
  <c r="C18" i="13"/>
  <c r="D18" i="13" s="1"/>
  <c r="D14" i="14"/>
  <c r="C14" i="14"/>
  <c r="H99" i="12"/>
  <c r="E19" i="12"/>
  <c r="F21" i="12"/>
  <c r="F13" i="13" s="1"/>
  <c r="E18" i="12"/>
  <c r="H45" i="12"/>
  <c r="H19" i="12"/>
  <c r="H18" i="12"/>
  <c r="H44" i="12"/>
  <c r="H73" i="12"/>
  <c r="G17" i="12"/>
  <c r="G20" i="12"/>
  <c r="C31" i="32" l="1"/>
  <c r="B33" i="32"/>
  <c r="B34" i="32" s="1"/>
  <c r="F18" i="13"/>
  <c r="E18" i="13"/>
  <c r="G18" i="13"/>
  <c r="D5" i="14"/>
  <c r="D6" i="14"/>
  <c r="D8" i="14" s="1"/>
  <c r="D17" i="14"/>
  <c r="D11" i="14"/>
  <c r="D12" i="14"/>
  <c r="C29" i="15"/>
  <c r="C23" i="15"/>
  <c r="C24" i="15" s="1"/>
  <c r="C26" i="15" s="1"/>
  <c r="D9" i="15"/>
  <c r="C9" i="15"/>
  <c r="D14" i="15"/>
  <c r="D15" i="15" s="1"/>
  <c r="C14" i="15"/>
  <c r="C15" i="15" s="1"/>
  <c r="D31" i="32" l="1"/>
  <c r="D33" i="32" s="1"/>
  <c r="D34" i="32" s="1"/>
  <c r="C33" i="32"/>
  <c r="C34" i="32" s="1"/>
  <c r="B35" i="32" s="1"/>
  <c r="D13" i="14"/>
  <c r="D15" i="14" s="1"/>
  <c r="D19" i="14" s="1"/>
  <c r="D7" i="14"/>
  <c r="C17" i="15"/>
  <c r="D20" i="14" l="1"/>
  <c r="D18" i="14"/>
  <c r="C12" i="14"/>
  <c r="C13" i="14" s="1"/>
  <c r="C15" i="14" s="1"/>
  <c r="C17" i="14"/>
  <c r="C6" i="14"/>
  <c r="C8" i="14" s="1"/>
  <c r="C5" i="14"/>
  <c r="D12" i="13"/>
  <c r="C12" i="13"/>
  <c r="D5" i="13"/>
  <c r="D6" i="13" s="1"/>
  <c r="D7" i="13" s="1"/>
  <c r="C7" i="13"/>
  <c r="E75" i="2"/>
  <c r="D75" i="2"/>
  <c r="C75" i="2"/>
  <c r="B75" i="2"/>
  <c r="E73" i="2"/>
  <c r="D73" i="2"/>
  <c r="C73" i="2"/>
  <c r="B73" i="2"/>
  <c r="E72" i="2"/>
  <c r="D72" i="2"/>
  <c r="C72" i="2"/>
  <c r="B72" i="2"/>
  <c r="E71" i="2"/>
  <c r="D71" i="2"/>
  <c r="C71" i="2"/>
  <c r="B71" i="2"/>
  <c r="E70" i="2"/>
  <c r="D70" i="2"/>
  <c r="C70" i="2"/>
  <c r="B70" i="2"/>
  <c r="E68" i="2"/>
  <c r="D68" i="2"/>
  <c r="C68" i="2"/>
  <c r="B68" i="2"/>
  <c r="E67" i="2"/>
  <c r="D67" i="2"/>
  <c r="C67" i="2"/>
  <c r="B67" i="2"/>
  <c r="E66" i="2"/>
  <c r="D66" i="2"/>
  <c r="C66" i="2"/>
  <c r="B66" i="2"/>
  <c r="E65" i="2"/>
  <c r="D65" i="2"/>
  <c r="C65" i="2"/>
  <c r="B65" i="2"/>
  <c r="E63" i="2"/>
  <c r="D63" i="2"/>
  <c r="C63" i="2"/>
  <c r="B63" i="2"/>
  <c r="E62" i="2"/>
  <c r="D62" i="2"/>
  <c r="C62" i="2"/>
  <c r="B62" i="2"/>
  <c r="E61" i="2"/>
  <c r="D61" i="2"/>
  <c r="C61" i="2"/>
  <c r="B61" i="2"/>
  <c r="E60" i="2"/>
  <c r="D60" i="2"/>
  <c r="C60" i="2"/>
  <c r="B60" i="2"/>
  <c r="E59" i="2"/>
  <c r="D59" i="2"/>
  <c r="C59" i="2"/>
  <c r="B59" i="2"/>
  <c r="E57" i="2"/>
  <c r="D57" i="2"/>
  <c r="C57" i="2"/>
  <c r="B57" i="2"/>
  <c r="E56" i="2"/>
  <c r="D56" i="2"/>
  <c r="C56" i="2"/>
  <c r="B56" i="2"/>
  <c r="E53" i="2"/>
  <c r="D53" i="2"/>
  <c r="C53" i="2"/>
  <c r="B53" i="2"/>
  <c r="E52" i="2"/>
  <c r="D52" i="2"/>
  <c r="C52" i="2"/>
  <c r="B52" i="2"/>
  <c r="E50" i="2"/>
  <c r="D50" i="2"/>
  <c r="C50" i="2"/>
  <c r="B50" i="2"/>
  <c r="E49" i="2"/>
  <c r="D49" i="2"/>
  <c r="C49" i="2"/>
  <c r="B49" i="2"/>
  <c r="E47" i="2"/>
  <c r="D47" i="2"/>
  <c r="C47" i="2"/>
  <c r="B47" i="2"/>
  <c r="E46" i="2"/>
  <c r="D46" i="2"/>
  <c r="C46" i="2"/>
  <c r="B46" i="2"/>
  <c r="E45" i="2"/>
  <c r="D45" i="2"/>
  <c r="C45" i="2"/>
  <c r="B45" i="2"/>
  <c r="E44" i="2"/>
  <c r="D44" i="2"/>
  <c r="C44" i="2"/>
  <c r="B44" i="2"/>
  <c r="E39" i="2"/>
  <c r="D39" i="2"/>
  <c r="C39" i="2"/>
  <c r="B39" i="2"/>
  <c r="E38" i="2"/>
  <c r="D38" i="2"/>
  <c r="C38" i="2"/>
  <c r="B38" i="2"/>
  <c r="E36" i="2"/>
  <c r="D36" i="2"/>
  <c r="D16" i="13" s="1"/>
  <c r="C36" i="2"/>
  <c r="C16" i="13" s="1"/>
  <c r="B36" i="2"/>
  <c r="E34" i="2"/>
  <c r="D34" i="2"/>
  <c r="C34" i="2"/>
  <c r="B34" i="2"/>
  <c r="E33" i="2"/>
  <c r="D33" i="2"/>
  <c r="C33" i="2"/>
  <c r="B33" i="2"/>
  <c r="E32" i="2"/>
  <c r="D32" i="2"/>
  <c r="C32" i="2"/>
  <c r="B32" i="2"/>
  <c r="E31" i="2"/>
  <c r="D31" i="2"/>
  <c r="C31" i="2"/>
  <c r="B31" i="2"/>
  <c r="E30" i="2"/>
  <c r="D30" i="2"/>
  <c r="C30" i="2"/>
  <c r="B30" i="2"/>
  <c r="E28" i="2"/>
  <c r="D28" i="2"/>
  <c r="C28" i="2"/>
  <c r="B28" i="2"/>
  <c r="E27" i="2"/>
  <c r="D27" i="2"/>
  <c r="C27" i="2"/>
  <c r="B27" i="2"/>
  <c r="E26" i="2"/>
  <c r="D26" i="2"/>
  <c r="C26" i="2"/>
  <c r="B26" i="2"/>
  <c r="E25" i="2"/>
  <c r="D25" i="2"/>
  <c r="C25" i="2"/>
  <c r="B25" i="2"/>
  <c r="E23" i="2"/>
  <c r="D23" i="2"/>
  <c r="C23" i="2"/>
  <c r="B23" i="2"/>
  <c r="E22" i="2"/>
  <c r="D22" i="2"/>
  <c r="C22" i="2"/>
  <c r="B22" i="2"/>
  <c r="E21" i="2"/>
  <c r="D21" i="2"/>
  <c r="C21" i="2"/>
  <c r="B21" i="2"/>
  <c r="E20" i="2"/>
  <c r="D20" i="2"/>
  <c r="C20" i="2"/>
  <c r="B20" i="2"/>
  <c r="E18" i="2"/>
  <c r="D18" i="2"/>
  <c r="C18" i="2"/>
  <c r="B18" i="2"/>
  <c r="E17" i="2"/>
  <c r="D17" i="2"/>
  <c r="C17" i="2"/>
  <c r="B17"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C92" i="7"/>
  <c r="B92" i="7"/>
  <c r="E85" i="7"/>
  <c r="D85" i="7"/>
  <c r="C85" i="7"/>
  <c r="G82" i="7"/>
  <c r="F82" i="7"/>
  <c r="G80" i="7"/>
  <c r="F80" i="7"/>
  <c r="G79" i="7"/>
  <c r="F79" i="7"/>
  <c r="G78" i="7"/>
  <c r="G77" i="7"/>
  <c r="F77" i="7"/>
  <c r="G75" i="7"/>
  <c r="F75" i="7"/>
  <c r="G74" i="7"/>
  <c r="F74" i="7"/>
  <c r="G73" i="7"/>
  <c r="F73" i="7"/>
  <c r="G72" i="7"/>
  <c r="F72" i="7"/>
  <c r="E71" i="7"/>
  <c r="D97" i="7"/>
  <c r="C97" i="7"/>
  <c r="B71" i="7"/>
  <c r="B97" i="7" s="1"/>
  <c r="G70" i="7"/>
  <c r="F70" i="7"/>
  <c r="G69" i="7"/>
  <c r="F69" i="7"/>
  <c r="G68" i="7"/>
  <c r="F68" i="7"/>
  <c r="G67" i="7"/>
  <c r="F67" i="7"/>
  <c r="G66" i="7"/>
  <c r="F66" i="7"/>
  <c r="E65" i="7"/>
  <c r="D96" i="7"/>
  <c r="C96" i="7"/>
  <c r="B65" i="7"/>
  <c r="B96" i="7" s="1"/>
  <c r="G64" i="7"/>
  <c r="F64" i="7"/>
  <c r="G63" i="7"/>
  <c r="F63" i="7"/>
  <c r="G62" i="7"/>
  <c r="F62" i="7"/>
  <c r="G60" i="7"/>
  <c r="F60" i="7"/>
  <c r="G59" i="7"/>
  <c r="F59" i="7"/>
  <c r="G57" i="7"/>
  <c r="F57" i="7"/>
  <c r="G56" i="7"/>
  <c r="F56" i="7"/>
  <c r="E55" i="7"/>
  <c r="E58" i="7" s="1"/>
  <c r="G55" i="7"/>
  <c r="C94" i="7"/>
  <c r="B55" i="7"/>
  <c r="B58" i="7" s="1"/>
  <c r="G54" i="7"/>
  <c r="F54" i="7"/>
  <c r="G53" i="7"/>
  <c r="F53" i="7"/>
  <c r="G52" i="7"/>
  <c r="F52" i="7"/>
  <c r="G51" i="7"/>
  <c r="F51" i="7"/>
  <c r="G46" i="7"/>
  <c r="F46" i="7"/>
  <c r="G45" i="7"/>
  <c r="F45" i="7"/>
  <c r="G43" i="7"/>
  <c r="F43" i="7"/>
  <c r="G41" i="7"/>
  <c r="F41" i="7"/>
  <c r="G40" i="7"/>
  <c r="F40" i="7"/>
  <c r="G39" i="7"/>
  <c r="F39" i="7"/>
  <c r="G38" i="7"/>
  <c r="F38" i="7"/>
  <c r="G37" i="7"/>
  <c r="F37" i="7"/>
  <c r="G35" i="7"/>
  <c r="F35" i="7"/>
  <c r="G34" i="7"/>
  <c r="F34" i="7"/>
  <c r="G33" i="7"/>
  <c r="F33" i="7"/>
  <c r="G32" i="7"/>
  <c r="F32" i="7"/>
  <c r="G30" i="7"/>
  <c r="F30" i="7"/>
  <c r="G29" i="7"/>
  <c r="F29" i="7"/>
  <c r="G28" i="7"/>
  <c r="F28" i="7"/>
  <c r="G27" i="7"/>
  <c r="F27" i="7"/>
  <c r="G25" i="7"/>
  <c r="F25" i="7"/>
  <c r="G24" i="7"/>
  <c r="F24" i="7"/>
  <c r="E23" i="7"/>
  <c r="E26" i="7" s="1"/>
  <c r="D23" i="7"/>
  <c r="C23" i="7"/>
  <c r="C26" i="7" s="1"/>
  <c r="B23" i="7"/>
  <c r="B93" i="7" s="1"/>
  <c r="G22" i="7"/>
  <c r="F22" i="7"/>
  <c r="G21" i="7"/>
  <c r="F21" i="7"/>
  <c r="G20" i="7"/>
  <c r="F20" i="7"/>
  <c r="G19" i="7"/>
  <c r="F19" i="7"/>
  <c r="G18" i="7"/>
  <c r="F18" i="7"/>
  <c r="G17" i="7"/>
  <c r="F17" i="7"/>
  <c r="G16" i="7"/>
  <c r="F16" i="7"/>
  <c r="G15" i="7"/>
  <c r="F15" i="7"/>
  <c r="G14" i="7"/>
  <c r="F14" i="7"/>
  <c r="G13" i="7"/>
  <c r="F13" i="7"/>
  <c r="G12" i="7"/>
  <c r="F12" i="7"/>
  <c r="C88" i="2" l="1"/>
  <c r="D99" i="7"/>
  <c r="D88" i="2"/>
  <c r="D85" i="2"/>
  <c r="D91" i="7"/>
  <c r="D93" i="7"/>
  <c r="E16" i="13"/>
  <c r="C85" i="2"/>
  <c r="C18" i="14"/>
  <c r="C19" i="14"/>
  <c r="C7" i="14"/>
  <c r="C20" i="14" s="1"/>
  <c r="F71" i="7"/>
  <c r="C16" i="2"/>
  <c r="D16" i="2"/>
  <c r="F65" i="7"/>
  <c r="D94" i="7"/>
  <c r="F55" i="7"/>
  <c r="G23" i="7"/>
  <c r="D26" i="7"/>
  <c r="C19" i="15"/>
  <c r="C27" i="15" s="1"/>
  <c r="D19" i="13"/>
  <c r="C19" i="13"/>
  <c r="F23" i="7"/>
  <c r="B94" i="7"/>
  <c r="B100" i="7" s="1"/>
  <c r="B61" i="7"/>
  <c r="E31" i="7"/>
  <c r="E61" i="7"/>
  <c r="C100" i="7"/>
  <c r="C99" i="7"/>
  <c r="C86" i="7"/>
  <c r="C31" i="7"/>
  <c r="B91" i="7"/>
  <c r="G65" i="7"/>
  <c r="G71" i="7"/>
  <c r="C91" i="7"/>
  <c r="C93" i="7"/>
  <c r="B26" i="7"/>
  <c r="B76" i="7"/>
  <c r="B99" i="7"/>
  <c r="D76" i="7"/>
  <c r="E76" i="7"/>
  <c r="B95" i="6"/>
  <c r="C20" i="13" l="1"/>
  <c r="F19" i="13"/>
  <c r="G19" i="13"/>
  <c r="E19" i="13"/>
  <c r="E20" i="13" s="1"/>
  <c r="D98" i="7"/>
  <c r="D100" i="7"/>
  <c r="D86" i="2"/>
  <c r="D84" i="2"/>
  <c r="G26" i="7"/>
  <c r="D86" i="7"/>
  <c r="C84" i="2"/>
  <c r="C86" i="2"/>
  <c r="D19" i="2"/>
  <c r="D13" i="13"/>
  <c r="C19" i="2"/>
  <c r="C13" i="13"/>
  <c r="F58" i="7"/>
  <c r="G58" i="7"/>
  <c r="G61" i="7"/>
  <c r="D31" i="7"/>
  <c r="D90" i="7" s="1"/>
  <c r="F26" i="7"/>
  <c r="D20" i="13"/>
  <c r="B81" i="7"/>
  <c r="B83" i="7" s="1"/>
  <c r="B95" i="7"/>
  <c r="B98" i="7" s="1"/>
  <c r="C36" i="7"/>
  <c r="C90" i="7"/>
  <c r="G76" i="7"/>
  <c r="D81" i="7"/>
  <c r="E81" i="7"/>
  <c r="E83" i="7" s="1"/>
  <c r="E84" i="7" s="1"/>
  <c r="F76" i="7"/>
  <c r="C98" i="7"/>
  <c r="B86" i="7"/>
  <c r="B31" i="7"/>
  <c r="E36" i="7"/>
  <c r="E42" i="7" s="1"/>
  <c r="B84" i="7"/>
  <c r="F18" i="2"/>
  <c r="G15" i="2"/>
  <c r="F13" i="2"/>
  <c r="F11" i="2"/>
  <c r="G9" i="2"/>
  <c r="G7" i="2"/>
  <c r="E16" i="2"/>
  <c r="G5" i="2"/>
  <c r="B92" i="6"/>
  <c r="E85" i="6"/>
  <c r="D85" i="6"/>
  <c r="C85" i="6"/>
  <c r="G82" i="6"/>
  <c r="F82" i="6"/>
  <c r="D81" i="6"/>
  <c r="G80" i="6"/>
  <c r="F80" i="6"/>
  <c r="G79" i="6"/>
  <c r="F79" i="6"/>
  <c r="G78" i="6"/>
  <c r="G77" i="6"/>
  <c r="F77" i="6"/>
  <c r="E76" i="6"/>
  <c r="E81" i="6" s="1"/>
  <c r="E83" i="6" s="1"/>
  <c r="D76" i="6"/>
  <c r="G76" i="6" s="1"/>
  <c r="B76" i="6"/>
  <c r="B81" i="6" s="1"/>
  <c r="B83" i="6" s="1"/>
  <c r="G75" i="6"/>
  <c r="F75" i="6"/>
  <c r="G74" i="6"/>
  <c r="F74" i="6"/>
  <c r="G73" i="6"/>
  <c r="F73" i="6"/>
  <c r="G72" i="6"/>
  <c r="F72" i="6"/>
  <c r="G71" i="6"/>
  <c r="E71" i="6"/>
  <c r="D71" i="6"/>
  <c r="C71" i="6"/>
  <c r="F71" i="6" s="1"/>
  <c r="B71" i="6"/>
  <c r="B97" i="6" s="1"/>
  <c r="G70" i="6"/>
  <c r="F70" i="6"/>
  <c r="G69" i="6"/>
  <c r="F69" i="6"/>
  <c r="G68" i="6"/>
  <c r="F68" i="6"/>
  <c r="G67" i="6"/>
  <c r="F67" i="6"/>
  <c r="G66" i="6"/>
  <c r="F66" i="6"/>
  <c r="G65" i="6"/>
  <c r="E65" i="6"/>
  <c r="D65" i="6"/>
  <c r="C65" i="6"/>
  <c r="C76" i="6" s="1"/>
  <c r="B65" i="6"/>
  <c r="B96" i="6" s="1"/>
  <c r="G64" i="6"/>
  <c r="F64" i="6"/>
  <c r="G63" i="6"/>
  <c r="F63" i="6"/>
  <c r="G62" i="6"/>
  <c r="F62" i="6"/>
  <c r="G60" i="6"/>
  <c r="F60" i="6"/>
  <c r="G59" i="6"/>
  <c r="F59" i="6"/>
  <c r="E58" i="6"/>
  <c r="G57" i="6"/>
  <c r="F57" i="6"/>
  <c r="G56" i="6"/>
  <c r="F56" i="6"/>
  <c r="G55" i="6"/>
  <c r="E55" i="6"/>
  <c r="D55" i="6"/>
  <c r="D58" i="6" s="1"/>
  <c r="C55" i="6"/>
  <c r="C58" i="6" s="1"/>
  <c r="B55" i="6"/>
  <c r="B58" i="6" s="1"/>
  <c r="G54" i="6"/>
  <c r="F54" i="6"/>
  <c r="G53" i="6"/>
  <c r="F53" i="6"/>
  <c r="G52" i="6"/>
  <c r="F52" i="6"/>
  <c r="G51" i="6"/>
  <c r="F51" i="6"/>
  <c r="G46" i="6"/>
  <c r="F46" i="6"/>
  <c r="G45" i="6"/>
  <c r="F45" i="6"/>
  <c r="G43" i="6"/>
  <c r="F43" i="6"/>
  <c r="G41" i="6"/>
  <c r="F41" i="6"/>
  <c r="G40" i="6"/>
  <c r="F40" i="6"/>
  <c r="G39" i="6"/>
  <c r="F39" i="6"/>
  <c r="G38" i="6"/>
  <c r="F38" i="6"/>
  <c r="G37" i="6"/>
  <c r="F37" i="6"/>
  <c r="G35" i="6"/>
  <c r="F35" i="6"/>
  <c r="G34" i="6"/>
  <c r="F34" i="6"/>
  <c r="G33" i="6"/>
  <c r="F33" i="6"/>
  <c r="G32" i="6"/>
  <c r="F32" i="6"/>
  <c r="G30" i="6"/>
  <c r="F30" i="6"/>
  <c r="G29" i="6"/>
  <c r="F29" i="6"/>
  <c r="G28" i="6"/>
  <c r="F28" i="6"/>
  <c r="G27" i="6"/>
  <c r="F27" i="6"/>
  <c r="G25" i="6"/>
  <c r="F25" i="6"/>
  <c r="G24" i="6"/>
  <c r="F24" i="6"/>
  <c r="E23" i="6"/>
  <c r="D23" i="6"/>
  <c r="D26" i="6" s="1"/>
  <c r="C23" i="6"/>
  <c r="B23" i="6"/>
  <c r="B93" i="6" s="1"/>
  <c r="G22" i="6"/>
  <c r="F22" i="6"/>
  <c r="G21" i="6"/>
  <c r="F21" i="6"/>
  <c r="G20" i="6"/>
  <c r="F20" i="6"/>
  <c r="G19" i="6"/>
  <c r="F19" i="6"/>
  <c r="G18" i="6"/>
  <c r="F18" i="6"/>
  <c r="G17" i="6"/>
  <c r="F17" i="6"/>
  <c r="G16" i="6"/>
  <c r="F16" i="6"/>
  <c r="G15" i="6"/>
  <c r="F15" i="6"/>
  <c r="G14" i="6"/>
  <c r="F14" i="6"/>
  <c r="G13" i="6"/>
  <c r="F13" i="6"/>
  <c r="G12" i="6"/>
  <c r="F12" i="6"/>
  <c r="B92" i="5"/>
  <c r="E85" i="5"/>
  <c r="D85" i="5"/>
  <c r="C85" i="5"/>
  <c r="G82" i="5"/>
  <c r="F82" i="5"/>
  <c r="G80" i="5"/>
  <c r="F80" i="5"/>
  <c r="G79" i="5"/>
  <c r="F79" i="5"/>
  <c r="G78" i="5"/>
  <c r="G77" i="5"/>
  <c r="F77" i="5"/>
  <c r="G75" i="5"/>
  <c r="F75" i="5"/>
  <c r="G74" i="5"/>
  <c r="F74" i="5"/>
  <c r="G73" i="5"/>
  <c r="F73" i="5"/>
  <c r="G72" i="5"/>
  <c r="F72" i="5"/>
  <c r="E71" i="5"/>
  <c r="D71" i="5"/>
  <c r="C71" i="5"/>
  <c r="B71" i="5"/>
  <c r="B97" i="5" s="1"/>
  <c r="G70" i="5"/>
  <c r="F70" i="5"/>
  <c r="G69" i="5"/>
  <c r="F69" i="5"/>
  <c r="G68" i="5"/>
  <c r="F68" i="5"/>
  <c r="G67" i="5"/>
  <c r="F67" i="5"/>
  <c r="G66" i="5"/>
  <c r="F66" i="5"/>
  <c r="E65" i="5"/>
  <c r="D65" i="5"/>
  <c r="C65" i="5"/>
  <c r="B65" i="5"/>
  <c r="B96" i="5" s="1"/>
  <c r="G64" i="5"/>
  <c r="F64" i="5"/>
  <c r="G63" i="5"/>
  <c r="F63" i="5"/>
  <c r="G62" i="5"/>
  <c r="F62" i="5"/>
  <c r="C61" i="5"/>
  <c r="G60" i="5"/>
  <c r="F60" i="5"/>
  <c r="G59" i="5"/>
  <c r="F59" i="5"/>
  <c r="C58" i="5"/>
  <c r="G57" i="5"/>
  <c r="F57" i="5"/>
  <c r="G56" i="5"/>
  <c r="F56" i="5"/>
  <c r="E55" i="5"/>
  <c r="E58" i="5" s="1"/>
  <c r="D55" i="5"/>
  <c r="D58" i="5" s="1"/>
  <c r="C55" i="5"/>
  <c r="B55" i="5"/>
  <c r="B58" i="5" s="1"/>
  <c r="B94" i="5" s="1"/>
  <c r="G54" i="5"/>
  <c r="F54" i="5"/>
  <c r="G53" i="5"/>
  <c r="F53" i="5"/>
  <c r="G52" i="5"/>
  <c r="F52" i="5"/>
  <c r="G51" i="5"/>
  <c r="F51" i="5"/>
  <c r="G46" i="5"/>
  <c r="F46" i="5"/>
  <c r="G45" i="5"/>
  <c r="F45" i="5"/>
  <c r="G43" i="5"/>
  <c r="F43" i="5"/>
  <c r="G41" i="5"/>
  <c r="F41" i="5"/>
  <c r="G40" i="5"/>
  <c r="F40" i="5"/>
  <c r="G39" i="5"/>
  <c r="F39" i="5"/>
  <c r="G38" i="5"/>
  <c r="F38" i="5"/>
  <c r="G37" i="5"/>
  <c r="F37" i="5"/>
  <c r="G35" i="5"/>
  <c r="F35" i="5"/>
  <c r="G34" i="5"/>
  <c r="F34" i="5"/>
  <c r="G33" i="5"/>
  <c r="F33" i="5"/>
  <c r="G32" i="5"/>
  <c r="F32" i="5"/>
  <c r="G30" i="5"/>
  <c r="F30" i="5"/>
  <c r="G29" i="5"/>
  <c r="F29" i="5"/>
  <c r="G28" i="5"/>
  <c r="F28" i="5"/>
  <c r="G27" i="5"/>
  <c r="F27" i="5"/>
  <c r="G25" i="5"/>
  <c r="F25" i="5"/>
  <c r="G24" i="5"/>
  <c r="F24" i="5"/>
  <c r="E23" i="5"/>
  <c r="D23" i="5"/>
  <c r="C23" i="5"/>
  <c r="B23" i="5"/>
  <c r="B93" i="5" s="1"/>
  <c r="G22" i="5"/>
  <c r="F22" i="5"/>
  <c r="G21" i="5"/>
  <c r="F21" i="5"/>
  <c r="G20" i="5"/>
  <c r="F20" i="5"/>
  <c r="G19" i="5"/>
  <c r="F19" i="5"/>
  <c r="G18" i="5"/>
  <c r="F18" i="5"/>
  <c r="G17" i="5"/>
  <c r="F17" i="5"/>
  <c r="G16" i="5"/>
  <c r="F16" i="5"/>
  <c r="G15" i="5"/>
  <c r="F15" i="5"/>
  <c r="G14" i="5"/>
  <c r="F14" i="5"/>
  <c r="G13" i="5"/>
  <c r="F13" i="5"/>
  <c r="G12" i="5"/>
  <c r="F12" i="5"/>
  <c r="B97" i="4"/>
  <c r="B92" i="4"/>
  <c r="E85" i="4"/>
  <c r="D85" i="4"/>
  <c r="C85" i="4"/>
  <c r="G82" i="4"/>
  <c r="F82" i="4"/>
  <c r="G80" i="4"/>
  <c r="F80" i="4"/>
  <c r="G79" i="4"/>
  <c r="F79" i="4"/>
  <c r="G78" i="4"/>
  <c r="G77" i="4"/>
  <c r="F77" i="4"/>
  <c r="G75" i="4"/>
  <c r="F75" i="4"/>
  <c r="G74" i="4"/>
  <c r="F74" i="4"/>
  <c r="G73" i="4"/>
  <c r="F73" i="4"/>
  <c r="G72" i="4"/>
  <c r="F72" i="4"/>
  <c r="E71" i="4"/>
  <c r="D71" i="4"/>
  <c r="C71" i="4"/>
  <c r="B71" i="4"/>
  <c r="G70" i="4"/>
  <c r="F70" i="4"/>
  <c r="G69" i="4"/>
  <c r="F69" i="4"/>
  <c r="G68" i="4"/>
  <c r="F68" i="4"/>
  <c r="G67" i="4"/>
  <c r="F67" i="4"/>
  <c r="G66" i="4"/>
  <c r="F66" i="4"/>
  <c r="E65" i="4"/>
  <c r="D65" i="4"/>
  <c r="C65" i="4"/>
  <c r="B65" i="4"/>
  <c r="B96" i="4" s="1"/>
  <c r="G64" i="4"/>
  <c r="F64" i="4"/>
  <c r="G63" i="4"/>
  <c r="F63" i="4"/>
  <c r="G62" i="4"/>
  <c r="F62" i="4"/>
  <c r="G60" i="4"/>
  <c r="F60" i="4"/>
  <c r="G59" i="4"/>
  <c r="F59" i="4"/>
  <c r="G57" i="4"/>
  <c r="F57" i="4"/>
  <c r="G56" i="4"/>
  <c r="F56" i="4"/>
  <c r="E55" i="4"/>
  <c r="E58" i="4" s="1"/>
  <c r="D55" i="4"/>
  <c r="G55" i="4" s="1"/>
  <c r="C55" i="4"/>
  <c r="C58" i="4" s="1"/>
  <c r="B55" i="4"/>
  <c r="B58" i="4" s="1"/>
  <c r="G54" i="4"/>
  <c r="F54" i="4"/>
  <c r="G53" i="4"/>
  <c r="F53" i="4"/>
  <c r="G52" i="4"/>
  <c r="F52" i="4"/>
  <c r="G51" i="4"/>
  <c r="F51" i="4"/>
  <c r="G46" i="4"/>
  <c r="F46" i="4"/>
  <c r="G45" i="4"/>
  <c r="F45" i="4"/>
  <c r="G43" i="4"/>
  <c r="F43" i="4"/>
  <c r="G41" i="4"/>
  <c r="F41" i="4"/>
  <c r="G40" i="4"/>
  <c r="F40" i="4"/>
  <c r="G39" i="4"/>
  <c r="F39" i="4"/>
  <c r="G38" i="4"/>
  <c r="F38" i="4"/>
  <c r="G37" i="4"/>
  <c r="F37" i="4"/>
  <c r="G35" i="4"/>
  <c r="F35" i="4"/>
  <c r="G34" i="4"/>
  <c r="F34" i="4"/>
  <c r="G33" i="4"/>
  <c r="F33" i="4"/>
  <c r="G32" i="4"/>
  <c r="F32" i="4"/>
  <c r="G30" i="4"/>
  <c r="F30" i="4"/>
  <c r="G29" i="4"/>
  <c r="F29" i="4"/>
  <c r="G28" i="4"/>
  <c r="F28" i="4"/>
  <c r="G27" i="4"/>
  <c r="F27" i="4"/>
  <c r="G25" i="4"/>
  <c r="F25" i="4"/>
  <c r="G24" i="4"/>
  <c r="F24" i="4"/>
  <c r="E23" i="4"/>
  <c r="D23" i="4"/>
  <c r="C23" i="4"/>
  <c r="B23" i="4"/>
  <c r="B93" i="4" s="1"/>
  <c r="G22" i="4"/>
  <c r="F22" i="4"/>
  <c r="G21" i="4"/>
  <c r="F21" i="4"/>
  <c r="G20" i="4"/>
  <c r="F20" i="4"/>
  <c r="G19" i="4"/>
  <c r="F19" i="4"/>
  <c r="G18" i="4"/>
  <c r="F18" i="4"/>
  <c r="G17" i="4"/>
  <c r="F17" i="4"/>
  <c r="G16" i="4"/>
  <c r="F16" i="4"/>
  <c r="G15" i="4"/>
  <c r="F15" i="4"/>
  <c r="G14" i="4"/>
  <c r="F14" i="4"/>
  <c r="G13" i="4"/>
  <c r="F13" i="4"/>
  <c r="G12" i="4"/>
  <c r="F12" i="4"/>
  <c r="B92" i="3"/>
  <c r="E85" i="3"/>
  <c r="D85" i="3"/>
  <c r="C85" i="3"/>
  <c r="G82" i="3"/>
  <c r="F82" i="3"/>
  <c r="G80" i="3"/>
  <c r="F80" i="3"/>
  <c r="G79" i="3"/>
  <c r="F79" i="3"/>
  <c r="G78" i="3"/>
  <c r="G77" i="3"/>
  <c r="F77" i="3"/>
  <c r="G75" i="3"/>
  <c r="F75" i="3"/>
  <c r="G74" i="3"/>
  <c r="F74" i="3"/>
  <c r="G73" i="3"/>
  <c r="F73" i="3"/>
  <c r="G72" i="3"/>
  <c r="F72" i="3"/>
  <c r="E71" i="3"/>
  <c r="D71" i="3"/>
  <c r="D97" i="3" s="1"/>
  <c r="C71" i="3"/>
  <c r="C97" i="3" s="1"/>
  <c r="B71" i="3"/>
  <c r="B97" i="3" s="1"/>
  <c r="G70" i="3"/>
  <c r="F70" i="3"/>
  <c r="G69" i="3"/>
  <c r="F69" i="3"/>
  <c r="G68" i="3"/>
  <c r="F68" i="3"/>
  <c r="G67" i="3"/>
  <c r="F67" i="3"/>
  <c r="G66" i="3"/>
  <c r="F66" i="3"/>
  <c r="G65" i="3"/>
  <c r="E65" i="3"/>
  <c r="D65" i="3"/>
  <c r="D96" i="3" s="1"/>
  <c r="C65" i="3"/>
  <c r="C96" i="3" s="1"/>
  <c r="B65" i="3"/>
  <c r="B96" i="3" s="1"/>
  <c r="G64" i="3"/>
  <c r="F64" i="3"/>
  <c r="G63" i="3"/>
  <c r="F63" i="3"/>
  <c r="G62" i="3"/>
  <c r="F62" i="3"/>
  <c r="G60" i="3"/>
  <c r="F60" i="3"/>
  <c r="G59" i="3"/>
  <c r="F59" i="3"/>
  <c r="B58" i="3"/>
  <c r="B94" i="3" s="1"/>
  <c r="G57" i="3"/>
  <c r="F57" i="3"/>
  <c r="G56" i="3"/>
  <c r="F56" i="3"/>
  <c r="E55" i="3"/>
  <c r="E58" i="3" s="1"/>
  <c r="D55" i="3"/>
  <c r="D58" i="3" s="1"/>
  <c r="D94" i="3" s="1"/>
  <c r="C55" i="3"/>
  <c r="C58" i="3" s="1"/>
  <c r="C94" i="3" s="1"/>
  <c r="B55" i="3"/>
  <c r="G54" i="3"/>
  <c r="F54" i="3"/>
  <c r="G53" i="3"/>
  <c r="F53" i="3"/>
  <c r="G52" i="3"/>
  <c r="F52" i="3"/>
  <c r="G51" i="3"/>
  <c r="F51" i="3"/>
  <c r="G46" i="3"/>
  <c r="F46" i="3"/>
  <c r="G45" i="3"/>
  <c r="F45" i="3"/>
  <c r="G43" i="3"/>
  <c r="F43" i="3"/>
  <c r="G41" i="3"/>
  <c r="F41" i="3"/>
  <c r="G40" i="3"/>
  <c r="F40" i="3"/>
  <c r="G39" i="3"/>
  <c r="F39" i="3"/>
  <c r="G38" i="3"/>
  <c r="F38" i="3"/>
  <c r="G37" i="3"/>
  <c r="F37" i="3"/>
  <c r="G35" i="3"/>
  <c r="F35" i="3"/>
  <c r="G34" i="3"/>
  <c r="F34" i="3"/>
  <c r="G33" i="3"/>
  <c r="F33" i="3"/>
  <c r="G32" i="3"/>
  <c r="F32" i="3"/>
  <c r="G30" i="3"/>
  <c r="F30" i="3"/>
  <c r="G29" i="3"/>
  <c r="F29" i="3"/>
  <c r="G28" i="3"/>
  <c r="F28" i="3"/>
  <c r="G27" i="3"/>
  <c r="F27" i="3"/>
  <c r="G25" i="3"/>
  <c r="F25" i="3"/>
  <c r="G24" i="3"/>
  <c r="F24" i="3"/>
  <c r="E23" i="3"/>
  <c r="D23" i="3"/>
  <c r="C23" i="3"/>
  <c r="B23" i="3"/>
  <c r="B93" i="3" s="1"/>
  <c r="G22" i="3"/>
  <c r="F22" i="3"/>
  <c r="G21" i="3"/>
  <c r="F21" i="3"/>
  <c r="G20" i="3"/>
  <c r="F20" i="3"/>
  <c r="G19" i="3"/>
  <c r="F19" i="3"/>
  <c r="G18" i="3"/>
  <c r="F18" i="3"/>
  <c r="G17" i="3"/>
  <c r="F17" i="3"/>
  <c r="G16" i="3"/>
  <c r="F16" i="3"/>
  <c r="G15" i="3"/>
  <c r="F15" i="3"/>
  <c r="G14" i="3"/>
  <c r="F14" i="3"/>
  <c r="G13" i="3"/>
  <c r="F13" i="3"/>
  <c r="G12" i="3"/>
  <c r="F12" i="3"/>
  <c r="G75" i="2"/>
  <c r="F75" i="2"/>
  <c r="G73" i="2"/>
  <c r="F73" i="2"/>
  <c r="G72" i="2"/>
  <c r="F72" i="2"/>
  <c r="G71" i="2"/>
  <c r="F71" i="2"/>
  <c r="F70" i="2"/>
  <c r="G70" i="2"/>
  <c r="E64" i="2"/>
  <c r="G68" i="2"/>
  <c r="F68" i="2"/>
  <c r="G67" i="2"/>
  <c r="F67" i="2"/>
  <c r="F66" i="2"/>
  <c r="G66" i="2"/>
  <c r="G65" i="2"/>
  <c r="C64" i="2"/>
  <c r="C90" i="2" s="1"/>
  <c r="B64" i="2"/>
  <c r="B90" i="2" s="1"/>
  <c r="G63" i="2"/>
  <c r="F63" i="2"/>
  <c r="F62" i="2"/>
  <c r="G62" i="2"/>
  <c r="G61" i="2"/>
  <c r="F61" i="2"/>
  <c r="E58" i="2"/>
  <c r="G60" i="2"/>
  <c r="F60" i="2"/>
  <c r="B58" i="2"/>
  <c r="G59" i="2"/>
  <c r="D58" i="2"/>
  <c r="D89" i="2" s="1"/>
  <c r="F59" i="2"/>
  <c r="G57" i="2"/>
  <c r="F57" i="2"/>
  <c r="G55" i="2"/>
  <c r="F55" i="2"/>
  <c r="G53" i="2"/>
  <c r="F52" i="2"/>
  <c r="G52" i="2"/>
  <c r="F50" i="2"/>
  <c r="G50" i="2"/>
  <c r="G49" i="2"/>
  <c r="F49" i="2"/>
  <c r="G47" i="2"/>
  <c r="D48" i="2"/>
  <c r="C48" i="2"/>
  <c r="F46" i="2"/>
  <c r="G46" i="2"/>
  <c r="G45" i="2"/>
  <c r="F45" i="2"/>
  <c r="F44" i="2"/>
  <c r="E48" i="2"/>
  <c r="G44" i="2"/>
  <c r="B48" i="2"/>
  <c r="B51" i="2" s="1"/>
  <c r="E78" i="2"/>
  <c r="D78" i="2"/>
  <c r="C78" i="2"/>
  <c r="B78" i="2"/>
  <c r="G39" i="2"/>
  <c r="F39" i="2"/>
  <c r="F38" i="2"/>
  <c r="G38" i="2"/>
  <c r="F36" i="2"/>
  <c r="G36" i="2"/>
  <c r="F34" i="2"/>
  <c r="G34" i="2"/>
  <c r="G33" i="2"/>
  <c r="F33" i="2"/>
  <c r="F32" i="2"/>
  <c r="G32" i="2"/>
  <c r="G31" i="2"/>
  <c r="F31" i="2"/>
  <c r="F30" i="2"/>
  <c r="G30" i="2"/>
  <c r="F28" i="2"/>
  <c r="G28" i="2"/>
  <c r="G27" i="2"/>
  <c r="F27" i="2"/>
  <c r="F26" i="2"/>
  <c r="G26" i="2"/>
  <c r="G25" i="2"/>
  <c r="F25" i="2"/>
  <c r="G23" i="2"/>
  <c r="F23" i="2"/>
  <c r="F22" i="2"/>
  <c r="G22" i="2"/>
  <c r="G21" i="2"/>
  <c r="F21" i="2"/>
  <c r="G20" i="2"/>
  <c r="F20" i="2"/>
  <c r="D99" i="3" l="1"/>
  <c r="D98" i="3"/>
  <c r="D100" i="3"/>
  <c r="E13" i="13"/>
  <c r="D26" i="3"/>
  <c r="D86" i="3" s="1"/>
  <c r="D91" i="3"/>
  <c r="D93" i="3"/>
  <c r="C99" i="3"/>
  <c r="C98" i="3"/>
  <c r="C100" i="3"/>
  <c r="C93" i="3"/>
  <c r="C91" i="3"/>
  <c r="D24" i="2"/>
  <c r="D83" i="2" s="1"/>
  <c r="D79" i="2"/>
  <c r="C24" i="2"/>
  <c r="C83" i="2" s="1"/>
  <c r="C79" i="2"/>
  <c r="F55" i="5"/>
  <c r="G71" i="5"/>
  <c r="G23" i="5"/>
  <c r="B76" i="5"/>
  <c r="E26" i="5"/>
  <c r="G55" i="5"/>
  <c r="F71" i="5"/>
  <c r="F71" i="4"/>
  <c r="F65" i="4"/>
  <c r="C26" i="4"/>
  <c r="G55" i="3"/>
  <c r="B26" i="3"/>
  <c r="B86" i="3" s="1"/>
  <c r="B76" i="3"/>
  <c r="F71" i="3"/>
  <c r="E26" i="6"/>
  <c r="F23" i="6"/>
  <c r="C76" i="5"/>
  <c r="E26" i="4"/>
  <c r="E76" i="3"/>
  <c r="F61" i="7"/>
  <c r="G65" i="5"/>
  <c r="C81" i="5"/>
  <c r="C83" i="5" s="1"/>
  <c r="C84" i="5" s="1"/>
  <c r="D58" i="4"/>
  <c r="F55" i="4"/>
  <c r="G71" i="3"/>
  <c r="E81" i="3"/>
  <c r="E83" i="3" s="1"/>
  <c r="G23" i="4"/>
  <c r="D26" i="4"/>
  <c r="F23" i="3"/>
  <c r="E26" i="3"/>
  <c r="G23" i="3"/>
  <c r="G31" i="7"/>
  <c r="D36" i="7"/>
  <c r="D42" i="7" s="1"/>
  <c r="D87" i="7" s="1"/>
  <c r="F31" i="7"/>
  <c r="G20" i="13"/>
  <c r="F20" i="13"/>
  <c r="F23" i="4"/>
  <c r="G17" i="2"/>
  <c r="E44" i="7"/>
  <c r="C42" i="7"/>
  <c r="B36" i="7"/>
  <c r="B42" i="7" s="1"/>
  <c r="B90" i="7"/>
  <c r="G81" i="7"/>
  <c r="D83" i="7"/>
  <c r="F81" i="7"/>
  <c r="F5" i="2"/>
  <c r="G11" i="2"/>
  <c r="G6" i="2"/>
  <c r="G8" i="2"/>
  <c r="G10" i="2"/>
  <c r="G12" i="2"/>
  <c r="G14" i="2"/>
  <c r="B69" i="2"/>
  <c r="B74" i="2" s="1"/>
  <c r="B76" i="2" s="1"/>
  <c r="F6" i="2"/>
  <c r="F8" i="2"/>
  <c r="F10" i="2"/>
  <c r="F12" i="2"/>
  <c r="F14" i="2"/>
  <c r="F17" i="2"/>
  <c r="B89" i="2"/>
  <c r="B92" i="2" s="1"/>
  <c r="G13" i="2"/>
  <c r="F7" i="2"/>
  <c r="F15" i="2"/>
  <c r="F9" i="2"/>
  <c r="G18" i="2"/>
  <c r="E51" i="2"/>
  <c r="E19" i="2"/>
  <c r="B85" i="2"/>
  <c r="B26" i="6"/>
  <c r="B86" i="6" s="1"/>
  <c r="B26" i="5"/>
  <c r="B86" i="5" s="1"/>
  <c r="B99" i="6"/>
  <c r="G26" i="6"/>
  <c r="D31" i="6"/>
  <c r="B94" i="6"/>
  <c r="B98" i="6" s="1"/>
  <c r="B61" i="6"/>
  <c r="B84" i="6" s="1"/>
  <c r="C61" i="6"/>
  <c r="F58" i="6"/>
  <c r="F76" i="6"/>
  <c r="C81" i="6"/>
  <c r="D61" i="6"/>
  <c r="G58" i="6"/>
  <c r="G81" i="6"/>
  <c r="G23" i="6"/>
  <c r="F55" i="6"/>
  <c r="F65" i="6"/>
  <c r="B91" i="6"/>
  <c r="D83" i="6"/>
  <c r="G83" i="6" s="1"/>
  <c r="C26" i="6"/>
  <c r="E31" i="6"/>
  <c r="E61" i="6"/>
  <c r="E84" i="6" s="1"/>
  <c r="E31" i="5"/>
  <c r="F58" i="5"/>
  <c r="G58" i="5"/>
  <c r="D61" i="5"/>
  <c r="B100" i="5"/>
  <c r="B99" i="5"/>
  <c r="B61" i="5"/>
  <c r="F65" i="5"/>
  <c r="B91" i="5"/>
  <c r="C26" i="5"/>
  <c r="E61" i="5"/>
  <c r="F23" i="5"/>
  <c r="D26" i="5"/>
  <c r="F61" i="5"/>
  <c r="D76" i="5"/>
  <c r="E76" i="5"/>
  <c r="F26" i="4"/>
  <c r="C31" i="4"/>
  <c r="B94" i="4"/>
  <c r="B61" i="4"/>
  <c r="F58" i="4"/>
  <c r="C61" i="4"/>
  <c r="E61" i="4"/>
  <c r="B100" i="4"/>
  <c r="B99" i="4"/>
  <c r="G65" i="4"/>
  <c r="G71" i="4"/>
  <c r="B26" i="4"/>
  <c r="D61" i="4"/>
  <c r="B76" i="4"/>
  <c r="E31" i="4"/>
  <c r="G58" i="4"/>
  <c r="C76" i="4"/>
  <c r="B91" i="4"/>
  <c r="D76" i="4"/>
  <c r="E76" i="4"/>
  <c r="E81" i="4" s="1"/>
  <c r="E83" i="4" s="1"/>
  <c r="B16" i="2"/>
  <c r="B19" i="2" s="1"/>
  <c r="B24" i="2" s="1"/>
  <c r="F58" i="3"/>
  <c r="C61" i="3"/>
  <c r="B100" i="3"/>
  <c r="B99" i="3"/>
  <c r="G58" i="3"/>
  <c r="D61" i="3"/>
  <c r="D31" i="3"/>
  <c r="D90" i="3" s="1"/>
  <c r="B31" i="3"/>
  <c r="F55" i="3"/>
  <c r="B61" i="3"/>
  <c r="F65" i="3"/>
  <c r="B91" i="3"/>
  <c r="C26" i="3"/>
  <c r="C86" i="3" s="1"/>
  <c r="E61" i="3"/>
  <c r="C76" i="3"/>
  <c r="D76" i="3"/>
  <c r="F48" i="2"/>
  <c r="C51" i="2"/>
  <c r="C87" i="2" s="1"/>
  <c r="B54" i="2"/>
  <c r="B87" i="2"/>
  <c r="B93" i="2" s="1"/>
  <c r="G48" i="2"/>
  <c r="D51" i="2"/>
  <c r="D87" i="2" s="1"/>
  <c r="E69" i="2"/>
  <c r="G58" i="2"/>
  <c r="F47" i="2"/>
  <c r="D64" i="2"/>
  <c r="F65" i="2"/>
  <c r="F56" i="2"/>
  <c r="G56" i="2"/>
  <c r="C58" i="2"/>
  <c r="C89" i="2" s="1"/>
  <c r="C92" i="2" s="1"/>
  <c r="F53" i="2"/>
  <c r="D15" i="13" l="1"/>
  <c r="D29" i="2"/>
  <c r="D35" i="2" s="1"/>
  <c r="D80" i="2" s="1"/>
  <c r="G64" i="2"/>
  <c r="D90" i="2"/>
  <c r="D92" i="2" s="1"/>
  <c r="D91" i="2"/>
  <c r="C91" i="2"/>
  <c r="C93" i="2"/>
  <c r="C15" i="13"/>
  <c r="C29" i="2"/>
  <c r="C35" i="2" s="1"/>
  <c r="C80" i="2" s="1"/>
  <c r="B81" i="5"/>
  <c r="B83" i="5" s="1"/>
  <c r="B84" i="5" s="1"/>
  <c r="B95" i="5"/>
  <c r="B98" i="5" s="1"/>
  <c r="B81" i="4"/>
  <c r="B83" i="4" s="1"/>
  <c r="B95" i="4"/>
  <c r="B98" i="4" s="1"/>
  <c r="G26" i="4"/>
  <c r="B84" i="3"/>
  <c r="B95" i="3"/>
  <c r="B98" i="3" s="1"/>
  <c r="B81" i="3"/>
  <c r="B83" i="3" s="1"/>
  <c r="D31" i="4"/>
  <c r="E31" i="3"/>
  <c r="E81" i="5"/>
  <c r="E83" i="5" s="1"/>
  <c r="E84" i="5" s="1"/>
  <c r="E84" i="3"/>
  <c r="G26" i="3"/>
  <c r="F36" i="7"/>
  <c r="G36" i="7"/>
  <c r="B31" i="6"/>
  <c r="B36" i="6" s="1"/>
  <c r="B42" i="6" s="1"/>
  <c r="B31" i="5"/>
  <c r="B90" i="5" s="1"/>
  <c r="E47" i="7"/>
  <c r="E48" i="7"/>
  <c r="F83" i="7"/>
  <c r="C84" i="7"/>
  <c r="G83" i="7"/>
  <c r="D84" i="7"/>
  <c r="C44" i="7"/>
  <c r="F42" i="7"/>
  <c r="C87" i="7"/>
  <c r="B44" i="7"/>
  <c r="B87" i="7"/>
  <c r="D44" i="7"/>
  <c r="D88" i="7" s="1"/>
  <c r="G42" i="7"/>
  <c r="E54" i="2"/>
  <c r="B77" i="2"/>
  <c r="B88" i="2"/>
  <c r="B91" i="2" s="1"/>
  <c r="E74" i="2"/>
  <c r="E76" i="2" s="1"/>
  <c r="E24" i="2"/>
  <c r="F64" i="2"/>
  <c r="B84" i="2"/>
  <c r="C31" i="6"/>
  <c r="F26" i="6"/>
  <c r="G31" i="6"/>
  <c r="D36" i="6"/>
  <c r="F61" i="6"/>
  <c r="D84" i="6"/>
  <c r="G61" i="6"/>
  <c r="E36" i="6"/>
  <c r="E42" i="6" s="1"/>
  <c r="B90" i="6"/>
  <c r="F81" i="6"/>
  <c r="C83" i="6"/>
  <c r="F83" i="6" s="1"/>
  <c r="B100" i="6"/>
  <c r="G26" i="5"/>
  <c r="D31" i="5"/>
  <c r="G76" i="5"/>
  <c r="F76" i="5"/>
  <c r="D81" i="5"/>
  <c r="E36" i="5"/>
  <c r="E42" i="5" s="1"/>
  <c r="G61" i="5"/>
  <c r="F26" i="5"/>
  <c r="C31" i="5"/>
  <c r="B84" i="4"/>
  <c r="E36" i="4"/>
  <c r="E42" i="4" s="1"/>
  <c r="C36" i="4"/>
  <c r="F31" i="4"/>
  <c r="G31" i="4"/>
  <c r="D36" i="4"/>
  <c r="G76" i="4"/>
  <c r="D81" i="4"/>
  <c r="G61" i="4"/>
  <c r="B86" i="4"/>
  <c r="B31" i="4"/>
  <c r="F61" i="4"/>
  <c r="C81" i="4"/>
  <c r="F76" i="4"/>
  <c r="E84" i="4"/>
  <c r="B79" i="2"/>
  <c r="B86" i="2"/>
  <c r="G61" i="3"/>
  <c r="F76" i="3"/>
  <c r="C81" i="3"/>
  <c r="G31" i="3"/>
  <c r="D36" i="3"/>
  <c r="F26" i="3"/>
  <c r="C31" i="3"/>
  <c r="C90" i="3" s="1"/>
  <c r="B36" i="3"/>
  <c r="B42" i="3" s="1"/>
  <c r="B90" i="3"/>
  <c r="F61" i="3"/>
  <c r="G76" i="3"/>
  <c r="D81" i="3"/>
  <c r="E36" i="3"/>
  <c r="E42" i="3" s="1"/>
  <c r="D69" i="2"/>
  <c r="B83" i="2"/>
  <c r="B29" i="2"/>
  <c r="B35" i="2" s="1"/>
  <c r="F16" i="2"/>
  <c r="C54" i="2"/>
  <c r="F51" i="2"/>
  <c r="F58" i="2"/>
  <c r="C69" i="2"/>
  <c r="G51" i="2"/>
  <c r="D54" i="2"/>
  <c r="G16" i="2"/>
  <c r="E15" i="13" l="1"/>
  <c r="E14" i="13" s="1"/>
  <c r="G14" i="13" s="1"/>
  <c r="D93" i="2"/>
  <c r="C84" i="6"/>
  <c r="E77" i="2"/>
  <c r="B36" i="5"/>
  <c r="B42" i="5" s="1"/>
  <c r="B44" i="5" s="1"/>
  <c r="B48" i="7"/>
  <c r="B88" i="7"/>
  <c r="B47" i="7"/>
  <c r="C48" i="7"/>
  <c r="C88" i="7"/>
  <c r="F44" i="7"/>
  <c r="C47" i="7"/>
  <c r="D48" i="7"/>
  <c r="D89" i="7" s="1"/>
  <c r="G44" i="7"/>
  <c r="D47" i="7"/>
  <c r="G47" i="7" s="1"/>
  <c r="E29" i="2"/>
  <c r="E35" i="2" s="1"/>
  <c r="G36" i="6"/>
  <c r="D42" i="6"/>
  <c r="E44" i="6"/>
  <c r="B44" i="6"/>
  <c r="B87" i="6"/>
  <c r="C36" i="6"/>
  <c r="F31" i="6"/>
  <c r="C36" i="5"/>
  <c r="F31" i="5"/>
  <c r="E44" i="5"/>
  <c r="G81" i="5"/>
  <c r="D83" i="5"/>
  <c r="F81" i="5"/>
  <c r="G31" i="5"/>
  <c r="D36" i="5"/>
  <c r="B36" i="4"/>
  <c r="B42" i="4" s="1"/>
  <c r="B90" i="4"/>
  <c r="G36" i="4"/>
  <c r="D42" i="4"/>
  <c r="C42" i="4"/>
  <c r="F36" i="4"/>
  <c r="G81" i="4"/>
  <c r="D83" i="4"/>
  <c r="E44" i="4"/>
  <c r="F81" i="4"/>
  <c r="C83" i="4"/>
  <c r="G81" i="3"/>
  <c r="D83" i="3"/>
  <c r="G36" i="3"/>
  <c r="D42" i="3"/>
  <c r="D87" i="3" s="1"/>
  <c r="F81" i="3"/>
  <c r="C83" i="3"/>
  <c r="E44" i="3"/>
  <c r="B87" i="3"/>
  <c r="B44" i="3"/>
  <c r="F31" i="3"/>
  <c r="C36" i="3"/>
  <c r="C74" i="2"/>
  <c r="F69" i="2"/>
  <c r="G69" i="2"/>
  <c r="D74" i="2"/>
  <c r="G19" i="2"/>
  <c r="G54" i="2"/>
  <c r="F19" i="2"/>
  <c r="B80" i="2"/>
  <c r="B37" i="2"/>
  <c r="F54" i="2"/>
  <c r="F14" i="13" l="1"/>
  <c r="F47" i="7"/>
  <c r="D17" i="13"/>
  <c r="D21" i="13" s="1"/>
  <c r="D14" i="13"/>
  <c r="C14" i="13"/>
  <c r="C17" i="13"/>
  <c r="B87" i="5"/>
  <c r="G48" i="7"/>
  <c r="B89" i="7"/>
  <c r="F48" i="7"/>
  <c r="C89" i="7"/>
  <c r="E37" i="2"/>
  <c r="E41" i="2" s="1"/>
  <c r="C42" i="6"/>
  <c r="F36" i="6"/>
  <c r="B48" i="6"/>
  <c r="B88" i="6"/>
  <c r="B47" i="6"/>
  <c r="E48" i="6"/>
  <c r="E47" i="6"/>
  <c r="G42" i="6"/>
  <c r="D44" i="6"/>
  <c r="C42" i="5"/>
  <c r="F36" i="5"/>
  <c r="B48" i="5"/>
  <c r="B88" i="5"/>
  <c r="B47" i="5"/>
  <c r="G83" i="5"/>
  <c r="D84" i="5"/>
  <c r="F83" i="5"/>
  <c r="G36" i="5"/>
  <c r="D42" i="5"/>
  <c r="E47" i="5"/>
  <c r="E48" i="5"/>
  <c r="B87" i="4"/>
  <c r="B44" i="4"/>
  <c r="G83" i="4"/>
  <c r="D84" i="4"/>
  <c r="C44" i="4"/>
  <c r="F42" i="4"/>
  <c r="F83" i="4"/>
  <c r="C84" i="4"/>
  <c r="D44" i="4"/>
  <c r="G42" i="4"/>
  <c r="E47" i="4"/>
  <c r="E48" i="4"/>
  <c r="E47" i="3"/>
  <c r="E48" i="3"/>
  <c r="F83" i="3"/>
  <c r="C84" i="3"/>
  <c r="C42" i="3"/>
  <c r="C87" i="3" s="1"/>
  <c r="F36" i="3"/>
  <c r="G42" i="3"/>
  <c r="D44" i="3"/>
  <c r="D88" i="3" s="1"/>
  <c r="B48" i="3"/>
  <c r="B88" i="3"/>
  <c r="B47" i="3"/>
  <c r="G83" i="3"/>
  <c r="D84" i="3"/>
  <c r="C76" i="2"/>
  <c r="F74" i="2"/>
  <c r="B81" i="2"/>
  <c r="B40" i="2"/>
  <c r="B41" i="2"/>
  <c r="B82" i="2" s="1"/>
  <c r="G24" i="2"/>
  <c r="F24" i="2"/>
  <c r="G74" i="2"/>
  <c r="D76" i="2"/>
  <c r="C21" i="13" l="1"/>
  <c r="E17" i="13"/>
  <c r="E21" i="13" s="1"/>
  <c r="G15" i="13"/>
  <c r="F15" i="13"/>
  <c r="E40" i="2"/>
  <c r="E102" i="6"/>
  <c r="E101" i="6"/>
  <c r="B102" i="6"/>
  <c r="B101" i="6"/>
  <c r="B89" i="6"/>
  <c r="G44" i="6"/>
  <c r="D47" i="6"/>
  <c r="G47" i="6" s="1"/>
  <c r="D48" i="6"/>
  <c r="C44" i="6"/>
  <c r="F42" i="6"/>
  <c r="G42" i="5"/>
  <c r="D44" i="5"/>
  <c r="C44" i="5"/>
  <c r="F42" i="5"/>
  <c r="B89" i="5"/>
  <c r="C48" i="4"/>
  <c r="F44" i="4"/>
  <c r="C47" i="4"/>
  <c r="D48" i="4"/>
  <c r="G44" i="4"/>
  <c r="D47" i="4"/>
  <c r="G47" i="4" s="1"/>
  <c r="B48" i="4"/>
  <c r="B88" i="4"/>
  <c r="B47" i="4"/>
  <c r="C44" i="3"/>
  <c r="C88" i="3" s="1"/>
  <c r="F42" i="3"/>
  <c r="B89" i="3"/>
  <c r="G44" i="3"/>
  <c r="D47" i="3"/>
  <c r="G47" i="3" s="1"/>
  <c r="D48" i="3"/>
  <c r="D89" i="3" s="1"/>
  <c r="F76" i="2"/>
  <c r="C77" i="2"/>
  <c r="G76" i="2"/>
  <c r="D77" i="2"/>
  <c r="G29" i="2"/>
  <c r="F29" i="2"/>
  <c r="F16" i="13" l="1"/>
  <c r="F17" i="13" s="1"/>
  <c r="F21" i="13" s="1"/>
  <c r="G16" i="13"/>
  <c r="G17" i="13" s="1"/>
  <c r="G21" i="13" s="1"/>
  <c r="F47" i="4"/>
  <c r="D102" i="6"/>
  <c r="G48" i="6"/>
  <c r="D101" i="6"/>
  <c r="C48" i="6"/>
  <c r="F44" i="6"/>
  <c r="C47" i="6"/>
  <c r="F47" i="6" s="1"/>
  <c r="D47" i="5"/>
  <c r="G47" i="5" s="1"/>
  <c r="G44" i="5"/>
  <c r="D48" i="5"/>
  <c r="C48" i="5"/>
  <c r="C47" i="5"/>
  <c r="F44" i="5"/>
  <c r="B89" i="4"/>
  <c r="F48" i="4"/>
  <c r="G48" i="4"/>
  <c r="C48" i="3"/>
  <c r="C89" i="3" s="1"/>
  <c r="F44" i="3"/>
  <c r="C47" i="3"/>
  <c r="F47" i="3" s="1"/>
  <c r="G48" i="3"/>
  <c r="C37" i="2"/>
  <c r="C81" i="2" s="1"/>
  <c r="F35" i="2"/>
  <c r="G35" i="2"/>
  <c r="D37" i="2"/>
  <c r="D81" i="2" s="1"/>
  <c r="C22" i="13" l="1"/>
  <c r="F47" i="5"/>
  <c r="C102" i="6"/>
  <c r="F48" i="6"/>
  <c r="C101" i="6"/>
  <c r="F48" i="5"/>
  <c r="G48" i="5"/>
  <c r="F48" i="3"/>
  <c r="F37" i="2"/>
  <c r="C40" i="2"/>
  <c r="C41" i="2"/>
  <c r="C82" i="2" s="1"/>
  <c r="G37" i="2"/>
  <c r="D40" i="2"/>
  <c r="G40" i="2" s="1"/>
  <c r="D41" i="2"/>
  <c r="D82" i="2" s="1"/>
  <c r="G41" i="2" l="1"/>
  <c r="F41" i="2"/>
  <c r="F40" i="2"/>
</calcChain>
</file>

<file path=xl/comments1.xml><?xml version="1.0" encoding="utf-8"?>
<comments xmlns="http://schemas.openxmlformats.org/spreadsheetml/2006/main">
  <authors>
    <author>Author</author>
  </authors>
  <commentList>
    <comment ref="C90" authorId="0" shapeId="0">
      <text>
        <r>
          <rPr>
            <b/>
            <sz val="9"/>
            <color indexed="81"/>
            <rFont val="Tahoma"/>
            <family val="2"/>
          </rPr>
          <t xml:space="preserve">Author:
</t>
        </r>
      </text>
    </comment>
  </commentList>
</comments>
</file>

<file path=xl/sharedStrings.xml><?xml version="1.0" encoding="utf-8"?>
<sst xmlns="http://schemas.openxmlformats.org/spreadsheetml/2006/main" count="1899" uniqueCount="800">
  <si>
    <t>Y</t>
  </si>
  <si>
    <t>Personal Details</t>
  </si>
  <si>
    <t>N</t>
  </si>
  <si>
    <t xml:space="preserve">Name of Applicant </t>
  </si>
  <si>
    <t>Year of incorporation / Birth</t>
  </si>
  <si>
    <t>Qualification:</t>
  </si>
  <si>
    <t xml:space="preserve">Income Considered </t>
  </si>
  <si>
    <t>Occupation Details</t>
  </si>
  <si>
    <t>Experience</t>
  </si>
  <si>
    <t>Pan</t>
  </si>
  <si>
    <t>Ok checked</t>
  </si>
  <si>
    <t xml:space="preserve">Financial Details:- </t>
  </si>
  <si>
    <t>Inc/Dec</t>
  </si>
  <si>
    <t>Profit &amp; Loss Account</t>
  </si>
  <si>
    <t>Provisionals</t>
  </si>
  <si>
    <t>Sales-Local</t>
  </si>
  <si>
    <t>Sales-Exports</t>
  </si>
  <si>
    <t>Commission &amp; Brokerage</t>
  </si>
  <si>
    <t>Rent Receipts</t>
  </si>
  <si>
    <t>Service Charges</t>
  </si>
  <si>
    <t>Job work charges</t>
  </si>
  <si>
    <t>Professional Fees</t>
  </si>
  <si>
    <t>Freight charges</t>
  </si>
  <si>
    <t>Interest and Dividend</t>
  </si>
  <si>
    <t>Speculation Profit</t>
  </si>
  <si>
    <t>Other Operating Income</t>
  </si>
  <si>
    <t xml:space="preserve">Total Income </t>
  </si>
  <si>
    <t xml:space="preserve">Cost of Goods Sold  </t>
  </si>
  <si>
    <t xml:space="preserve">Direct mfg Cost </t>
  </si>
  <si>
    <t>Gross Profit</t>
  </si>
  <si>
    <t xml:space="preserve">Other income </t>
  </si>
  <si>
    <t xml:space="preserve">Personnel cost </t>
  </si>
  <si>
    <t xml:space="preserve">Administrative expenses </t>
  </si>
  <si>
    <t xml:space="preserve">Selling and distribution expenses </t>
  </si>
  <si>
    <t>PBDIT</t>
  </si>
  <si>
    <t xml:space="preserve">Depreciation </t>
  </si>
  <si>
    <t xml:space="preserve">Bad debts written off </t>
  </si>
  <si>
    <t>Preliminary Expenses w/off</t>
  </si>
  <si>
    <t>Miscellaneous Expenses</t>
  </si>
  <si>
    <t xml:space="preserve">PBIT </t>
  </si>
  <si>
    <t>Interest to Banks and FI (WC Limits)</t>
  </si>
  <si>
    <t>Interest on Loans (Term Loans)</t>
  </si>
  <si>
    <t xml:space="preserve">Interest to Directors/ Partners </t>
  </si>
  <si>
    <t xml:space="preserve">Interest paid to Relatives  </t>
  </si>
  <si>
    <t xml:space="preserve">Salary to Directors </t>
  </si>
  <si>
    <t>PBT</t>
  </si>
  <si>
    <t>Tax</t>
  </si>
  <si>
    <t>PAT</t>
  </si>
  <si>
    <t>Dividends paid</t>
  </si>
  <si>
    <t xml:space="preserve">Transfers to General Reserve </t>
  </si>
  <si>
    <t>Retained Profits</t>
  </si>
  <si>
    <t>Cash Surplus</t>
  </si>
  <si>
    <t>Balance sheet</t>
  </si>
  <si>
    <t xml:space="preserve">Share Capital </t>
  </si>
  <si>
    <t>Partners capital</t>
  </si>
  <si>
    <t>Reserves and Surplus</t>
  </si>
  <si>
    <t xml:space="preserve">Miscellaneous Expenditure </t>
  </si>
  <si>
    <t>Networth</t>
  </si>
  <si>
    <t xml:space="preserve">Loans from Promoters/ Directors  </t>
  </si>
  <si>
    <t>Loan to promoter (incl invt in group cos)</t>
  </si>
  <si>
    <t xml:space="preserve">Total promoter Funds </t>
  </si>
  <si>
    <t xml:space="preserve">Long term Debts-Secured </t>
  </si>
  <si>
    <t xml:space="preserve">Long term Debts-Unsecured </t>
  </si>
  <si>
    <t>Total Funds Employed</t>
  </si>
  <si>
    <t>Fixed Assets (including CWIP)</t>
  </si>
  <si>
    <t xml:space="preserve">Investment &amp; Deposits </t>
  </si>
  <si>
    <t>Current Assets:</t>
  </si>
  <si>
    <t xml:space="preserve">Closing Stock </t>
  </si>
  <si>
    <t>Debtors</t>
  </si>
  <si>
    <t>Loans and Advances</t>
  </si>
  <si>
    <t>Cash and Bank Balances</t>
  </si>
  <si>
    <t>Advance Tax &amp; TDS</t>
  </si>
  <si>
    <t>Less: Current Liabilities</t>
  </si>
  <si>
    <t xml:space="preserve">Sundry creditors </t>
  </si>
  <si>
    <t xml:space="preserve">Customer Advances </t>
  </si>
  <si>
    <t>Other liabilities (incl Deposits)</t>
  </si>
  <si>
    <t xml:space="preserve">Provisions </t>
  </si>
  <si>
    <t xml:space="preserve">Working capital </t>
  </si>
  <si>
    <t xml:space="preserve">Sources of Working capital </t>
  </si>
  <si>
    <t xml:space="preserve">Bank overdraft/ Cash Credit facilities    </t>
  </si>
  <si>
    <t xml:space="preserve">Bills discounting </t>
  </si>
  <si>
    <t>Short term facilities</t>
  </si>
  <si>
    <t xml:space="preserve">Net working capital </t>
  </si>
  <si>
    <t xml:space="preserve">Deferred Tax Assets / (Liabilities) </t>
  </si>
  <si>
    <t>Application of Funds</t>
  </si>
  <si>
    <t>Financial Analysis</t>
  </si>
  <si>
    <t>Net Profit ratio (PBT)</t>
  </si>
  <si>
    <t>PAT Margin</t>
  </si>
  <si>
    <t>Cash Profit ratio</t>
  </si>
  <si>
    <t>Interest Coverage Ratio</t>
  </si>
  <si>
    <t>Debtor Turnover (in days)</t>
  </si>
  <si>
    <t>Creditors Turnover (in days)</t>
  </si>
  <si>
    <t>Stock in days</t>
  </si>
  <si>
    <t>Adjusted Tangible Networth</t>
  </si>
  <si>
    <t>Total Tangible Assets</t>
  </si>
  <si>
    <t>TOL</t>
  </si>
  <si>
    <t>Total Borrowing / ATNW</t>
  </si>
  <si>
    <t>TOL / Total Tangible Assets</t>
  </si>
  <si>
    <t>TOL/ATNW</t>
  </si>
  <si>
    <t>DSCR</t>
  </si>
  <si>
    <t>DSCR (after proposed loan)</t>
  </si>
  <si>
    <t>Version</t>
  </si>
  <si>
    <t xml:space="preserve">Consolidated Financials </t>
  </si>
  <si>
    <t>(Rs in lakhs)</t>
  </si>
  <si>
    <t>Others</t>
  </si>
  <si>
    <t>Total Borrowing including Working capital limits</t>
  </si>
  <si>
    <t>FY 2021-22</t>
  </si>
  <si>
    <t>FY 2020-21</t>
  </si>
  <si>
    <t>FY 2019-20</t>
  </si>
  <si>
    <r>
      <t>Inc./</t>
    </r>
    <r>
      <rPr>
        <b/>
        <u/>
        <sz val="10.5"/>
        <color indexed="10"/>
        <rFont val="Calibri"/>
        <family val="2"/>
        <scheme val="minor"/>
      </rPr>
      <t xml:space="preserve">Dec </t>
    </r>
  </si>
  <si>
    <t>Location</t>
  </si>
  <si>
    <t>Total Funding Amount</t>
  </si>
  <si>
    <t>Funding Type (Fresh / BT / Purchase / BT +TU)</t>
  </si>
  <si>
    <t>Proposal appraised under (Product)</t>
  </si>
  <si>
    <t>Sourcing Channel</t>
  </si>
  <si>
    <t>DSCR / FOIR and LTV</t>
  </si>
  <si>
    <t>DSCR - ____ times ; LTV ___%</t>
  </si>
  <si>
    <t>Details of Borrowers and Co-borrowers</t>
  </si>
  <si>
    <t>Sl No.</t>
  </si>
  <si>
    <t>Borrower / Co-borrowers Name</t>
  </si>
  <si>
    <t>Age</t>
  </si>
  <si>
    <t>Partner / Director (Yes / No)</t>
  </si>
  <si>
    <t>CIBIL Score</t>
  </si>
  <si>
    <t>% Share in Firm / Shareholding in company</t>
  </si>
  <si>
    <t>NA</t>
  </si>
  <si>
    <t>Deal I</t>
  </si>
  <si>
    <t>Deal II</t>
  </si>
  <si>
    <t>Loan Amount Rs.in Lakhs</t>
  </si>
  <si>
    <t>Loan Tenor in years</t>
  </si>
  <si>
    <t>Rate of Interest</t>
  </si>
  <si>
    <t>EMI per Lakhs</t>
  </si>
  <si>
    <t>EMI for the proposed loan amount</t>
  </si>
  <si>
    <t>Property Valuation</t>
  </si>
  <si>
    <t>LTV</t>
  </si>
  <si>
    <t>Particular</t>
  </si>
  <si>
    <t>Last 12 months Sales as per GST</t>
  </si>
  <si>
    <t>Turnover</t>
  </si>
  <si>
    <t>PBDIT%</t>
  </si>
  <si>
    <t xml:space="preserve">Taxation </t>
  </si>
  <si>
    <t>PBDIT After Tax(A)</t>
  </si>
  <si>
    <t xml:space="preserve">Current Obligation (Annualized) including WC interest </t>
  </si>
  <si>
    <t>Proposed Obligation (Annualized)</t>
  </si>
  <si>
    <t>Total Obligation (B)</t>
  </si>
  <si>
    <t>DSCR(A/B)</t>
  </si>
  <si>
    <t>Lowest DSCR</t>
  </si>
  <si>
    <t>DSCR Considered</t>
  </si>
  <si>
    <t>Last 12 months Banking credits</t>
  </si>
  <si>
    <t>DSCR Calculation</t>
  </si>
  <si>
    <t>Particulars</t>
  </si>
  <si>
    <t>Gross Rent excluding GST</t>
  </si>
  <si>
    <t>GST</t>
  </si>
  <si>
    <t>Less : TDS @ 10%</t>
  </si>
  <si>
    <t>Net Rentals including GST</t>
  </si>
  <si>
    <t>Net Rentals excluding GST</t>
  </si>
  <si>
    <t xml:space="preserve">Loan Applied for (Rs. Lakhs) </t>
  </si>
  <si>
    <t xml:space="preserve">Tenure in years </t>
  </si>
  <si>
    <t xml:space="preserve">EMI per lakh in Rs. </t>
  </si>
  <si>
    <t xml:space="preserve">EMI in Rs.  </t>
  </si>
  <si>
    <t>Existing Obligations</t>
  </si>
  <si>
    <t>Total Obligations</t>
  </si>
  <si>
    <t xml:space="preserve">Tech Value (Rs. in Lakhs) </t>
  </si>
  <si>
    <t>Overall LTV w.r.t. Tech</t>
  </si>
  <si>
    <t>Net Surplus (Net rent – EMI)</t>
  </si>
  <si>
    <t>EMI / Net rent</t>
  </si>
  <si>
    <t xml:space="preserve">EMI / Gross Rent </t>
  </si>
  <si>
    <t>Rental Income as per ITR</t>
  </si>
  <si>
    <t>XXX Month Rent Credit</t>
  </si>
  <si>
    <t>Relationship with main promoter</t>
  </si>
  <si>
    <t>Applicant</t>
  </si>
  <si>
    <t>Co-Applicant</t>
  </si>
  <si>
    <t>Average Salary For last 3 months</t>
  </si>
  <si>
    <t>Highest Qualification</t>
  </si>
  <si>
    <t>Vintage in same company</t>
  </si>
  <si>
    <t>Total Work - Ex</t>
  </si>
  <si>
    <t>Category of Employer</t>
  </si>
  <si>
    <t>Actual Salary Credit for last 3 months</t>
  </si>
  <si>
    <t>Current Employer</t>
  </si>
  <si>
    <t>Salary Income Considered</t>
  </si>
  <si>
    <t>Total Salary plus Rental Income</t>
  </si>
  <si>
    <t>Current Age</t>
  </si>
  <si>
    <t>Balance years considering retirement age 60 years</t>
  </si>
  <si>
    <t xml:space="preserve">Total of Salary Credit in last 3 months </t>
  </si>
  <si>
    <t>Annual Bonus Income (Considered 50%) /12</t>
  </si>
  <si>
    <t>FOIR</t>
  </si>
  <si>
    <t>Existing Obligations (As per Loan Sheet)</t>
  </si>
  <si>
    <t>ROI</t>
  </si>
  <si>
    <t>Rental considered for eligibility</t>
  </si>
  <si>
    <t>Name of Lessor</t>
  </si>
  <si>
    <t>Property Owner</t>
  </si>
  <si>
    <t>Actual Rental Credited</t>
  </si>
  <si>
    <t>Security Deposit</t>
  </si>
  <si>
    <t>Lease Start Date</t>
  </si>
  <si>
    <t xml:space="preserve">Lease Period </t>
  </si>
  <si>
    <t>Tenor</t>
  </si>
  <si>
    <t>Balance Tenor</t>
  </si>
  <si>
    <t>Gross Rent p.m.</t>
  </si>
  <si>
    <t>GST @ 18%</t>
  </si>
  <si>
    <t>TDS @ 10%</t>
  </si>
  <si>
    <t>Net Rental</t>
  </si>
  <si>
    <t>Agreement Registered / Unregistered</t>
  </si>
  <si>
    <t>Sl. No.</t>
  </si>
  <si>
    <t>Name of Lessse</t>
  </si>
  <si>
    <t>Remarks if any</t>
  </si>
  <si>
    <t>Month</t>
  </si>
  <si>
    <t>Lessee :</t>
  </si>
  <si>
    <t>Property Address occupied by Lessee</t>
  </si>
  <si>
    <t>Date of Credit</t>
  </si>
  <si>
    <t>Amount of Credit</t>
  </si>
  <si>
    <t>* Actual date of Credit and amount to be mentioned in above cells</t>
  </si>
  <si>
    <t>Property I</t>
  </si>
  <si>
    <t>Property II</t>
  </si>
  <si>
    <t xml:space="preserve">TOTAL </t>
  </si>
  <si>
    <t>Address</t>
  </si>
  <si>
    <t>Ownership of the property</t>
  </si>
  <si>
    <t>Property Usage (Self occupied / Rented / Vacant)</t>
  </si>
  <si>
    <t>Age of Property</t>
  </si>
  <si>
    <t>Land Area</t>
  </si>
  <si>
    <t>Built Up Area</t>
  </si>
  <si>
    <t>Technical Valuation - I</t>
  </si>
  <si>
    <t>Technical Valuation - II</t>
  </si>
  <si>
    <t>Valuation considered for Loan calculation (Average of two valuations)</t>
  </si>
  <si>
    <t>Remarks</t>
  </si>
  <si>
    <t>Deviations</t>
  </si>
  <si>
    <t>SRN</t>
  </si>
  <si>
    <t>Borrowers Name</t>
  </si>
  <si>
    <t>Loan Type</t>
  </si>
  <si>
    <t>Lenders Name</t>
  </si>
  <si>
    <t>Loan Amount</t>
  </si>
  <si>
    <t>Principal Outstanding</t>
  </si>
  <si>
    <t>Original Tenure (months)</t>
  </si>
  <si>
    <t xml:space="preserve">EMI </t>
  </si>
  <si>
    <t>Total Seasoning (MOB)</t>
  </si>
  <si>
    <t>Outstanding Tenure</t>
  </si>
  <si>
    <t>Considered for FOIR</t>
  </si>
  <si>
    <t>EMI considered in FOIR</t>
  </si>
  <si>
    <t>Security Provided</t>
  </si>
  <si>
    <t>Yes</t>
  </si>
  <si>
    <t>No</t>
  </si>
  <si>
    <t>RTR Detail</t>
  </si>
  <si>
    <t>Bank from EMI debited</t>
  </si>
  <si>
    <t>Financier Name</t>
  </si>
  <si>
    <t>EMI amount</t>
  </si>
  <si>
    <t>Consolidated Banking                                                                                                                                                                  (in lakhs)</t>
  </si>
  <si>
    <t>COMPANY NAME</t>
  </si>
  <si>
    <t>BANK NAME</t>
  </si>
  <si>
    <t>ACCOUNT NUMBER</t>
  </si>
  <si>
    <t>10th</t>
  </si>
  <si>
    <t>20th</t>
  </si>
  <si>
    <t>30th</t>
  </si>
  <si>
    <t>Average</t>
  </si>
  <si>
    <t>Inflow</t>
  </si>
  <si>
    <t>Outflow</t>
  </si>
  <si>
    <t>Net Flow</t>
  </si>
  <si>
    <t>No. of Inward cheque returns</t>
  </si>
  <si>
    <t>No. of Outward cheque returns</t>
  </si>
  <si>
    <t>Internal transfer</t>
  </si>
  <si>
    <t>Average Balance Maintained</t>
  </si>
  <si>
    <t>Total Balance Maintained</t>
  </si>
  <si>
    <t>Total Net Flow</t>
  </si>
  <si>
    <t>Average Net Flow</t>
  </si>
  <si>
    <t>Total Inflow/Outflow</t>
  </si>
  <si>
    <t>Net Credits (Excluding internal transfers)</t>
  </si>
  <si>
    <t>MIN</t>
  </si>
  <si>
    <t>MAX</t>
  </si>
  <si>
    <t>BRANCH NAME</t>
  </si>
  <si>
    <t>PERIOD</t>
  </si>
  <si>
    <t>Industry Segment</t>
  </si>
  <si>
    <t>BT Institution</t>
  </si>
  <si>
    <t>Collateral Value</t>
  </si>
  <si>
    <t>Transaction Type</t>
  </si>
  <si>
    <t>Sr No</t>
  </si>
  <si>
    <t>Sector</t>
  </si>
  <si>
    <t>Industry</t>
  </si>
  <si>
    <t>Industry- Coding</t>
  </si>
  <si>
    <t>Manufacturing</t>
  </si>
  <si>
    <t>Agriculture and allied activities, fertilizers, sugar and paper, rubber, fishery &amp; poulty</t>
  </si>
  <si>
    <t xml:space="preserve">    -M001</t>
  </si>
  <si>
    <t>Plastics/rubber as a raw material/chemicals and pharma</t>
  </si>
  <si>
    <t xml:space="preserve">    -M002</t>
  </si>
  <si>
    <t>Power,oil and natural gas, petroleum</t>
  </si>
  <si>
    <t xml:space="preserve">    -M003</t>
  </si>
  <si>
    <t>Garments &amp; textiles</t>
  </si>
  <si>
    <t xml:space="preserve">    -M004</t>
  </si>
  <si>
    <t>Leather &amp; footwear</t>
  </si>
  <si>
    <t xml:space="preserve">    -M005</t>
  </si>
  <si>
    <t xml:space="preserve">Mining , iron and steel, glass,  and other metals not reated to construction. </t>
  </si>
  <si>
    <t xml:space="preserve">    -M006</t>
  </si>
  <si>
    <t>Infrastructure companies</t>
  </si>
  <si>
    <t xml:space="preserve">    -M007</t>
  </si>
  <si>
    <t>Builder, real estate, ceramics, property development, and broking, quarry owner, blue metals, building material, furniture, capenter, civil and electrical contrctors and other AMCs</t>
  </si>
  <si>
    <t xml:space="preserve">    -M008</t>
  </si>
  <si>
    <t>FMCG and consumer durables, personal accessories, beauty care products, hair care</t>
  </si>
  <si>
    <t xml:space="preserve">    -M009</t>
  </si>
  <si>
    <t>Mahicnery and equipment, cables and wires, IT hardware</t>
  </si>
  <si>
    <t xml:space="preserve">    -M010</t>
  </si>
  <si>
    <t>automobile and auto ancilliaries</t>
  </si>
  <si>
    <t xml:space="preserve">    -M011</t>
  </si>
  <si>
    <t>Gems &amp; Jewellery</t>
  </si>
  <si>
    <t xml:space="preserve">    -M012</t>
  </si>
  <si>
    <t>Traders</t>
  </si>
  <si>
    <t>Trader wholesaler</t>
  </si>
  <si>
    <t xml:space="preserve">  -T001</t>
  </si>
  <si>
    <t xml:space="preserve">Trader retailer, including retail services of flour mill, milk distributor, bakery, stationery, petrol pump etc. </t>
  </si>
  <si>
    <t xml:space="preserve">  -T002</t>
  </si>
  <si>
    <t>Services</t>
  </si>
  <si>
    <t>Educational institutions and other related to educational sector</t>
  </si>
  <si>
    <t xml:space="preserve">    -S001</t>
  </si>
  <si>
    <t>Entertainment and media, production houses, media houses, advertisers and publishers, multplex owners, cable operators, media and film proffesionals</t>
  </si>
  <si>
    <t xml:space="preserve">    -S002</t>
  </si>
  <si>
    <t xml:space="preserve">Software, IT, BPO, KPO. </t>
  </si>
  <si>
    <t xml:space="preserve">    -S003</t>
  </si>
  <si>
    <t>Transport and airlinies, logistics including courier services</t>
  </si>
  <si>
    <t xml:space="preserve">    -S004</t>
  </si>
  <si>
    <t xml:space="preserve">Taxi services and fleet operators. </t>
  </si>
  <si>
    <t xml:space="preserve">    -S005</t>
  </si>
  <si>
    <t>Fianancial, investment, broking, insurance</t>
  </si>
  <si>
    <t xml:space="preserve">    -S006</t>
  </si>
  <si>
    <t>Consultants - management and others other than real estate, doctors, financial covered above</t>
  </si>
  <si>
    <t xml:space="preserve">    -S007</t>
  </si>
  <si>
    <t>Hospitality, tourism, package tour operators</t>
  </si>
  <si>
    <t xml:space="preserve">    -S008</t>
  </si>
  <si>
    <t>Health and hospitality - hospitals, hotels, doctors etc</t>
  </si>
  <si>
    <t xml:space="preserve">    -S009</t>
  </si>
  <si>
    <t>liquor, wine contractors, distilleries.</t>
  </si>
  <si>
    <t xml:space="preserve">    -S010</t>
  </si>
  <si>
    <t>Landlords, rentals income</t>
  </si>
  <si>
    <t xml:space="preserve">    -S011</t>
  </si>
  <si>
    <t>Salaried - State and central Govt servants, servants of local bodies and authorities including army and PSU employees</t>
  </si>
  <si>
    <t xml:space="preserve">    -S012</t>
  </si>
  <si>
    <t>Salaried - Private - Organised, Public Limited co's</t>
  </si>
  <si>
    <t xml:space="preserve">    -S013</t>
  </si>
  <si>
    <t>Salaried - Private - Unorganised</t>
  </si>
  <si>
    <t xml:space="preserve">    -S014</t>
  </si>
  <si>
    <t xml:space="preserve">Telecom industry. </t>
  </si>
  <si>
    <t xml:space="preserve">    -S015</t>
  </si>
  <si>
    <t xml:space="preserve">Other unorganised businesses. </t>
  </si>
  <si>
    <t xml:space="preserve">    -O100</t>
  </si>
  <si>
    <t>Refer Industry Classification sheet</t>
  </si>
  <si>
    <t>Usage</t>
  </si>
  <si>
    <t>Product Scheme Code</t>
  </si>
  <si>
    <t>Bifurcation</t>
  </si>
  <si>
    <t>Core Input Data</t>
  </si>
  <si>
    <t>Sl.No.</t>
  </si>
  <si>
    <t>Combined LTV</t>
  </si>
  <si>
    <t>CIBIL score of main borrower</t>
  </si>
  <si>
    <t>As per Borrower Sheet, CIBIL score of proprietor in case proprietorship firm is main borrower. CMR score in case of Non-Individual as main borrower</t>
  </si>
  <si>
    <t>Approved DSCR</t>
  </si>
  <si>
    <t>Name of BT institution</t>
  </si>
  <si>
    <t>Name of property owner</t>
  </si>
  <si>
    <t>HIGH LTV PRODUCT</t>
  </si>
  <si>
    <t>Actual</t>
  </si>
  <si>
    <t>Complied Yes / No</t>
  </si>
  <si>
    <t>Norms under the product</t>
  </si>
  <si>
    <t>Parameters</t>
  </si>
  <si>
    <t>Deviation to standard parameters</t>
  </si>
  <si>
    <t>Maximum Loan amount</t>
  </si>
  <si>
    <t>upto Rs. Rs. 3 Cr</t>
  </si>
  <si>
    <t>Properties to be covered</t>
  </si>
  <si>
    <t>1. Residential property - Self occupied / Rented / Vacant</t>
  </si>
  <si>
    <t>2. Commercial Property - Self occupied or Rented</t>
  </si>
  <si>
    <t>3. Comercial property purchase cases</t>
  </si>
  <si>
    <t xml:space="preserve">LTV </t>
  </si>
  <si>
    <t>80% against Residential and Commercial property</t>
  </si>
  <si>
    <t>Loan Tenor</t>
  </si>
  <si>
    <t>Maximum 180 months for exposure upto 65% LTV</t>
  </si>
  <si>
    <t>Maximum 60 months for exposure above 65% and upto 80%</t>
  </si>
  <si>
    <t>DSCR - Under Normal Income</t>
  </si>
  <si>
    <t>1 times and above</t>
  </si>
  <si>
    <t>Other Income (Rent / Interest) to be considered upto 50% of main business Income</t>
  </si>
  <si>
    <t>Under Surrogate</t>
  </si>
  <si>
    <t>Case to be appraised under Normal Income only</t>
  </si>
  <si>
    <t>Minimum 750 of borrowers</t>
  </si>
  <si>
    <t>Minimum 725 of borrowers (Only due to Credit card and Guarantor loan)</t>
  </si>
  <si>
    <t>CIBIL Stinct</t>
  </si>
  <si>
    <t>No EMI based loan should be 30+ in last 24 months repayment history</t>
  </si>
  <si>
    <t>No EMI based loan should be 30+ in last 12 months repayment history</t>
  </si>
  <si>
    <t>Live BL's</t>
  </si>
  <si>
    <t>Not more than 3</t>
  </si>
  <si>
    <t>Not more than 5</t>
  </si>
  <si>
    <t>Latest BL</t>
  </si>
  <si>
    <t>No BL availed in last 6 months (Any loan for other than business purpose, Car Loan, HL to be excluded)</t>
  </si>
  <si>
    <t>Maximum 1 BL availed in last 6 months</t>
  </si>
  <si>
    <t>Debt / Equity</t>
  </si>
  <si>
    <t>Maximum 3 times</t>
  </si>
  <si>
    <t>Maximum 5 times</t>
  </si>
  <si>
    <t xml:space="preserve">Debtors days </t>
  </si>
  <si>
    <t>Maximum 120 days</t>
  </si>
  <si>
    <t>Maximum 180 days</t>
  </si>
  <si>
    <t xml:space="preserve">Stock days </t>
  </si>
  <si>
    <t>Maximum 150 days</t>
  </si>
  <si>
    <t>Maximum 210 days</t>
  </si>
  <si>
    <t xml:space="preserve">Dip of Maximum 20% in FY21 over FY20 </t>
  </si>
  <si>
    <t xml:space="preserve">Dip of Maximum 30% in FY21 over FY20 </t>
  </si>
  <si>
    <t>YOY current turnover should be more than FY21 as per GST returns</t>
  </si>
  <si>
    <t xml:space="preserve">YOY Dip of Maximum 10% in FY22 over FY21 as per GST returns </t>
  </si>
  <si>
    <t>Profitability</t>
  </si>
  <si>
    <t>Borrower should have shown profit in last 3 years</t>
  </si>
  <si>
    <t>No deviation</t>
  </si>
  <si>
    <t>Banking Credits</t>
  </si>
  <si>
    <t>Should be minimum 80% of the turnover as per last 12 months GST returns</t>
  </si>
  <si>
    <t>Should be minimum 70% of the turnover as per last 12 months GST returns</t>
  </si>
  <si>
    <t>Repayment post Moratorium</t>
  </si>
  <si>
    <t>No EMI bounced since Sept-20 due to insufficient funds</t>
  </si>
  <si>
    <t>Minimum Turnover</t>
  </si>
  <si>
    <t>Rs. 100 Lakhs - Financials should be audited for last 3 years</t>
  </si>
  <si>
    <t>Total Borrowing to be</t>
  </si>
  <si>
    <t>&lt; 40% of the turnover</t>
  </si>
  <si>
    <t>&lt; 50% of the turnover</t>
  </si>
  <si>
    <t>I/w Cheque Bouncing</t>
  </si>
  <si>
    <t>Not more than 1% of the total inward payments</t>
  </si>
  <si>
    <t>Not more than 2% of the total inward payments</t>
  </si>
  <si>
    <t>Deviation to the norms</t>
  </si>
  <si>
    <t>Maximum two deviations can be allowed to above norms</t>
  </si>
  <si>
    <t>Property valaution</t>
  </si>
  <si>
    <t>Two valuation to be mandatorily done under this product and lower of the two valuation should be considered for credit evaluation</t>
  </si>
  <si>
    <t>Average of two valuation can be considered if difference in valuation is not more than 15%</t>
  </si>
  <si>
    <t>LOW LTV PRODUCT - LAP</t>
  </si>
  <si>
    <t>Rs. 2 Cr</t>
  </si>
  <si>
    <t>3. Authority allocated Self Occupied Industrial properties</t>
  </si>
  <si>
    <t>50% against Residential and Commercial property</t>
  </si>
  <si>
    <t>45% against Industrial property</t>
  </si>
  <si>
    <t>0.50 times and above</t>
  </si>
  <si>
    <t>Other Income (Rent / Interest) to be considered upto 100% of main business Income</t>
  </si>
  <si>
    <t>Banking Surrogate product norms to be applicable</t>
  </si>
  <si>
    <t>Allowed</t>
  </si>
  <si>
    <t>Minimum 725 of borrowers</t>
  </si>
  <si>
    <t>Minimum 700 of borrowers</t>
  </si>
  <si>
    <t>No BL availed in last 6 months</t>
  </si>
  <si>
    <t>Maximum 180 months</t>
  </si>
  <si>
    <t xml:space="preserve">Dip of Maximum 50% in FY21 over FY20 </t>
  </si>
  <si>
    <t>YOY turnover should be 10% more than FY21 for similar period</t>
  </si>
  <si>
    <t xml:space="preserve">YOY Dip of Maximum 20% in FY22 over FY21 as per GST returns </t>
  </si>
  <si>
    <t>Maximum one deviations can be allowed to above norms</t>
  </si>
  <si>
    <t>Minimum 700</t>
  </si>
  <si>
    <t>Minimum 5 credit transactions in a month</t>
  </si>
  <si>
    <t>Main account vintage of more than 1 year</t>
  </si>
  <si>
    <t>Busines vintage of minimum 3 years</t>
  </si>
  <si>
    <t>DPD&gt; 30 days in CIBIL history of loans</t>
  </si>
  <si>
    <t>Loan overdue</t>
  </si>
  <si>
    <t>Credit Card Overdue</t>
  </si>
  <si>
    <t>&lt; = Rs. 5000 maximum</t>
  </si>
  <si>
    <t xml:space="preserve">YOY turnover should be more than FY21 </t>
  </si>
  <si>
    <t>MONTH</t>
  </si>
  <si>
    <t>TURNOVER (RS.) as per GSTR</t>
  </si>
  <si>
    <t xml:space="preserve">GST Payable </t>
  </si>
  <si>
    <t>Input Tax Credit Availed</t>
  </si>
  <si>
    <t>Tax Actually Paid</t>
  </si>
  <si>
    <t>GSTR Status</t>
  </si>
  <si>
    <t>Return filed</t>
  </si>
  <si>
    <t>Total</t>
  </si>
  <si>
    <t>-</t>
  </si>
  <si>
    <t>Net monthly Rental Credit</t>
  </si>
  <si>
    <t>TOTAL</t>
  </si>
  <si>
    <t>Residential / Commercial / Industrial / Vacant Plot</t>
  </si>
  <si>
    <t>Area Occupied in sq. ft.</t>
  </si>
  <si>
    <t>Risk Categorization</t>
  </si>
  <si>
    <t>Udyam Registration No.</t>
  </si>
  <si>
    <t>URC No.</t>
  </si>
  <si>
    <t>Balance Transfer plus Top up / Fresh LAP / Plain Balance Transfer / Property Purchase / Top Up Loan</t>
  </si>
  <si>
    <t>Residual age of property</t>
  </si>
  <si>
    <t>Date of Loan (dd/mmm/yy)</t>
  </si>
  <si>
    <t>Remarks on RTR / end use of loan availed / If Not reason</t>
  </si>
  <si>
    <t>Kotak Bank</t>
  </si>
  <si>
    <t>Top 5 Debtors</t>
  </si>
  <si>
    <t>Top 5 Creditors</t>
  </si>
  <si>
    <t>S.No.</t>
  </si>
  <si>
    <t>Name</t>
  </si>
  <si>
    <t>Amount</t>
  </si>
  <si>
    <t>Total Debtors</t>
  </si>
  <si>
    <t>Total Creditors</t>
  </si>
  <si>
    <t>F.Y 2021-22</t>
  </si>
  <si>
    <t>F.Y 2020-21</t>
  </si>
  <si>
    <t>LRD Caluculation</t>
  </si>
  <si>
    <t>Lessee</t>
  </si>
  <si>
    <t>NPVF</t>
  </si>
  <si>
    <t>NPV</t>
  </si>
  <si>
    <t xml:space="preserve">Property Address </t>
  </si>
  <si>
    <t>Tenure</t>
  </si>
  <si>
    <t>Deed</t>
  </si>
  <si>
    <t>Registered</t>
  </si>
  <si>
    <t xml:space="preserve">Date of Lease </t>
  </si>
  <si>
    <t>Lessor</t>
  </si>
  <si>
    <t>Gross Rental</t>
  </si>
  <si>
    <t>Muncip taxes</t>
  </si>
  <si>
    <t>TDS</t>
  </si>
  <si>
    <t>ST</t>
  </si>
  <si>
    <t>Lease Tenor</t>
  </si>
  <si>
    <t>12 years</t>
  </si>
  <si>
    <t>Paid Rent</t>
  </si>
  <si>
    <t>Premises</t>
  </si>
  <si>
    <t>Rental Credits in Bank</t>
  </si>
  <si>
    <t>Lock in period</t>
  </si>
  <si>
    <t xml:space="preserve">Start date of rental </t>
  </si>
  <si>
    <t>Esclation clause</t>
  </si>
  <si>
    <t>Increase of 15% after every 3 years</t>
  </si>
  <si>
    <t>Area</t>
  </si>
  <si>
    <t>Rental</t>
  </si>
  <si>
    <t>Security Deposited</t>
  </si>
  <si>
    <t>Borrower</t>
  </si>
  <si>
    <t>Loan A/c No.</t>
  </si>
  <si>
    <t>Month / Year</t>
  </si>
  <si>
    <t>POS</t>
  </si>
  <si>
    <t>EMI</t>
  </si>
  <si>
    <t>MOB</t>
  </si>
  <si>
    <t>Remarks on repayment</t>
  </si>
  <si>
    <t>2020-21</t>
  </si>
  <si>
    <t>Date of Filing</t>
  </si>
  <si>
    <t>Income from Salary</t>
  </si>
  <si>
    <t xml:space="preserve">Income from House Property </t>
  </si>
  <si>
    <t>Income from Business &amp; Professions</t>
  </si>
  <si>
    <t>Incone from Other Sources</t>
  </si>
  <si>
    <t>Incone from Capital gain</t>
  </si>
  <si>
    <t>Gross total income</t>
  </si>
  <si>
    <t>Total Tax including cess</t>
  </si>
  <si>
    <t>Advance Tax</t>
  </si>
  <si>
    <t>Self Assessment Tax</t>
  </si>
  <si>
    <t>Tax Payable/Refund</t>
  </si>
  <si>
    <t>2021-22</t>
  </si>
  <si>
    <t>Financial Year</t>
  </si>
  <si>
    <t>Name of Borrower</t>
  </si>
  <si>
    <t>BT Banker</t>
  </si>
  <si>
    <t>Date of Sanction Letter</t>
  </si>
  <si>
    <t>Type of Loan Facility</t>
  </si>
  <si>
    <t>POS/ Princapal Outstanding</t>
  </si>
  <si>
    <t>Drawing Power</t>
  </si>
  <si>
    <t>Conduct as per Banking</t>
  </si>
  <si>
    <t xml:space="preserve">CIBIL Status </t>
  </si>
  <si>
    <t>Collateral Details</t>
  </si>
  <si>
    <t>Approval Authority Level</t>
  </si>
  <si>
    <t>Designation</t>
  </si>
  <si>
    <t>Level 3 / 4</t>
  </si>
  <si>
    <t>Credit Manager</t>
  </si>
  <si>
    <t>Level 5</t>
  </si>
  <si>
    <t>Area / Location Credit Manager</t>
  </si>
  <si>
    <t>Level 6</t>
  </si>
  <si>
    <t>Regional Credit Manger (State Head)</t>
  </si>
  <si>
    <t>Level 7</t>
  </si>
  <si>
    <t>Zonal Credit Manager</t>
  </si>
  <si>
    <t>Level 8</t>
  </si>
  <si>
    <t>HO Credit</t>
  </si>
  <si>
    <t>Level 9</t>
  </si>
  <si>
    <t>National Credit Manager</t>
  </si>
  <si>
    <t>Sl. No</t>
  </si>
  <si>
    <t>Minimum Approval Authority</t>
  </si>
  <si>
    <t>LOGIN STAGE</t>
  </si>
  <si>
    <t>Minimum eligibility norms for initial screening for Login not met (Approval for case login in absence of required credit/KYC docs)</t>
  </si>
  <si>
    <t>L4</t>
  </si>
  <si>
    <t xml:space="preserve">Non Eligible Profiles for Login only </t>
  </si>
  <si>
    <t>Any deviations related to Login/Processing Fee</t>
  </si>
  <si>
    <t>Regional Sales Manager or as specified from time to time by CEO</t>
  </si>
  <si>
    <t>RELAXATION IN AGE CRITERIA</t>
  </si>
  <si>
    <t>Min Age limit for all individual party to contract</t>
  </si>
  <si>
    <t>NO DEVIATION</t>
  </si>
  <si>
    <t>Age of the borrower below 18 years with parent/elder sibling co-applicant</t>
  </si>
  <si>
    <t>Age of the borrower below 18 years without parent/elder sibling co-applicant</t>
  </si>
  <si>
    <t>L8</t>
  </si>
  <si>
    <t>Max Age limit - Applicant/Co-Applicant (where income is considered). However age above 65 Yrs shall not be allowed for deviation.</t>
  </si>
  <si>
    <t>Max Age limit - Applicant/Co-Applicant (where income is not considered). However age above 70 Yrs shall not be allowed for deviation.</t>
  </si>
  <si>
    <t>Profile Deviation</t>
  </si>
  <si>
    <t>Caution Profile</t>
  </si>
  <si>
    <t>L5</t>
  </si>
  <si>
    <t>Negative Profile</t>
  </si>
  <si>
    <t>L6</t>
  </si>
  <si>
    <t>Negative Area</t>
  </si>
  <si>
    <t>Combination of Caution/Negative Profile &amp; Negative Area</t>
  </si>
  <si>
    <t>Salaried customer from CAT B/C Category employers</t>
  </si>
  <si>
    <t>Cash Rental/Cash Salaried Customer</t>
  </si>
  <si>
    <t>Class 4 Employee</t>
  </si>
  <si>
    <t>CIBIL DEVIATION</t>
  </si>
  <si>
    <t>CIBIL -1 Score in TU3 version subject to No Records found in Equifax also</t>
  </si>
  <si>
    <t>L3/L4</t>
  </si>
  <si>
    <t>725 &amp; above CIBIL Score in TU3 version</t>
  </si>
  <si>
    <t>Between 700 to 724 CIBIL Score in TU3 version</t>
  </si>
  <si>
    <t>Between 675 to 699 CIBIL Score in TU3 version</t>
  </si>
  <si>
    <t>Between 650 to 674 CIBIL Score in TU3 version</t>
  </si>
  <si>
    <t>L7</t>
  </si>
  <si>
    <t>Commercial CIBIL for Non Individual - Any overdue or DPDs seen</t>
  </si>
  <si>
    <t>Multiple CIBIL reports - Lower of CIBIL Score to be considered except -1 CIBIL Score &amp; Deviation level is as that mentioned above</t>
  </si>
  <si>
    <t>As Applicable</t>
  </si>
  <si>
    <t>Equifax Report - This report to be generated for all customers with -1 CIBIL Score and if some records founded in Equifax report, then CIBIL to be regenerated based on the details available in Equifax. Deviation level to be taken based on the regenerated CIBIL Score</t>
  </si>
  <si>
    <t>PL/BL/LAP/HL enquiry seen in CIBIL more than 2 times in last 3 months from the date of login</t>
  </si>
  <si>
    <t>PL/BL/LAP/HL taken in last 3 months as per the trade lines seen in CIBIL report from the date of login</t>
  </si>
  <si>
    <t>PL/BL/LAP/HL taken in last 3 months as per the trade lines seen in CIBIL report from the date of login which is more than 30% of the proposed loan amount</t>
  </si>
  <si>
    <t>LIVE OVERDUES SEEN (within 1 year) in any EMI based loans with clearance proof</t>
  </si>
  <si>
    <t>LIVE OVERDUES SEEN (within 1 year) in any EMI based loans without clearance proof</t>
  </si>
  <si>
    <t>LIVE OVERDUES SEEN (within 1 year) in any NON-EMI based loans with clearance proof</t>
  </si>
  <si>
    <t>As per CIBIL Score Slab Approval Authority</t>
  </si>
  <si>
    <t xml:space="preserve">LIVE OVERDUES SEEN (within 1 year) in any NON-EMI based loans without clearance proof </t>
  </si>
  <si>
    <t>1 level higher approval to be taken as per CIBIL Score deviation slab</t>
  </si>
  <si>
    <t>FOIR NORMS DEVIATION for SALARIED CUSTOMERS</t>
  </si>
  <si>
    <t>Up To 50% FOIR with no deviation in LTV</t>
  </si>
  <si>
    <t>L3</t>
  </si>
  <si>
    <t>Up To 50% FOIR with deviation in LTV</t>
  </si>
  <si>
    <t>Up to 60% FOIR with no deviation in LTV</t>
  </si>
  <si>
    <t>Up to 60% FOIR with deviation in LTV</t>
  </si>
  <si>
    <t>DSCR NORMS DEVIATION FOR NON SALARIED CUSTOMERS</t>
  </si>
  <si>
    <t>DSCR of above 1.0</t>
  </si>
  <si>
    <t>DSCR between 0.8 to 1.0 without LTV Deviation</t>
  </si>
  <si>
    <t>DSCR between 0.8 to 1.00 with LTV Deviation</t>
  </si>
  <si>
    <t>** In any scenario max LTV deviation allowed as per policy is up to 10% only from the slab mentioned based on CIBIL Score &amp; Property type</t>
  </si>
  <si>
    <t xml:space="preserve">FI RELATED DEVIATIONS </t>
  </si>
  <si>
    <t>SEP SENP, Rented Residence, Co. provided residence, bachelor accommodation with NO owned house in KMP operational area_Owned house guarantor taken</t>
  </si>
  <si>
    <t>FI at wrong address Loan not applied for Shifted With Re-FI</t>
  </si>
  <si>
    <t>Negative Dedupe</t>
  </si>
  <si>
    <t>No link with Business if owner of the business is CB</t>
  </si>
  <si>
    <t>Owned House but FI negative due to Low stability less than 6 months , TPC Name not confirmed , entry restricted , Society board not matching , Door Lock TPC confirmed _ Having Verifiable OP</t>
  </si>
  <si>
    <t>Owned House but FI negative due to TPC name not confirm, Loan not applied for, refused to provide details _ Not Satisfying any of the two conditions of Re-FI or Ownership Proof or TVR</t>
  </si>
  <si>
    <t>Owned House but FI negative due to TPC name not confirm, Loan not applied for, refused to provide details _ Satisfying any two amongst Re-FI or Ownership Proof or TVR</t>
  </si>
  <si>
    <t>Rented Residence, Co. Provided residence, bachelor accommodation with owned house in KMP operational area _ Local Guarantor taken or FI at operational area</t>
  </si>
  <si>
    <t>Salaried _ Entry restricted at office, any one from ID proof and email is collected with RCU Check</t>
  </si>
  <si>
    <t>Extension of Validity of FI report ( by 30 days)</t>
  </si>
  <si>
    <t>FI Waiver with Credit Manager Visit</t>
  </si>
  <si>
    <t>Owned House but FI negative due to Low stability less than 6 months , TPC Name not confirmed , entry restricted , Society board not matching , Door Lock TPC confirmed _ without Verifiable OP</t>
  </si>
  <si>
    <t xml:space="preserve">FI waiver </t>
  </si>
  <si>
    <t>Salaried _ Entry restricted at office and none out of ID proof and email ID are Collected without RCU check</t>
  </si>
  <si>
    <t>SEP SENP, Rented Residence, Co. Provided residence, bachelor accommodation with NO owned house in KMP operational area owned house guarantor not taken</t>
  </si>
  <si>
    <t>Rented Residence, Co. Provided residence, bachelor accommodation with No owned house and local guarantor having owned house is not taken</t>
  </si>
  <si>
    <t>FI Negative - Political Connection/Affiliation</t>
  </si>
  <si>
    <t>FI Negative - Refused to provide details</t>
  </si>
  <si>
    <t>FI Negative - Bad Market Reference</t>
  </si>
  <si>
    <t>FI Negative - Mis leading information/Negative neighbour references</t>
  </si>
  <si>
    <t>Business Address in OGL with Residence in Operational Area</t>
  </si>
  <si>
    <t>Both Residence &amp; Business in OGL</t>
  </si>
  <si>
    <t>L9</t>
  </si>
  <si>
    <t>Any other FI negative which is not defined</t>
  </si>
  <si>
    <t>ITR RELATED DEVIATIONS</t>
  </si>
  <si>
    <t>2 ITR filed within 3 month but not in last 3 month from the date of loan application</t>
  </si>
  <si>
    <t>ITR Return Submitted and not verified total tax paid challan or 26AS submitted and verified at OLTAS (Recently filed ITR)</t>
  </si>
  <si>
    <t>R1 - Mismatch of ITR due to Capital gains, exempt Agri income and MAT provisions</t>
  </si>
  <si>
    <t>R1 MISMATCH OF ITR NORMS SATISFIED</t>
  </si>
  <si>
    <t>2 ITR filed within 3 month from date of loan application date</t>
  </si>
  <si>
    <t>ITR Return Submitted and not verified -for all other cases</t>
  </si>
  <si>
    <t>ITR Tax Liability Mismatch MAT or Capital Gain or Agri Income  Difference not to exceed 10 percentage of total tax liability or 25000- whichever is lower</t>
  </si>
  <si>
    <t>R1 ITR NOT RECEIVED AND TAX IS PAID BY THE APPLICANT NOT VEREFIED BY CREDIT MANAGER</t>
  </si>
  <si>
    <t>Interest due but not shown as due in ITR</t>
  </si>
  <si>
    <t>ITR Defective return</t>
  </si>
  <si>
    <t>ITR Invalid return</t>
  </si>
  <si>
    <t>ITR No record found</t>
  </si>
  <si>
    <t>ITR PAN number not matching</t>
  </si>
  <si>
    <t>ITR Tax Liability Mismatch others</t>
  </si>
  <si>
    <t>R1 MISMATCH OF ITR NORMS NOT SATISFIED</t>
  </si>
  <si>
    <t>Tax payable ITR</t>
  </si>
  <si>
    <t>ITR Acknowledgment number not containing date as per requisite format</t>
  </si>
  <si>
    <t>ITR Numeric bar code does not contain PAN number and Acknowledgement number in desired fashion</t>
  </si>
  <si>
    <t>ITR Tax Payable/Tax Refund not rounded to nearest Ten</t>
  </si>
  <si>
    <t>ITR verification waiver</t>
  </si>
  <si>
    <t>RCU SAMPLE REPORT DEVIATION</t>
  </si>
  <si>
    <t>RCU Negative Report - R3</t>
  </si>
  <si>
    <t>RCU Negative Report - R4</t>
  </si>
  <si>
    <t>RCU Negative Report - R2</t>
  </si>
  <si>
    <t>RCU Negative Report - R1</t>
  </si>
  <si>
    <t>NCIF Deviation</t>
  </si>
  <si>
    <t>NCIF Positive match</t>
  </si>
  <si>
    <t>NCIF Positive match - Approval taken in previous exposure for the same issue</t>
  </si>
  <si>
    <t>Other Credit Deviations</t>
  </si>
  <si>
    <t xml:space="preserve">Funding to person based in non-approved location - NTB customer and we don't have Relationship manager placed in that location provided that it is KMPL Operational area. </t>
  </si>
  <si>
    <t>LAP Funding to NIP Profiles</t>
  </si>
  <si>
    <t>LAP Funding to NRI Profiles</t>
  </si>
  <si>
    <t>LAP Funding to a FIRM/Company wherein HUF is one of the partner</t>
  </si>
  <si>
    <t>LAP Funding to Trust / Society</t>
  </si>
  <si>
    <t>LAP Funding to a DSA</t>
  </si>
  <si>
    <t>Any Other deviations which is not defined</t>
  </si>
  <si>
    <t>Property Category</t>
  </si>
  <si>
    <t>Branch Level with CIBIL Score above 725 for individuals / For Non Individuals CMR of 1 to 5</t>
  </si>
  <si>
    <t>Regional/Zonal Level with CIBIL Score above 725 for individuals / For Non Individuals CMR of 1 to 5</t>
  </si>
  <si>
    <t>National Level with CIBIL Score above 725 for individuals / For Non Individuals CMR of 1 to 5</t>
  </si>
  <si>
    <t>Level 3 / 4 / 5</t>
  </si>
  <si>
    <t>Level 6 / 7 / 8</t>
  </si>
  <si>
    <t>Residential Self Occupied Property (RSOP)</t>
  </si>
  <si>
    <t xml:space="preserve">- For CIBIL Score between 700 to 725 &amp; -1 CIBIL Score for Individuals and For Non Individuals CMR of 6 to 7  LTV to be reduced by 5%. </t>
  </si>
  <si>
    <t>- For CIBIL Score between 650 to 699 for individuals and For Non Individuals CMR of 8, LTV to be reduced by 10%</t>
  </si>
  <si>
    <t>- No funding allowed for CIBIL Score below 650</t>
  </si>
  <si>
    <t>Residential Non Self Occupied Property (RNSOP)</t>
  </si>
  <si>
    <t xml:space="preserve">- For CIBIL Score between 700 to 725 &amp; -1 CIBIL Score for Individuals and For Non Individuals CMR of 6 to 7, LTV to be reduced by 5%. </t>
  </si>
  <si>
    <t>- For CIBIL Score between 650 to 699 for individuals and For Non Individuals CMR of 8,, LTV to be reduced by 10%</t>
  </si>
  <si>
    <t>Commercial Self Occupied Property (CSOP)</t>
  </si>
  <si>
    <t>Commercial Non Self Occupied Property (CNSOP)</t>
  </si>
  <si>
    <t>Industrial Self Occupied Property (ISOP)</t>
  </si>
  <si>
    <t>Industrial Non Self Occupied Property (INSOP)/Vacant Land (Non Agri Commercial or Residential Plots)</t>
  </si>
  <si>
    <t>Funding Norms for all properties under LRD scheme</t>
  </si>
  <si>
    <t>Current Liabilities</t>
  </si>
  <si>
    <t xml:space="preserve">Loan On Clubbed Income </t>
  </si>
  <si>
    <t>Loan Booking on cubbled Income</t>
  </si>
  <si>
    <t>Exposure Proposed on Business Income</t>
  </si>
  <si>
    <t>Exposure Proposed on Rental Income</t>
  </si>
  <si>
    <t>Rs. _________ Lakhs</t>
  </si>
  <si>
    <t>Total Proposed Loan Exposure</t>
  </si>
  <si>
    <t>DSCR / Credit Score</t>
  </si>
  <si>
    <t>End Use / Loan Purpose</t>
  </si>
  <si>
    <t>Business Purpose / Personal Purpose / Property Purchase</t>
  </si>
  <si>
    <t xml:space="preserve">Last reported date </t>
  </si>
  <si>
    <t>Checks :-</t>
  </si>
  <si>
    <t>Check done for :-</t>
  </si>
  <si>
    <t>Name of App/Co-app</t>
  </si>
  <si>
    <r>
      <t>Remarks:-</t>
    </r>
    <r>
      <rPr>
        <sz val="11"/>
        <color rgb="FF000000"/>
        <rFont val="Calibri"/>
        <family val="2"/>
      </rPr>
      <t xml:space="preserve"> (Positive/ Negative/ Report awaited/ No match found). </t>
    </r>
  </si>
  <si>
    <t>In case of Negative remarks, please share adversity with screenshot.</t>
  </si>
  <si>
    <t>ITR verification of income considered app/ co-app</t>
  </si>
  <si>
    <t>RCU</t>
  </si>
  <si>
    <t>Condition Stipulated</t>
  </si>
  <si>
    <t>Probe – Applicable in case of companies &amp; LLP cases</t>
  </si>
  <si>
    <t>PAN verification of all applicant on loan structure</t>
  </si>
  <si>
    <t xml:space="preserve">NCIF- dedupe of all applicant on loan structure </t>
  </si>
  <si>
    <t>MCA check – Applicable in case of companies &amp; LLP cases</t>
  </si>
  <si>
    <t xml:space="preserve">CA membership number check for audited returns </t>
  </si>
  <si>
    <t xml:space="preserve">UDIN check for audited returns </t>
  </si>
  <si>
    <t>Indiakanoon Check - To be done for all applicant</t>
  </si>
  <si>
    <t xml:space="preserve">Google check - To be done for all applicant </t>
  </si>
  <si>
    <t>Commercial Cibil – For non individual (Prop firm / Partnership firm/ Company)</t>
  </si>
  <si>
    <t>Form 16 verification through TRACES – Applicable for salaried cases</t>
  </si>
  <si>
    <t>Immoveable Category - Property Type</t>
  </si>
  <si>
    <t>Residential / Commercial / Other</t>
  </si>
  <si>
    <t>Type of Asset</t>
  </si>
  <si>
    <t>Land without structure / Structure with land / Structure without land</t>
  </si>
  <si>
    <t>Description of Asset</t>
  </si>
  <si>
    <t>Commercial Plot / Commercial Unit / Industrial Plot / Industrial Unit / Flat / House / Residential Plot</t>
  </si>
  <si>
    <t>Property Valuation 1</t>
  </si>
  <si>
    <t>Property Valuation 2</t>
  </si>
  <si>
    <t>Valuation and date of valuation</t>
  </si>
  <si>
    <t>High / Medium / Low</t>
  </si>
  <si>
    <t>Valuation of property considered for eligibility</t>
  </si>
  <si>
    <t>Self-occupied / Rented / Vacant / Under Construction</t>
  </si>
  <si>
    <t>KLAP_MCLR6 Month -3622 (Normal Income) / BTSG-2021 - 3620 (BT Surrogate) / GSTPR-2021 - 3619 (GST Surrogate) / Banksg-2021 - 3613 (Banking Surrogate) / HighLTV-2022 - 3641 / LOWLTV-2022 - 3640 / LAP TOPUP - 3663</t>
  </si>
  <si>
    <t>To be Confirmed by Credit Team</t>
  </si>
  <si>
    <t>Fresh LAP</t>
  </si>
  <si>
    <t>As per Internal Policy on KYC Standards, AML measures &amp; ISA Documents (O2.15.01) customer shall be categorized as low, medium, high as mentioned below:</t>
  </si>
  <si>
    <r>
      <t>A.</t>
    </r>
    <r>
      <rPr>
        <b/>
        <sz val="7"/>
        <color rgb="FF000000"/>
        <rFont val="Times New Roman"/>
        <family val="1"/>
      </rPr>
      <t xml:space="preserve">      </t>
    </r>
    <r>
      <rPr>
        <b/>
        <sz val="11"/>
        <color theme="1"/>
        <rFont val="Calibri"/>
        <family val="2"/>
        <scheme val="minor"/>
      </rPr>
      <t>Following customer by default to be categorized as High risk:</t>
    </r>
  </si>
  <si>
    <r>
      <t>·</t>
    </r>
    <r>
      <rPr>
        <sz val="7"/>
        <color theme="1"/>
        <rFont val="Times New Roman"/>
        <family val="1"/>
      </rPr>
      <t xml:space="preserve">       </t>
    </r>
    <r>
      <rPr>
        <sz val="11"/>
        <color theme="1"/>
        <rFont val="Calibri"/>
        <family val="2"/>
        <scheme val="minor"/>
      </rPr>
      <t>PEP</t>
    </r>
  </si>
  <si>
    <r>
      <t>·</t>
    </r>
    <r>
      <rPr>
        <sz val="7"/>
        <color theme="1"/>
        <rFont val="Times New Roman"/>
        <family val="1"/>
      </rPr>
      <t xml:space="preserve">       </t>
    </r>
    <r>
      <rPr>
        <sz val="11"/>
        <color theme="1"/>
        <rFont val="Calibri"/>
        <family val="2"/>
        <scheme val="minor"/>
      </rPr>
      <t>Trust/NGO/Charitable organization receiving donations</t>
    </r>
  </si>
  <si>
    <r>
      <t>·</t>
    </r>
    <r>
      <rPr>
        <sz val="7"/>
        <color theme="1"/>
        <rFont val="Times New Roman"/>
        <family val="1"/>
      </rPr>
      <t xml:space="preserve">       </t>
    </r>
    <r>
      <rPr>
        <sz val="11"/>
        <color theme="1"/>
        <rFont val="Calibri"/>
        <family val="2"/>
        <scheme val="minor"/>
      </rPr>
      <t>NRI</t>
    </r>
  </si>
  <si>
    <r>
      <t>·</t>
    </r>
    <r>
      <rPr>
        <sz val="7"/>
        <color theme="1"/>
        <rFont val="Times New Roman"/>
        <family val="1"/>
      </rPr>
      <t xml:space="preserve">       </t>
    </r>
    <r>
      <rPr>
        <sz val="11"/>
        <color theme="1"/>
        <rFont val="Calibri"/>
        <family val="2"/>
        <scheme val="minor"/>
      </rPr>
      <t>CRE</t>
    </r>
  </si>
  <si>
    <r>
      <t>·</t>
    </r>
    <r>
      <rPr>
        <sz val="7"/>
        <color theme="1"/>
        <rFont val="Times New Roman"/>
        <family val="1"/>
      </rPr>
      <t xml:space="preserve">       </t>
    </r>
    <r>
      <rPr>
        <sz val="11"/>
        <color theme="1"/>
        <rFont val="Calibri"/>
        <family val="2"/>
        <scheme val="minor"/>
      </rPr>
      <t>Customer having business in Bullion/ Gold/ Silver/ GEMS/ Diamonds</t>
    </r>
  </si>
  <si>
    <r>
      <t>·</t>
    </r>
    <r>
      <rPr>
        <sz val="7"/>
        <color theme="1"/>
        <rFont val="Times New Roman"/>
        <family val="1"/>
      </rPr>
      <t xml:space="preserve">       </t>
    </r>
    <r>
      <rPr>
        <sz val="11"/>
        <color theme="1"/>
        <rFont val="Calibri"/>
        <family val="2"/>
        <scheme val="minor"/>
      </rPr>
      <t>Real Estate Broker</t>
    </r>
  </si>
  <si>
    <r>
      <t>·</t>
    </r>
    <r>
      <rPr>
        <sz val="7"/>
        <color theme="1"/>
        <rFont val="Times New Roman"/>
        <family val="1"/>
      </rPr>
      <t xml:space="preserve">       </t>
    </r>
    <r>
      <rPr>
        <sz val="11"/>
        <color theme="1"/>
        <rFont val="Calibri"/>
        <family val="2"/>
        <scheme val="minor"/>
      </rPr>
      <t>ARD customers</t>
    </r>
  </si>
  <si>
    <r>
      <t>B.</t>
    </r>
    <r>
      <rPr>
        <b/>
        <sz val="7"/>
        <color rgb="FF000000"/>
        <rFont val="Times New Roman"/>
        <family val="1"/>
      </rPr>
      <t xml:space="preserve">      </t>
    </r>
    <r>
      <rPr>
        <b/>
        <sz val="11"/>
        <color theme="1"/>
        <rFont val="Calibri"/>
        <family val="2"/>
        <scheme val="minor"/>
      </rPr>
      <t>Risks applicable to other than above:</t>
    </r>
  </si>
  <si>
    <t>Loans to individual/HUF/Proprietorship/Partnership firms/limited companies/government companies etc.</t>
  </si>
  <si>
    <t>Loan Limits</t>
  </si>
  <si>
    <t>Customer Risk</t>
  </si>
  <si>
    <t>Loan sanctioned upto &amp; including 50 lakhs</t>
  </si>
  <si>
    <t>Low risk</t>
  </si>
  <si>
    <t>Loan sanctioned above 50 lacs &amp; less than 2 crore</t>
  </si>
  <si>
    <t>Medium risk</t>
  </si>
  <si>
    <t>Loan sanctioned 2 crores &amp; above</t>
  </si>
  <si>
    <t>High Risk</t>
  </si>
  <si>
    <t>Average of last 2 years</t>
  </si>
  <si>
    <t>Eligibility Basis Rental Credit</t>
  </si>
  <si>
    <t>44AD</t>
  </si>
  <si>
    <t xml:space="preserve">Source of Income </t>
  </si>
  <si>
    <t>Applicant 1</t>
  </si>
  <si>
    <t>Applicant 2</t>
  </si>
  <si>
    <t>Applicant 3</t>
  </si>
  <si>
    <t>Applicant 4</t>
  </si>
  <si>
    <t>Applicant 5</t>
  </si>
  <si>
    <t>Sales FY 21</t>
  </si>
  <si>
    <t>Sales FY 22</t>
  </si>
  <si>
    <t>Profit reported in ITR -FY21</t>
  </si>
  <si>
    <t>Profit reported in ITR -FY22</t>
  </si>
  <si>
    <t>Other income as per ITR to be added for eligiblity -FY21</t>
  </si>
  <si>
    <t>Other income as per ITR to be added for eligiblity -FY22</t>
  </si>
  <si>
    <t>PBDIT- FY21</t>
  </si>
  <si>
    <t>PBDIT- FY22</t>
  </si>
  <si>
    <t>PBDIT% -FY21</t>
  </si>
  <si>
    <t>PBDIT% -FY22</t>
  </si>
  <si>
    <t>FY 22</t>
  </si>
  <si>
    <t>FY 21</t>
  </si>
  <si>
    <t>COP</t>
  </si>
  <si>
    <t>Rs. in Lakhs</t>
  </si>
  <si>
    <t xml:space="preserve">Stamp Duty &amp; Other charges </t>
  </si>
  <si>
    <t>Total COP</t>
  </si>
  <si>
    <t>Funding @ 85% of COP excluding SD &amp; Registration charges APAC 1</t>
  </si>
  <si>
    <t>Funding as per F &amp; F agreement APAC 2</t>
  </si>
  <si>
    <t>Calculation for property purchase cases</t>
  </si>
  <si>
    <t>Total Loan amount</t>
  </si>
  <si>
    <t>23-12-2020</t>
  </si>
  <si>
    <t>31-03-2023</t>
  </si>
  <si>
    <t>Sathish Kumar</t>
  </si>
  <si>
    <t>Auto Loan</t>
  </si>
  <si>
    <t>Coimbatore</t>
  </si>
  <si>
    <t>Rs 250 Lakhs</t>
  </si>
  <si>
    <t>Normal Income</t>
  </si>
  <si>
    <t>KMPL Direct</t>
  </si>
  <si>
    <t>Sathishkumar</t>
  </si>
  <si>
    <t>Self</t>
  </si>
  <si>
    <t>Chandrasekaran</t>
  </si>
  <si>
    <t>Sathish Diamonds</t>
  </si>
  <si>
    <t>Sathish Jewellers</t>
  </si>
  <si>
    <t>Proprietorship</t>
  </si>
  <si>
    <t>Graduate</t>
  </si>
  <si>
    <t>AFPPK2769C</t>
  </si>
  <si>
    <t>Secured loan</t>
  </si>
  <si>
    <t>car loan18675832</t>
  </si>
  <si>
    <t>ACCPC3126C</t>
  </si>
  <si>
    <t xml:space="preserve">  </t>
  </si>
  <si>
    <t>EMI Debit bank</t>
  </si>
  <si>
    <t>Kmpl</t>
  </si>
  <si>
    <t>Housing loan</t>
  </si>
  <si>
    <t>Bandhan bank</t>
  </si>
  <si>
    <t>10190004837859</t>
  </si>
  <si>
    <t>Apr 22 to Mar 23</t>
  </si>
  <si>
    <t>Karnataka bank a/c 001</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</si>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</sst>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 #,##0.00_ ;_ * \-#,##0.00_ ;_ * &quot;-&quot;??_ ;_ @_ "/>
    <numFmt numFmtId="164" formatCode="_(* #,##0.00_);_(* \(#,##0.00\);_(* &quot;-&quot;??_);_(@_)"/>
    <numFmt numFmtId="165" formatCode="_(* #,##0.00_);_(* \(#,##0.00\);_(* \-??_);_(@_)"/>
    <numFmt numFmtId="166" formatCode="_(* #,##0_);_(* \(#,##0\);_(* \-??_);_(@_)"/>
    <numFmt numFmtId="167" formatCode="_(* #,##0_);_(* \(#,##0\);_(* &quot;-&quot;??_);_(@_)"/>
    <numFmt numFmtId="168" formatCode="[$-409]mmmm\-yy;@"/>
    <numFmt numFmtId="169" formatCode="[$-809]dd\ mmmm\ yyyy;@"/>
    <numFmt numFmtId="170" formatCode="[$-409]d\-mmm\-yy;@"/>
    <numFmt numFmtId="171" formatCode="[$-409]mmm\-yy;@"/>
    <numFmt numFmtId="172" formatCode="0.00\ ;\(0.00\)"/>
    <numFmt numFmtId="173" formatCode="#,##0\ ;&quot; (&quot;#,##0\);&quot; -&quot;#\ ;@\ "/>
    <numFmt numFmtId="174" formatCode="[$-409]d\-mmm;@"/>
    <numFmt numFmtId="175" formatCode="_(* #,##0.0000_);_(* \(#,##0.0000\);_(* \-??_);_(@_)"/>
    <numFmt numFmtId="176" formatCode="#,##0.00_ ;\-#,##0.00\ "/>
    <numFmt numFmtId="177" formatCode="_(* #,##0.0_);_(* \(#,##0.0\);_(* &quot;-&quot;??_);_(@_)"/>
  </numFmts>
  <fonts count="43">
    <font>
      <sz val="11"/>
      <color theme="1"/>
      <name val="Calibri"/>
      <family val="2"/>
      <scheme val="minor"/>
    </font>
    <font>
      <sz val="11"/>
      <color theme="1"/>
      <name val="Calibri"/>
      <family val="2"/>
      <scheme val="minor"/>
    </font>
    <font>
      <sz val="10"/>
      <name val="Arial"/>
      <family val="2"/>
    </font>
    <font>
      <sz val="10"/>
      <name val="Calibri"/>
      <family val="2"/>
      <scheme val="minor"/>
    </font>
    <font>
      <b/>
      <sz val="10"/>
      <name val="Calibri"/>
      <family val="2"/>
      <scheme val="minor"/>
    </font>
    <font>
      <sz val="10.5"/>
      <name val="Calibri"/>
      <family val="2"/>
      <scheme val="minor"/>
    </font>
    <font>
      <sz val="10.5"/>
      <color theme="0"/>
      <name val="Calibri"/>
      <family val="2"/>
      <scheme val="minor"/>
    </font>
    <font>
      <sz val="10.5"/>
      <color theme="1"/>
      <name val="Calibri"/>
      <family val="2"/>
      <scheme val="minor"/>
    </font>
    <font>
      <b/>
      <i/>
      <sz val="10.5"/>
      <name val="Calibri"/>
      <family val="2"/>
      <scheme val="minor"/>
    </font>
    <font>
      <b/>
      <sz val="10.5"/>
      <name val="Calibri"/>
      <family val="2"/>
      <scheme val="minor"/>
    </font>
    <font>
      <b/>
      <sz val="10.5"/>
      <color indexed="14"/>
      <name val="Calibri"/>
      <family val="2"/>
      <scheme val="minor"/>
    </font>
    <font>
      <b/>
      <u/>
      <sz val="10.5"/>
      <name val="Calibri"/>
      <family val="2"/>
      <scheme val="minor"/>
    </font>
    <font>
      <b/>
      <u/>
      <sz val="10.5"/>
      <color indexed="10"/>
      <name val="Calibri"/>
      <family val="2"/>
      <scheme val="minor"/>
    </font>
    <font>
      <b/>
      <sz val="10.5"/>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b/>
      <sz val="11"/>
      <name val="Calibri"/>
      <family val="2"/>
      <scheme val="minor"/>
    </font>
    <font>
      <b/>
      <sz val="9"/>
      <color indexed="81"/>
      <name val="Tahoma"/>
      <family val="2"/>
    </font>
    <font>
      <sz val="11"/>
      <name val="Zurich BT"/>
    </font>
    <font>
      <sz val="10"/>
      <color indexed="18"/>
      <name val="Arial"/>
      <family val="2"/>
    </font>
    <font>
      <b/>
      <sz val="11"/>
      <color rgb="FF000000"/>
      <name val="Calibri"/>
      <family val="2"/>
    </font>
    <font>
      <sz val="11"/>
      <color rgb="FF000000"/>
      <name val="Calibri"/>
      <family val="2"/>
    </font>
    <font>
      <sz val="10"/>
      <name val="Times New Roman"/>
      <family val="1"/>
    </font>
    <font>
      <b/>
      <sz val="10"/>
      <name val="Arial"/>
      <family val="2"/>
    </font>
    <font>
      <b/>
      <sz val="11"/>
      <name val="Calibri"/>
      <family val="2"/>
    </font>
    <font>
      <sz val="11"/>
      <name val="Calibri"/>
      <family val="2"/>
    </font>
    <font>
      <sz val="9"/>
      <name val="Calibri"/>
      <family val="2"/>
      <scheme val="minor"/>
    </font>
    <font>
      <b/>
      <sz val="9"/>
      <name val="Calibri"/>
      <family val="2"/>
      <scheme val="minor"/>
    </font>
    <font>
      <b/>
      <sz val="10"/>
      <name val="Verdana"/>
      <family val="2"/>
    </font>
    <font>
      <sz val="10"/>
      <name val="Verdana"/>
      <family val="2"/>
    </font>
    <font>
      <b/>
      <sz val="12"/>
      <color rgb="FF16365C"/>
      <name val="Times New Roman"/>
      <family val="1"/>
    </font>
    <font>
      <sz val="11"/>
      <color rgb="FF1F497D"/>
      <name val="Calibri"/>
      <family val="2"/>
    </font>
    <font>
      <b/>
      <sz val="11"/>
      <color rgb="FFFF0000"/>
      <name val="Calibri"/>
      <family val="2"/>
      <scheme val="minor"/>
    </font>
    <font>
      <b/>
      <sz val="12"/>
      <color rgb="FF000000"/>
      <name val="Calibri"/>
      <family val="2"/>
    </font>
    <font>
      <sz val="12"/>
      <color rgb="FF000000"/>
      <name val="Calibri"/>
      <family val="2"/>
    </font>
    <font>
      <b/>
      <sz val="11"/>
      <color theme="1"/>
      <name val="Calibri"/>
      <family val="2"/>
    </font>
    <font>
      <sz val="11"/>
      <color theme="1"/>
      <name val="Calibri"/>
      <family val="2"/>
    </font>
    <font>
      <b/>
      <u/>
      <sz val="11"/>
      <color rgb="FF000000"/>
      <name val="Calibri"/>
      <family val="2"/>
    </font>
    <font>
      <b/>
      <sz val="11"/>
      <color rgb="FF000000"/>
      <name val="Calibri"/>
      <family val="2"/>
      <scheme val="minor"/>
    </font>
    <font>
      <b/>
      <sz val="7"/>
      <color rgb="FF000000"/>
      <name val="Times New Roman"/>
      <family val="1"/>
    </font>
    <font>
      <sz val="11"/>
      <color theme="1"/>
      <name val="Symbol"/>
      <family val="1"/>
      <charset val="2"/>
    </font>
    <font>
      <sz val="7"/>
      <color theme="1"/>
      <name val="Times New Roman"/>
      <family val="1"/>
    </font>
  </fonts>
  <fills count="23">
    <fill>
      <patternFill patternType="none"/>
    </fill>
    <fill>
      <patternFill patternType="gray125"/>
    </fill>
    <fill>
      <patternFill patternType="solid">
        <fgColor indexed="13"/>
        <bgColor indexed="34"/>
      </patternFill>
    </fill>
    <fill>
      <patternFill patternType="solid">
        <fgColor rgb="FFFFFF00"/>
        <bgColor indexed="64"/>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44"/>
        <bgColor indexed="24"/>
      </patternFill>
    </fill>
    <fill>
      <patternFill patternType="solid">
        <fgColor theme="0" tint="-0.249977111117893"/>
        <bgColor indexed="26"/>
      </patternFill>
    </fill>
    <fill>
      <patternFill patternType="solid">
        <fgColor theme="0"/>
        <bgColor indexed="34"/>
      </patternFill>
    </fill>
    <fill>
      <patternFill patternType="solid">
        <fgColor theme="2"/>
        <bgColor indexed="26"/>
      </patternFill>
    </fill>
    <fill>
      <patternFill patternType="solid">
        <fgColor theme="0" tint="-0.249977111117893"/>
        <bgColor indexed="31"/>
      </patternFill>
    </fill>
    <fill>
      <patternFill patternType="solid">
        <fgColor theme="0" tint="-0.249977111117893"/>
        <bgColor indexed="64"/>
      </patternFill>
    </fill>
    <fill>
      <patternFill patternType="solid">
        <fgColor theme="0" tint="-0.14999847407452621"/>
        <bgColor indexed="64"/>
      </patternFill>
    </fill>
    <fill>
      <patternFill patternType="solid">
        <fgColor indexed="22"/>
        <bgColor indexed="64"/>
      </patternFill>
    </fill>
    <fill>
      <patternFill patternType="solid">
        <fgColor theme="0" tint="-0.14999847407452621"/>
        <bgColor indexed="31"/>
      </patternFill>
    </fill>
    <fill>
      <patternFill patternType="solid">
        <fgColor theme="0" tint="-0.249977111117893"/>
        <bgColor indexed="3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2"/>
        <bgColor indexed="64"/>
      </patternFill>
    </fill>
    <fill>
      <patternFill patternType="solid">
        <fgColor rgb="FFD9D9D9"/>
        <bgColor indexed="64"/>
      </patternFill>
    </fill>
    <fill>
      <patternFill patternType="solid">
        <fgColor theme="4" tint="0.79998168889431442"/>
        <bgColor indexed="64"/>
      </patternFill>
    </fill>
  </fills>
  <borders count="102">
    <border>
      <left/>
      <right/>
      <top/>
      <bottom/>
      <diagonal/>
    </border>
    <border>
      <left style="medium">
        <color indexed="8"/>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medium">
        <color indexed="8"/>
      </right>
      <top style="medium">
        <color indexed="64"/>
      </top>
      <bottom style="medium">
        <color indexed="8"/>
      </bottom>
      <diagonal/>
    </border>
    <border>
      <left style="medium">
        <color indexed="8"/>
      </left>
      <right style="medium">
        <color indexed="64"/>
      </right>
      <top style="medium">
        <color indexed="64"/>
      </top>
      <bottom style="medium">
        <color indexed="8"/>
      </bottom>
      <diagonal/>
    </border>
    <border>
      <left style="medium">
        <color indexed="64"/>
      </left>
      <right style="medium">
        <color indexed="8"/>
      </right>
      <top style="medium">
        <color indexed="8"/>
      </top>
      <bottom style="medium">
        <color indexed="64"/>
      </bottom>
      <diagonal/>
    </border>
    <border>
      <left style="thin">
        <color indexed="8"/>
      </left>
      <right style="medium">
        <color indexed="64"/>
      </right>
      <top style="medium">
        <color indexed="8"/>
      </top>
      <bottom style="medium">
        <color indexed="64"/>
      </bottom>
      <diagonal/>
    </border>
    <border>
      <left style="medium">
        <color indexed="8"/>
      </left>
      <right style="thin">
        <color indexed="8"/>
      </right>
      <top style="thin">
        <color indexed="8"/>
      </top>
      <bottom style="thin">
        <color indexed="8"/>
      </bottom>
      <diagonal/>
    </border>
    <border>
      <left style="medium">
        <color indexed="64"/>
      </left>
      <right style="medium">
        <color indexed="8"/>
      </right>
      <top/>
      <bottom style="thin">
        <color indexed="8"/>
      </bottom>
      <diagonal/>
    </border>
    <border>
      <left/>
      <right style="medium">
        <color indexed="64"/>
      </right>
      <top/>
      <bottom style="thin">
        <color indexed="8"/>
      </bottom>
      <diagonal/>
    </border>
    <border>
      <left style="medium">
        <color indexed="64"/>
      </left>
      <right style="medium">
        <color indexed="8"/>
      </right>
      <top style="thin">
        <color indexed="8"/>
      </top>
      <bottom style="thin">
        <color indexed="8"/>
      </bottom>
      <diagonal/>
    </border>
    <border>
      <left/>
      <right style="medium">
        <color indexed="64"/>
      </right>
      <top style="thin">
        <color indexed="8"/>
      </top>
      <bottom style="thin">
        <color indexed="8"/>
      </bottom>
      <diagonal/>
    </border>
    <border>
      <left/>
      <right style="medium">
        <color indexed="64"/>
      </right>
      <top/>
      <bottom/>
      <diagonal/>
    </border>
    <border>
      <left style="medium">
        <color indexed="64"/>
      </left>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8"/>
      </bottom>
      <diagonal/>
    </border>
    <border>
      <left style="medium">
        <color indexed="64"/>
      </left>
      <right style="medium">
        <color indexed="8"/>
      </right>
      <top/>
      <bottom style="medium">
        <color indexed="64"/>
      </bottom>
      <diagonal/>
    </border>
    <border>
      <left/>
      <right style="medium">
        <color indexed="64"/>
      </right>
      <top/>
      <bottom style="medium">
        <color indexed="64"/>
      </bottom>
      <diagonal/>
    </border>
    <border>
      <left style="medium">
        <color indexed="64"/>
      </left>
      <right style="medium">
        <color indexed="8"/>
      </right>
      <top/>
      <bottom/>
      <diagonal/>
    </border>
    <border>
      <left style="thin">
        <color indexed="8"/>
      </left>
      <right style="medium">
        <color indexed="64"/>
      </right>
      <top/>
      <bottom/>
      <diagonal/>
    </border>
    <border>
      <left style="medium">
        <color indexed="64"/>
      </left>
      <right style="medium">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medium">
        <color indexed="64"/>
      </right>
      <top style="medium">
        <color indexed="8"/>
      </top>
      <bottom style="medium">
        <color indexed="64"/>
      </bottom>
      <diagonal/>
    </border>
    <border>
      <left style="medium">
        <color indexed="64"/>
      </left>
      <right style="medium">
        <color indexed="8"/>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64"/>
      </right>
      <top/>
      <bottom style="thin">
        <color indexed="8"/>
      </bottom>
      <diagonal/>
    </border>
    <border>
      <left style="medium">
        <color indexed="64"/>
      </left>
      <right style="medium">
        <color indexed="8"/>
      </right>
      <top style="medium">
        <color indexed="64"/>
      </top>
      <bottom/>
      <diagonal/>
    </border>
    <border>
      <left style="medium">
        <color indexed="8"/>
      </left>
      <right/>
      <top style="medium">
        <color indexed="64"/>
      </top>
      <bottom/>
      <diagonal/>
    </border>
    <border>
      <left style="medium">
        <color indexed="64"/>
      </left>
      <right style="thin">
        <color indexed="8"/>
      </right>
      <top style="thin">
        <color indexed="8"/>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style="thin">
        <color indexed="8"/>
      </right>
      <top style="medium">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medium">
        <color indexed="8"/>
      </top>
      <bottom style="medium">
        <color indexed="8"/>
      </bottom>
      <diagonal/>
    </border>
    <border>
      <left/>
      <right/>
      <top style="thin">
        <color indexed="8"/>
      </top>
      <bottom style="thin">
        <color indexed="8"/>
      </bottom>
      <diagonal/>
    </border>
    <border>
      <left style="thin">
        <color indexed="8"/>
      </left>
      <right/>
      <top/>
      <bottom style="thin">
        <color indexed="8"/>
      </bottom>
      <diagonal/>
    </border>
    <border>
      <left style="thin">
        <color indexed="8"/>
      </left>
      <right style="medium">
        <color indexed="8"/>
      </right>
      <top style="thin">
        <color indexed="8"/>
      </top>
      <bottom/>
      <diagonal/>
    </border>
    <border>
      <left style="thin">
        <color indexed="8"/>
      </left>
      <right/>
      <top style="thin">
        <color indexed="8"/>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style="medium">
        <color indexed="64"/>
      </top>
      <bottom style="medium">
        <color indexed="64"/>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4">
    <xf numFmtId="0" fontId="0" fillId="0" borderId="0"/>
    <xf numFmtId="164" fontId="1" fillId="0" borderId="0" applyFont="0" applyFill="0" applyBorder="0" applyAlignment="0" applyProtection="0"/>
    <xf numFmtId="9" fontId="1" fillId="0" borderId="0" applyFont="0" applyFill="0" applyBorder="0" applyAlignment="0" applyProtection="0"/>
    <xf numFmtId="164" fontId="2" fillId="0" borderId="0" applyFont="0" applyFill="0" applyBorder="0" applyAlignment="0" applyProtection="0"/>
    <xf numFmtId="165" fontId="2" fillId="0" borderId="0" applyFill="0" applyBorder="0" applyAlignment="0" applyProtection="0"/>
    <xf numFmtId="9" fontId="2" fillId="0" borderId="0" applyFill="0" applyBorder="0" applyAlignment="0" applyProtection="0"/>
    <xf numFmtId="0" fontId="1" fillId="0" borderId="0"/>
    <xf numFmtId="165" fontId="2" fillId="0" borderId="0" applyFill="0" applyBorder="0" applyAlignment="0" applyProtection="0"/>
    <xf numFmtId="9" fontId="2" fillId="0" borderId="0" applyFont="0" applyFill="0" applyBorder="0" applyAlignment="0" applyProtection="0"/>
    <xf numFmtId="0" fontId="2" fillId="0" borderId="0"/>
    <xf numFmtId="0" fontId="19" fillId="0" borderId="0"/>
    <xf numFmtId="164" fontId="2" fillId="0" borderId="0" applyFont="0" applyFill="0" applyBorder="0" applyAlignment="0" applyProtection="0"/>
    <xf numFmtId="0" fontId="19" fillId="0" borderId="0"/>
    <xf numFmtId="0" fontId="2" fillId="0" borderId="0"/>
  </cellStyleXfs>
  <cellXfs count="633">
    <xf numFmtId="0" fontId="0" fillId="0" borderId="0" xfId="0"/>
    <xf numFmtId="0" fontId="5" fillId="0" borderId="1" xfId="0" applyFont="1" applyBorder="1" applyProtection="1">
      <protection locked="0"/>
    </xf>
    <xf numFmtId="0" fontId="5" fillId="0" borderId="0" xfId="0" applyFont="1" applyBorder="1" applyProtection="1">
      <protection locked="0"/>
    </xf>
    <xf numFmtId="0" fontId="5" fillId="0" borderId="0" xfId="0" applyFont="1" applyProtection="1">
      <protection locked="0"/>
    </xf>
    <xf numFmtId="166" fontId="6" fillId="0" borderId="0" xfId="1" applyNumberFormat="1" applyFont="1" applyProtection="1">
      <protection locked="0"/>
    </xf>
    <xf numFmtId="0" fontId="7" fillId="0" borderId="0" xfId="0" applyFont="1"/>
    <xf numFmtId="0" fontId="8" fillId="0" borderId="2" xfId="0" applyFont="1" applyBorder="1" applyProtection="1">
      <protection locked="0"/>
    </xf>
    <xf numFmtId="166" fontId="7" fillId="0" borderId="0" xfId="1" applyNumberFormat="1" applyFont="1" applyProtection="1">
      <protection locked="0"/>
    </xf>
    <xf numFmtId="164" fontId="9" fillId="5" borderId="6" xfId="1" applyFont="1" applyFill="1" applyBorder="1" applyAlignment="1" applyProtection="1">
      <alignment horizontal="left"/>
      <protection locked="0"/>
    </xf>
    <xf numFmtId="0" fontId="9" fillId="5" borderId="6" xfId="0" applyFont="1" applyFill="1" applyBorder="1" applyAlignment="1" applyProtection="1">
      <alignment horizontal="right"/>
      <protection locked="0"/>
    </xf>
    <xf numFmtId="0" fontId="11" fillId="6" borderId="10" xfId="0" applyFont="1" applyFill="1" applyBorder="1" applyAlignment="1" applyProtection="1">
      <alignment horizontal="right" wrapText="1"/>
      <protection locked="0"/>
    </xf>
    <xf numFmtId="0" fontId="11" fillId="6" borderId="11" xfId="0" applyFont="1" applyFill="1" applyBorder="1" applyAlignment="1" applyProtection="1">
      <alignment horizontal="right" wrapText="1"/>
      <protection locked="0"/>
    </xf>
    <xf numFmtId="164" fontId="5" fillId="6" borderId="12" xfId="1" applyFont="1" applyFill="1" applyBorder="1" applyProtection="1">
      <protection locked="0"/>
    </xf>
    <xf numFmtId="164" fontId="5" fillId="7" borderId="6" xfId="3" applyFont="1" applyFill="1" applyBorder="1" applyAlignment="1" applyProtection="1">
      <alignment horizontal="right"/>
      <protection locked="0"/>
    </xf>
    <xf numFmtId="164" fontId="5" fillId="7" borderId="7" xfId="3" applyFont="1" applyFill="1" applyBorder="1" applyAlignment="1" applyProtection="1">
      <alignment horizontal="right"/>
      <protection locked="0"/>
    </xf>
    <xf numFmtId="9" fontId="5" fillId="6" borderId="13" xfId="2" applyFont="1" applyFill="1" applyBorder="1" applyAlignment="1" applyProtection="1">
      <protection locked="0"/>
    </xf>
    <xf numFmtId="9" fontId="5" fillId="6" borderId="14" xfId="2" applyFont="1" applyFill="1" applyBorder="1" applyAlignment="1" applyProtection="1">
      <protection locked="0"/>
    </xf>
    <xf numFmtId="39" fontId="5" fillId="0" borderId="0" xfId="0" applyNumberFormat="1" applyFont="1" applyProtection="1">
      <protection locked="0"/>
    </xf>
    <xf numFmtId="165" fontId="5" fillId="0" borderId="0" xfId="0" applyNumberFormat="1" applyFont="1" applyProtection="1">
      <protection locked="0"/>
    </xf>
    <xf numFmtId="0" fontId="9" fillId="0" borderId="0" xfId="0" applyFont="1" applyBorder="1" applyProtection="1">
      <protection locked="0"/>
    </xf>
    <xf numFmtId="164" fontId="9" fillId="5" borderId="6" xfId="1" applyFont="1" applyFill="1" applyBorder="1" applyAlignment="1" applyProtection="1">
      <alignment horizontal="left"/>
    </xf>
    <xf numFmtId="164" fontId="5" fillId="5" borderId="6" xfId="1" applyFont="1" applyFill="1" applyBorder="1" applyAlignment="1" applyProtection="1">
      <alignment horizontal="right"/>
    </xf>
    <xf numFmtId="164" fontId="5" fillId="5" borderId="7" xfId="1" applyFont="1" applyFill="1" applyBorder="1" applyAlignment="1" applyProtection="1">
      <alignment horizontal="right"/>
    </xf>
    <xf numFmtId="9" fontId="5" fillId="8" borderId="15" xfId="2" applyFont="1" applyFill="1" applyBorder="1" applyAlignment="1" applyProtection="1"/>
    <xf numFmtId="9" fontId="5" fillId="8" borderId="16" xfId="2" applyFont="1" applyFill="1" applyBorder="1" applyAlignment="1" applyProtection="1"/>
    <xf numFmtId="164" fontId="5" fillId="0" borderId="6" xfId="1" applyFont="1" applyBorder="1" applyAlignment="1" applyProtection="1">
      <alignment horizontal="left" wrapText="1"/>
      <protection locked="0"/>
    </xf>
    <xf numFmtId="164" fontId="5" fillId="0" borderId="6" xfId="1" applyFont="1" applyFill="1" applyBorder="1" applyAlignment="1" applyProtection="1">
      <alignment horizontal="left" wrapText="1"/>
      <protection locked="0"/>
    </xf>
    <xf numFmtId="9" fontId="5" fillId="6" borderId="17" xfId="2" applyFont="1" applyFill="1" applyBorder="1" applyAlignment="1" applyProtection="1">
      <protection locked="0"/>
    </xf>
    <xf numFmtId="9" fontId="5" fillId="8" borderId="18" xfId="2" applyFont="1" applyFill="1" applyBorder="1" applyAlignment="1" applyProtection="1"/>
    <xf numFmtId="9" fontId="5" fillId="8" borderId="19" xfId="2" applyFont="1" applyFill="1" applyBorder="1" applyAlignment="1" applyProtection="1"/>
    <xf numFmtId="9" fontId="5" fillId="6" borderId="20" xfId="2" applyFont="1" applyFill="1" applyBorder="1" applyAlignment="1" applyProtection="1">
      <protection locked="0"/>
    </xf>
    <xf numFmtId="9" fontId="5" fillId="6" borderId="19" xfId="2" applyFont="1" applyFill="1" applyBorder="1" applyAlignment="1" applyProtection="1">
      <protection locked="0"/>
    </xf>
    <xf numFmtId="9" fontId="5" fillId="8" borderId="13" xfId="2" applyFont="1" applyFill="1" applyBorder="1" applyAlignment="1" applyProtection="1"/>
    <xf numFmtId="9" fontId="5" fillId="8" borderId="14" xfId="2" applyFont="1" applyFill="1" applyBorder="1" applyAlignment="1" applyProtection="1"/>
    <xf numFmtId="164" fontId="5" fillId="0" borderId="6" xfId="1" applyFont="1" applyFill="1" applyBorder="1" applyAlignment="1" applyProtection="1">
      <alignment horizontal="left"/>
      <protection locked="0"/>
    </xf>
    <xf numFmtId="9" fontId="5" fillId="8" borderId="21" xfId="2" applyFont="1" applyFill="1" applyBorder="1" applyAlignment="1" applyProtection="1"/>
    <xf numFmtId="9" fontId="5" fillId="8" borderId="22" xfId="2" applyFont="1" applyFill="1" applyBorder="1" applyAlignment="1" applyProtection="1"/>
    <xf numFmtId="9" fontId="5" fillId="6" borderId="23" xfId="2" applyFont="1" applyFill="1" applyBorder="1" applyAlignment="1" applyProtection="1">
      <protection locked="0"/>
    </xf>
    <xf numFmtId="9" fontId="5" fillId="6" borderId="24" xfId="2" applyFont="1" applyFill="1" applyBorder="1" applyAlignment="1" applyProtection="1">
      <protection locked="0"/>
    </xf>
    <xf numFmtId="164" fontId="5" fillId="0" borderId="0" xfId="1" applyFont="1" applyBorder="1" applyProtection="1">
      <protection locked="0"/>
    </xf>
    <xf numFmtId="0" fontId="11" fillId="6" borderId="25" xfId="0" applyFont="1" applyFill="1" applyBorder="1" applyAlignment="1" applyProtection="1">
      <alignment horizontal="right" wrapText="1"/>
      <protection locked="0"/>
    </xf>
    <xf numFmtId="0" fontId="11" fillId="6" borderId="26" xfId="0" applyFont="1" applyFill="1" applyBorder="1" applyAlignment="1" applyProtection="1">
      <alignment horizontal="right" wrapText="1"/>
      <protection locked="0"/>
    </xf>
    <xf numFmtId="164" fontId="9" fillId="5" borderId="6" xfId="1" applyFont="1" applyFill="1" applyBorder="1" applyAlignment="1" applyProtection="1">
      <alignment horizontal="left" wrapText="1"/>
    </xf>
    <xf numFmtId="164" fontId="5" fillId="0" borderId="6" xfId="1" applyFont="1" applyBorder="1" applyAlignment="1" applyProtection="1">
      <alignment horizontal="left"/>
      <protection locked="0"/>
    </xf>
    <xf numFmtId="164" fontId="5" fillId="0" borderId="7" xfId="1" applyFont="1" applyBorder="1" applyAlignment="1" applyProtection="1">
      <alignment horizontal="left"/>
      <protection locked="0"/>
    </xf>
    <xf numFmtId="164" fontId="5" fillId="0" borderId="6" xfId="1" applyFont="1" applyBorder="1" applyAlignment="1" applyProtection="1">
      <alignment horizontal="right"/>
      <protection locked="0"/>
    </xf>
    <xf numFmtId="164" fontId="5" fillId="0" borderId="7" xfId="1" applyFont="1" applyBorder="1" applyAlignment="1" applyProtection="1">
      <alignment horizontal="right"/>
      <protection locked="0"/>
    </xf>
    <xf numFmtId="164" fontId="5" fillId="0" borderId="6" xfId="1" applyFont="1" applyFill="1" applyBorder="1" applyProtection="1">
      <protection locked="0"/>
    </xf>
    <xf numFmtId="164" fontId="9" fillId="0" borderId="6" xfId="1" applyFont="1" applyFill="1" applyBorder="1" applyAlignment="1" applyProtection="1">
      <alignment horizontal="right"/>
      <protection locked="0"/>
    </xf>
    <xf numFmtId="164" fontId="9" fillId="0" borderId="7" xfId="1" applyFont="1" applyFill="1" applyBorder="1" applyAlignment="1" applyProtection="1">
      <alignment horizontal="right"/>
      <protection locked="0"/>
    </xf>
    <xf numFmtId="39" fontId="9" fillId="0" borderId="27" xfId="0" applyNumberFormat="1" applyFont="1" applyBorder="1" applyProtection="1">
      <protection locked="0"/>
    </xf>
    <xf numFmtId="39" fontId="9" fillId="0" borderId="17" xfId="0" applyNumberFormat="1" applyFont="1" applyBorder="1" applyProtection="1">
      <protection locked="0"/>
    </xf>
    <xf numFmtId="164" fontId="9" fillId="5" borderId="6" xfId="1" applyFont="1" applyFill="1" applyBorder="1" applyProtection="1"/>
    <xf numFmtId="39" fontId="9" fillId="5" borderId="6" xfId="0" applyNumberFormat="1" applyFont="1" applyFill="1" applyBorder="1" applyAlignment="1" applyProtection="1">
      <alignment horizontal="right"/>
    </xf>
    <xf numFmtId="39" fontId="9" fillId="5" borderId="7" xfId="0" applyNumberFormat="1" applyFont="1" applyFill="1" applyBorder="1" applyAlignment="1" applyProtection="1">
      <alignment horizontal="right"/>
    </xf>
    <xf numFmtId="10" fontId="5" fillId="5" borderId="6" xfId="2" applyNumberFormat="1" applyFont="1" applyFill="1" applyBorder="1" applyAlignment="1" applyProtection="1">
      <alignment horizontal="right"/>
    </xf>
    <xf numFmtId="0" fontId="5" fillId="0" borderId="27" xfId="0" applyFont="1" applyBorder="1" applyProtection="1">
      <protection locked="0"/>
    </xf>
    <xf numFmtId="0" fontId="5" fillId="0" borderId="17" xfId="0" applyFont="1" applyBorder="1" applyProtection="1">
      <protection locked="0"/>
    </xf>
    <xf numFmtId="0" fontId="5" fillId="0" borderId="28" xfId="0" applyFont="1" applyBorder="1" applyProtection="1">
      <protection locked="0"/>
    </xf>
    <xf numFmtId="0" fontId="5" fillId="0" borderId="22" xfId="0" applyFont="1" applyBorder="1" applyProtection="1">
      <protection locked="0"/>
    </xf>
    <xf numFmtId="37" fontId="5" fillId="0" borderId="0" xfId="0" applyNumberFormat="1" applyFont="1" applyProtection="1">
      <protection locked="0"/>
    </xf>
    <xf numFmtId="0" fontId="9" fillId="0" borderId="0" xfId="0" applyFont="1" applyProtection="1">
      <protection locked="0"/>
    </xf>
    <xf numFmtId="166" fontId="9" fillId="3" borderId="0" xfId="1" applyNumberFormat="1" applyFont="1" applyFill="1" applyProtection="1">
      <protection locked="0"/>
    </xf>
    <xf numFmtId="0" fontId="5" fillId="0" borderId="0" xfId="0" applyFont="1" applyAlignment="1" applyProtection="1">
      <alignment horizontal="left"/>
    </xf>
    <xf numFmtId="0" fontId="5" fillId="0" borderId="33" xfId="0" applyFont="1" applyBorder="1" applyAlignment="1" applyProtection="1">
      <alignment horizontal="left"/>
    </xf>
    <xf numFmtId="0" fontId="5" fillId="0" borderId="34" xfId="0" applyFont="1" applyBorder="1" applyAlignment="1" applyProtection="1">
      <alignment horizontal="left"/>
    </xf>
    <xf numFmtId="164" fontId="9" fillId="5" borderId="35" xfId="1" applyFont="1" applyFill="1" applyBorder="1" applyAlignment="1" applyProtection="1">
      <alignment horizontal="left"/>
    </xf>
    <xf numFmtId="0" fontId="11" fillId="10" borderId="10" xfId="0" applyFont="1" applyFill="1" applyBorder="1" applyAlignment="1" applyProtection="1">
      <alignment horizontal="left" wrapText="1"/>
    </xf>
    <xf numFmtId="0" fontId="11" fillId="10" borderId="38" xfId="0" applyFont="1" applyFill="1" applyBorder="1" applyAlignment="1" applyProtection="1">
      <alignment horizontal="left" wrapText="1"/>
    </xf>
    <xf numFmtId="164" fontId="5" fillId="0" borderId="35" xfId="1" applyFont="1" applyFill="1" applyBorder="1" applyAlignment="1" applyProtection="1">
      <alignment horizontal="left"/>
    </xf>
    <xf numFmtId="164" fontId="5" fillId="0" borderId="6" xfId="1" applyFont="1" applyFill="1" applyBorder="1" applyAlignment="1" applyProtection="1">
      <alignment horizontal="right"/>
    </xf>
    <xf numFmtId="9" fontId="5" fillId="10" borderId="39" xfId="2" applyNumberFormat="1" applyFont="1" applyFill="1" applyBorder="1" applyAlignment="1" applyProtection="1">
      <alignment horizontal="left"/>
    </xf>
    <xf numFmtId="9" fontId="5" fillId="10" borderId="32" xfId="2" applyNumberFormat="1" applyFont="1" applyFill="1" applyBorder="1" applyAlignment="1" applyProtection="1">
      <alignment horizontal="left"/>
    </xf>
    <xf numFmtId="0" fontId="7" fillId="0" borderId="0" xfId="0" quotePrefix="1" applyFont="1"/>
    <xf numFmtId="9" fontId="5" fillId="10" borderId="13" xfId="2" applyNumberFormat="1" applyFont="1" applyFill="1" applyBorder="1" applyAlignment="1" applyProtection="1">
      <alignment horizontal="left"/>
    </xf>
    <xf numFmtId="9" fontId="5" fillId="10" borderId="14" xfId="2" applyNumberFormat="1" applyFont="1" applyFill="1" applyBorder="1" applyAlignment="1" applyProtection="1">
      <alignment horizontal="left"/>
    </xf>
    <xf numFmtId="164" fontId="5" fillId="6" borderId="35" xfId="1" applyFont="1" applyFill="1" applyBorder="1" applyAlignment="1" applyProtection="1">
      <alignment horizontal="left"/>
    </xf>
    <xf numFmtId="164" fontId="9" fillId="5" borderId="37" xfId="1" applyFont="1" applyFill="1" applyBorder="1" applyAlignment="1" applyProtection="1">
      <alignment horizontal="left"/>
    </xf>
    <xf numFmtId="9" fontId="9" fillId="8" borderId="13" xfId="2" applyNumberFormat="1" applyFont="1" applyFill="1" applyBorder="1" applyAlignment="1" applyProtection="1">
      <alignment horizontal="left"/>
    </xf>
    <xf numFmtId="9" fontId="9" fillId="8" borderId="14" xfId="2" applyNumberFormat="1" applyFont="1" applyFill="1" applyBorder="1" applyAlignment="1" applyProtection="1">
      <alignment horizontal="left"/>
    </xf>
    <xf numFmtId="164" fontId="5" fillId="0" borderId="35" xfId="1" applyFont="1" applyBorder="1" applyAlignment="1" applyProtection="1">
      <alignment horizontal="left" wrapText="1"/>
    </xf>
    <xf numFmtId="164" fontId="5" fillId="0" borderId="35" xfId="1" applyFont="1" applyFill="1" applyBorder="1" applyAlignment="1" applyProtection="1">
      <alignment horizontal="left" wrapText="1"/>
    </xf>
    <xf numFmtId="164" fontId="9" fillId="11" borderId="37" xfId="1" applyFont="1" applyFill="1" applyBorder="1" applyAlignment="1" applyProtection="1">
      <alignment horizontal="left"/>
    </xf>
    <xf numFmtId="9" fontId="9" fillId="11" borderId="13" xfId="2" applyNumberFormat="1" applyFont="1" applyFill="1" applyBorder="1" applyAlignment="1" applyProtection="1">
      <alignment horizontal="left"/>
    </xf>
    <xf numFmtId="9" fontId="9" fillId="11" borderId="14" xfId="2" applyNumberFormat="1" applyFont="1" applyFill="1" applyBorder="1" applyAlignment="1" applyProtection="1">
      <alignment horizontal="left"/>
    </xf>
    <xf numFmtId="164" fontId="9" fillId="5" borderId="40" xfId="1" applyFont="1" applyFill="1" applyBorder="1" applyAlignment="1" applyProtection="1">
      <alignment horizontal="left"/>
    </xf>
    <xf numFmtId="164" fontId="9" fillId="5" borderId="41" xfId="1" applyFont="1" applyFill="1" applyBorder="1" applyAlignment="1" applyProtection="1">
      <alignment horizontal="left"/>
    </xf>
    <xf numFmtId="9" fontId="9" fillId="11" borderId="21" xfId="2" applyNumberFormat="1" applyFont="1" applyFill="1" applyBorder="1" applyAlignment="1" applyProtection="1">
      <alignment horizontal="left"/>
    </xf>
    <xf numFmtId="9" fontId="9" fillId="11" borderId="22" xfId="2" applyNumberFormat="1" applyFont="1" applyFill="1" applyBorder="1" applyAlignment="1" applyProtection="1">
      <alignment horizontal="left"/>
    </xf>
    <xf numFmtId="9" fontId="11" fillId="10" borderId="25" xfId="0" applyNumberFormat="1" applyFont="1" applyFill="1" applyBorder="1" applyAlignment="1" applyProtection="1">
      <alignment horizontal="left" wrapText="1"/>
    </xf>
    <xf numFmtId="9" fontId="11" fillId="10" borderId="19" xfId="0" applyNumberFormat="1" applyFont="1" applyFill="1" applyBorder="1" applyAlignment="1" applyProtection="1">
      <alignment horizontal="left" wrapText="1"/>
    </xf>
    <xf numFmtId="164" fontId="9" fillId="12" borderId="35" xfId="1" applyFont="1" applyFill="1" applyBorder="1" applyAlignment="1" applyProtection="1">
      <alignment horizontal="left"/>
    </xf>
    <xf numFmtId="164" fontId="9" fillId="5" borderId="6" xfId="1" applyFont="1" applyFill="1" applyBorder="1" applyAlignment="1" applyProtection="1">
      <alignment horizontal="right"/>
    </xf>
    <xf numFmtId="164" fontId="9" fillId="5" borderId="37" xfId="1" applyFont="1" applyFill="1" applyBorder="1" applyAlignment="1" applyProtection="1">
      <alignment horizontal="right"/>
    </xf>
    <xf numFmtId="164" fontId="9" fillId="5" borderId="35" xfId="1" applyFont="1" applyFill="1" applyBorder="1" applyAlignment="1" applyProtection="1">
      <alignment horizontal="left" wrapText="1"/>
    </xf>
    <xf numFmtId="164" fontId="9" fillId="8" borderId="37" xfId="1" applyFont="1" applyFill="1" applyBorder="1" applyAlignment="1" applyProtection="1">
      <alignment horizontal="right"/>
    </xf>
    <xf numFmtId="164" fontId="5" fillId="0" borderId="36" xfId="1" applyFont="1" applyFill="1" applyBorder="1" applyAlignment="1" applyProtection="1">
      <alignment horizontal="left"/>
    </xf>
    <xf numFmtId="164" fontId="5" fillId="0" borderId="6" xfId="1" applyFont="1" applyBorder="1" applyAlignment="1" applyProtection="1">
      <alignment horizontal="left"/>
    </xf>
    <xf numFmtId="164" fontId="5" fillId="0" borderId="37" xfId="1" applyFont="1" applyBorder="1" applyAlignment="1" applyProtection="1">
      <alignment horizontal="left"/>
    </xf>
    <xf numFmtId="164" fontId="5" fillId="0" borderId="35" xfId="1" applyFont="1" applyBorder="1" applyAlignment="1" applyProtection="1">
      <alignment horizontal="left"/>
    </xf>
    <xf numFmtId="164" fontId="9" fillId="8" borderId="37" xfId="1" applyFont="1" applyFill="1" applyBorder="1" applyAlignment="1" applyProtection="1">
      <alignment horizontal="left"/>
    </xf>
    <xf numFmtId="164" fontId="9" fillId="5" borderId="48" xfId="1" applyFont="1" applyFill="1" applyBorder="1" applyAlignment="1" applyProtection="1">
      <alignment horizontal="left"/>
    </xf>
    <xf numFmtId="164" fontId="9" fillId="8" borderId="41" xfId="1" applyFont="1" applyFill="1" applyBorder="1" applyAlignment="1" applyProtection="1">
      <alignment horizontal="left"/>
    </xf>
    <xf numFmtId="164" fontId="5" fillId="0" borderId="44" xfId="1" applyFont="1" applyFill="1" applyBorder="1" applyAlignment="1" applyProtection="1">
      <alignment horizontal="left"/>
    </xf>
    <xf numFmtId="164" fontId="5" fillId="0" borderId="6" xfId="1" applyFont="1" applyFill="1" applyBorder="1" applyAlignment="1" applyProtection="1">
      <alignment horizontal="left"/>
    </xf>
    <xf numFmtId="39" fontId="9" fillId="0" borderId="0" xfId="0" applyNumberFormat="1" applyFont="1" applyAlignment="1" applyProtection="1">
      <alignment horizontal="left"/>
    </xf>
    <xf numFmtId="164" fontId="9" fillId="11" borderId="6" xfId="1" applyFont="1" applyFill="1" applyBorder="1" applyAlignment="1" applyProtection="1">
      <alignment horizontal="left"/>
    </xf>
    <xf numFmtId="0" fontId="0" fillId="0" borderId="2" xfId="0" applyBorder="1"/>
    <xf numFmtId="165" fontId="4" fillId="12" borderId="2" xfId="7" applyFont="1" applyFill="1" applyBorder="1" applyAlignment="1">
      <alignment wrapText="1"/>
    </xf>
    <xf numFmtId="165" fontId="4" fillId="12" borderId="2" xfId="7" applyFont="1" applyFill="1" applyBorder="1" applyAlignment="1">
      <alignment horizontal="right" wrapText="1"/>
    </xf>
    <xf numFmtId="165" fontId="3" fillId="0" borderId="2" xfId="7" applyFont="1" applyBorder="1"/>
    <xf numFmtId="165" fontId="4" fillId="13" borderId="2" xfId="7" applyFont="1" applyFill="1" applyBorder="1"/>
    <xf numFmtId="166" fontId="3" fillId="0" borderId="2" xfId="7" applyNumberFormat="1" applyFont="1" applyBorder="1"/>
    <xf numFmtId="165" fontId="4" fillId="0" borderId="2" xfId="7" applyFont="1" applyFill="1" applyBorder="1" applyAlignment="1">
      <alignment horizontal="justify"/>
    </xf>
    <xf numFmtId="165" fontId="3" fillId="0" borderId="2" xfId="7" applyFont="1" applyBorder="1" applyAlignment="1">
      <alignment horizontal="justify"/>
    </xf>
    <xf numFmtId="10" fontId="3" fillId="0" borderId="2" xfId="8" applyNumberFormat="1" applyFont="1" applyBorder="1"/>
    <xf numFmtId="165" fontId="4" fillId="0" borderId="2" xfId="7" applyFont="1" applyBorder="1" applyAlignment="1">
      <alignment horizontal="justify"/>
    </xf>
    <xf numFmtId="166" fontId="4" fillId="0" borderId="2" xfId="7" applyNumberFormat="1" applyFont="1" applyBorder="1"/>
    <xf numFmtId="165" fontId="4" fillId="13" borderId="2" xfId="7" applyFont="1" applyFill="1" applyBorder="1" applyAlignment="1">
      <alignment horizontal="justify"/>
    </xf>
    <xf numFmtId="10" fontId="4" fillId="13" borderId="2" xfId="8" applyNumberFormat="1" applyFont="1" applyFill="1" applyBorder="1"/>
    <xf numFmtId="167" fontId="3" fillId="0" borderId="2" xfId="7" applyNumberFormat="1" applyFont="1" applyBorder="1"/>
    <xf numFmtId="165" fontId="4" fillId="12" borderId="3" xfId="7" applyFont="1" applyFill="1" applyBorder="1" applyAlignment="1"/>
    <xf numFmtId="165" fontId="4" fillId="12" borderId="4" xfId="7" applyFont="1" applyFill="1" applyBorder="1" applyAlignment="1"/>
    <xf numFmtId="165" fontId="4" fillId="12" borderId="5" xfId="7" applyFont="1" applyFill="1" applyBorder="1" applyAlignment="1"/>
    <xf numFmtId="0" fontId="0" fillId="0" borderId="0" xfId="0" applyAlignment="1">
      <alignment wrapText="1"/>
    </xf>
    <xf numFmtId="0" fontId="0" fillId="0" borderId="2" xfId="0" applyBorder="1" applyAlignment="1">
      <alignment wrapText="1"/>
    </xf>
    <xf numFmtId="0" fontId="0" fillId="0" borderId="0" xfId="0" applyFont="1"/>
    <xf numFmtId="0" fontId="16" fillId="0" borderId="0" xfId="0" applyFont="1"/>
    <xf numFmtId="0" fontId="14" fillId="13" borderId="2" xfId="0" applyFont="1" applyFill="1" applyBorder="1" applyAlignment="1">
      <alignment wrapText="1"/>
    </xf>
    <xf numFmtId="0" fontId="14" fillId="0" borderId="0" xfId="0" applyFont="1"/>
    <xf numFmtId="170" fontId="0" fillId="0" borderId="2" xfId="0" applyNumberFormat="1" applyFont="1" applyBorder="1"/>
    <xf numFmtId="0" fontId="0" fillId="0" borderId="0" xfId="0" applyFont="1" applyBorder="1"/>
    <xf numFmtId="2" fontId="0" fillId="0" borderId="2" xfId="0" applyNumberFormat="1" applyFont="1" applyBorder="1"/>
    <xf numFmtId="168" fontId="7" fillId="13" borderId="2" xfId="0" applyNumberFormat="1" applyFont="1" applyFill="1" applyBorder="1" applyAlignment="1">
      <alignment horizontal="left"/>
    </xf>
    <xf numFmtId="0" fontId="0" fillId="13" borderId="19" xfId="0" applyFont="1" applyFill="1" applyBorder="1"/>
    <xf numFmtId="0" fontId="17" fillId="13" borderId="49" xfId="0" applyFont="1" applyFill="1" applyBorder="1" applyAlignment="1">
      <alignment horizontal="center"/>
    </xf>
    <xf numFmtId="0" fontId="0" fillId="0" borderId="50" xfId="0" applyFont="1" applyBorder="1"/>
    <xf numFmtId="0" fontId="0" fillId="0" borderId="22" xfId="0" applyFont="1" applyBorder="1"/>
    <xf numFmtId="10" fontId="0" fillId="0" borderId="22" xfId="2" applyNumberFormat="1" applyFont="1" applyBorder="1"/>
    <xf numFmtId="164" fontId="15" fillId="0" borderId="19" xfId="1" applyFont="1" applyBorder="1" applyAlignment="1" applyProtection="1">
      <alignment horizontal="right"/>
    </xf>
    <xf numFmtId="43" fontId="0" fillId="0" borderId="22" xfId="0" applyNumberFormat="1" applyFont="1" applyBorder="1"/>
    <xf numFmtId="0" fontId="0" fillId="0" borderId="0" xfId="0" applyFont="1" applyFill="1"/>
    <xf numFmtId="166" fontId="17" fillId="13" borderId="19" xfId="4" applyNumberFormat="1" applyFont="1" applyFill="1" applyBorder="1" applyAlignment="1">
      <alignment vertical="center" wrapText="1"/>
    </xf>
    <xf numFmtId="166" fontId="17" fillId="13" borderId="49" xfId="4" applyNumberFormat="1" applyFont="1" applyFill="1" applyBorder="1" applyAlignment="1">
      <alignment horizontal="center" vertical="center" wrapText="1"/>
    </xf>
    <xf numFmtId="166" fontId="0" fillId="0" borderId="53" xfId="4" applyNumberFormat="1" applyFont="1" applyBorder="1" applyAlignment="1">
      <alignment vertical="center" wrapText="1"/>
    </xf>
    <xf numFmtId="166" fontId="15" fillId="0" borderId="53" xfId="4" applyNumberFormat="1" applyFont="1" applyFill="1" applyBorder="1" applyAlignment="1">
      <alignment vertical="center" wrapText="1"/>
    </xf>
    <xf numFmtId="166" fontId="15" fillId="0" borderId="54" xfId="4" applyNumberFormat="1" applyFont="1" applyBorder="1" applyAlignment="1">
      <alignment vertical="center" wrapText="1"/>
    </xf>
    <xf numFmtId="166" fontId="15" fillId="0" borderId="55" xfId="4" applyNumberFormat="1" applyFont="1" applyBorder="1" applyAlignment="1">
      <alignment vertical="center" wrapText="1"/>
    </xf>
    <xf numFmtId="9" fontId="15" fillId="0" borderId="55" xfId="5" applyFont="1" applyBorder="1" applyAlignment="1">
      <alignment vertical="center" wrapText="1"/>
    </xf>
    <xf numFmtId="9" fontId="15" fillId="0" borderId="56" xfId="5" applyFont="1" applyBorder="1" applyAlignment="1">
      <alignment vertical="center" wrapText="1"/>
    </xf>
    <xf numFmtId="9" fontId="15" fillId="0" borderId="56" xfId="5" applyFont="1" applyFill="1" applyBorder="1" applyAlignment="1">
      <alignment vertical="center" wrapText="1"/>
    </xf>
    <xf numFmtId="167" fontId="17" fillId="13" borderId="19" xfId="4" applyNumberFormat="1" applyFont="1" applyFill="1" applyBorder="1" applyAlignment="1">
      <alignment vertical="center" wrapText="1"/>
    </xf>
    <xf numFmtId="0" fontId="17" fillId="13" borderId="49" xfId="4" applyNumberFormat="1" applyFont="1" applyFill="1" applyBorder="1" applyAlignment="1">
      <alignment vertical="center" wrapText="1"/>
    </xf>
    <xf numFmtId="166" fontId="15" fillId="0" borderId="57" xfId="4" applyNumberFormat="1" applyFont="1" applyBorder="1" applyAlignment="1">
      <alignment vertical="center" wrapText="1"/>
    </xf>
    <xf numFmtId="167" fontId="15" fillId="0" borderId="57" xfId="4" applyNumberFormat="1" applyFont="1" applyBorder="1" applyAlignment="1">
      <alignment vertical="center" wrapText="1"/>
    </xf>
    <xf numFmtId="167" fontId="15" fillId="0" borderId="17" xfId="4" applyNumberFormat="1" applyFont="1" applyFill="1" applyBorder="1" applyAlignment="1">
      <alignment vertical="center" wrapText="1"/>
    </xf>
    <xf numFmtId="167" fontId="15" fillId="0" borderId="17" xfId="4" applyNumberFormat="1" applyFont="1" applyBorder="1" applyAlignment="1">
      <alignment vertical="center" wrapText="1"/>
    </xf>
    <xf numFmtId="166" fontId="17" fillId="13" borderId="49" xfId="4" applyNumberFormat="1" applyFont="1" applyFill="1" applyBorder="1" applyAlignment="1">
      <alignment vertical="center" wrapText="1"/>
    </xf>
    <xf numFmtId="166" fontId="15" fillId="0" borderId="53" xfId="4" applyNumberFormat="1" applyFont="1" applyBorder="1" applyAlignment="1">
      <alignment vertical="center" wrapText="1"/>
    </xf>
    <xf numFmtId="166" fontId="15" fillId="0" borderId="54" xfId="4" applyNumberFormat="1" applyFont="1" applyFill="1" applyBorder="1" applyAlignment="1">
      <alignment vertical="center" wrapText="1"/>
    </xf>
    <xf numFmtId="166" fontId="15" fillId="0" borderId="56" xfId="4" applyNumberFormat="1" applyFont="1" applyFill="1" applyBorder="1" applyAlignment="1">
      <alignment vertical="center" wrapText="1"/>
    </xf>
    <xf numFmtId="166" fontId="15" fillId="0" borderId="56" xfId="4" applyNumberFormat="1" applyFont="1" applyBorder="1" applyAlignment="1">
      <alignment vertical="center" wrapText="1"/>
    </xf>
    <xf numFmtId="165" fontId="15" fillId="0" borderId="57" xfId="4" applyNumberFormat="1" applyFont="1" applyFill="1" applyBorder="1" applyAlignment="1">
      <alignment vertical="center" wrapText="1"/>
    </xf>
    <xf numFmtId="165" fontId="15" fillId="0" borderId="17" xfId="4" applyNumberFormat="1" applyFont="1" applyFill="1" applyBorder="1" applyAlignment="1">
      <alignment vertical="center" wrapText="1"/>
    </xf>
    <xf numFmtId="165" fontId="15" fillId="0" borderId="0" xfId="4" applyFont="1"/>
    <xf numFmtId="165" fontId="17" fillId="13" borderId="59" xfId="4" applyFont="1" applyFill="1" applyBorder="1" applyProtection="1"/>
    <xf numFmtId="165" fontId="17" fillId="13" borderId="60" xfId="4" applyFont="1" applyFill="1" applyBorder="1" applyProtection="1"/>
    <xf numFmtId="165" fontId="17" fillId="13" borderId="61" xfId="4" applyFont="1" applyFill="1" applyBorder="1" applyProtection="1"/>
    <xf numFmtId="3" fontId="15" fillId="0" borderId="2" xfId="4" applyNumberFormat="1" applyFont="1" applyFill="1" applyBorder="1" applyAlignment="1" applyProtection="1">
      <alignment horizontal="right"/>
      <protection locked="0"/>
    </xf>
    <xf numFmtId="165" fontId="15" fillId="0" borderId="2" xfId="4" applyFont="1" applyFill="1" applyBorder="1" applyProtection="1"/>
    <xf numFmtId="165" fontId="17" fillId="13" borderId="2" xfId="4" applyFont="1" applyFill="1" applyBorder="1" applyAlignment="1" applyProtection="1">
      <alignment wrapText="1"/>
    </xf>
    <xf numFmtId="3" fontId="15" fillId="13" borderId="2" xfId="4" applyNumberFormat="1" applyFont="1" applyFill="1" applyBorder="1" applyProtection="1"/>
    <xf numFmtId="3" fontId="15" fillId="0" borderId="2" xfId="4" applyNumberFormat="1" applyFont="1" applyFill="1" applyBorder="1" applyProtection="1"/>
    <xf numFmtId="0" fontId="4" fillId="14" borderId="2" xfId="9" applyFont="1" applyFill="1" applyBorder="1" applyAlignment="1">
      <alignment horizontal="center" vertical="center"/>
    </xf>
    <xf numFmtId="0" fontId="4" fillId="14" borderId="2" xfId="9" applyFont="1" applyFill="1" applyBorder="1" applyAlignment="1">
      <alignment horizontal="center" vertical="center" wrapText="1"/>
    </xf>
    <xf numFmtId="0" fontId="4" fillId="14" borderId="2" xfId="9" applyFont="1" applyFill="1" applyBorder="1" applyAlignment="1">
      <alignment horizontal="left" vertical="center"/>
    </xf>
    <xf numFmtId="1" fontId="4" fillId="14" borderId="2" xfId="9" applyNumberFormat="1" applyFont="1" applyFill="1" applyBorder="1" applyAlignment="1">
      <alignment horizontal="center" vertical="center"/>
    </xf>
    <xf numFmtId="1" fontId="4" fillId="14" borderId="2" xfId="9" applyNumberFormat="1" applyFont="1" applyFill="1" applyBorder="1" applyAlignment="1">
      <alignment horizontal="center" vertical="center" wrapText="1"/>
    </xf>
    <xf numFmtId="166" fontId="4" fillId="14" borderId="2" xfId="4" applyNumberFormat="1" applyFont="1" applyFill="1" applyBorder="1" applyAlignment="1">
      <alignment horizontal="center" vertical="center" wrapText="1"/>
    </xf>
    <xf numFmtId="0" fontId="4" fillId="14" borderId="2" xfId="9" applyFont="1" applyFill="1" applyBorder="1" applyAlignment="1">
      <alignment horizontal="center" wrapText="1"/>
    </xf>
    <xf numFmtId="0" fontId="3" fillId="0" borderId="0" xfId="9" applyFont="1" applyBorder="1"/>
    <xf numFmtId="0" fontId="3" fillId="0" borderId="2" xfId="9" applyFont="1" applyBorder="1"/>
    <xf numFmtId="0" fontId="3" fillId="0" borderId="0" xfId="9" applyFont="1" applyFill="1" applyBorder="1"/>
    <xf numFmtId="0" fontId="3" fillId="0" borderId="2" xfId="9" applyFont="1" applyFill="1" applyBorder="1"/>
    <xf numFmtId="0" fontId="4" fillId="14" borderId="2" xfId="9" applyFont="1" applyFill="1" applyBorder="1" applyAlignment="1">
      <alignment horizontal="center" vertical="top" wrapText="1"/>
    </xf>
    <xf numFmtId="166" fontId="4" fillId="14" borderId="2" xfId="3" applyNumberFormat="1" applyFont="1" applyFill="1" applyBorder="1" applyAlignment="1">
      <alignment horizontal="center" vertical="top" wrapText="1"/>
    </xf>
    <xf numFmtId="0" fontId="4" fillId="14" borderId="2" xfId="9" applyFont="1" applyFill="1" applyBorder="1" applyAlignment="1" applyProtection="1">
      <alignment vertical="top" wrapText="1"/>
      <protection locked="0"/>
    </xf>
    <xf numFmtId="0" fontId="3" fillId="0" borderId="0" xfId="9" applyFont="1" applyProtection="1">
      <protection locked="0"/>
    </xf>
    <xf numFmtId="166" fontId="3" fillId="0" borderId="0" xfId="4" applyNumberFormat="1" applyFont="1" applyProtection="1">
      <protection locked="0"/>
    </xf>
    <xf numFmtId="0" fontId="3" fillId="0" borderId="0" xfId="9" applyFont="1"/>
    <xf numFmtId="0" fontId="3" fillId="0" borderId="0" xfId="9" applyFont="1" applyAlignment="1" applyProtection="1">
      <alignment horizontal="center"/>
      <protection locked="0"/>
    </xf>
    <xf numFmtId="166" fontId="3" fillId="0" borderId="0" xfId="4" applyNumberFormat="1" applyFont="1" applyAlignment="1" applyProtection="1">
      <alignment horizontal="center"/>
      <protection locked="0"/>
    </xf>
    <xf numFmtId="166" fontId="3" fillId="0" borderId="0" xfId="4" applyNumberFormat="1" applyFont="1"/>
    <xf numFmtId="164" fontId="3" fillId="0" borderId="2" xfId="1" applyFont="1" applyFill="1" applyBorder="1" applyAlignment="1">
      <alignment horizontal="right" vertical="top" wrapText="1"/>
    </xf>
    <xf numFmtId="164" fontId="4" fillId="14" borderId="2" xfId="1" applyFont="1" applyFill="1" applyBorder="1" applyAlignment="1">
      <alignment horizontal="right" vertical="top" wrapText="1"/>
    </xf>
    <xf numFmtId="0" fontId="3" fillId="0" borderId="2" xfId="9" applyFont="1" applyFill="1" applyBorder="1" applyAlignment="1" applyProtection="1">
      <alignment horizontal="center" vertical="top" wrapText="1"/>
      <protection locked="0"/>
    </xf>
    <xf numFmtId="0" fontId="3" fillId="0" borderId="2" xfId="9" applyFont="1" applyFill="1" applyBorder="1" applyAlignment="1" applyProtection="1">
      <alignment horizontal="left" vertical="top"/>
      <protection locked="0"/>
    </xf>
    <xf numFmtId="0" fontId="3" fillId="0" borderId="2" xfId="9" applyFont="1" applyFill="1" applyBorder="1" applyAlignment="1" applyProtection="1">
      <alignment horizontal="justify" vertical="top" wrapText="1"/>
      <protection locked="0"/>
    </xf>
    <xf numFmtId="3" fontId="4" fillId="13" borderId="63" xfId="0" applyNumberFormat="1" applyFont="1" applyFill="1" applyBorder="1" applyAlignment="1" applyProtection="1">
      <alignment horizontal="center"/>
      <protection locked="0"/>
    </xf>
    <xf numFmtId="171" fontId="3" fillId="15" borderId="58" xfId="0" applyNumberFormat="1" applyFont="1" applyFill="1" applyBorder="1" applyAlignment="1" applyProtection="1">
      <alignment horizontal="center"/>
      <protection locked="0"/>
    </xf>
    <xf numFmtId="0" fontId="4" fillId="13" borderId="62" xfId="0" applyFont="1" applyFill="1" applyBorder="1" applyAlignment="1" applyProtection="1">
      <alignment horizontal="left"/>
      <protection locked="0"/>
    </xf>
    <xf numFmtId="0" fontId="4" fillId="13" borderId="58" xfId="0" applyFont="1" applyFill="1" applyBorder="1" applyAlignment="1" applyProtection="1">
      <alignment horizontal="left"/>
      <protection locked="0"/>
    </xf>
    <xf numFmtId="37" fontId="3" fillId="0" borderId="2" xfId="9" applyNumberFormat="1" applyFont="1" applyFill="1" applyBorder="1" applyAlignment="1" applyProtection="1">
      <alignment horizontal="center" vertical="top" wrapText="1"/>
      <protection locked="0"/>
    </xf>
    <xf numFmtId="0" fontId="3" fillId="0" borderId="0" xfId="12" applyFont="1"/>
    <xf numFmtId="0" fontId="4" fillId="5" borderId="6" xfId="10" applyFont="1" applyFill="1" applyBorder="1" applyAlignment="1"/>
    <xf numFmtId="0" fontId="4" fillId="5" borderId="6" xfId="10" applyFont="1" applyFill="1" applyBorder="1" applyAlignment="1">
      <alignment horizontal="left"/>
    </xf>
    <xf numFmtId="0" fontId="4" fillId="5" borderId="64" xfId="10" applyFont="1" applyFill="1" applyBorder="1" applyAlignment="1">
      <alignment horizontal="center"/>
    </xf>
    <xf numFmtId="0" fontId="4" fillId="5" borderId="65" xfId="10" applyFont="1" applyFill="1" applyBorder="1" applyAlignment="1">
      <alignment horizontal="center"/>
    </xf>
    <xf numFmtId="0" fontId="4" fillId="5" borderId="66" xfId="10" applyFont="1" applyFill="1" applyBorder="1" applyAlignment="1">
      <alignment horizontal="center" wrapText="1"/>
    </xf>
    <xf numFmtId="0" fontId="4" fillId="5" borderId="67" xfId="10" applyFont="1" applyFill="1" applyBorder="1" applyAlignment="1">
      <alignment horizontal="center" wrapText="1"/>
    </xf>
    <xf numFmtId="0" fontId="4" fillId="6" borderId="44" xfId="10" applyFont="1" applyFill="1" applyBorder="1" applyAlignment="1" applyProtection="1">
      <alignment horizontal="center"/>
    </xf>
    <xf numFmtId="172" fontId="3" fillId="6" borderId="6" xfId="12" applyNumberFormat="1" applyFont="1" applyFill="1" applyBorder="1" applyProtection="1"/>
    <xf numFmtId="0" fontId="4" fillId="6" borderId="44" xfId="10" applyFont="1" applyFill="1" applyBorder="1" applyAlignment="1">
      <alignment horizontal="center" wrapText="1"/>
    </xf>
    <xf numFmtId="0" fontId="4" fillId="6" borderId="68" xfId="10" applyFont="1" applyFill="1" applyBorder="1" applyAlignment="1">
      <alignment horizontal="center" wrapText="1"/>
    </xf>
    <xf numFmtId="164" fontId="3" fillId="5" borderId="69" xfId="11" applyFont="1" applyFill="1" applyBorder="1" applyAlignment="1" applyProtection="1"/>
    <xf numFmtId="164" fontId="3" fillId="5" borderId="66" xfId="11" applyFont="1" applyFill="1" applyBorder="1" applyAlignment="1" applyProtection="1"/>
    <xf numFmtId="173" fontId="3" fillId="5" borderId="66" xfId="11" applyNumberFormat="1" applyFont="1" applyFill="1" applyBorder="1" applyAlignment="1" applyProtection="1"/>
    <xf numFmtId="173" fontId="3" fillId="5" borderId="67" xfId="11" applyNumberFormat="1" applyFont="1" applyFill="1" applyBorder="1" applyAlignment="1" applyProtection="1"/>
    <xf numFmtId="164" fontId="3" fillId="5" borderId="68" xfId="11" applyFont="1" applyFill="1" applyBorder="1" applyAlignment="1" applyProtection="1"/>
    <xf numFmtId="173" fontId="3" fillId="5" borderId="43" xfId="11" applyNumberFormat="1" applyFont="1" applyFill="1" applyBorder="1" applyAlignment="1" applyProtection="1"/>
    <xf numFmtId="173" fontId="3" fillId="5" borderId="68" xfId="11" applyNumberFormat="1" applyFont="1" applyFill="1" applyBorder="1" applyAlignment="1" applyProtection="1"/>
    <xf numFmtId="164" fontId="3" fillId="5" borderId="72" xfId="11" applyFont="1" applyFill="1" applyBorder="1" applyAlignment="1" applyProtection="1"/>
    <xf numFmtId="164" fontId="3" fillId="5" borderId="73" xfId="11" applyFont="1" applyFill="1" applyBorder="1" applyAlignment="1" applyProtection="1"/>
    <xf numFmtId="164" fontId="3" fillId="5" borderId="74" xfId="11" applyFont="1" applyFill="1" applyBorder="1" applyAlignment="1" applyProtection="1"/>
    <xf numFmtId="173" fontId="3" fillId="5" borderId="73" xfId="11" applyNumberFormat="1" applyFont="1" applyFill="1" applyBorder="1" applyAlignment="1" applyProtection="1"/>
    <xf numFmtId="0" fontId="3" fillId="0" borderId="0" xfId="0" applyFont="1"/>
    <xf numFmtId="172" fontId="3" fillId="0" borderId="0" xfId="12" applyNumberFormat="1" applyFont="1"/>
    <xf numFmtId="172" fontId="3" fillId="6" borderId="44" xfId="12" applyNumberFormat="1" applyFont="1" applyFill="1" applyBorder="1" applyProtection="1"/>
    <xf numFmtId="164" fontId="3" fillId="5" borderId="77" xfId="11" applyFont="1" applyFill="1" applyBorder="1" applyAlignment="1" applyProtection="1"/>
    <xf numFmtId="164" fontId="3" fillId="5" borderId="78" xfId="11" applyFont="1" applyFill="1" applyBorder="1" applyAlignment="1" applyProtection="1"/>
    <xf numFmtId="164" fontId="3" fillId="5" borderId="19" xfId="11" applyFont="1" applyFill="1" applyBorder="1" applyAlignment="1" applyProtection="1"/>
    <xf numFmtId="2" fontId="16" fillId="0" borderId="0" xfId="0" applyNumberFormat="1" applyFont="1"/>
    <xf numFmtId="0" fontId="4" fillId="5" borderId="65" xfId="10" applyFont="1" applyFill="1" applyBorder="1" applyAlignment="1">
      <alignment horizontal="center" wrapText="1"/>
    </xf>
    <xf numFmtId="0" fontId="4" fillId="5" borderId="79" xfId="10" applyFont="1" applyFill="1" applyBorder="1" applyAlignment="1">
      <alignment horizontal="center" wrapText="1"/>
    </xf>
    <xf numFmtId="0" fontId="16" fillId="12" borderId="52" xfId="0" applyFont="1" applyFill="1" applyBorder="1"/>
    <xf numFmtId="0" fontId="16" fillId="12" borderId="49" xfId="0" applyFont="1" applyFill="1" applyBorder="1"/>
    <xf numFmtId="164" fontId="4" fillId="6" borderId="44" xfId="1" applyFont="1" applyFill="1" applyBorder="1" applyAlignment="1" applyProtection="1">
      <alignment horizontal="center"/>
    </xf>
    <xf numFmtId="164" fontId="3" fillId="6" borderId="6" xfId="1" applyFont="1" applyFill="1" applyBorder="1" applyProtection="1"/>
    <xf numFmtId="164" fontId="3" fillId="0" borderId="6" xfId="1" applyFont="1" applyFill="1" applyBorder="1" applyAlignment="1" applyProtection="1"/>
    <xf numFmtId="0" fontId="4" fillId="0" borderId="44" xfId="10" applyFont="1" applyFill="1" applyBorder="1" applyAlignment="1" applyProtection="1">
      <alignment horizontal="center"/>
      <protection locked="0"/>
    </xf>
    <xf numFmtId="172" fontId="3" fillId="0" borderId="44" xfId="10" applyNumberFormat="1" applyFont="1" applyFill="1" applyBorder="1" applyProtection="1">
      <protection locked="0"/>
    </xf>
    <xf numFmtId="0" fontId="4" fillId="0" borderId="44" xfId="10" applyFont="1" applyFill="1" applyBorder="1" applyAlignment="1">
      <alignment horizontal="center"/>
    </xf>
    <xf numFmtId="0" fontId="4" fillId="0" borderId="44" xfId="10" applyFont="1" applyFill="1" applyBorder="1" applyAlignment="1" applyProtection="1">
      <alignment horizontal="center" wrapText="1"/>
      <protection locked="0"/>
    </xf>
    <xf numFmtId="0" fontId="4" fillId="0" borderId="76" xfId="10" applyFont="1" applyFill="1" applyBorder="1" applyAlignment="1" applyProtection="1">
      <alignment horizontal="center" wrapText="1"/>
      <protection locked="0"/>
    </xf>
    <xf numFmtId="172" fontId="3" fillId="0" borderId="44" xfId="12" applyNumberFormat="1" applyFont="1" applyFill="1" applyBorder="1" applyProtection="1"/>
    <xf numFmtId="164" fontId="3" fillId="0" borderId="6" xfId="1" applyFont="1" applyFill="1" applyBorder="1" applyProtection="1">
      <protection locked="0"/>
    </xf>
    <xf numFmtId="164" fontId="3" fillId="0" borderId="6" xfId="1" applyFont="1" applyFill="1" applyBorder="1"/>
    <xf numFmtId="164" fontId="3" fillId="0" borderId="6" xfId="1" applyFont="1" applyFill="1" applyBorder="1" applyAlignment="1" applyProtection="1">
      <protection locked="0"/>
    </xf>
    <xf numFmtId="164" fontId="3" fillId="0" borderId="44" xfId="1" applyFont="1" applyFill="1" applyBorder="1" applyProtection="1"/>
    <xf numFmtId="0" fontId="4" fillId="13" borderId="1" xfId="10" applyFont="1" applyFill="1" applyBorder="1" applyAlignment="1" applyProtection="1">
      <alignment horizontal="left"/>
      <protection locked="0"/>
    </xf>
    <xf numFmtId="171" fontId="4" fillId="13" borderId="12" xfId="10" applyNumberFormat="1" applyFont="1" applyFill="1" applyBorder="1" applyAlignment="1" applyProtection="1">
      <alignment horizontal="left"/>
      <protection locked="0"/>
    </xf>
    <xf numFmtId="172" fontId="3" fillId="0" borderId="6" xfId="12" applyNumberFormat="1" applyFont="1" applyFill="1" applyBorder="1" applyProtection="1">
      <protection locked="0"/>
    </xf>
    <xf numFmtId="0" fontId="4" fillId="0" borderId="68" xfId="10" applyFont="1" applyFill="1" applyBorder="1" applyAlignment="1" applyProtection="1">
      <alignment horizontal="center" wrapText="1"/>
      <protection locked="0"/>
    </xf>
    <xf numFmtId="0" fontId="20" fillId="17" borderId="2" xfId="0" applyFont="1" applyFill="1" applyBorder="1" applyAlignment="1" applyProtection="1">
      <alignment wrapText="1"/>
    </xf>
    <xf numFmtId="0" fontId="20" fillId="17" borderId="2" xfId="0" applyFont="1" applyFill="1" applyBorder="1" applyAlignment="1" applyProtection="1">
      <alignment horizontal="right" wrapText="1"/>
    </xf>
    <xf numFmtId="0" fontId="21" fillId="18" borderId="51" xfId="0" applyFont="1" applyFill="1" applyBorder="1" applyAlignment="1">
      <alignment vertical="center"/>
    </xf>
    <xf numFmtId="0" fontId="21" fillId="18" borderId="52" xfId="0" applyFont="1" applyFill="1" applyBorder="1" applyAlignment="1">
      <alignment vertical="center"/>
    </xf>
    <xf numFmtId="0" fontId="21" fillId="18" borderId="49" xfId="0" applyFont="1" applyFill="1" applyBorder="1" applyAlignment="1">
      <alignment vertical="center"/>
    </xf>
    <xf numFmtId="0" fontId="21" fillId="18" borderId="50" xfId="0" applyFont="1" applyFill="1" applyBorder="1" applyAlignment="1">
      <alignment horizontal="center" vertical="center"/>
    </xf>
    <xf numFmtId="0" fontId="21" fillId="18" borderId="22" xfId="0" applyFont="1" applyFill="1" applyBorder="1" applyAlignment="1">
      <alignment horizontal="center" vertical="center"/>
    </xf>
    <xf numFmtId="0" fontId="22" fillId="0" borderId="50" xfId="0" applyFont="1" applyBorder="1" applyAlignment="1">
      <alignment horizontal="center" vertical="center"/>
    </xf>
    <xf numFmtId="0" fontId="22" fillId="0" borderId="22" xfId="0" applyFont="1" applyBorder="1" applyAlignment="1">
      <alignment vertical="center"/>
    </xf>
    <xf numFmtId="0" fontId="22" fillId="0" borderId="22" xfId="0" applyFont="1" applyBorder="1" applyAlignment="1">
      <alignment vertical="center" wrapText="1"/>
    </xf>
    <xf numFmtId="0" fontId="23" fillId="0" borderId="50" xfId="0" applyFont="1" applyBorder="1"/>
    <xf numFmtId="9" fontId="22" fillId="0" borderId="22" xfId="0" applyNumberFormat="1" applyFont="1" applyBorder="1" applyAlignment="1">
      <alignment vertical="center" wrapText="1"/>
    </xf>
    <xf numFmtId="0" fontId="22" fillId="0" borderId="19" xfId="0" applyFont="1" applyBorder="1" applyAlignment="1">
      <alignment vertical="center" wrapText="1"/>
    </xf>
    <xf numFmtId="0" fontId="0" fillId="0" borderId="2" xfId="0" applyBorder="1" applyAlignment="1">
      <alignment horizontal="center"/>
    </xf>
    <xf numFmtId="0" fontId="17" fillId="13" borderId="2" xfId="0" applyFont="1" applyFill="1" applyBorder="1" applyAlignment="1">
      <alignment horizontal="center"/>
    </xf>
    <xf numFmtId="0" fontId="17" fillId="13" borderId="2" xfId="0" applyFont="1" applyFill="1" applyBorder="1" applyAlignment="1">
      <alignment horizontal="center" wrapText="1"/>
    </xf>
    <xf numFmtId="0" fontId="0" fillId="13" borderId="2" xfId="0" applyFont="1" applyFill="1" applyBorder="1" applyAlignment="1">
      <alignment horizontal="center"/>
    </xf>
    <xf numFmtId="0" fontId="0" fillId="0" borderId="2" xfId="0" applyFont="1" applyBorder="1" applyAlignment="1">
      <alignment horizontal="center"/>
    </xf>
    <xf numFmtId="0" fontId="25" fillId="18" borderId="19" xfId="0" applyFont="1" applyFill="1" applyBorder="1" applyAlignment="1">
      <alignment horizontal="center" vertical="center"/>
    </xf>
    <xf numFmtId="0" fontId="25" fillId="18" borderId="49" xfId="0" applyFont="1" applyFill="1" applyBorder="1" applyAlignment="1">
      <alignment horizontal="center" vertical="center" wrapText="1"/>
    </xf>
    <xf numFmtId="17" fontId="26" fillId="0" borderId="50" xfId="0" applyNumberFormat="1" applyFont="1" applyBorder="1" applyAlignment="1">
      <alignment horizontal="center" vertical="center"/>
    </xf>
    <xf numFmtId="0" fontId="26" fillId="0" borderId="22" xfId="0" applyFont="1" applyFill="1" applyBorder="1" applyAlignment="1">
      <alignment horizontal="center" vertical="center" wrapText="1"/>
    </xf>
    <xf numFmtId="166" fontId="2" fillId="0" borderId="54" xfId="4" applyNumberFormat="1" applyBorder="1" applyAlignment="1">
      <alignment vertical="center" wrapText="1"/>
    </xf>
    <xf numFmtId="0" fontId="24" fillId="12" borderId="51" xfId="0" applyFont="1" applyFill="1" applyBorder="1"/>
    <xf numFmtId="17" fontId="26" fillId="12" borderId="50" xfId="0" applyNumberFormat="1" applyFont="1" applyFill="1" applyBorder="1" applyAlignment="1">
      <alignment horizontal="center" vertical="center"/>
    </xf>
    <xf numFmtId="0" fontId="26" fillId="12" borderId="22" xfId="0" applyFont="1" applyFill="1" applyBorder="1" applyAlignment="1">
      <alignment horizontal="center" vertical="center" wrapText="1"/>
    </xf>
    <xf numFmtId="174" fontId="3" fillId="0" borderId="2" xfId="0" applyNumberFormat="1" applyFont="1" applyBorder="1" applyAlignment="1" applyProtection="1">
      <alignment horizontal="center"/>
      <protection locked="0"/>
    </xf>
    <xf numFmtId="0" fontId="17" fillId="13" borderId="3" xfId="0" applyFont="1" applyFill="1" applyBorder="1" applyAlignment="1">
      <alignment wrapText="1"/>
    </xf>
    <xf numFmtId="0" fontId="17" fillId="13" borderId="19" xfId="0" applyFont="1" applyFill="1" applyBorder="1" applyAlignment="1">
      <alignment wrapText="1"/>
    </xf>
    <xf numFmtId="0" fontId="0" fillId="0" borderId="92" xfId="0" applyFont="1" applyBorder="1"/>
    <xf numFmtId="0" fontId="14" fillId="0" borderId="92" xfId="0" applyFont="1" applyBorder="1"/>
    <xf numFmtId="0" fontId="0" fillId="0" borderId="93" xfId="0" applyFont="1" applyBorder="1"/>
    <xf numFmtId="0" fontId="17" fillId="13" borderId="91" xfId="0" applyFont="1" applyFill="1" applyBorder="1" applyAlignment="1">
      <alignment horizontal="justify" vertical="center" wrapText="1"/>
    </xf>
    <xf numFmtId="0" fontId="17" fillId="13" borderId="3" xfId="0" applyFont="1" applyFill="1" applyBorder="1" applyAlignment="1">
      <alignment horizontal="justify" vertical="center" wrapText="1"/>
    </xf>
    <xf numFmtId="0" fontId="14" fillId="13" borderId="3" xfId="0" applyFont="1" applyFill="1" applyBorder="1" applyAlignment="1">
      <alignment wrapText="1"/>
    </xf>
    <xf numFmtId="169" fontId="15" fillId="0" borderId="94" xfId="0" applyNumberFormat="1" applyFont="1" applyBorder="1" applyAlignment="1">
      <alignment horizontal="justify" vertical="center"/>
    </xf>
    <xf numFmtId="169" fontId="15" fillId="0" borderId="92" xfId="0" applyNumberFormat="1" applyFont="1" applyBorder="1" applyAlignment="1">
      <alignment horizontal="justify" vertical="center"/>
    </xf>
    <xf numFmtId="0" fontId="0" fillId="0" borderId="95" xfId="0" applyFont="1" applyBorder="1"/>
    <xf numFmtId="0" fontId="0" fillId="0" borderId="96" xfId="0" applyFont="1" applyBorder="1"/>
    <xf numFmtId="0" fontId="14" fillId="0" borderId="96" xfId="0" applyFont="1" applyBorder="1"/>
    <xf numFmtId="0" fontId="0" fillId="0" borderId="97" xfId="0" applyFont="1" applyBorder="1"/>
    <xf numFmtId="0" fontId="13" fillId="12" borderId="94" xfId="0" applyFont="1" applyFill="1" applyBorder="1" applyAlignment="1">
      <alignment horizontal="center"/>
    </xf>
    <xf numFmtId="0" fontId="7" fillId="0" borderId="92" xfId="0" applyFont="1" applyBorder="1"/>
    <xf numFmtId="168" fontId="7" fillId="0" borderId="53" xfId="0" applyNumberFormat="1" applyFont="1" applyBorder="1" applyAlignment="1">
      <alignment horizontal="left"/>
    </xf>
    <xf numFmtId="168" fontId="7" fillId="0" borderId="92" xfId="0" applyNumberFormat="1" applyFont="1" applyBorder="1" applyAlignment="1">
      <alignment horizontal="left"/>
    </xf>
    <xf numFmtId="0" fontId="7" fillId="13" borderId="92" xfId="0" applyFont="1" applyFill="1" applyBorder="1"/>
    <xf numFmtId="0" fontId="13" fillId="12" borderId="92" xfId="0" applyFont="1" applyFill="1" applyBorder="1"/>
    <xf numFmtId="165" fontId="3" fillId="0" borderId="92" xfId="7" applyFont="1" applyFill="1" applyBorder="1" applyAlignment="1">
      <alignment horizontal="justify"/>
    </xf>
    <xf numFmtId="165" fontId="3" fillId="0" borderId="92" xfId="7" applyFont="1" applyBorder="1" applyAlignment="1">
      <alignment horizontal="justify"/>
    </xf>
    <xf numFmtId="0" fontId="13" fillId="12" borderId="95" xfId="0" applyFont="1" applyFill="1" applyBorder="1" applyAlignment="1">
      <alignment horizontal="center"/>
    </xf>
    <xf numFmtId="0" fontId="7" fillId="0" borderId="96" xfId="0" applyFont="1" applyBorder="1"/>
    <xf numFmtId="164" fontId="7" fillId="0" borderId="96" xfId="1" applyFont="1" applyBorder="1"/>
    <xf numFmtId="164" fontId="7" fillId="13" borderId="96" xfId="1" applyFont="1" applyFill="1" applyBorder="1" applyAlignment="1"/>
    <xf numFmtId="164" fontId="7" fillId="13" borderId="96" xfId="1" applyFont="1" applyFill="1" applyBorder="1"/>
    <xf numFmtId="164" fontId="13" fillId="12" borderId="96" xfId="1" applyFont="1" applyFill="1" applyBorder="1"/>
    <xf numFmtId="165" fontId="3" fillId="0" borderId="96" xfId="7" applyFont="1" applyFill="1" applyBorder="1"/>
    <xf numFmtId="165" fontId="3" fillId="0" borderId="96" xfId="7" applyFont="1" applyBorder="1"/>
    <xf numFmtId="10" fontId="3" fillId="0" borderId="96" xfId="8" applyNumberFormat="1" applyFont="1" applyBorder="1"/>
    <xf numFmtId="166" fontId="3" fillId="0" borderId="96" xfId="7" applyNumberFormat="1" applyFont="1" applyBorder="1"/>
    <xf numFmtId="0" fontId="7" fillId="0" borderId="97" xfId="0" applyFont="1" applyBorder="1"/>
    <xf numFmtId="0" fontId="7" fillId="0" borderId="55" xfId="0" applyFont="1" applyBorder="1"/>
    <xf numFmtId="0" fontId="7" fillId="0" borderId="56" xfId="0" applyFont="1" applyBorder="1"/>
    <xf numFmtId="164" fontId="7" fillId="0" borderId="54" xfId="1" applyFont="1" applyBorder="1"/>
    <xf numFmtId="0" fontId="13" fillId="12" borderId="19" xfId="0" applyFont="1" applyFill="1" applyBorder="1"/>
    <xf numFmtId="0" fontId="7" fillId="12" borderId="49" xfId="0" applyFont="1" applyFill="1" applyBorder="1" applyAlignment="1"/>
    <xf numFmtId="168" fontId="7" fillId="0" borderId="55" xfId="0" applyNumberFormat="1" applyFont="1" applyBorder="1" applyAlignment="1">
      <alignment horizontal="left"/>
    </xf>
    <xf numFmtId="164" fontId="7" fillId="0" borderId="56" xfId="1" applyFont="1" applyBorder="1"/>
    <xf numFmtId="0" fontId="7" fillId="0" borderId="53" xfId="0" applyFont="1" applyBorder="1"/>
    <xf numFmtId="168" fontId="13" fillId="12" borderId="19" xfId="0" applyNumberFormat="1" applyFont="1" applyFill="1" applyBorder="1"/>
    <xf numFmtId="164" fontId="7" fillId="12" borderId="49" xfId="1" applyFont="1" applyFill="1" applyBorder="1"/>
    <xf numFmtId="165" fontId="3" fillId="0" borderId="55" xfId="7" applyFont="1" applyBorder="1" applyAlignment="1">
      <alignment horizontal="justify"/>
    </xf>
    <xf numFmtId="166" fontId="3" fillId="0" borderId="56" xfId="7" applyNumberFormat="1" applyFont="1" applyBorder="1"/>
    <xf numFmtId="165" fontId="4" fillId="12" borderId="19" xfId="7" applyFont="1" applyFill="1" applyBorder="1" applyAlignment="1">
      <alignment horizontal="justify"/>
    </xf>
    <xf numFmtId="9" fontId="4" fillId="12" borderId="49" xfId="2" applyFont="1" applyFill="1" applyBorder="1"/>
    <xf numFmtId="165" fontId="3" fillId="0" borderId="57" xfId="7" applyFont="1" applyBorder="1" applyAlignment="1">
      <alignment horizontal="justify"/>
    </xf>
    <xf numFmtId="165" fontId="3" fillId="0" borderId="17" xfId="7" applyFont="1" applyBorder="1"/>
    <xf numFmtId="165" fontId="4" fillId="13" borderId="19" xfId="7" applyFont="1" applyFill="1" applyBorder="1" applyAlignment="1">
      <alignment horizontal="justify"/>
    </xf>
    <xf numFmtId="10" fontId="4" fillId="13" borderId="49" xfId="8" applyNumberFormat="1" applyFont="1" applyFill="1" applyBorder="1"/>
    <xf numFmtId="0" fontId="0" fillId="0" borderId="53" xfId="0" applyNumberFormat="1" applyFont="1" applyBorder="1"/>
    <xf numFmtId="0" fontId="0" fillId="0" borderId="92" xfId="0" applyNumberFormat="1" applyFont="1" applyBorder="1"/>
    <xf numFmtId="0" fontId="0" fillId="0" borderId="93" xfId="0" applyNumberFormat="1" applyFont="1" applyBorder="1"/>
    <xf numFmtId="164" fontId="0" fillId="0" borderId="92" xfId="1" applyFont="1" applyBorder="1"/>
    <xf numFmtId="164" fontId="3" fillId="6" borderId="6" xfId="1" applyFont="1" applyFill="1" applyBorder="1" applyAlignment="1" applyProtection="1"/>
    <xf numFmtId="164" fontId="9" fillId="0" borderId="6" xfId="1" applyFont="1" applyFill="1" applyBorder="1" applyAlignment="1" applyProtection="1">
      <alignment horizontal="right"/>
      <protection locked="0"/>
    </xf>
    <xf numFmtId="164" fontId="9" fillId="0" borderId="7" xfId="1" applyFont="1" applyFill="1" applyBorder="1" applyAlignment="1" applyProtection="1">
      <alignment horizontal="right"/>
      <protection locked="0"/>
    </xf>
    <xf numFmtId="165" fontId="15" fillId="0" borderId="2" xfId="4" applyFont="1" applyFill="1" applyBorder="1" applyAlignment="1" applyProtection="1">
      <alignment horizontal="left" wrapText="1"/>
    </xf>
    <xf numFmtId="0" fontId="0" fillId="0" borderId="2" xfId="0" applyFont="1" applyBorder="1"/>
    <xf numFmtId="1" fontId="3" fillId="0" borderId="2" xfId="9" applyNumberFormat="1" applyFont="1" applyFill="1" applyBorder="1" applyAlignment="1" applyProtection="1">
      <alignment vertical="top" wrapText="1"/>
      <protection locked="0"/>
    </xf>
    <xf numFmtId="0" fontId="27" fillId="0" borderId="0" xfId="9" applyFont="1"/>
    <xf numFmtId="0" fontId="28" fillId="0" borderId="2" xfId="9" applyFont="1" applyBorder="1"/>
    <xf numFmtId="0" fontId="27" fillId="0" borderId="2" xfId="9" applyFont="1" applyBorder="1"/>
    <xf numFmtId="0" fontId="28" fillId="12" borderId="2" xfId="9" applyFont="1" applyFill="1" applyBorder="1"/>
    <xf numFmtId="0" fontId="27" fillId="12" borderId="2" xfId="9" applyFont="1" applyFill="1" applyBorder="1"/>
    <xf numFmtId="0" fontId="29" fillId="4" borderId="0" xfId="9" applyFont="1" applyFill="1" applyBorder="1" applyAlignment="1">
      <alignment horizontal="center"/>
    </xf>
    <xf numFmtId="0" fontId="2" fillId="0" borderId="0" xfId="9"/>
    <xf numFmtId="0" fontId="30" fillId="0" borderId="2" xfId="9" applyFont="1" applyBorder="1"/>
    <xf numFmtId="0" fontId="29" fillId="0" borderId="2" xfId="9" applyFont="1" applyBorder="1"/>
    <xf numFmtId="0" fontId="30" fillId="0" borderId="0" xfId="9" applyFont="1" applyBorder="1"/>
    <xf numFmtId="0" fontId="30" fillId="0" borderId="2" xfId="9" applyFont="1" applyBorder="1" applyAlignment="1">
      <alignment horizontal="center"/>
    </xf>
    <xf numFmtId="0" fontId="24" fillId="19" borderId="98" xfId="13" applyFont="1" applyFill="1" applyBorder="1" applyAlignment="1">
      <alignment horizontal="left"/>
    </xf>
    <xf numFmtId="0" fontId="30" fillId="19" borderId="2" xfId="9" applyFont="1" applyFill="1" applyBorder="1"/>
    <xf numFmtId="0" fontId="29" fillId="0" borderId="2" xfId="9" applyFont="1" applyBorder="1" applyAlignment="1">
      <alignment horizontal="center"/>
    </xf>
    <xf numFmtId="0" fontId="29" fillId="0" borderId="0" xfId="9" applyFont="1" applyBorder="1" applyAlignment="1">
      <alignment horizontal="center"/>
    </xf>
    <xf numFmtId="10" fontId="30" fillId="0" borderId="2" xfId="9" applyNumberFormat="1" applyFont="1" applyBorder="1"/>
    <xf numFmtId="1" fontId="30" fillId="0" borderId="3" xfId="9" applyNumberFormat="1" applyFont="1" applyBorder="1" applyAlignment="1">
      <alignment horizontal="center"/>
    </xf>
    <xf numFmtId="0" fontId="24" fillId="13" borderId="59" xfId="13" applyFont="1" applyFill="1" applyBorder="1"/>
    <xf numFmtId="2" fontId="30" fillId="19" borderId="61" xfId="13" applyNumberFormat="1" applyFont="1" applyFill="1" applyBorder="1" applyAlignment="1">
      <alignment horizontal="left" wrapText="1"/>
    </xf>
    <xf numFmtId="1" fontId="29" fillId="0" borderId="3" xfId="9" applyNumberFormat="1" applyFont="1" applyBorder="1" applyAlignment="1">
      <alignment horizontal="center"/>
    </xf>
    <xf numFmtId="0" fontId="24" fillId="13" borderId="58" xfId="13" applyFont="1" applyFill="1" applyBorder="1"/>
    <xf numFmtId="0" fontId="2" fillId="19" borderId="98" xfId="13" applyFont="1" applyFill="1" applyBorder="1" applyAlignment="1">
      <alignment horizontal="left" wrapText="1"/>
    </xf>
    <xf numFmtId="166" fontId="30" fillId="0" borderId="2" xfId="11" applyNumberFormat="1" applyFont="1" applyFill="1" applyBorder="1" applyAlignment="1" applyProtection="1"/>
    <xf numFmtId="9" fontId="29" fillId="0" borderId="2" xfId="9" applyNumberFormat="1" applyFont="1" applyBorder="1" applyAlignment="1">
      <alignment horizontal="center"/>
    </xf>
    <xf numFmtId="0" fontId="29" fillId="0" borderId="3" xfId="9" applyFont="1" applyBorder="1" applyAlignment="1">
      <alignment horizontal="center"/>
    </xf>
    <xf numFmtId="14" fontId="1" fillId="19" borderId="98" xfId="13" applyNumberFormat="1" applyFont="1" applyFill="1" applyBorder="1" applyAlignment="1">
      <alignment horizontal="left"/>
    </xf>
    <xf numFmtId="0" fontId="29" fillId="0" borderId="2" xfId="9" applyFont="1" applyBorder="1" applyAlignment="1"/>
    <xf numFmtId="10" fontId="29" fillId="0" borderId="3" xfId="11" applyNumberFormat="1" applyFont="1" applyFill="1" applyBorder="1" applyAlignment="1" applyProtection="1">
      <alignment horizontal="center"/>
    </xf>
    <xf numFmtId="0" fontId="2" fillId="19" borderId="98" xfId="13" applyFont="1" applyFill="1" applyBorder="1" applyAlignment="1">
      <alignment horizontal="left"/>
    </xf>
    <xf numFmtId="0" fontId="24" fillId="13" borderId="58" xfId="13" applyFont="1" applyFill="1" applyBorder="1" applyAlignment="1">
      <alignment wrapText="1"/>
    </xf>
    <xf numFmtId="0" fontId="1" fillId="19" borderId="98" xfId="13" applyFont="1" applyFill="1" applyBorder="1" applyAlignment="1">
      <alignment horizontal="left"/>
    </xf>
    <xf numFmtId="10" fontId="29" fillId="0" borderId="2" xfId="9" applyNumberFormat="1" applyFont="1" applyBorder="1" applyAlignment="1">
      <alignment horizontal="center"/>
    </xf>
    <xf numFmtId="9" fontId="2" fillId="19" borderId="98" xfId="13" applyNumberFormat="1" applyFont="1" applyFill="1" applyBorder="1" applyAlignment="1">
      <alignment horizontal="left"/>
    </xf>
    <xf numFmtId="0" fontId="30" fillId="0" borderId="3" xfId="9" applyFont="1" applyBorder="1" applyAlignment="1">
      <alignment horizontal="center"/>
    </xf>
    <xf numFmtId="1" fontId="30" fillId="0" borderId="2" xfId="9" applyNumberFormat="1" applyFont="1" applyBorder="1"/>
    <xf numFmtId="175" fontId="30" fillId="0" borderId="2" xfId="11" applyNumberFormat="1" applyFont="1" applyFill="1" applyBorder="1" applyAlignment="1" applyProtection="1"/>
    <xf numFmtId="166" fontId="30" fillId="0" borderId="3" xfId="11" applyNumberFormat="1" applyFont="1" applyFill="1" applyBorder="1" applyAlignment="1" applyProtection="1">
      <alignment vertical="center" wrapText="1"/>
    </xf>
    <xf numFmtId="0" fontId="2" fillId="19" borderId="98" xfId="13" applyNumberFormat="1" applyFont="1" applyFill="1" applyBorder="1" applyAlignment="1">
      <alignment horizontal="left"/>
    </xf>
    <xf numFmtId="0" fontId="24" fillId="13" borderId="99" xfId="13" applyFont="1" applyFill="1" applyBorder="1"/>
    <xf numFmtId="0" fontId="2" fillId="19" borderId="100" xfId="13" applyFont="1" applyFill="1" applyBorder="1" applyAlignment="1">
      <alignment horizontal="left"/>
    </xf>
    <xf numFmtId="166" fontId="30" fillId="0" borderId="0" xfId="11" applyNumberFormat="1" applyFont="1" applyFill="1" applyBorder="1" applyAlignment="1" applyProtection="1">
      <alignment vertical="center" wrapText="1"/>
    </xf>
    <xf numFmtId="9" fontId="30" fillId="0" borderId="0" xfId="8" applyFont="1" applyBorder="1"/>
    <xf numFmtId="166" fontId="30" fillId="0" borderId="0" xfId="9" applyNumberFormat="1" applyFont="1" applyBorder="1"/>
    <xf numFmtId="10" fontId="30" fillId="0" borderId="0" xfId="11" applyNumberFormat="1" applyFont="1" applyFill="1" applyBorder="1" applyAlignment="1" applyProtection="1">
      <alignment vertical="center" wrapText="1"/>
    </xf>
    <xf numFmtId="166" fontId="30" fillId="0" borderId="0" xfId="9" applyNumberFormat="1" applyFont="1" applyBorder="1" applyAlignment="1">
      <alignment horizontal="center"/>
    </xf>
    <xf numFmtId="164" fontId="30" fillId="0" borderId="0" xfId="9" applyNumberFormat="1" applyFont="1" applyBorder="1"/>
    <xf numFmtId="166" fontId="30" fillId="0" borderId="2" xfId="11" applyNumberFormat="1" applyFont="1" applyFill="1" applyBorder="1" applyAlignment="1" applyProtection="1">
      <alignment vertical="center" wrapText="1"/>
    </xf>
    <xf numFmtId="0" fontId="29" fillId="0" borderId="0" xfId="9" applyFont="1" applyBorder="1"/>
    <xf numFmtId="0" fontId="31" fillId="0" borderId="88" xfId="0" applyFont="1" applyBorder="1" applyAlignment="1">
      <alignment horizontal="center" vertical="center" wrapText="1"/>
    </xf>
    <xf numFmtId="0" fontId="31" fillId="0" borderId="34" xfId="0" applyFont="1" applyBorder="1" applyAlignment="1">
      <alignment horizontal="center" vertical="center" wrapText="1"/>
    </xf>
    <xf numFmtId="0" fontId="32" fillId="0" borderId="19" xfId="0" applyFont="1" applyBorder="1" applyAlignment="1">
      <alignment horizontal="center" vertical="center"/>
    </xf>
    <xf numFmtId="0" fontId="32" fillId="0" borderId="49" xfId="0" applyFont="1" applyBorder="1" applyAlignment="1">
      <alignment horizontal="center" vertical="center"/>
    </xf>
    <xf numFmtId="16" fontId="32" fillId="0" borderId="49" xfId="0" applyNumberFormat="1" applyFont="1" applyBorder="1" applyAlignment="1">
      <alignment horizontal="center" vertical="center"/>
    </xf>
    <xf numFmtId="0" fontId="32" fillId="0" borderId="49" xfId="0" applyFont="1" applyBorder="1" applyAlignment="1">
      <alignment horizontal="center" vertical="center" wrapText="1"/>
    </xf>
    <xf numFmtId="0" fontId="32" fillId="0" borderId="50" xfId="0" applyFont="1" applyBorder="1" applyAlignment="1">
      <alignment horizontal="center" vertical="center"/>
    </xf>
    <xf numFmtId="0" fontId="32" fillId="0" borderId="22" xfId="0" applyFont="1" applyBorder="1" applyAlignment="1">
      <alignment horizontal="center" vertical="center"/>
    </xf>
    <xf numFmtId="16" fontId="32" fillId="0" borderId="22" xfId="0" applyNumberFormat="1" applyFont="1" applyBorder="1" applyAlignment="1">
      <alignment horizontal="center" vertical="center"/>
    </xf>
    <xf numFmtId="0" fontId="32" fillId="0" borderId="22" xfId="0" applyFont="1" applyBorder="1" applyAlignment="1">
      <alignment horizontal="center" vertical="center" wrapText="1"/>
    </xf>
    <xf numFmtId="0" fontId="17" fillId="12" borderId="2" xfId="13" applyFont="1" applyFill="1" applyBorder="1" applyAlignment="1"/>
    <xf numFmtId="0" fontId="15" fillId="12" borderId="2" xfId="13" applyFont="1" applyFill="1" applyBorder="1" applyAlignment="1"/>
    <xf numFmtId="0" fontId="17" fillId="12" borderId="2" xfId="13" applyFont="1" applyFill="1" applyBorder="1" applyAlignment="1">
      <alignment horizontal="center"/>
    </xf>
    <xf numFmtId="0" fontId="33" fillId="0" borderId="2" xfId="13" applyFont="1" applyBorder="1" applyAlignment="1"/>
    <xf numFmtId="0" fontId="33" fillId="0" borderId="2" xfId="13" applyFont="1" applyBorder="1" applyAlignment="1">
      <alignment horizontal="center"/>
    </xf>
    <xf numFmtId="0" fontId="15" fillId="0" borderId="2" xfId="13" applyFont="1" applyBorder="1" applyAlignment="1"/>
    <xf numFmtId="176" fontId="15" fillId="0" borderId="2" xfId="13" applyNumberFormat="1" applyFont="1" applyBorder="1" applyAlignment="1">
      <alignment horizontal="right"/>
    </xf>
    <xf numFmtId="176" fontId="17" fillId="12" borderId="2" xfId="13" applyNumberFormat="1" applyFont="1" applyFill="1" applyBorder="1" applyAlignment="1">
      <alignment horizontal="right"/>
    </xf>
    <xf numFmtId="0" fontId="17" fillId="0" borderId="2" xfId="13" applyFont="1" applyBorder="1" applyAlignment="1"/>
    <xf numFmtId="176" fontId="17" fillId="0" borderId="2" xfId="13" applyNumberFormat="1" applyFont="1" applyBorder="1" applyAlignment="1">
      <alignment horizontal="right"/>
    </xf>
    <xf numFmtId="0" fontId="0" fillId="20" borderId="2" xfId="0" applyFill="1" applyBorder="1"/>
    <xf numFmtId="0" fontId="34" fillId="0" borderId="19" xfId="0" applyFont="1" applyBorder="1" applyAlignment="1">
      <alignment vertical="center"/>
    </xf>
    <xf numFmtId="0" fontId="34" fillId="0" borderId="49" xfId="0" applyFont="1" applyBorder="1" applyAlignment="1">
      <alignment vertical="center" wrapText="1"/>
    </xf>
    <xf numFmtId="0" fontId="35" fillId="0" borderId="50" xfId="0" applyFont="1" applyBorder="1" applyAlignment="1">
      <alignment horizontal="right" vertical="center"/>
    </xf>
    <xf numFmtId="0" fontId="35" fillId="0" borderId="22" xfId="0" applyFont="1" applyBorder="1" applyAlignment="1">
      <alignment horizontal="justify" vertical="center" wrapText="1"/>
    </xf>
    <xf numFmtId="0" fontId="35" fillId="0" borderId="22" xfId="0" applyFont="1" applyBorder="1" applyAlignment="1">
      <alignment vertical="center" wrapText="1"/>
    </xf>
    <xf numFmtId="0" fontId="35" fillId="0" borderId="22" xfId="0" applyFont="1" applyBorder="1" applyAlignment="1">
      <alignment horizontal="justify" vertical="center"/>
    </xf>
    <xf numFmtId="0" fontId="35" fillId="0" borderId="50" xfId="0" applyFont="1" applyBorder="1" applyAlignment="1">
      <alignment horizontal="right" vertical="center" wrapText="1"/>
    </xf>
    <xf numFmtId="0" fontId="22" fillId="0" borderId="49" xfId="0" applyFont="1" applyBorder="1" applyAlignment="1">
      <alignment vertical="center" wrapText="1"/>
    </xf>
    <xf numFmtId="0" fontId="22" fillId="0" borderId="49" xfId="0" applyFont="1" applyBorder="1" applyAlignment="1">
      <alignment horizontal="justify" vertical="center" wrapText="1"/>
    </xf>
    <xf numFmtId="0" fontId="22" fillId="0" borderId="88" xfId="0" applyFont="1" applyBorder="1" applyAlignment="1">
      <alignment vertical="center" wrapText="1"/>
    </xf>
    <xf numFmtId="0" fontId="22" fillId="0" borderId="34" xfId="0" applyFont="1" applyBorder="1" applyAlignment="1">
      <alignment horizontal="center" vertical="center" wrapText="1"/>
    </xf>
    <xf numFmtId="0" fontId="22" fillId="0" borderId="19" xfId="0" applyFont="1" applyBorder="1" applyAlignment="1">
      <alignment horizontal="justify" vertical="center" wrapText="1"/>
    </xf>
    <xf numFmtId="0" fontId="22" fillId="0" borderId="17" xfId="0" applyFont="1" applyBorder="1" applyAlignment="1">
      <alignment horizontal="justify" vertical="center" wrapText="1"/>
    </xf>
    <xf numFmtId="0" fontId="22" fillId="0" borderId="22" xfId="0" applyFont="1" applyBorder="1" applyAlignment="1">
      <alignment horizontal="justify" vertical="center" wrapText="1"/>
    </xf>
    <xf numFmtId="0" fontId="36" fillId="21" borderId="2" xfId="0" applyFont="1" applyFill="1" applyBorder="1" applyAlignment="1">
      <alignment vertical="center" wrapText="1"/>
    </xf>
    <xf numFmtId="0" fontId="22" fillId="0" borderId="2" xfId="0" applyFont="1" applyBorder="1" applyAlignment="1">
      <alignment vertical="center" wrapText="1"/>
    </xf>
    <xf numFmtId="0" fontId="22" fillId="3" borderId="2" xfId="0" applyFont="1" applyFill="1" applyBorder="1" applyAlignment="1">
      <alignment vertical="center" wrapText="1"/>
    </xf>
    <xf numFmtId="0" fontId="14" fillId="12" borderId="2" xfId="0" applyFont="1" applyFill="1" applyBorder="1" applyAlignment="1">
      <alignment wrapText="1"/>
    </xf>
    <xf numFmtId="0" fontId="38" fillId="0" borderId="34" xfId="0" applyFont="1" applyBorder="1" applyAlignment="1">
      <alignment horizontal="center" vertical="center" wrapText="1"/>
    </xf>
    <xf numFmtId="0" fontId="38" fillId="0" borderId="22"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57" xfId="0" applyFont="1" applyBorder="1" applyAlignment="1">
      <alignment vertical="center" wrapText="1"/>
    </xf>
    <xf numFmtId="0" fontId="37" fillId="0" borderId="17" xfId="0" applyFont="1" applyBorder="1" applyAlignment="1">
      <alignment horizontal="center" vertical="center" wrapText="1"/>
    </xf>
    <xf numFmtId="0" fontId="37" fillId="0" borderId="22"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50" xfId="0" applyFont="1" applyBorder="1" applyAlignment="1">
      <alignment vertical="center" wrapText="1"/>
    </xf>
    <xf numFmtId="0" fontId="0" fillId="0" borderId="17" xfId="0" applyBorder="1" applyAlignment="1">
      <alignment vertical="top" wrapText="1"/>
    </xf>
    <xf numFmtId="0" fontId="0" fillId="0" borderId="22" xfId="0" applyBorder="1" applyAlignment="1">
      <alignment vertical="top" wrapText="1"/>
    </xf>
    <xf numFmtId="0" fontId="0" fillId="22" borderId="2" xfId="0" applyFill="1" applyBorder="1"/>
    <xf numFmtId="0" fontId="0" fillId="22" borderId="2" xfId="0" applyFill="1" applyBorder="1" applyAlignment="1">
      <alignment wrapText="1"/>
    </xf>
    <xf numFmtId="0" fontId="0" fillId="22" borderId="0" xfId="0" applyFill="1"/>
    <xf numFmtId="0" fontId="0" fillId="22" borderId="0" xfId="0" applyFill="1" applyAlignment="1">
      <alignment wrapText="1"/>
    </xf>
    <xf numFmtId="0" fontId="0" fillId="22" borderId="101" xfId="0" applyFill="1" applyBorder="1" applyAlignment="1">
      <alignment wrapText="1"/>
    </xf>
    <xf numFmtId="0" fontId="0" fillId="0" borderId="0" xfId="0" applyAlignment="1">
      <alignment vertical="center"/>
    </xf>
    <xf numFmtId="0" fontId="39" fillId="0" borderId="0" xfId="0" applyFont="1" applyAlignment="1">
      <alignment horizontal="left" vertical="center" indent="4"/>
    </xf>
    <xf numFmtId="0" fontId="41" fillId="0" borderId="0" xfId="0" applyFont="1" applyAlignment="1">
      <alignment horizontal="left" vertical="center" indent="9"/>
    </xf>
    <xf numFmtId="0" fontId="0" fillId="0" borderId="0" xfId="0" applyAlignment="1">
      <alignment horizontal="left" vertical="center" indent="4"/>
    </xf>
    <xf numFmtId="0" fontId="14" fillId="0" borderId="0" xfId="0" applyFont="1" applyAlignment="1">
      <alignment horizontal="left" vertical="center" indent="4"/>
    </xf>
    <xf numFmtId="0" fontId="37" fillId="0" borderId="19" xfId="0" applyFont="1" applyBorder="1" applyAlignment="1">
      <alignment vertical="center" wrapText="1"/>
    </xf>
    <xf numFmtId="0" fontId="37" fillId="0" borderId="49" xfId="0" applyFont="1" applyBorder="1" applyAlignment="1">
      <alignment vertical="center" wrapText="1"/>
    </xf>
    <xf numFmtId="0" fontId="37" fillId="0" borderId="50" xfId="0" applyFont="1" applyBorder="1" applyAlignment="1">
      <alignment vertical="center" wrapText="1"/>
    </xf>
    <xf numFmtId="0" fontId="37" fillId="0" borderId="22" xfId="0" applyFont="1" applyBorder="1" applyAlignment="1">
      <alignment vertical="center" wrapText="1"/>
    </xf>
    <xf numFmtId="0" fontId="0" fillId="0" borderId="2" xfId="0" applyBorder="1" applyAlignment="1">
      <alignment horizontal="left"/>
    </xf>
    <xf numFmtId="0" fontId="17" fillId="13" borderId="51" xfId="0" applyFont="1" applyFill="1" applyBorder="1" applyAlignment="1"/>
    <xf numFmtId="0" fontId="17" fillId="13" borderId="52" xfId="0" applyFont="1" applyFill="1" applyBorder="1" applyAlignment="1"/>
    <xf numFmtId="2" fontId="14" fillId="13" borderId="52" xfId="6" applyNumberFormat="1" applyFont="1" applyFill="1" applyBorder="1" applyAlignment="1">
      <alignment vertical="center"/>
    </xf>
    <xf numFmtId="0" fontId="0" fillId="0" borderId="0" xfId="0" applyAlignment="1"/>
    <xf numFmtId="0" fontId="14" fillId="0" borderId="2" xfId="0" applyFont="1" applyBorder="1" applyAlignment="1">
      <alignment horizontal="center"/>
    </xf>
    <xf numFmtId="167" fontId="0" fillId="0" borderId="2" xfId="1" applyNumberFormat="1" applyFont="1" applyBorder="1" applyAlignment="1"/>
    <xf numFmtId="177" fontId="0" fillId="0" borderId="2" xfId="0" applyNumberFormat="1" applyBorder="1" applyAlignment="1"/>
    <xf numFmtId="177" fontId="14" fillId="0" borderId="2" xfId="0" applyNumberFormat="1" applyFont="1" applyBorder="1" applyAlignment="1"/>
    <xf numFmtId="0" fontId="0" fillId="13" borderId="19" xfId="0" applyFont="1" applyFill="1" applyBorder="1" applyAlignment="1">
      <alignment horizontal="center"/>
    </xf>
    <xf numFmtId="0" fontId="0" fillId="0" borderId="0" xfId="0" applyFont="1" applyBorder="1" applyAlignment="1">
      <alignment horizontal="center"/>
    </xf>
    <xf numFmtId="0" fontId="0" fillId="0" borderId="50" xfId="0" applyFont="1" applyBorder="1" applyAlignment="1">
      <alignment horizontal="center"/>
    </xf>
    <xf numFmtId="0" fontId="0" fillId="0" borderId="22" xfId="0" applyFont="1" applyBorder="1" applyAlignment="1">
      <alignment horizontal="center"/>
    </xf>
    <xf numFmtId="10" fontId="0" fillId="0" borderId="22" xfId="2" applyNumberFormat="1" applyFont="1" applyBorder="1" applyAlignment="1">
      <alignment horizontal="center"/>
    </xf>
    <xf numFmtId="0" fontId="0" fillId="0" borderId="0" xfId="0" applyFont="1" applyAlignment="1">
      <alignment horizontal="center"/>
    </xf>
    <xf numFmtId="164" fontId="15" fillId="0" borderId="19" xfId="1" applyFont="1" applyBorder="1" applyAlignment="1" applyProtection="1">
      <alignment horizontal="center"/>
    </xf>
    <xf numFmtId="43" fontId="0" fillId="0" borderId="22" xfId="0" applyNumberFormat="1" applyFont="1" applyBorder="1" applyAlignment="1">
      <alignment horizontal="center"/>
    </xf>
    <xf numFmtId="0" fontId="0" fillId="0" borderId="22" xfId="0" applyNumberFormat="1" applyFont="1" applyBorder="1" applyAlignment="1">
      <alignment horizontal="center"/>
    </xf>
    <xf numFmtId="0" fontId="0" fillId="0" borderId="0" xfId="0" applyFont="1" applyFill="1" applyAlignment="1">
      <alignment horizontal="center"/>
    </xf>
    <xf numFmtId="166" fontId="17" fillId="13" borderId="19" xfId="4" applyNumberFormat="1" applyFont="1" applyFill="1" applyBorder="1" applyAlignment="1">
      <alignment horizontal="center" vertical="center" wrapText="1"/>
    </xf>
    <xf numFmtId="166" fontId="0" fillId="0" borderId="53" xfId="4" applyNumberFormat="1" applyFont="1" applyBorder="1" applyAlignment="1">
      <alignment horizontal="center" vertical="center" wrapText="1"/>
    </xf>
    <xf numFmtId="166" fontId="15" fillId="0" borderId="53" xfId="4" applyNumberFormat="1" applyFont="1" applyFill="1" applyBorder="1" applyAlignment="1">
      <alignment horizontal="center" vertical="center" wrapText="1"/>
    </xf>
    <xf numFmtId="166" fontId="2" fillId="0" borderId="54" xfId="4" applyNumberFormat="1" applyBorder="1" applyAlignment="1">
      <alignment horizontal="center" vertical="center" wrapText="1"/>
    </xf>
    <xf numFmtId="166" fontId="15" fillId="0" borderId="55" xfId="4" applyNumberFormat="1" applyFont="1" applyBorder="1" applyAlignment="1">
      <alignment horizontal="center" vertical="center" wrapText="1"/>
    </xf>
    <xf numFmtId="9" fontId="15" fillId="0" borderId="55" xfId="5" applyFont="1" applyBorder="1" applyAlignment="1">
      <alignment horizontal="center" vertical="center" wrapText="1"/>
    </xf>
    <xf numFmtId="9" fontId="15" fillId="0" borderId="56" xfId="5" applyFont="1" applyBorder="1" applyAlignment="1">
      <alignment horizontal="center" vertical="center" wrapText="1"/>
    </xf>
    <xf numFmtId="9" fontId="15" fillId="0" borderId="56" xfId="5" applyFont="1" applyFill="1" applyBorder="1" applyAlignment="1">
      <alignment horizontal="center" vertical="center" wrapText="1"/>
    </xf>
    <xf numFmtId="167" fontId="17" fillId="13" borderId="19" xfId="4" applyNumberFormat="1" applyFont="1" applyFill="1" applyBorder="1" applyAlignment="1">
      <alignment horizontal="center" vertical="center" wrapText="1"/>
    </xf>
    <xf numFmtId="166" fontId="15" fillId="0" borderId="57" xfId="4" applyNumberFormat="1" applyFont="1" applyBorder="1" applyAlignment="1">
      <alignment horizontal="center" vertical="center" wrapText="1"/>
    </xf>
    <xf numFmtId="167" fontId="15" fillId="0" borderId="57" xfId="4" applyNumberFormat="1" applyFont="1" applyBorder="1" applyAlignment="1">
      <alignment horizontal="center" vertical="center" wrapText="1"/>
    </xf>
    <xf numFmtId="167" fontId="15" fillId="0" borderId="17" xfId="4" applyNumberFormat="1" applyFont="1" applyFill="1" applyBorder="1" applyAlignment="1">
      <alignment horizontal="center" vertical="center" wrapText="1"/>
    </xf>
    <xf numFmtId="166" fontId="15" fillId="0" borderId="53" xfId="4" applyNumberFormat="1" applyFont="1" applyBorder="1" applyAlignment="1">
      <alignment horizontal="center" vertical="center" wrapText="1"/>
    </xf>
    <xf numFmtId="166" fontId="15" fillId="0" borderId="54" xfId="4" applyNumberFormat="1" applyFont="1" applyFill="1" applyBorder="1" applyAlignment="1">
      <alignment horizontal="center" vertical="center" wrapText="1"/>
    </xf>
    <xf numFmtId="166" fontId="15" fillId="0" borderId="56" xfId="4" applyNumberFormat="1" applyFont="1" applyFill="1" applyBorder="1" applyAlignment="1">
      <alignment horizontal="center" vertical="center" wrapText="1"/>
    </xf>
    <xf numFmtId="165" fontId="15" fillId="0" borderId="57" xfId="4" applyNumberFormat="1" applyFont="1" applyFill="1" applyBorder="1" applyAlignment="1">
      <alignment horizontal="center" vertical="center" wrapText="1"/>
    </xf>
    <xf numFmtId="165" fontId="15" fillId="0" borderId="17" xfId="4" applyNumberFormat="1" applyFont="1" applyFill="1" applyBorder="1" applyAlignment="1">
      <alignment horizontal="center" vertical="center" wrapText="1"/>
    </xf>
    <xf numFmtId="164" fontId="0" fillId="0" borderId="22" xfId="1" applyFont="1" applyBorder="1"/>
    <xf numFmtId="164" fontId="26" fillId="0" borderId="22" xfId="1" applyFont="1" applyBorder="1" applyAlignment="1">
      <alignment horizontal="center" vertical="center" wrapText="1"/>
    </xf>
    <xf numFmtId="164" fontId="0" fillId="0" borderId="51" xfId="1" applyFont="1" applyBorder="1" applyAlignment="1">
      <alignment horizontal="center"/>
    </xf>
    <xf numFmtId="164" fontId="0" fillId="0" borderId="19" xfId="1" applyFont="1" applyBorder="1" applyAlignment="1">
      <alignment horizontal="center"/>
    </xf>
    <xf numFmtId="164" fontId="26" fillId="12" borderId="22" xfId="1" applyFont="1" applyFill="1" applyBorder="1" applyAlignment="1">
      <alignment horizontal="center" vertical="center" wrapText="1"/>
    </xf>
    <xf numFmtId="164" fontId="3" fillId="0" borderId="2" xfId="1" applyFont="1" applyBorder="1" applyAlignment="1">
      <alignment horizontal="right"/>
    </xf>
    <xf numFmtId="164" fontId="4" fillId="13" borderId="2" xfId="1" applyFont="1" applyFill="1" applyBorder="1" applyAlignment="1">
      <alignment horizontal="right"/>
    </xf>
    <xf numFmtId="164" fontId="4" fillId="0" borderId="2" xfId="1" applyFont="1" applyFill="1" applyBorder="1"/>
    <xf numFmtId="0" fontId="14" fillId="0" borderId="2" xfId="0" applyFont="1" applyBorder="1"/>
    <xf numFmtId="164" fontId="14" fillId="0" borderId="2" xfId="1" applyFont="1" applyBorder="1"/>
    <xf numFmtId="164" fontId="0" fillId="0" borderId="2" xfId="1" applyFont="1" applyBorder="1"/>
    <xf numFmtId="164" fontId="0" fillId="0" borderId="0" xfId="1" applyFont="1"/>
    <xf numFmtId="0" fontId="14" fillId="0" borderId="2" xfId="0" applyFont="1" applyFill="1" applyBorder="1"/>
    <xf numFmtId="0" fontId="9" fillId="0" borderId="6" xfId="0" applyFont="1" applyFill="1" applyBorder="1" applyAlignment="1" applyProtection="1">
      <alignment horizontal="right"/>
      <protection locked="0"/>
    </xf>
    <xf numFmtId="0" fontId="15" fillId="0" borderId="2" xfId="9" applyFont="1" applyFill="1" applyBorder="1" applyAlignment="1">
      <alignment horizontal="center" vertical="top" wrapText="1"/>
    </xf>
    <xf numFmtId="0" fontId="15" fillId="0" borderId="2" xfId="9" applyFont="1" applyFill="1" applyBorder="1" applyAlignment="1" applyProtection="1">
      <alignment horizontal="center" vertical="top" wrapText="1"/>
      <protection locked="0"/>
    </xf>
    <xf numFmtId="0" fontId="1" fillId="0" borderId="2" xfId="0" applyFont="1" applyBorder="1" applyAlignment="1">
      <alignment horizontal="center"/>
    </xf>
    <xf numFmtId="1" fontId="1" fillId="0" borderId="2" xfId="0" applyNumberFormat="1" applyFont="1" applyBorder="1" applyAlignment="1">
      <alignment horizontal="center"/>
    </xf>
    <xf numFmtId="0" fontId="15" fillId="0" borderId="2" xfId="1" applyNumberFormat="1" applyFont="1" applyFill="1" applyBorder="1" applyAlignment="1" applyProtection="1">
      <alignment horizontal="center" vertical="top" wrapText="1"/>
      <protection locked="0"/>
    </xf>
    <xf numFmtId="0" fontId="15" fillId="0" borderId="2" xfId="9" applyFont="1" applyFill="1" applyBorder="1" applyAlignment="1" applyProtection="1">
      <alignment horizontal="center" vertical="center" wrapText="1"/>
      <protection locked="0"/>
    </xf>
    <xf numFmtId="14" fontId="1" fillId="0" borderId="2" xfId="0" applyNumberFormat="1" applyFont="1" applyBorder="1" applyAlignment="1">
      <alignment horizontal="center"/>
    </xf>
    <xf numFmtId="166" fontId="15" fillId="0" borderId="2" xfId="3" applyNumberFormat="1" applyFont="1" applyFill="1" applyBorder="1" applyAlignment="1" applyProtection="1">
      <alignment horizontal="center" vertical="top" wrapText="1"/>
      <protection locked="0"/>
    </xf>
    <xf numFmtId="1" fontId="15" fillId="0" borderId="2" xfId="1" applyNumberFormat="1" applyFont="1" applyFill="1" applyBorder="1" applyAlignment="1" applyProtection="1">
      <alignment horizontal="center" vertical="top" wrapText="1"/>
      <protection locked="0"/>
    </xf>
    <xf numFmtId="164" fontId="15" fillId="0" borderId="2" xfId="1" applyFont="1" applyFill="1" applyBorder="1" applyAlignment="1" applyProtection="1">
      <alignment horizontal="center" vertical="top" wrapText="1"/>
      <protection locked="0"/>
    </xf>
    <xf numFmtId="0" fontId="0" fillId="12" borderId="2" xfId="0" applyFont="1" applyFill="1" applyBorder="1" applyAlignment="1">
      <alignment horizontal="center"/>
    </xf>
    <xf numFmtId="0" fontId="17" fillId="13" borderId="2" xfId="0" applyFont="1" applyFill="1" applyBorder="1" applyAlignment="1">
      <alignment horizontal="left"/>
    </xf>
    <xf numFmtId="0" fontId="0" fillId="0" borderId="2" xfId="0" applyFont="1" applyBorder="1" applyAlignment="1">
      <alignment horizontal="left"/>
    </xf>
    <xf numFmtId="0" fontId="17" fillId="13" borderId="51" xfId="0" applyFont="1" applyFill="1" applyBorder="1" applyAlignment="1">
      <alignment horizontal="center"/>
    </xf>
    <xf numFmtId="0" fontId="17" fillId="13" borderId="52" xfId="0" applyFont="1" applyFill="1" applyBorder="1" applyAlignment="1">
      <alignment horizontal="center"/>
    </xf>
    <xf numFmtId="0" fontId="17" fillId="13" borderId="49" xfId="0" applyFont="1" applyFill="1" applyBorder="1" applyAlignment="1">
      <alignment horizontal="center"/>
    </xf>
    <xf numFmtId="2" fontId="14" fillId="13" borderId="51" xfId="6" applyNumberFormat="1" applyFont="1" applyFill="1" applyBorder="1" applyAlignment="1">
      <alignment horizontal="center" vertical="center"/>
    </xf>
    <xf numFmtId="2" fontId="14" fillId="13" borderId="52" xfId="6" applyNumberFormat="1" applyFont="1" applyFill="1" applyBorder="1" applyAlignment="1">
      <alignment horizontal="center" vertical="center"/>
    </xf>
    <xf numFmtId="2" fontId="14" fillId="13" borderId="49" xfId="6" applyNumberFormat="1" applyFont="1" applyFill="1" applyBorder="1" applyAlignment="1">
      <alignment horizontal="center" vertical="center"/>
    </xf>
    <xf numFmtId="0" fontId="22" fillId="3" borderId="2" xfId="0" applyFont="1" applyFill="1" applyBorder="1" applyAlignment="1">
      <alignment horizontal="left" vertical="center"/>
    </xf>
    <xf numFmtId="0" fontId="22" fillId="12" borderId="2" xfId="0" applyFont="1" applyFill="1" applyBorder="1" applyAlignment="1">
      <alignment horizontal="center" vertical="center"/>
    </xf>
    <xf numFmtId="4" fontId="22" fillId="0" borderId="2" xfId="0" applyNumberFormat="1" applyFont="1" applyBorder="1" applyAlignment="1">
      <alignment horizontal="left" vertical="center"/>
    </xf>
    <xf numFmtId="0" fontId="36" fillId="21" borderId="2" xfId="0" applyFont="1" applyFill="1" applyBorder="1" applyAlignment="1">
      <alignment horizontal="center" vertical="center"/>
    </xf>
    <xf numFmtId="0" fontId="22" fillId="0" borderId="2" xfId="0" applyFont="1" applyBorder="1" applyAlignment="1">
      <alignment horizontal="left" vertical="center"/>
    </xf>
    <xf numFmtId="10" fontId="22" fillId="0" borderId="2" xfId="0" applyNumberFormat="1" applyFont="1" applyBorder="1" applyAlignment="1">
      <alignment horizontal="left" vertical="center"/>
    </xf>
    <xf numFmtId="0" fontId="8" fillId="0" borderId="29" xfId="0" applyFont="1" applyBorder="1" applyAlignment="1" applyProtection="1">
      <alignment horizontal="left"/>
    </xf>
    <xf numFmtId="0" fontId="9" fillId="9" borderId="30" xfId="0" applyFont="1" applyFill="1" applyBorder="1" applyAlignment="1" applyProtection="1">
      <alignment horizontal="center"/>
    </xf>
    <xf numFmtId="0" fontId="9" fillId="9" borderId="31" xfId="0" applyFont="1" applyFill="1" applyBorder="1" applyAlignment="1" applyProtection="1">
      <alignment horizontal="center"/>
    </xf>
    <xf numFmtId="0" fontId="9" fillId="9" borderId="32" xfId="0" applyFont="1" applyFill="1" applyBorder="1" applyAlignment="1" applyProtection="1">
      <alignment horizontal="center"/>
    </xf>
    <xf numFmtId="164" fontId="9" fillId="0" borderId="35" xfId="1" applyFont="1" applyFill="1" applyBorder="1" applyAlignment="1" applyProtection="1">
      <alignment horizontal="left"/>
    </xf>
    <xf numFmtId="164" fontId="9" fillId="0" borderId="36" xfId="1" applyFont="1" applyFill="1" applyBorder="1" applyAlignment="1" applyProtection="1">
      <alignment horizontal="left"/>
    </xf>
    <xf numFmtId="164" fontId="9" fillId="0" borderId="6" xfId="1" applyFont="1" applyFill="1" applyBorder="1" applyAlignment="1" applyProtection="1">
      <alignment horizontal="left"/>
    </xf>
    <xf numFmtId="164" fontId="9" fillId="0" borderId="37" xfId="1" applyFont="1" applyFill="1" applyBorder="1" applyAlignment="1" applyProtection="1">
      <alignment horizontal="left"/>
    </xf>
    <xf numFmtId="0" fontId="10" fillId="4" borderId="8" xfId="0" applyFont="1" applyFill="1" applyBorder="1" applyAlignment="1" applyProtection="1">
      <alignment horizontal="left"/>
    </xf>
    <xf numFmtId="0" fontId="10" fillId="4" borderId="9" xfId="0" applyFont="1" applyFill="1" applyBorder="1" applyAlignment="1" applyProtection="1">
      <alignment horizontal="left"/>
    </xf>
    <xf numFmtId="164" fontId="9" fillId="0" borderId="42" xfId="1" applyFont="1" applyFill="1" applyBorder="1" applyAlignment="1" applyProtection="1">
      <alignment horizontal="left"/>
    </xf>
    <xf numFmtId="164" fontId="9" fillId="0" borderId="43" xfId="1" applyFont="1" applyFill="1" applyBorder="1" applyAlignment="1" applyProtection="1">
      <alignment horizontal="left"/>
    </xf>
    <xf numFmtId="164" fontId="9" fillId="0" borderId="44" xfId="1" applyFont="1" applyFill="1" applyBorder="1" applyAlignment="1" applyProtection="1">
      <alignment horizontal="left"/>
    </xf>
    <xf numFmtId="164" fontId="9" fillId="0" borderId="45" xfId="1" applyFont="1" applyFill="1" applyBorder="1" applyAlignment="1" applyProtection="1">
      <alignment horizontal="left"/>
    </xf>
    <xf numFmtId="9" fontId="10" fillId="4" borderId="46" xfId="0" applyNumberFormat="1" applyFont="1" applyFill="1" applyBorder="1" applyAlignment="1" applyProtection="1">
      <alignment horizontal="left"/>
    </xf>
    <xf numFmtId="9" fontId="10" fillId="4" borderId="47" xfId="0" applyNumberFormat="1" applyFont="1" applyFill="1" applyBorder="1" applyAlignment="1" applyProtection="1">
      <alignment horizontal="left"/>
    </xf>
    <xf numFmtId="0" fontId="8" fillId="0" borderId="3" xfId="0" applyFont="1" applyBorder="1" applyAlignment="1" applyProtection="1">
      <protection locked="0"/>
    </xf>
    <xf numFmtId="0" fontId="7" fillId="0" borderId="4" xfId="0" applyFont="1" applyBorder="1" applyAlignment="1" applyProtection="1">
      <protection locked="0"/>
    </xf>
    <xf numFmtId="0" fontId="7" fillId="0" borderId="5" xfId="0" applyFont="1" applyBorder="1" applyAlignment="1" applyProtection="1">
      <protection locked="0"/>
    </xf>
    <xf numFmtId="0" fontId="8" fillId="2" borderId="6" xfId="0" applyFont="1" applyFill="1" applyBorder="1" applyAlignment="1" applyProtection="1">
      <alignment horizontal="center"/>
      <protection locked="0"/>
    </xf>
    <xf numFmtId="164" fontId="9" fillId="0" borderId="6" xfId="1" applyFont="1" applyFill="1" applyBorder="1" applyAlignment="1" applyProtection="1">
      <alignment horizontal="right"/>
      <protection locked="0"/>
    </xf>
    <xf numFmtId="164" fontId="9" fillId="0" borderId="7" xfId="1" applyFont="1" applyFill="1" applyBorder="1" applyAlignment="1" applyProtection="1">
      <alignment horizontal="right"/>
      <protection locked="0"/>
    </xf>
    <xf numFmtId="0" fontId="10" fillId="4" borderId="8" xfId="0" applyFont="1" applyFill="1" applyBorder="1" applyAlignment="1" applyProtection="1">
      <alignment horizontal="center"/>
      <protection locked="0"/>
    </xf>
    <xf numFmtId="0" fontId="10" fillId="4" borderId="9" xfId="0" applyFont="1" applyFill="1" applyBorder="1" applyAlignment="1" applyProtection="1">
      <alignment horizontal="center"/>
      <protection locked="0"/>
    </xf>
    <xf numFmtId="39" fontId="5" fillId="0" borderId="7" xfId="0" applyNumberFormat="1" applyFont="1" applyBorder="1" applyAlignment="1" applyProtection="1">
      <alignment horizontal="left"/>
      <protection locked="0"/>
    </xf>
    <xf numFmtId="0" fontId="8" fillId="2" borderId="2" xfId="0" applyFont="1" applyFill="1" applyBorder="1" applyAlignment="1" applyProtection="1">
      <alignment horizontal="center"/>
      <protection locked="0"/>
    </xf>
    <xf numFmtId="14" fontId="8" fillId="0" borderId="3" xfId="0" applyNumberFormat="1" applyFont="1" applyBorder="1" applyAlignment="1" applyProtection="1">
      <alignment horizontal="left"/>
      <protection locked="0"/>
    </xf>
    <xf numFmtId="0" fontId="7" fillId="0" borderId="4" xfId="0" applyFont="1" applyBorder="1" applyAlignment="1" applyProtection="1">
      <alignment horizontal="left"/>
      <protection locked="0"/>
    </xf>
    <xf numFmtId="0" fontId="7" fillId="0" borderId="5" xfId="0" applyFont="1" applyBorder="1" applyAlignment="1" applyProtection="1">
      <alignment horizontal="left"/>
      <protection locked="0"/>
    </xf>
    <xf numFmtId="0" fontId="14" fillId="0" borderId="0" xfId="0" applyFont="1" applyAlignment="1">
      <alignment horizontal="center"/>
    </xf>
    <xf numFmtId="0" fontId="4" fillId="13" borderId="51" xfId="0" applyFont="1" applyFill="1" applyBorder="1" applyAlignment="1" applyProtection="1">
      <alignment horizontal="center"/>
      <protection locked="0"/>
    </xf>
    <xf numFmtId="0" fontId="4" fillId="13" borderId="52" xfId="0" applyFont="1" applyFill="1" applyBorder="1" applyAlignment="1" applyProtection="1">
      <alignment horizontal="center"/>
      <protection locked="0"/>
    </xf>
    <xf numFmtId="0" fontId="24" fillId="12" borderId="51" xfId="0" applyFont="1" applyFill="1" applyBorder="1" applyAlignment="1">
      <alignment horizontal="center"/>
    </xf>
    <xf numFmtId="0" fontId="24" fillId="12" borderId="52" xfId="0" applyFont="1" applyFill="1" applyBorder="1" applyAlignment="1">
      <alignment horizontal="center"/>
    </xf>
    <xf numFmtId="0" fontId="24" fillId="12" borderId="49" xfId="0" applyFont="1" applyFill="1" applyBorder="1" applyAlignment="1">
      <alignment horizontal="center"/>
    </xf>
    <xf numFmtId="0" fontId="4" fillId="16" borderId="25" xfId="0" applyFont="1" applyFill="1" applyBorder="1" applyAlignment="1">
      <alignment horizontal="left"/>
    </xf>
    <xf numFmtId="0" fontId="4" fillId="16" borderId="80" xfId="0" applyFont="1" applyFill="1" applyBorder="1" applyAlignment="1">
      <alignment horizontal="left"/>
    </xf>
    <xf numFmtId="164" fontId="3" fillId="5" borderId="70" xfId="11" applyFont="1" applyFill="1" applyBorder="1" applyAlignment="1" applyProtection="1">
      <alignment horizontal="left"/>
    </xf>
    <xf numFmtId="164" fontId="3" fillId="5" borderId="71" xfId="11" applyFont="1" applyFill="1" applyBorder="1" applyAlignment="1" applyProtection="1">
      <alignment horizontal="left"/>
    </xf>
    <xf numFmtId="164" fontId="3" fillId="5" borderId="69" xfId="11" applyFont="1" applyFill="1" applyBorder="1" applyAlignment="1" applyProtection="1">
      <alignment horizontal="left"/>
    </xf>
    <xf numFmtId="3" fontId="3" fillId="13" borderId="6" xfId="11" applyNumberFormat="1" applyFont="1" applyFill="1" applyBorder="1" applyAlignment="1" applyProtection="1">
      <alignment horizontal="left"/>
      <protection locked="0"/>
    </xf>
    <xf numFmtId="3" fontId="3" fillId="13" borderId="6" xfId="11" quotePrefix="1" applyNumberFormat="1" applyFont="1" applyFill="1" applyBorder="1" applyAlignment="1" applyProtection="1">
      <alignment horizontal="left"/>
      <protection locked="0"/>
    </xf>
    <xf numFmtId="3" fontId="3" fillId="13" borderId="7" xfId="11" applyNumberFormat="1" applyFont="1" applyFill="1" applyBorder="1" applyAlignment="1" applyProtection="1">
      <alignment horizontal="left"/>
      <protection locked="0"/>
    </xf>
    <xf numFmtId="3" fontId="3" fillId="13" borderId="75" xfId="11" applyNumberFormat="1" applyFont="1" applyFill="1" applyBorder="1" applyAlignment="1" applyProtection="1">
      <alignment horizontal="left"/>
      <protection locked="0"/>
    </xf>
    <xf numFmtId="3" fontId="3" fillId="13" borderId="36" xfId="11" applyNumberFormat="1" applyFont="1" applyFill="1" applyBorder="1" applyAlignment="1" applyProtection="1">
      <alignment horizontal="left"/>
      <protection locked="0"/>
    </xf>
    <xf numFmtId="164" fontId="3" fillId="5" borderId="83" xfId="11" applyFont="1" applyFill="1" applyBorder="1" applyAlignment="1" applyProtection="1">
      <alignment horizontal="left"/>
    </xf>
    <xf numFmtId="164" fontId="3" fillId="5" borderId="84" xfId="11" applyFont="1" applyFill="1" applyBorder="1" applyAlignment="1" applyProtection="1">
      <alignment horizontal="left"/>
    </xf>
    <xf numFmtId="164" fontId="3" fillId="5" borderId="73" xfId="11" applyFont="1" applyFill="1" applyBorder="1" applyAlignment="1" applyProtection="1">
      <alignment horizontal="left"/>
    </xf>
    <xf numFmtId="164" fontId="3" fillId="5" borderId="74" xfId="11" applyFont="1" applyFill="1" applyBorder="1" applyAlignment="1" applyProtection="1">
      <alignment horizontal="left"/>
    </xf>
    <xf numFmtId="164" fontId="3" fillId="5" borderId="81" xfId="11" applyFont="1" applyFill="1" applyBorder="1" applyAlignment="1" applyProtection="1">
      <alignment horizontal="left"/>
    </xf>
    <xf numFmtId="164" fontId="3" fillId="5" borderId="82" xfId="11" applyFont="1" applyFill="1" applyBorder="1" applyAlignment="1" applyProtection="1">
      <alignment horizontal="left"/>
    </xf>
    <xf numFmtId="164" fontId="3" fillId="5" borderId="85" xfId="11" applyFont="1" applyFill="1" applyBorder="1" applyAlignment="1" applyProtection="1">
      <alignment horizontal="left"/>
    </xf>
    <xf numFmtId="164" fontId="3" fillId="5" borderId="87" xfId="11" applyFont="1" applyFill="1" applyBorder="1" applyAlignment="1" applyProtection="1">
      <alignment horizontal="left"/>
    </xf>
    <xf numFmtId="164" fontId="3" fillId="5" borderId="86" xfId="11" applyFont="1" applyFill="1" applyBorder="1" applyAlignment="1" applyProtection="1">
      <alignment horizontal="left"/>
    </xf>
    <xf numFmtId="0" fontId="14" fillId="13" borderId="3" xfId="0" applyFont="1" applyFill="1" applyBorder="1" applyAlignment="1">
      <alignment horizontal="center"/>
    </xf>
    <xf numFmtId="0" fontId="14" fillId="13" borderId="5" xfId="0" applyFont="1" applyFill="1" applyBorder="1" applyAlignment="1">
      <alignment horizontal="center"/>
    </xf>
    <xf numFmtId="0" fontId="17" fillId="13" borderId="51" xfId="0" applyFont="1" applyFill="1" applyBorder="1" applyAlignment="1">
      <alignment horizontal="center" wrapText="1"/>
    </xf>
    <xf numFmtId="0" fontId="17" fillId="13" borderId="52" xfId="0" applyFont="1" applyFill="1" applyBorder="1" applyAlignment="1">
      <alignment horizontal="center" wrapText="1"/>
    </xf>
    <xf numFmtId="0" fontId="14" fillId="13" borderId="2" xfId="0" applyFont="1" applyFill="1" applyBorder="1" applyAlignment="1">
      <alignment horizontal="center"/>
    </xf>
    <xf numFmtId="0" fontId="22" fillId="0" borderId="88" xfId="0" applyFont="1" applyBorder="1" applyAlignment="1">
      <alignment vertical="center" wrapText="1"/>
    </xf>
    <xf numFmtId="0" fontId="22" fillId="0" borderId="50" xfId="0" applyFont="1" applyBorder="1" applyAlignment="1">
      <alignment vertical="center" wrapText="1"/>
    </xf>
    <xf numFmtId="0" fontId="22" fillId="0" borderId="88" xfId="0" applyFont="1" applyBorder="1" applyAlignment="1">
      <alignment horizontal="center" vertical="center" wrapText="1"/>
    </xf>
    <xf numFmtId="0" fontId="22" fillId="0" borderId="50" xfId="0" applyFont="1" applyBorder="1" applyAlignment="1">
      <alignment horizontal="center" vertical="center" wrapText="1"/>
    </xf>
    <xf numFmtId="0" fontId="38" fillId="0" borderId="88" xfId="0" applyFont="1" applyBorder="1" applyAlignment="1">
      <alignment vertical="center" wrapText="1"/>
    </xf>
    <xf numFmtId="0" fontId="38" fillId="0" borderId="50" xfId="0" applyFont="1" applyBorder="1" applyAlignment="1">
      <alignment vertical="center" wrapText="1"/>
    </xf>
    <xf numFmtId="0" fontId="22" fillId="0" borderId="57" xfId="0" applyFont="1" applyBorder="1" applyAlignment="1">
      <alignment vertical="center" wrapText="1"/>
    </xf>
    <xf numFmtId="0" fontId="22" fillId="0" borderId="88" xfId="0" applyFont="1" applyBorder="1" applyAlignment="1">
      <alignment horizontal="center" vertical="center"/>
    </xf>
    <xf numFmtId="0" fontId="22" fillId="0" borderId="50" xfId="0" applyFont="1" applyBorder="1" applyAlignment="1">
      <alignment horizontal="center" vertical="center"/>
    </xf>
    <xf numFmtId="0" fontId="22" fillId="0" borderId="88" xfId="0" applyFont="1" applyBorder="1" applyAlignment="1">
      <alignment vertical="center"/>
    </xf>
    <xf numFmtId="0" fontId="22" fillId="0" borderId="50" xfId="0" applyFont="1" applyBorder="1" applyAlignment="1">
      <alignment vertical="center"/>
    </xf>
    <xf numFmtId="0" fontId="21" fillId="18" borderId="88" xfId="0" applyFont="1" applyFill="1" applyBorder="1" applyAlignment="1">
      <alignment horizontal="center" vertical="center"/>
    </xf>
    <xf numFmtId="0" fontId="21" fillId="18" borderId="50" xfId="0" applyFont="1" applyFill="1" applyBorder="1" applyAlignment="1">
      <alignment horizontal="center" vertical="center"/>
    </xf>
    <xf numFmtId="0" fontId="21" fillId="18" borderId="88" xfId="0" applyFont="1" applyFill="1" applyBorder="1" applyAlignment="1">
      <alignment horizontal="center" vertical="center" wrapText="1"/>
    </xf>
    <xf numFmtId="0" fontId="21" fillId="18" borderId="50" xfId="0" applyFont="1" applyFill="1" applyBorder="1" applyAlignment="1">
      <alignment horizontal="center" vertical="center" wrapText="1"/>
    </xf>
    <xf numFmtId="0" fontId="22" fillId="0" borderId="57" xfId="0" applyFont="1" applyBorder="1" applyAlignment="1">
      <alignment vertical="center"/>
    </xf>
    <xf numFmtId="0" fontId="22" fillId="0" borderId="90" xfId="0" applyFont="1" applyBorder="1" applyAlignment="1">
      <alignment horizontal="center" vertical="center"/>
    </xf>
    <xf numFmtId="0" fontId="22" fillId="0" borderId="89" xfId="0" applyFont="1" applyBorder="1" applyAlignment="1">
      <alignment horizontal="center" vertical="center"/>
    </xf>
    <xf numFmtId="0" fontId="21" fillId="18" borderId="51" xfId="0" applyFont="1" applyFill="1" applyBorder="1" applyAlignment="1">
      <alignment horizontal="center" vertical="center"/>
    </xf>
    <xf numFmtId="0" fontId="21" fillId="18" borderId="52" xfId="0" applyFont="1" applyFill="1" applyBorder="1" applyAlignment="1">
      <alignment horizontal="center" vertical="center"/>
    </xf>
    <xf numFmtId="0" fontId="21" fillId="18" borderId="49" xfId="0" applyFont="1" applyFill="1" applyBorder="1" applyAlignment="1">
      <alignment horizontal="center" vertical="center"/>
    </xf>
    <xf numFmtId="0" fontId="22" fillId="0" borderId="57" xfId="0" applyFont="1" applyBorder="1" applyAlignment="1">
      <alignment horizontal="center" vertical="center"/>
    </xf>
    <xf numFmtId="0" fontId="0" fillId="0" borderId="2" xfId="0" applyBorder="1" applyAlignment="1">
      <alignment horizontal="left"/>
    </xf>
    <xf numFmtId="0" fontId="34" fillId="0" borderId="51" xfId="0" applyFont="1" applyBorder="1" applyAlignment="1">
      <alignment horizontal="justify" vertical="center"/>
    </xf>
    <xf numFmtId="0" fontId="34" fillId="0" borderId="52" xfId="0" applyFont="1" applyBorder="1" applyAlignment="1">
      <alignment horizontal="justify" vertical="center"/>
    </xf>
    <xf numFmtId="0" fontId="34" fillId="0" borderId="49" xfId="0" applyFont="1" applyBorder="1" applyAlignment="1">
      <alignment horizontal="justify" vertical="center"/>
    </xf>
    <xf numFmtId="0" fontId="34" fillId="0" borderId="51" xfId="0" applyFont="1" applyBorder="1" applyAlignment="1">
      <alignment vertical="center"/>
    </xf>
    <xf numFmtId="0" fontId="34" fillId="0" borderId="52" xfId="0" applyFont="1" applyBorder="1" applyAlignment="1">
      <alignment vertical="center"/>
    </xf>
    <xf numFmtId="0" fontId="34" fillId="0" borderId="49" xfId="0" applyFont="1" applyBorder="1" applyAlignment="1">
      <alignment vertical="center"/>
    </xf>
    <xf numFmtId="0" fontId="34" fillId="0" borderId="51" xfId="0" applyFont="1" applyBorder="1" applyAlignment="1">
      <alignment horizontal="justify" vertical="center" wrapText="1"/>
    </xf>
    <xf numFmtId="0" fontId="34" fillId="0" borderId="52" xfId="0" applyFont="1" applyBorder="1" applyAlignment="1">
      <alignment horizontal="justify" vertical="center" wrapText="1"/>
    </xf>
    <xf numFmtId="0" fontId="34" fillId="0" borderId="49" xfId="0" applyFont="1" applyBorder="1" applyAlignment="1">
      <alignment horizontal="justify" vertical="center" wrapText="1"/>
    </xf>
    <xf numFmtId="0" fontId="22" fillId="0" borderId="57" xfId="0" applyFont="1" applyBorder="1" applyAlignment="1">
      <alignment horizontal="center" vertical="center" wrapText="1"/>
    </xf>
    <xf numFmtId="9" fontId="22" fillId="0" borderId="88" xfId="0" applyNumberFormat="1" applyFont="1" applyBorder="1" applyAlignment="1">
      <alignment horizontal="right" vertical="center"/>
    </xf>
    <xf numFmtId="9" fontId="22" fillId="0" borderId="57" xfId="0" applyNumberFormat="1" applyFont="1" applyBorder="1" applyAlignment="1">
      <alignment horizontal="right" vertical="center"/>
    </xf>
    <xf numFmtId="9" fontId="22" fillId="0" borderId="50" xfId="0" applyNumberFormat="1" applyFont="1" applyBorder="1" applyAlignment="1">
      <alignment horizontal="right" vertical="center"/>
    </xf>
    <xf numFmtId="9" fontId="22" fillId="0" borderId="88" xfId="0" applyNumberFormat="1" applyFont="1" applyBorder="1" applyAlignment="1">
      <alignment vertical="center"/>
    </xf>
    <xf numFmtId="9" fontId="22" fillId="0" borderId="57" xfId="0" applyNumberFormat="1" applyFont="1" applyBorder="1" applyAlignment="1">
      <alignment vertical="center"/>
    </xf>
    <xf numFmtId="9" fontId="22" fillId="0" borderId="50" xfId="0" applyNumberFormat="1" applyFont="1" applyBorder="1" applyAlignment="1">
      <alignment vertical="center"/>
    </xf>
    <xf numFmtId="0" fontId="17" fillId="12" borderId="2" xfId="13" applyFont="1" applyFill="1" applyBorder="1" applyAlignment="1">
      <alignment horizontal="center"/>
    </xf>
    <xf numFmtId="0" fontId="29" fillId="4" borderId="2" xfId="9" applyFont="1" applyFill="1" applyBorder="1" applyAlignment="1">
      <alignment horizontal="center"/>
    </xf>
    <xf numFmtId="0" fontId="28" fillId="12" borderId="3" xfId="9" applyFont="1" applyFill="1" applyBorder="1" applyAlignment="1">
      <alignment horizontal="center"/>
    </xf>
    <xf numFmtId="0" fontId="28" fillId="12" borderId="5" xfId="9" applyFont="1" applyFill="1" applyBorder="1" applyAlignment="1">
      <alignment horizontal="center"/>
    </xf>
    <xf numFmtId="0" fontId="24" fillId="12" borderId="3" xfId="9" applyFont="1" applyFill="1" applyBorder="1" applyAlignment="1">
      <alignment horizontal="center"/>
    </xf>
    <xf numFmtId="0" fontId="24" fillId="12" borderId="4" xfId="9" applyFont="1" applyFill="1" applyBorder="1" applyAlignment="1">
      <alignment horizontal="center"/>
    </xf>
    <xf numFmtId="0" fontId="24" fillId="12" borderId="5" xfId="9" applyFont="1" applyFill="1" applyBorder="1" applyAlignment="1">
      <alignment horizontal="center"/>
    </xf>
    <xf numFmtId="0" fontId="3" fillId="0" borderId="2" xfId="0" applyNumberFormat="1" applyFont="1" applyBorder="1" applyAlignment="1" applyProtection="1">
      <alignment horizontal="center"/>
      <protection locked="0"/>
    </xf>
  </cellXfs>
  <cellStyles count="14">
    <cellStyle name="Comma" xfId="1" builtinId="3"/>
    <cellStyle name="Comma 2" xfId="3"/>
    <cellStyle name="Comma 2 2" xfId="11"/>
    <cellStyle name="Comma 4" xfId="4"/>
    <cellStyle name="Comma 5" xfId="7"/>
    <cellStyle name="Normal" xfId="0" builtinId="0"/>
    <cellStyle name="Normal 2 2" xfId="9"/>
    <cellStyle name="Normal 3 2" xfId="13"/>
    <cellStyle name="Normal 6 2" xfId="6"/>
    <cellStyle name="Normal_Final Ratio Sheet Modified Bank Analysis" xfId="12"/>
    <cellStyle name="Normal_Sheet1" xfId="10"/>
    <cellStyle name="Percent" xfId="2" builtinId="5"/>
    <cellStyle name="Percent 2 2" xfId="8"/>
    <cellStyle name="Percent 3" xfId="5"/>
  </cellStyles>
  <dxfs count="87">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ill>
        <patternFill>
          <bgColor rgb="FFFFC000"/>
        </patternFill>
      </fill>
    </dxf>
    <dxf>
      <fill>
        <patternFill>
          <bgColor rgb="FFFF0000"/>
        </patternFill>
      </fill>
    </dxf>
    <dxf>
      <fill>
        <patternFill>
          <bgColor rgb="FFFF0000"/>
        </patternFill>
      </fill>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
      <font>
        <b/>
        <i val="0"/>
        <condense val="0"/>
        <extend val="0"/>
        <color indexed="57"/>
      </font>
    </dxf>
    <dxf>
      <font>
        <b val="0"/>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topLeftCell="A10" workbookViewId="0">
      <selection activeCell="C19" sqref="C19"/>
    </sheetView>
  </sheetViews>
  <sheetFormatPr defaultRowHeight="15"/>
  <cols>
    <col min="2" max="2" width="5.5703125" bestFit="1" customWidth="1"/>
    <col min="3" max="3" width="32.5703125" style="124" bestFit="1" customWidth="1"/>
    <col min="4" max="4" width="58.7109375" style="124" bestFit="1" customWidth="1"/>
    <col min="5" max="5" width="18" customWidth="1"/>
    <col min="6" max="6" width="35.140625" style="124" customWidth="1"/>
  </cols>
  <sheetData>
    <row r="2" spans="2:6" s="124" customFormat="1" ht="30">
      <c r="B2" s="427" t="s">
        <v>342</v>
      </c>
      <c r="C2" s="427" t="s">
        <v>148</v>
      </c>
      <c r="D2" s="427" t="s">
        <v>340</v>
      </c>
      <c r="E2" s="427" t="s">
        <v>341</v>
      </c>
      <c r="F2" s="427" t="s">
        <v>722</v>
      </c>
    </row>
    <row r="3" spans="2:6">
      <c r="B3" s="107">
        <v>1</v>
      </c>
      <c r="C3" s="125" t="s">
        <v>266</v>
      </c>
      <c r="D3" s="125" t="s">
        <v>337</v>
      </c>
      <c r="E3" s="107"/>
      <c r="F3" s="125"/>
    </row>
    <row r="4" spans="2:6" ht="30">
      <c r="B4" s="107">
        <v>2</v>
      </c>
      <c r="C4" s="125" t="s">
        <v>269</v>
      </c>
      <c r="D4" s="125" t="s">
        <v>458</v>
      </c>
      <c r="E4" s="107" t="s">
        <v>723</v>
      </c>
      <c r="F4" s="125"/>
    </row>
    <row r="5" spans="2:6" ht="45">
      <c r="B5" s="107">
        <v>3</v>
      </c>
      <c r="C5" s="125" t="s">
        <v>344</v>
      </c>
      <c r="D5" s="125" t="s">
        <v>345</v>
      </c>
      <c r="E5" s="107"/>
      <c r="F5" s="125"/>
    </row>
    <row r="6" spans="2:6" ht="60">
      <c r="B6" s="107">
        <v>4</v>
      </c>
      <c r="C6" s="125" t="s">
        <v>339</v>
      </c>
      <c r="D6" s="125" t="s">
        <v>721</v>
      </c>
      <c r="E6" s="107"/>
      <c r="F6" s="125"/>
    </row>
    <row r="7" spans="2:6">
      <c r="B7" s="107">
        <v>5</v>
      </c>
      <c r="C7" s="125" t="s">
        <v>687</v>
      </c>
      <c r="D7" s="125" t="s">
        <v>346</v>
      </c>
      <c r="E7" s="107"/>
      <c r="F7" s="125"/>
    </row>
    <row r="8" spans="2:6">
      <c r="B8" s="107">
        <v>6</v>
      </c>
      <c r="C8" s="125" t="s">
        <v>688</v>
      </c>
      <c r="D8" s="125" t="s">
        <v>689</v>
      </c>
      <c r="E8" s="107"/>
      <c r="F8" s="125"/>
    </row>
    <row r="9" spans="2:6">
      <c r="B9" s="107">
        <v>7</v>
      </c>
      <c r="C9" s="125" t="s">
        <v>267</v>
      </c>
      <c r="D9" s="125" t="s">
        <v>347</v>
      </c>
      <c r="E9" s="107"/>
      <c r="F9" s="125"/>
    </row>
    <row r="10" spans="2:6">
      <c r="B10" s="107">
        <v>8</v>
      </c>
      <c r="C10" s="125" t="s">
        <v>455</v>
      </c>
      <c r="D10" s="125" t="s">
        <v>718</v>
      </c>
      <c r="E10" s="107"/>
      <c r="F10" s="125"/>
    </row>
    <row r="11" spans="2:6">
      <c r="B11" s="107">
        <v>9</v>
      </c>
      <c r="C11" s="125" t="s">
        <v>456</v>
      </c>
      <c r="D11" s="125" t="s">
        <v>457</v>
      </c>
      <c r="E11" s="107"/>
      <c r="F11" s="125"/>
    </row>
    <row r="12" spans="2:6">
      <c r="B12" s="438">
        <v>10</v>
      </c>
      <c r="C12" s="439" t="s">
        <v>188</v>
      </c>
      <c r="D12" s="439" t="s">
        <v>348</v>
      </c>
      <c r="E12" s="438"/>
      <c r="F12" s="439"/>
    </row>
    <row r="13" spans="2:6">
      <c r="B13" s="438">
        <v>11</v>
      </c>
      <c r="C13" s="439" t="s">
        <v>133</v>
      </c>
      <c r="D13" s="439" t="s">
        <v>343</v>
      </c>
      <c r="E13" s="438"/>
      <c r="F13" s="439"/>
    </row>
    <row r="14" spans="2:6">
      <c r="B14" s="438">
        <v>12</v>
      </c>
      <c r="C14" s="439" t="s">
        <v>338</v>
      </c>
      <c r="D14" s="439" t="s">
        <v>720</v>
      </c>
      <c r="E14" s="438"/>
      <c r="F14" s="439"/>
    </row>
    <row r="15" spans="2:6" ht="30">
      <c r="B15" s="438">
        <v>13</v>
      </c>
      <c r="C15" s="439" t="s">
        <v>709</v>
      </c>
      <c r="D15" s="439" t="s">
        <v>710</v>
      </c>
      <c r="E15" s="438"/>
      <c r="F15" s="439"/>
    </row>
    <row r="16" spans="2:6" ht="30">
      <c r="B16" s="438">
        <v>14</v>
      </c>
      <c r="C16" s="439" t="s">
        <v>711</v>
      </c>
      <c r="D16" s="439" t="s">
        <v>712</v>
      </c>
      <c r="E16" s="438"/>
      <c r="F16" s="439"/>
    </row>
    <row r="17" spans="2:6" ht="30">
      <c r="B17" s="438">
        <v>15</v>
      </c>
      <c r="C17" s="439" t="s">
        <v>713</v>
      </c>
      <c r="D17" s="439" t="s">
        <v>714</v>
      </c>
      <c r="E17" s="438"/>
      <c r="F17" s="439"/>
    </row>
    <row r="18" spans="2:6">
      <c r="B18" s="438">
        <v>16</v>
      </c>
      <c r="C18" s="439" t="s">
        <v>715</v>
      </c>
      <c r="D18" s="439" t="s">
        <v>717</v>
      </c>
      <c r="E18" s="438"/>
      <c r="F18" s="439"/>
    </row>
    <row r="19" spans="2:6">
      <c r="B19" s="438">
        <v>17</v>
      </c>
      <c r="C19" s="439" t="s">
        <v>716</v>
      </c>
      <c r="D19" s="439" t="s">
        <v>717</v>
      </c>
      <c r="E19" s="438"/>
      <c r="F19" s="439"/>
    </row>
    <row r="20" spans="2:6">
      <c r="B20" s="438">
        <v>18</v>
      </c>
      <c r="C20" s="439" t="s">
        <v>268</v>
      </c>
      <c r="D20" s="439" t="s">
        <v>719</v>
      </c>
      <c r="E20" s="438"/>
      <c r="F20" s="439"/>
    </row>
    <row r="21" spans="2:6">
      <c r="B21" s="440"/>
      <c r="C21" s="442"/>
      <c r="D21" s="441"/>
      <c r="E21" s="440"/>
      <c r="F21" s="441"/>
    </row>
  </sheetData>
  <dataValidations count="4">
    <dataValidation type="list" allowBlank="1" showInputMessage="1" showErrorMessage="1" sqref="E15:E19">
      <formula1>"Residential, Commercial,  Industrial, Land"</formula1>
    </dataValidation>
    <dataValidation type="list" allowBlank="1" showInputMessage="1" showErrorMessage="1" sqref="E6">
      <formula1>"KLAP_MCLR6 Month (Normal Income), BTSC-2021 (BT Surrogate), GSTPR-2021 (GST Surrogate), Banksg-2021 (Banking Surrogate), HighLTV-2022, LOWLTV-2022"</formula1>
    </dataValidation>
    <dataValidation type="list" allowBlank="1" showInputMessage="1" showErrorMessage="1" sqref="E14">
      <formula1>"Self occupied, Rented, Vacant, Under Construction"</formula1>
    </dataValidation>
    <dataValidation type="list" allowBlank="1" showInputMessage="1" showErrorMessage="1" sqref="E4">
      <formula1>"Balance Transfer plus Top up, Fresh LAP, Plain Balance Transfer, Property Purchase"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4" workbookViewId="0">
      <selection activeCell="E29" sqref="E29"/>
    </sheetView>
  </sheetViews>
  <sheetFormatPr defaultRowHeight="15"/>
  <cols>
    <col min="1" max="1" width="47.28515625" bestFit="1" customWidth="1"/>
    <col min="2" max="2" width="13.5703125" bestFit="1" customWidth="1"/>
    <col min="3" max="3" width="12.5703125" bestFit="1" customWidth="1"/>
    <col min="4" max="4" width="16.140625" customWidth="1"/>
    <col min="5" max="5" width="19" customWidth="1"/>
    <col min="6" max="6" width="12.5703125" bestFit="1" customWidth="1"/>
    <col min="7" max="7" width="13.5703125" bestFit="1" customWidth="1"/>
  </cols>
  <sheetData>
    <row r="1" spans="1:7">
      <c r="A1" s="456"/>
      <c r="B1" s="556" t="s">
        <v>745</v>
      </c>
      <c r="C1" s="556"/>
      <c r="D1" s="556"/>
      <c r="E1" s="556"/>
      <c r="F1" s="556"/>
    </row>
    <row r="2" spans="1:7">
      <c r="A2" s="457" t="s">
        <v>746</v>
      </c>
      <c r="B2" s="457" t="s">
        <v>747</v>
      </c>
      <c r="C2" s="457" t="s">
        <v>748</v>
      </c>
      <c r="D2" s="457" t="s">
        <v>749</v>
      </c>
      <c r="E2" s="457" t="s">
        <v>750</v>
      </c>
      <c r="F2" s="457" t="s">
        <v>751</v>
      </c>
      <c r="G2" s="457" t="s">
        <v>449</v>
      </c>
    </row>
    <row r="3" spans="1:7">
      <c r="A3" s="452" t="s">
        <v>752</v>
      </c>
      <c r="B3" s="458"/>
      <c r="C3" s="458"/>
      <c r="D3" s="458"/>
      <c r="E3" s="458"/>
      <c r="F3" s="458"/>
      <c r="G3" s="458">
        <f>SUM(B3:F3)</f>
        <v>0</v>
      </c>
    </row>
    <row r="4" spans="1:7">
      <c r="A4" s="452" t="s">
        <v>753</v>
      </c>
      <c r="B4" s="458"/>
      <c r="C4" s="458"/>
      <c r="D4" s="458"/>
      <c r="E4" s="458"/>
      <c r="F4" s="458"/>
      <c r="G4" s="458">
        <f>SUM(B4:F4)</f>
        <v>0</v>
      </c>
    </row>
    <row r="5" spans="1:7">
      <c r="A5" s="452" t="s">
        <v>754</v>
      </c>
      <c r="B5" s="458"/>
      <c r="C5" s="458"/>
      <c r="D5" s="458"/>
      <c r="E5" s="458"/>
      <c r="F5" s="458"/>
      <c r="G5" s="458">
        <f t="shared" ref="G5:G8" si="0">SUM(B5:F5)</f>
        <v>0</v>
      </c>
    </row>
    <row r="6" spans="1:7" ht="14.1" customHeight="1">
      <c r="A6" s="452" t="s">
        <v>755</v>
      </c>
      <c r="B6" s="458"/>
      <c r="C6" s="458"/>
      <c r="D6" s="458"/>
      <c r="E6" s="458"/>
      <c r="F6" s="458"/>
      <c r="G6" s="458">
        <f t="shared" si="0"/>
        <v>0</v>
      </c>
    </row>
    <row r="7" spans="1:7" ht="14.1" customHeight="1">
      <c r="A7" s="452" t="s">
        <v>756</v>
      </c>
      <c r="B7" s="458"/>
      <c r="C7" s="458"/>
      <c r="D7" s="458"/>
      <c r="E7" s="458"/>
      <c r="F7" s="458"/>
      <c r="G7" s="458">
        <f>SUM(B7:F7)</f>
        <v>0</v>
      </c>
    </row>
    <row r="8" spans="1:7">
      <c r="A8" s="452" t="s">
        <v>757</v>
      </c>
      <c r="B8" s="458"/>
      <c r="C8" s="458"/>
      <c r="D8" s="458"/>
      <c r="E8" s="458"/>
      <c r="F8" s="458"/>
      <c r="G8" s="458">
        <f t="shared" si="0"/>
        <v>0</v>
      </c>
    </row>
    <row r="9" spans="1:7">
      <c r="A9" s="452" t="s">
        <v>758</v>
      </c>
      <c r="B9" s="458">
        <f>B5+B7</f>
        <v>0</v>
      </c>
      <c r="C9" s="458">
        <f t="shared" ref="C9:F9" si="1">C5+C7</f>
        <v>0</v>
      </c>
      <c r="D9" s="458">
        <f t="shared" si="1"/>
        <v>0</v>
      </c>
      <c r="E9" s="458">
        <f t="shared" si="1"/>
        <v>0</v>
      </c>
      <c r="F9" s="458">
        <f t="shared" si="1"/>
        <v>0</v>
      </c>
      <c r="G9" s="458">
        <f>SUM(B9:F9)</f>
        <v>0</v>
      </c>
    </row>
    <row r="10" spans="1:7" ht="13.5" customHeight="1">
      <c r="A10" s="452" t="s">
        <v>759</v>
      </c>
      <c r="B10" s="458">
        <f>SUM(B6+B8)</f>
        <v>0</v>
      </c>
      <c r="C10" s="458">
        <f t="shared" ref="C10:F10" si="2">SUM(C6+C8)</f>
        <v>0</v>
      </c>
      <c r="D10" s="458">
        <f t="shared" si="2"/>
        <v>0</v>
      </c>
      <c r="E10" s="458">
        <f t="shared" si="2"/>
        <v>0</v>
      </c>
      <c r="F10" s="458">
        <f t="shared" si="2"/>
        <v>0</v>
      </c>
      <c r="G10" s="458">
        <f>SUM(B10:F10)</f>
        <v>0</v>
      </c>
    </row>
    <row r="11" spans="1:7">
      <c r="A11" s="452" t="s">
        <v>760</v>
      </c>
      <c r="B11" s="459" t="e">
        <f>(B9/B3)*100</f>
        <v>#DIV/0!</v>
      </c>
      <c r="C11" s="459" t="e">
        <f t="shared" ref="C11:G12" si="3">(C9/C3)*100</f>
        <v>#DIV/0!</v>
      </c>
      <c r="D11" s="459" t="e">
        <f t="shared" si="3"/>
        <v>#DIV/0!</v>
      </c>
      <c r="E11" s="459" t="e">
        <f t="shared" si="3"/>
        <v>#DIV/0!</v>
      </c>
      <c r="F11" s="459" t="e">
        <f t="shared" si="3"/>
        <v>#DIV/0!</v>
      </c>
      <c r="G11" s="459" t="e">
        <f t="shared" si="3"/>
        <v>#DIV/0!</v>
      </c>
    </row>
    <row r="12" spans="1:7">
      <c r="A12" s="452" t="s">
        <v>761</v>
      </c>
      <c r="B12" s="459" t="e">
        <f>(B10/B4)*100</f>
        <v>#DIV/0!</v>
      </c>
      <c r="C12" s="459" t="e">
        <f t="shared" si="3"/>
        <v>#DIV/0!</v>
      </c>
      <c r="D12" s="459" t="e">
        <f t="shared" si="3"/>
        <v>#DIV/0!</v>
      </c>
      <c r="E12" s="459" t="e">
        <f t="shared" si="3"/>
        <v>#DIV/0!</v>
      </c>
      <c r="F12" s="459" t="e">
        <f t="shared" si="3"/>
        <v>#DIV/0!</v>
      </c>
      <c r="G12" s="459" t="e">
        <f t="shared" si="3"/>
        <v>#DIV/0!</v>
      </c>
    </row>
    <row r="13" spans="1:7">
      <c r="A13" s="452" t="s">
        <v>249</v>
      </c>
      <c r="B13" s="459" t="e">
        <f>(B11+B12)/2</f>
        <v>#DIV/0!</v>
      </c>
      <c r="C13" s="459" t="e">
        <f t="shared" ref="C13:G13" si="4">(C11+C12)/2</f>
        <v>#DIV/0!</v>
      </c>
      <c r="D13" s="459" t="e">
        <f t="shared" si="4"/>
        <v>#DIV/0!</v>
      </c>
      <c r="E13" s="459" t="e">
        <f t="shared" si="4"/>
        <v>#DIV/0!</v>
      </c>
      <c r="F13" s="459" t="e">
        <f t="shared" si="4"/>
        <v>#DIV/0!</v>
      </c>
      <c r="G13" s="460" t="e">
        <f t="shared" si="4"/>
        <v>#DIV/0!</v>
      </c>
    </row>
    <row r="14" spans="1:7" ht="15.75" thickBot="1"/>
    <row r="15" spans="1:7" ht="15.75" thickBot="1">
      <c r="A15" s="461"/>
      <c r="B15" s="135" t="s">
        <v>125</v>
      </c>
      <c r="C15" s="135" t="s">
        <v>126</v>
      </c>
      <c r="D15" s="462"/>
      <c r="E15" s="462"/>
    </row>
    <row r="16" spans="1:7" ht="15.75" thickBot="1">
      <c r="A16" s="463" t="s">
        <v>127</v>
      </c>
      <c r="B16" s="464">
        <v>0</v>
      </c>
      <c r="C16" s="464">
        <v>0</v>
      </c>
      <c r="D16" s="462"/>
      <c r="E16" s="462"/>
    </row>
    <row r="17" spans="1:5" ht="15.75" thickBot="1">
      <c r="A17" s="463" t="s">
        <v>128</v>
      </c>
      <c r="B17" s="464">
        <v>12</v>
      </c>
      <c r="C17" s="464">
        <v>12</v>
      </c>
      <c r="D17" s="462"/>
      <c r="E17" s="462"/>
    </row>
    <row r="18" spans="1:5" ht="15.75" thickBot="1">
      <c r="A18" s="463" t="s">
        <v>129</v>
      </c>
      <c r="B18" s="465">
        <v>0.1</v>
      </c>
      <c r="C18" s="465">
        <f>+B18</f>
        <v>0.1</v>
      </c>
      <c r="D18" s="466"/>
      <c r="E18" s="466"/>
    </row>
    <row r="19" spans="1:5" ht="15.75" thickBot="1">
      <c r="A19" s="463" t="s">
        <v>130</v>
      </c>
      <c r="B19" s="467">
        <f>PMT(B18/12,B17*12,-100000,0)</f>
        <v>1195.0782628273339</v>
      </c>
      <c r="C19" s="467">
        <f>PMT(C18/12,C17*12,-100000,0)</f>
        <v>1195.0782628273339</v>
      </c>
      <c r="D19" s="466"/>
      <c r="E19" s="466"/>
    </row>
    <row r="20" spans="1:5" ht="15.75" thickBot="1">
      <c r="A20" s="463" t="s">
        <v>131</v>
      </c>
      <c r="B20" s="468">
        <f>B16*B19</f>
        <v>0</v>
      </c>
      <c r="C20" s="468">
        <f>C16*C19</f>
        <v>0</v>
      </c>
      <c r="D20" s="466"/>
      <c r="E20" s="466"/>
    </row>
    <row r="21" spans="1:5" ht="15.75" thickBot="1">
      <c r="A21" s="463" t="s">
        <v>132</v>
      </c>
      <c r="B21" s="468">
        <f>+'Property Details'!D13/100000</f>
        <v>0</v>
      </c>
      <c r="C21" s="468"/>
      <c r="D21" s="466"/>
      <c r="E21" s="466"/>
    </row>
    <row r="22" spans="1:5" ht="15.75" thickBot="1">
      <c r="A22" s="463" t="s">
        <v>133</v>
      </c>
      <c r="B22" s="469" t="e">
        <f>(B16+C16)/B21%</f>
        <v>#DIV/0!</v>
      </c>
      <c r="C22" s="468"/>
      <c r="D22" s="466"/>
      <c r="E22" s="466"/>
    </row>
    <row r="23" spans="1:5" ht="15.75" thickBot="1">
      <c r="A23" s="466"/>
      <c r="B23" s="470"/>
      <c r="C23" s="466"/>
      <c r="D23" s="466"/>
      <c r="E23" s="466"/>
    </row>
    <row r="24" spans="1:5" ht="15.75" thickBot="1">
      <c r="A24" s="453" t="s">
        <v>147</v>
      </c>
      <c r="B24" s="454"/>
      <c r="C24" s="454"/>
      <c r="D24" s="454"/>
    </row>
    <row r="25" spans="1:5" ht="30.75" thickBot="1">
      <c r="A25" s="471" t="s">
        <v>134</v>
      </c>
      <c r="B25" s="143" t="s">
        <v>762</v>
      </c>
      <c r="C25" s="143" t="s">
        <v>763</v>
      </c>
      <c r="D25" s="143" t="s">
        <v>146</v>
      </c>
    </row>
    <row r="26" spans="1:5">
      <c r="A26" s="472" t="s">
        <v>136</v>
      </c>
      <c r="B26" s="473">
        <f>G4</f>
        <v>0</v>
      </c>
      <c r="C26" s="473">
        <f>G3</f>
        <v>0</v>
      </c>
      <c r="D26" s="474">
        <f>+'Business Banking'!F21*100000</f>
        <v>0</v>
      </c>
    </row>
    <row r="27" spans="1:5" ht="15.75" thickBot="1">
      <c r="A27" s="475" t="s">
        <v>137</v>
      </c>
      <c r="B27" s="476" t="e">
        <f>B28/B26</f>
        <v>#DIV/0!</v>
      </c>
      <c r="C27" s="477" t="e">
        <f>C28/C26</f>
        <v>#DIV/0!</v>
      </c>
      <c r="D27" s="478" t="e">
        <f>(G13)/100</f>
        <v>#DIV/0!</v>
      </c>
    </row>
    <row r="28" spans="1:5" ht="15.75" thickBot="1">
      <c r="A28" s="471" t="s">
        <v>34</v>
      </c>
      <c r="B28" s="479">
        <f>G10</f>
        <v>0</v>
      </c>
      <c r="C28" s="479">
        <f>G9</f>
        <v>0</v>
      </c>
      <c r="D28" s="143" t="e">
        <f>D26*D27</f>
        <v>#DIV/0!</v>
      </c>
    </row>
    <row r="29" spans="1:5" ht="15.75" thickBot="1">
      <c r="A29" s="480" t="s">
        <v>138</v>
      </c>
      <c r="B29" s="481">
        <v>0</v>
      </c>
      <c r="C29" s="481">
        <v>0</v>
      </c>
      <c r="D29" s="482" t="e">
        <f>C29/C28*D28</f>
        <v>#DIV/0!</v>
      </c>
    </row>
    <row r="30" spans="1:5" ht="15.75" thickBot="1">
      <c r="A30" s="471" t="s">
        <v>139</v>
      </c>
      <c r="B30" s="471">
        <f>B28-B29</f>
        <v>0</v>
      </c>
      <c r="C30" s="143">
        <f>C28-C29</f>
        <v>0</v>
      </c>
      <c r="D30" s="143" t="e">
        <f>D28-D29</f>
        <v>#DIV/0!</v>
      </c>
    </row>
    <row r="31" spans="1:5" ht="30">
      <c r="A31" s="472" t="s">
        <v>140</v>
      </c>
      <c r="B31" s="483">
        <f>+'Loan Details'!O5</f>
        <v>22900</v>
      </c>
      <c r="C31" s="483">
        <f>+B31</f>
        <v>22900</v>
      </c>
      <c r="D31" s="484">
        <f>+C31</f>
        <v>22900</v>
      </c>
    </row>
    <row r="32" spans="1:5" ht="15.75" thickBot="1">
      <c r="A32" s="475" t="s">
        <v>141</v>
      </c>
      <c r="B32" s="475">
        <f>(B20+C20)*12</f>
        <v>0</v>
      </c>
      <c r="C32" s="475">
        <f>(B20+C20)*12</f>
        <v>0</v>
      </c>
      <c r="D32" s="485">
        <f>C32</f>
        <v>0</v>
      </c>
    </row>
    <row r="33" spans="1:4" ht="15.75" thickBot="1">
      <c r="A33" s="471" t="s">
        <v>142</v>
      </c>
      <c r="B33" s="471">
        <f>B31+B32</f>
        <v>22900</v>
      </c>
      <c r="C33" s="143">
        <f>C31+C32</f>
        <v>22900</v>
      </c>
      <c r="D33" s="143">
        <f>D31+D32</f>
        <v>22900</v>
      </c>
    </row>
    <row r="34" spans="1:4" ht="15.75" thickBot="1">
      <c r="A34" s="480" t="s">
        <v>143</v>
      </c>
      <c r="B34" s="486">
        <f>B30/B33</f>
        <v>0</v>
      </c>
      <c r="C34" s="487">
        <f>C30/C33</f>
        <v>0</v>
      </c>
      <c r="D34" s="487" t="e">
        <f>D30/D33</f>
        <v>#DIV/0!</v>
      </c>
    </row>
    <row r="35" spans="1:4" ht="15.75" thickBot="1">
      <c r="A35" s="471" t="s">
        <v>144</v>
      </c>
      <c r="B35" s="455" t="e">
        <f>MIN(B34:D34)</f>
        <v>#DIV/0!</v>
      </c>
      <c r="C35" s="455"/>
      <c r="D35" s="455"/>
    </row>
  </sheetData>
  <mergeCells count="1">
    <mergeCell ref="B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8" sqref="A18"/>
    </sheetView>
  </sheetViews>
  <sheetFormatPr defaultColWidth="9.140625" defaultRowHeight="15"/>
  <cols>
    <col min="1" max="1" width="46.5703125" style="164" bestFit="1" customWidth="1"/>
    <col min="2" max="2" width="20.7109375" style="164" customWidth="1"/>
    <col min="3" max="3" width="22.42578125" style="164" customWidth="1"/>
    <col min="4" max="4" width="18.140625" style="164" customWidth="1"/>
    <col min="5" max="16384" width="9.140625" style="164"/>
  </cols>
  <sheetData>
    <row r="1" spans="1:4" ht="15.75" thickBot="1"/>
    <row r="2" spans="1:4">
      <c r="A2" s="165" t="s">
        <v>148</v>
      </c>
      <c r="B2" s="166" t="s">
        <v>209</v>
      </c>
      <c r="C2" s="166" t="s">
        <v>210</v>
      </c>
      <c r="D2" s="167" t="s">
        <v>211</v>
      </c>
    </row>
    <row r="3" spans="1:4">
      <c r="A3" s="169" t="s">
        <v>212</v>
      </c>
      <c r="B3" s="168"/>
      <c r="C3" s="168"/>
      <c r="D3" s="169"/>
    </row>
    <row r="4" spans="1:4">
      <c r="A4" s="338" t="s">
        <v>213</v>
      </c>
      <c r="B4" s="168"/>
      <c r="C4" s="168"/>
      <c r="D4" s="169"/>
    </row>
    <row r="5" spans="1:4">
      <c r="A5" s="339" t="s">
        <v>453</v>
      </c>
      <c r="B5" s="168"/>
      <c r="C5" s="168"/>
      <c r="D5" s="169"/>
    </row>
    <row r="6" spans="1:4">
      <c r="A6" s="338" t="s">
        <v>214</v>
      </c>
      <c r="B6" s="168"/>
      <c r="C6" s="168"/>
      <c r="D6" s="169"/>
    </row>
    <row r="7" spans="1:4">
      <c r="A7" s="338" t="s">
        <v>215</v>
      </c>
      <c r="B7" s="168"/>
      <c r="C7" s="168"/>
      <c r="D7" s="169"/>
    </row>
    <row r="8" spans="1:4">
      <c r="A8" s="338" t="s">
        <v>459</v>
      </c>
      <c r="B8" s="168"/>
      <c r="C8" s="168"/>
      <c r="D8" s="169"/>
    </row>
    <row r="9" spans="1:4">
      <c r="A9" s="338" t="s">
        <v>216</v>
      </c>
      <c r="B9" s="168"/>
      <c r="C9" s="168"/>
      <c r="D9" s="169"/>
    </row>
    <row r="10" spans="1:4">
      <c r="A10" s="338" t="s">
        <v>217</v>
      </c>
      <c r="B10" s="168"/>
      <c r="C10" s="168"/>
      <c r="D10" s="169"/>
    </row>
    <row r="11" spans="1:4">
      <c r="A11" s="169" t="s">
        <v>218</v>
      </c>
      <c r="B11" s="172"/>
      <c r="C11" s="172"/>
      <c r="D11" s="172">
        <f>B11+C11</f>
        <v>0</v>
      </c>
    </row>
    <row r="12" spans="1:4">
      <c r="A12" s="169" t="s">
        <v>219</v>
      </c>
      <c r="B12" s="172"/>
      <c r="C12" s="172"/>
      <c r="D12" s="172">
        <f>B12+C12</f>
        <v>0</v>
      </c>
    </row>
    <row r="13" spans="1:4" ht="30">
      <c r="A13" s="170" t="s">
        <v>220</v>
      </c>
      <c r="B13" s="171" t="e">
        <f>AVERAGE(B11:B12)</f>
        <v>#DIV/0!</v>
      </c>
      <c r="C13" s="171" t="e">
        <f>AVERAGE(C11:C12)</f>
        <v>#DIV/0!</v>
      </c>
      <c r="D13" s="171">
        <f>AVERAGE(D11:D12)</f>
        <v>0</v>
      </c>
    </row>
    <row r="14" spans="1:4">
      <c r="A14" s="169" t="s">
        <v>221</v>
      </c>
      <c r="B14" s="172"/>
      <c r="C14" s="172"/>
      <c r="D14" s="172"/>
    </row>
    <row r="15" spans="1:4">
      <c r="A15" s="169" t="s">
        <v>222</v>
      </c>
      <c r="B15" s="172"/>
      <c r="C15" s="172"/>
      <c r="D15" s="17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C122"/>
  <sheetViews>
    <sheetView workbookViewId="0">
      <selection activeCell="G8" sqref="G8"/>
    </sheetView>
  </sheetViews>
  <sheetFormatPr defaultColWidth="9.140625" defaultRowHeight="12.75"/>
  <cols>
    <col min="1" max="1" width="4.5703125" style="189" bestFit="1" customWidth="1"/>
    <col min="2" max="2" width="18.5703125" style="189" bestFit="1" customWidth="1"/>
    <col min="3" max="3" width="14.85546875" style="189" bestFit="1" customWidth="1"/>
    <col min="4" max="4" width="17.140625" style="189" customWidth="1"/>
    <col min="5" max="5" width="14.85546875" style="189" customWidth="1"/>
    <col min="6" max="6" width="14.140625" style="189" bestFit="1" customWidth="1"/>
    <col min="7" max="7" width="21.42578125" style="189" bestFit="1" customWidth="1"/>
    <col min="8" max="8" width="13.42578125" style="189" bestFit="1" customWidth="1"/>
    <col min="9" max="9" width="12.5703125" style="189" bestFit="1" customWidth="1"/>
    <col min="10" max="10" width="9.5703125" style="189" bestFit="1" customWidth="1"/>
    <col min="11" max="11" width="11.28515625" style="189" bestFit="1" customWidth="1"/>
    <col min="12" max="12" width="12.140625" style="189" customWidth="1"/>
    <col min="13" max="13" width="13.140625" style="189" customWidth="1"/>
    <col min="14" max="14" width="11.7109375" style="189" customWidth="1"/>
    <col min="15" max="15" width="14.28515625" style="192" customWidth="1"/>
    <col min="16" max="16" width="15.140625" style="189" customWidth="1"/>
    <col min="17" max="17" width="20.5703125" style="189" customWidth="1"/>
    <col min="18" max="29" width="9.140625" style="180"/>
    <col min="30" max="16384" width="9.140625" style="189"/>
  </cols>
  <sheetData>
    <row r="2" spans="1:29" s="181" customFormat="1" ht="51">
      <c r="A2" s="173" t="s">
        <v>223</v>
      </c>
      <c r="B2" s="173" t="s">
        <v>224</v>
      </c>
      <c r="C2" s="173" t="s">
        <v>225</v>
      </c>
      <c r="D2" s="174" t="s">
        <v>460</v>
      </c>
      <c r="E2" s="174" t="s">
        <v>690</v>
      </c>
      <c r="F2" s="175" t="s">
        <v>226</v>
      </c>
      <c r="G2" s="175" t="s">
        <v>792</v>
      </c>
      <c r="H2" s="176" t="s">
        <v>227</v>
      </c>
      <c r="I2" s="177" t="s">
        <v>228</v>
      </c>
      <c r="J2" s="174" t="s">
        <v>229</v>
      </c>
      <c r="K2" s="173" t="s">
        <v>230</v>
      </c>
      <c r="L2" s="174" t="s">
        <v>231</v>
      </c>
      <c r="M2" s="174" t="s">
        <v>232</v>
      </c>
      <c r="N2" s="174" t="s">
        <v>233</v>
      </c>
      <c r="O2" s="178" t="s">
        <v>234</v>
      </c>
      <c r="P2" s="174" t="s">
        <v>461</v>
      </c>
      <c r="Q2" s="179" t="s">
        <v>235</v>
      </c>
      <c r="R2" s="180"/>
      <c r="S2" s="180"/>
      <c r="T2" s="180"/>
      <c r="U2" s="180"/>
      <c r="V2" s="180"/>
      <c r="W2" s="180"/>
      <c r="X2" s="180"/>
      <c r="Y2" s="180"/>
      <c r="Z2" s="180"/>
      <c r="AA2" s="180"/>
      <c r="AB2" s="180"/>
    </row>
    <row r="3" spans="1:29" s="183" customFormat="1" ht="15">
      <c r="A3" s="502">
        <v>1</v>
      </c>
      <c r="B3" s="503" t="s">
        <v>774</v>
      </c>
      <c r="C3" s="504" t="s">
        <v>775</v>
      </c>
      <c r="D3" s="504" t="s">
        <v>772</v>
      </c>
      <c r="E3" s="504" t="s">
        <v>773</v>
      </c>
      <c r="F3" s="504" t="s">
        <v>793</v>
      </c>
      <c r="G3" s="270" t="s">
        <v>798</v>
      </c>
      <c r="H3" s="505">
        <v>700000</v>
      </c>
      <c r="I3" s="505">
        <v>196704</v>
      </c>
      <c r="J3" s="503">
        <v>48</v>
      </c>
      <c r="K3" s="506">
        <v>22900</v>
      </c>
      <c r="L3" s="340">
        <f ca="1">((TODAY()-D3)/31)</f>
        <v>27.483870967741936</v>
      </c>
      <c r="M3" s="202">
        <f t="shared" ref="M3:M4" ca="1" si="0">J3-L3</f>
        <v>20.516129032258064</v>
      </c>
      <c r="N3" s="195" t="s">
        <v>236</v>
      </c>
      <c r="O3" s="193">
        <f t="shared" ref="O3:O4" si="1">IF(N3="YES",(K3),"0")</f>
        <v>22900</v>
      </c>
      <c r="P3" s="196"/>
      <c r="Q3" s="197"/>
      <c r="R3" s="182"/>
      <c r="S3" s="182"/>
      <c r="T3" s="182"/>
      <c r="U3" s="182"/>
      <c r="V3" s="182"/>
      <c r="W3" s="182"/>
      <c r="X3" s="182"/>
      <c r="Y3" s="182"/>
      <c r="Z3" s="182"/>
      <c r="AA3" s="182"/>
      <c r="AB3" s="182"/>
    </row>
    <row r="4" spans="1:29" s="183" customFormat="1" ht="15">
      <c r="A4" s="502">
        <v>2</v>
      </c>
      <c r="B4" s="503" t="s">
        <v>774</v>
      </c>
      <c r="C4" s="507" t="s">
        <v>794</v>
      </c>
      <c r="D4" s="508">
        <v>40521</v>
      </c>
      <c r="E4" s="508">
        <v>41274</v>
      </c>
      <c r="F4" s="507"/>
      <c r="G4" s="507" t="s">
        <v>799</v>
      </c>
      <c r="H4" s="510">
        <v>3500000</v>
      </c>
      <c r="I4" s="510">
        <v>3051455</v>
      </c>
      <c r="J4" s="509"/>
      <c r="K4" s="511"/>
      <c r="L4" s="340">
        <f t="shared" ref="L4" ca="1" si="2">((TODAY()-D4)/31)</f>
        <v>145.7741935483871</v>
      </c>
      <c r="M4" s="202">
        <f t="shared" ca="1" si="0"/>
        <v>-145.7741935483871</v>
      </c>
      <c r="N4" s="195" t="s">
        <v>236</v>
      </c>
      <c r="O4" s="193">
        <f t="shared" si="1"/>
        <v>0</v>
      </c>
      <c r="P4" s="196"/>
      <c r="Q4" s="197"/>
      <c r="R4" s="182"/>
      <c r="S4" s="182"/>
      <c r="T4" s="182"/>
      <c r="U4" s="182"/>
      <c r="V4" s="182"/>
      <c r="W4" s="182"/>
      <c r="X4" s="182"/>
      <c r="Y4" s="182"/>
      <c r="Z4" s="182"/>
      <c r="AA4" s="182"/>
      <c r="AB4" s="182"/>
    </row>
    <row r="5" spans="1:29" s="181" customFormat="1">
      <c r="A5" s="184"/>
      <c r="B5" s="184"/>
      <c r="C5" s="184"/>
      <c r="D5" s="184"/>
      <c r="E5" s="184"/>
      <c r="F5" s="184"/>
      <c r="G5" s="184"/>
      <c r="H5" s="194">
        <f>SUM(H3:H4)</f>
        <v>4200000</v>
      </c>
      <c r="I5" s="194">
        <f>SUM(I3:I4)</f>
        <v>3248159</v>
      </c>
      <c r="J5" s="185"/>
      <c r="K5" s="194">
        <f>SUM(K3:K4)</f>
        <v>22900</v>
      </c>
      <c r="L5" s="184"/>
      <c r="M5" s="184"/>
      <c r="N5" s="184"/>
      <c r="O5" s="194">
        <f>SUM(O3:O4)</f>
        <v>22900</v>
      </c>
      <c r="P5" s="186"/>
      <c r="Q5" s="186"/>
      <c r="R5" s="180"/>
      <c r="S5" s="180"/>
      <c r="T5" s="180"/>
      <c r="U5" s="180"/>
      <c r="V5" s="180"/>
      <c r="W5" s="180"/>
      <c r="X5" s="180"/>
      <c r="Y5" s="180"/>
      <c r="Z5" s="180"/>
      <c r="AA5" s="180"/>
      <c r="AB5" s="180"/>
    </row>
    <row r="6" spans="1:29" s="181" customFormat="1" ht="13.5" thickBot="1">
      <c r="A6" s="187"/>
      <c r="B6" s="187"/>
      <c r="C6" s="187"/>
      <c r="D6" s="187"/>
      <c r="E6" s="187"/>
      <c r="F6" s="187"/>
      <c r="G6" s="187"/>
      <c r="H6" s="187"/>
      <c r="I6" s="187"/>
      <c r="J6" s="187"/>
      <c r="K6" s="187"/>
      <c r="L6" s="187"/>
      <c r="M6" s="187"/>
      <c r="N6" s="187"/>
      <c r="O6" s="188"/>
      <c r="P6" s="187"/>
      <c r="Q6" s="187"/>
      <c r="R6" s="180"/>
      <c r="S6" s="180"/>
      <c r="T6" s="180"/>
      <c r="U6" s="180"/>
      <c r="V6" s="180"/>
      <c r="W6" s="180"/>
      <c r="X6" s="180"/>
      <c r="Y6" s="180"/>
      <c r="Z6" s="180"/>
      <c r="AA6" s="180"/>
      <c r="AB6" s="180"/>
      <c r="AC6" s="180"/>
    </row>
    <row r="7" spans="1:29" ht="13.5" thickBot="1">
      <c r="A7" s="187"/>
      <c r="B7" s="557" t="s">
        <v>238</v>
      </c>
      <c r="C7" s="558"/>
      <c r="D7" s="558"/>
      <c r="E7" s="558"/>
      <c r="F7" s="558"/>
      <c r="G7" s="558"/>
      <c r="H7" s="558"/>
      <c r="I7" s="558"/>
      <c r="J7" s="558"/>
      <c r="K7" s="558"/>
      <c r="L7" s="558"/>
      <c r="M7" s="558"/>
      <c r="N7" s="558"/>
      <c r="O7" s="558"/>
      <c r="P7" s="558"/>
      <c r="Q7" s="187"/>
    </row>
    <row r="8" spans="1:29">
      <c r="A8" s="187"/>
      <c r="B8" s="200" t="s">
        <v>239</v>
      </c>
      <c r="C8" s="198" t="s">
        <v>462</v>
      </c>
      <c r="D8" s="198"/>
      <c r="E8" s="198"/>
      <c r="F8" s="198"/>
      <c r="G8" s="198"/>
      <c r="H8" s="198"/>
      <c r="I8" s="198"/>
      <c r="J8" s="198"/>
      <c r="K8" s="198"/>
      <c r="L8" s="198"/>
      <c r="M8" s="198"/>
      <c r="N8" s="198"/>
      <c r="O8" s="198"/>
      <c r="P8" s="198"/>
      <c r="Q8" s="187"/>
    </row>
    <row r="9" spans="1:29">
      <c r="A9" s="187"/>
      <c r="B9" s="200" t="s">
        <v>240</v>
      </c>
      <c r="C9" s="198" t="str">
        <f>+F3</f>
        <v>Kmpl</v>
      </c>
      <c r="D9" s="198">
        <f>+F4</f>
        <v>0</v>
      </c>
      <c r="E9" s="198" t="e">
        <f>+#REF!</f>
        <v>#REF!</v>
      </c>
      <c r="F9" s="198" t="e">
        <f>+#REF!</f>
        <v>#REF!</v>
      </c>
      <c r="G9" s="198"/>
      <c r="H9" s="198"/>
      <c r="I9" s="198"/>
      <c r="J9" s="198"/>
      <c r="K9" s="198"/>
      <c r="L9" s="198"/>
      <c r="M9" s="198"/>
      <c r="N9" s="198"/>
      <c r="O9" s="198"/>
      <c r="P9" s="198"/>
      <c r="Q9" s="187"/>
    </row>
    <row r="10" spans="1:29">
      <c r="A10" s="187"/>
      <c r="B10" s="201" t="s">
        <v>241</v>
      </c>
      <c r="C10" s="198">
        <f>+K3</f>
        <v>22900</v>
      </c>
      <c r="D10" s="198">
        <f>+K4</f>
        <v>0</v>
      </c>
      <c r="E10" s="198" t="e">
        <f>+#REF!</f>
        <v>#REF!</v>
      </c>
      <c r="F10" s="198" t="e">
        <f>+#REF!</f>
        <v>#REF!</v>
      </c>
      <c r="G10" s="198"/>
      <c r="H10" s="198" t="e">
        <f>+#REF!</f>
        <v>#REF!</v>
      </c>
      <c r="I10" s="198"/>
      <c r="J10" s="198"/>
      <c r="K10" s="198"/>
      <c r="L10" s="198"/>
      <c r="M10" s="198"/>
      <c r="N10" s="198"/>
      <c r="O10" s="198"/>
      <c r="P10" s="198"/>
      <c r="Q10" s="187"/>
    </row>
    <row r="11" spans="1:29">
      <c r="A11" s="187"/>
      <c r="B11" s="199">
        <v>44652</v>
      </c>
      <c r="C11" s="632">
        <v>5</v>
      </c>
      <c r="D11" s="632"/>
      <c r="E11" s="632"/>
      <c r="F11" s="632"/>
      <c r="G11" s="632"/>
      <c r="H11" s="632"/>
      <c r="I11" s="279"/>
      <c r="J11" s="279"/>
      <c r="K11" s="279"/>
      <c r="L11" s="279"/>
      <c r="M11" s="279"/>
      <c r="N11" s="279"/>
      <c r="O11" s="279"/>
      <c r="P11" s="279"/>
      <c r="Q11" s="187"/>
    </row>
    <row r="12" spans="1:29">
      <c r="A12" s="187"/>
      <c r="B12" s="199">
        <v>44682</v>
      </c>
      <c r="C12" s="632">
        <v>5</v>
      </c>
      <c r="D12" s="632"/>
      <c r="E12" s="632"/>
      <c r="F12" s="632"/>
      <c r="G12" s="632"/>
      <c r="H12" s="632"/>
      <c r="I12" s="279"/>
      <c r="J12" s="279"/>
      <c r="K12" s="279"/>
      <c r="L12" s="279"/>
      <c r="M12" s="279"/>
      <c r="N12" s="279"/>
      <c r="O12" s="279"/>
      <c r="P12" s="279"/>
      <c r="Q12" s="187"/>
    </row>
    <row r="13" spans="1:29">
      <c r="A13" s="187"/>
      <c r="B13" s="199">
        <v>44713</v>
      </c>
      <c r="C13" s="632">
        <v>5</v>
      </c>
      <c r="D13" s="632"/>
      <c r="E13" s="632"/>
      <c r="F13" s="632"/>
      <c r="G13" s="632"/>
      <c r="H13" s="632"/>
      <c r="I13" s="279"/>
      <c r="J13" s="279"/>
      <c r="K13" s="279"/>
      <c r="L13" s="279"/>
      <c r="M13" s="279"/>
      <c r="N13" s="279"/>
      <c r="O13" s="279"/>
      <c r="P13" s="279"/>
      <c r="Q13" s="187"/>
    </row>
    <row r="14" spans="1:29">
      <c r="A14" s="187"/>
      <c r="B14" s="199">
        <v>44743</v>
      </c>
      <c r="C14" s="632">
        <v>5</v>
      </c>
      <c r="D14" s="632"/>
      <c r="E14" s="632"/>
      <c r="F14" s="632"/>
      <c r="G14" s="632"/>
      <c r="H14" s="632"/>
      <c r="I14" s="279"/>
      <c r="J14" s="279"/>
      <c r="K14" s="279"/>
      <c r="L14" s="279"/>
      <c r="M14" s="279"/>
      <c r="N14" s="279"/>
      <c r="O14" s="279"/>
      <c r="P14" s="279"/>
      <c r="Q14" s="187"/>
    </row>
    <row r="15" spans="1:29">
      <c r="A15" s="187"/>
      <c r="B15" s="199">
        <v>44774</v>
      </c>
      <c r="C15" s="632">
        <v>5</v>
      </c>
      <c r="D15" s="632"/>
      <c r="E15" s="632"/>
      <c r="F15" s="632"/>
      <c r="G15" s="632"/>
      <c r="H15" s="632"/>
      <c r="I15" s="279"/>
      <c r="J15" s="279"/>
      <c r="K15" s="279"/>
      <c r="L15" s="279"/>
      <c r="M15" s="279"/>
      <c r="N15" s="279"/>
      <c r="O15" s="279"/>
      <c r="P15" s="279"/>
      <c r="Q15" s="187"/>
    </row>
    <row r="16" spans="1:29">
      <c r="A16" s="187"/>
      <c r="B16" s="199">
        <v>44805</v>
      </c>
      <c r="C16" s="632">
        <v>5</v>
      </c>
      <c r="D16" s="632"/>
      <c r="E16" s="632"/>
      <c r="F16" s="632"/>
      <c r="G16" s="632"/>
      <c r="H16" s="632"/>
      <c r="I16" s="279"/>
      <c r="J16" s="279"/>
      <c r="K16" s="279"/>
      <c r="L16" s="279"/>
      <c r="M16" s="279"/>
      <c r="N16" s="279"/>
      <c r="O16" s="279"/>
      <c r="P16" s="279"/>
      <c r="Q16" s="187"/>
    </row>
    <row r="17" spans="1:17">
      <c r="A17" s="187"/>
      <c r="B17" s="199">
        <v>44835</v>
      </c>
      <c r="C17" s="632">
        <v>5</v>
      </c>
      <c r="D17" s="632"/>
      <c r="E17" s="632"/>
      <c r="F17" s="632"/>
      <c r="G17" s="632"/>
      <c r="H17" s="632"/>
      <c r="I17" s="279"/>
      <c r="J17" s="279"/>
      <c r="K17" s="279"/>
      <c r="L17" s="279"/>
      <c r="M17" s="279"/>
      <c r="N17" s="279"/>
      <c r="O17" s="279"/>
      <c r="P17" s="279"/>
      <c r="Q17" s="187"/>
    </row>
    <row r="18" spans="1:17">
      <c r="A18" s="187"/>
      <c r="B18" s="199">
        <v>44866</v>
      </c>
      <c r="C18" s="632">
        <v>5</v>
      </c>
      <c r="D18" s="632"/>
      <c r="E18" s="632"/>
      <c r="F18" s="632"/>
      <c r="G18" s="632"/>
      <c r="H18" s="632"/>
      <c r="I18" s="279"/>
      <c r="J18" s="279"/>
      <c r="K18" s="279"/>
      <c r="L18" s="279"/>
      <c r="M18" s="279"/>
      <c r="N18" s="279"/>
      <c r="O18" s="279"/>
      <c r="P18" s="279"/>
      <c r="Q18" s="187"/>
    </row>
    <row r="19" spans="1:17">
      <c r="A19" s="187"/>
      <c r="B19" s="199">
        <v>44896</v>
      </c>
      <c r="C19" s="632">
        <v>5</v>
      </c>
      <c r="D19" s="632"/>
      <c r="E19" s="632"/>
      <c r="F19" s="632"/>
      <c r="G19" s="632"/>
      <c r="H19" s="632"/>
      <c r="I19" s="279"/>
      <c r="J19" s="279"/>
      <c r="K19" s="279"/>
      <c r="L19" s="279"/>
      <c r="M19" s="279"/>
      <c r="N19" s="279"/>
      <c r="O19" s="279"/>
      <c r="P19" s="279"/>
      <c r="Q19" s="187"/>
    </row>
    <row r="20" spans="1:17">
      <c r="A20" s="187"/>
      <c r="B20" s="199">
        <v>44927</v>
      </c>
      <c r="C20" s="632">
        <v>5</v>
      </c>
      <c r="D20" s="632"/>
      <c r="E20" s="632"/>
      <c r="F20" s="632"/>
      <c r="G20" s="632"/>
      <c r="H20" s="632"/>
      <c r="I20" s="279"/>
      <c r="J20" s="279"/>
      <c r="K20" s="279"/>
      <c r="L20" s="279"/>
      <c r="M20" s="279"/>
      <c r="N20" s="279"/>
      <c r="O20" s="279"/>
      <c r="P20" s="279"/>
      <c r="Q20" s="187"/>
    </row>
    <row r="21" spans="1:17">
      <c r="A21" s="187"/>
      <c r="B21" s="199">
        <v>44958</v>
      </c>
      <c r="C21" s="632">
        <v>5</v>
      </c>
      <c r="D21" s="632"/>
      <c r="E21" s="632"/>
      <c r="F21" s="632"/>
      <c r="G21" s="632"/>
      <c r="H21" s="632"/>
      <c r="I21" s="279"/>
      <c r="J21" s="279"/>
      <c r="K21" s="279"/>
      <c r="L21" s="279"/>
      <c r="M21" s="279"/>
      <c r="N21" s="279"/>
      <c r="O21" s="279"/>
      <c r="P21" s="279"/>
      <c r="Q21" s="187"/>
    </row>
    <row r="22" spans="1:17">
      <c r="A22" s="187"/>
      <c r="B22" s="199">
        <v>44986</v>
      </c>
      <c r="C22" s="632">
        <v>5</v>
      </c>
      <c r="D22" s="632"/>
      <c r="E22" s="632"/>
      <c r="F22" s="632"/>
      <c r="G22" s="632"/>
      <c r="H22" s="632"/>
      <c r="I22" s="279"/>
      <c r="J22" s="279"/>
      <c r="K22" s="279"/>
      <c r="L22" s="279"/>
      <c r="M22" s="279"/>
      <c r="N22" s="279"/>
      <c r="O22" s="279"/>
      <c r="P22" s="279"/>
      <c r="Q22" s="187"/>
    </row>
    <row r="23" spans="1:17">
      <c r="A23" s="187"/>
      <c r="B23" s="190"/>
      <c r="C23" s="190"/>
      <c r="D23" s="190"/>
      <c r="E23" s="190"/>
      <c r="F23" s="190"/>
      <c r="G23" s="190"/>
      <c r="H23" s="190"/>
      <c r="I23" s="190"/>
      <c r="J23" s="190"/>
      <c r="K23" s="190"/>
      <c r="L23" s="190"/>
      <c r="M23" s="190"/>
      <c r="N23" s="190"/>
      <c r="O23" s="191"/>
      <c r="P23" s="190"/>
      <c r="Q23" s="187"/>
    </row>
    <row r="24" spans="1:17">
      <c r="A24" s="187"/>
      <c r="B24" s="190"/>
      <c r="C24" s="190"/>
      <c r="D24" s="190"/>
      <c r="E24" s="190"/>
      <c r="F24" s="190"/>
      <c r="G24" s="190"/>
      <c r="H24" s="190"/>
      <c r="I24" s="190"/>
      <c r="J24" s="190"/>
      <c r="K24" s="190"/>
      <c r="L24" s="190"/>
      <c r="M24" s="190"/>
      <c r="N24" s="190"/>
      <c r="O24" s="191"/>
      <c r="P24" s="190"/>
      <c r="Q24" s="187"/>
    </row>
    <row r="25" spans="1:17">
      <c r="A25" s="187"/>
      <c r="B25" s="187"/>
      <c r="C25" s="187"/>
      <c r="D25" s="187"/>
      <c r="E25" s="187"/>
      <c r="F25" s="187"/>
      <c r="G25" s="187"/>
      <c r="H25" s="187"/>
      <c r="I25" s="187"/>
      <c r="J25" s="187"/>
      <c r="K25" s="187"/>
      <c r="L25" s="187"/>
      <c r="M25" s="187"/>
      <c r="N25" s="187"/>
      <c r="O25" s="188"/>
      <c r="P25" s="187"/>
      <c r="Q25" s="187"/>
    </row>
    <row r="26" spans="1:17">
      <c r="A26" s="187"/>
      <c r="B26" s="187"/>
      <c r="C26" s="187"/>
      <c r="D26" s="187"/>
      <c r="E26" s="187"/>
      <c r="F26" s="187"/>
      <c r="G26" s="187"/>
      <c r="H26" s="187"/>
      <c r="I26" s="187"/>
      <c r="J26" s="187"/>
      <c r="K26" s="187"/>
      <c r="L26" s="187"/>
      <c r="M26" s="187"/>
      <c r="N26" s="187"/>
      <c r="O26" s="188"/>
      <c r="P26" s="187"/>
      <c r="Q26" s="187"/>
    </row>
    <row r="27" spans="1:17">
      <c r="A27" s="187"/>
      <c r="B27" s="187"/>
      <c r="C27" s="187"/>
      <c r="D27" s="187"/>
      <c r="E27" s="187"/>
      <c r="F27" s="187"/>
      <c r="G27" s="187"/>
      <c r="H27" s="187"/>
      <c r="I27" s="187"/>
      <c r="J27" s="187"/>
      <c r="K27" s="187"/>
      <c r="L27" s="187"/>
      <c r="M27" s="187"/>
      <c r="N27" s="187"/>
      <c r="O27" s="188"/>
      <c r="P27" s="187"/>
      <c r="Q27" s="187"/>
    </row>
    <row r="28" spans="1:17">
      <c r="A28" s="187"/>
      <c r="B28" s="187"/>
      <c r="C28" s="187"/>
      <c r="D28" s="187"/>
      <c r="E28" s="187"/>
      <c r="F28" s="187"/>
      <c r="G28" s="187"/>
      <c r="H28" s="187"/>
      <c r="I28" s="187"/>
      <c r="J28" s="187"/>
      <c r="K28" s="187"/>
      <c r="L28" s="187"/>
      <c r="M28" s="187"/>
      <c r="N28" s="187"/>
      <c r="O28" s="188"/>
      <c r="P28" s="187"/>
      <c r="Q28" s="187"/>
    </row>
    <row r="29" spans="1:17">
      <c r="A29" s="187"/>
      <c r="B29" s="187"/>
      <c r="C29" s="187"/>
      <c r="D29" s="187"/>
      <c r="E29" s="187"/>
      <c r="F29" s="187"/>
      <c r="G29" s="187"/>
      <c r="H29" s="187"/>
      <c r="I29" s="187"/>
      <c r="J29" s="187"/>
      <c r="K29" s="187"/>
      <c r="L29" s="187"/>
      <c r="M29" s="187"/>
      <c r="N29" s="187"/>
      <c r="O29" s="188"/>
      <c r="P29" s="187"/>
      <c r="Q29" s="187"/>
    </row>
    <row r="30" spans="1:17">
      <c r="A30" s="187"/>
      <c r="B30" s="187"/>
      <c r="C30" s="187"/>
      <c r="D30" s="187"/>
      <c r="E30" s="187"/>
      <c r="F30" s="187"/>
      <c r="G30" s="187"/>
      <c r="H30" s="187"/>
      <c r="I30" s="187"/>
      <c r="J30" s="187"/>
      <c r="K30" s="187"/>
      <c r="L30" s="187"/>
      <c r="M30" s="187"/>
      <c r="N30" s="187"/>
      <c r="O30" s="188"/>
      <c r="P30" s="187"/>
      <c r="Q30" s="187"/>
    </row>
    <row r="31" spans="1:17">
      <c r="A31" s="187"/>
      <c r="B31" s="187"/>
      <c r="C31" s="187"/>
      <c r="D31" s="187"/>
      <c r="E31" s="187"/>
      <c r="F31" s="187"/>
      <c r="G31" s="187"/>
      <c r="H31" s="187"/>
      <c r="I31" s="187"/>
      <c r="J31" s="187"/>
      <c r="K31" s="187"/>
      <c r="L31" s="187"/>
      <c r="M31" s="187"/>
      <c r="N31" s="187"/>
      <c r="O31" s="188"/>
      <c r="P31" s="187"/>
      <c r="Q31" s="187"/>
    </row>
    <row r="32" spans="1:17">
      <c r="A32" s="187"/>
      <c r="B32" s="187"/>
      <c r="C32" s="187"/>
      <c r="D32" s="187"/>
      <c r="E32" s="187"/>
      <c r="F32" s="187"/>
      <c r="G32" s="187"/>
      <c r="H32" s="187"/>
      <c r="I32" s="187"/>
      <c r="J32" s="187"/>
      <c r="K32" s="187"/>
      <c r="L32" s="187"/>
      <c r="M32" s="187"/>
      <c r="N32" s="187"/>
      <c r="O32" s="188"/>
      <c r="P32" s="187"/>
      <c r="Q32" s="187"/>
    </row>
    <row r="33" spans="1:17">
      <c r="A33" s="187"/>
      <c r="B33" s="187"/>
      <c r="C33" s="187"/>
      <c r="D33" s="187"/>
      <c r="E33" s="187"/>
      <c r="F33" s="187"/>
      <c r="G33" s="187"/>
      <c r="H33" s="187"/>
      <c r="I33" s="187"/>
      <c r="J33" s="187"/>
      <c r="K33" s="187"/>
      <c r="L33" s="187"/>
      <c r="M33" s="187"/>
      <c r="N33" s="187"/>
      <c r="O33" s="188"/>
      <c r="P33" s="187"/>
      <c r="Q33" s="187"/>
    </row>
    <row r="34" spans="1:17">
      <c r="A34" s="187"/>
      <c r="B34" s="187"/>
      <c r="C34" s="187"/>
      <c r="D34" s="187"/>
      <c r="E34" s="187"/>
      <c r="F34" s="187"/>
      <c r="G34" s="187"/>
      <c r="H34" s="187"/>
      <c r="I34" s="187"/>
      <c r="J34" s="187"/>
      <c r="K34" s="187"/>
      <c r="L34" s="187"/>
      <c r="M34" s="187"/>
      <c r="N34" s="187"/>
      <c r="O34" s="188"/>
      <c r="P34" s="187"/>
      <c r="Q34" s="187"/>
    </row>
    <row r="35" spans="1:17">
      <c r="A35" s="187"/>
      <c r="B35" s="187"/>
      <c r="C35" s="187"/>
      <c r="D35" s="187"/>
      <c r="E35" s="187"/>
      <c r="F35" s="187"/>
      <c r="G35" s="187"/>
      <c r="H35" s="187"/>
      <c r="I35" s="187"/>
      <c r="J35" s="187"/>
      <c r="K35" s="187"/>
      <c r="L35" s="187"/>
      <c r="M35" s="187"/>
      <c r="N35" s="187"/>
      <c r="O35" s="188"/>
      <c r="P35" s="187"/>
      <c r="Q35" s="187"/>
    </row>
    <row r="36" spans="1:17">
      <c r="A36" s="187"/>
      <c r="B36" s="187"/>
      <c r="C36" s="187"/>
      <c r="D36" s="187"/>
      <c r="E36" s="187"/>
      <c r="F36" s="187"/>
      <c r="G36" s="187"/>
      <c r="H36" s="187"/>
      <c r="I36" s="187"/>
      <c r="J36" s="187"/>
      <c r="K36" s="187"/>
      <c r="L36" s="187"/>
      <c r="M36" s="187"/>
      <c r="N36" s="187"/>
      <c r="O36" s="188"/>
      <c r="P36" s="187"/>
      <c r="Q36" s="187"/>
    </row>
    <row r="37" spans="1:17">
      <c r="A37" s="187"/>
      <c r="B37" s="187"/>
      <c r="C37" s="187"/>
      <c r="D37" s="187"/>
      <c r="E37" s="187"/>
      <c r="F37" s="187"/>
      <c r="G37" s="187"/>
      <c r="H37" s="187"/>
      <c r="I37" s="187"/>
      <c r="J37" s="187"/>
      <c r="K37" s="187"/>
      <c r="L37" s="187"/>
      <c r="M37" s="187"/>
      <c r="N37" s="187"/>
      <c r="O37" s="188"/>
      <c r="P37" s="187"/>
      <c r="Q37" s="187"/>
    </row>
    <row r="38" spans="1:17">
      <c r="A38" s="187"/>
      <c r="B38" s="187"/>
      <c r="C38" s="187"/>
      <c r="D38" s="187"/>
      <c r="E38" s="187"/>
      <c r="F38" s="187"/>
      <c r="G38" s="187"/>
      <c r="H38" s="187"/>
      <c r="I38" s="187"/>
      <c r="J38" s="187"/>
      <c r="K38" s="187"/>
      <c r="L38" s="187"/>
      <c r="M38" s="187"/>
      <c r="N38" s="187"/>
      <c r="O38" s="188"/>
      <c r="P38" s="187"/>
      <c r="Q38" s="187"/>
    </row>
    <row r="39" spans="1:17">
      <c r="A39" s="187"/>
      <c r="B39" s="187"/>
      <c r="C39" s="187"/>
      <c r="D39" s="187"/>
      <c r="E39" s="187"/>
      <c r="F39" s="187"/>
      <c r="G39" s="187"/>
      <c r="H39" s="187"/>
      <c r="I39" s="187"/>
      <c r="J39" s="187"/>
      <c r="K39" s="187"/>
      <c r="L39" s="187"/>
      <c r="M39" s="187"/>
      <c r="N39" s="187"/>
      <c r="O39" s="188"/>
      <c r="P39" s="187"/>
      <c r="Q39" s="187"/>
    </row>
    <row r="40" spans="1:17">
      <c r="A40" s="187"/>
      <c r="B40" s="187"/>
      <c r="C40" s="187"/>
      <c r="D40" s="187"/>
      <c r="E40" s="187"/>
      <c r="F40" s="187"/>
      <c r="G40" s="187"/>
      <c r="H40" s="187"/>
      <c r="I40" s="187"/>
      <c r="J40" s="187"/>
      <c r="K40" s="187"/>
      <c r="L40" s="187"/>
      <c r="M40" s="187"/>
      <c r="N40" s="187"/>
      <c r="O40" s="188"/>
      <c r="P40" s="187"/>
      <c r="Q40" s="187"/>
    </row>
    <row r="41" spans="1:17">
      <c r="A41" s="187"/>
      <c r="B41" s="187"/>
      <c r="C41" s="187"/>
      <c r="D41" s="187"/>
      <c r="E41" s="187"/>
      <c r="F41" s="187"/>
      <c r="G41" s="187"/>
      <c r="H41" s="187"/>
      <c r="I41" s="187"/>
      <c r="J41" s="187"/>
      <c r="K41" s="187"/>
      <c r="L41" s="187"/>
      <c r="M41" s="187"/>
      <c r="N41" s="187"/>
      <c r="O41" s="188"/>
      <c r="P41" s="187"/>
      <c r="Q41" s="187"/>
    </row>
    <row r="42" spans="1:17">
      <c r="A42" s="187"/>
      <c r="B42" s="187"/>
      <c r="C42" s="187"/>
      <c r="D42" s="187"/>
      <c r="E42" s="187"/>
      <c r="F42" s="187"/>
      <c r="G42" s="187"/>
      <c r="H42" s="187"/>
      <c r="I42" s="187"/>
      <c r="J42" s="187"/>
      <c r="K42" s="187"/>
      <c r="L42" s="187"/>
      <c r="M42" s="187"/>
      <c r="N42" s="187"/>
      <c r="O42" s="188"/>
      <c r="P42" s="187"/>
      <c r="Q42" s="187"/>
    </row>
    <row r="43" spans="1:17">
      <c r="A43" s="187"/>
      <c r="B43" s="187"/>
      <c r="C43" s="187"/>
      <c r="D43" s="187"/>
      <c r="E43" s="187"/>
      <c r="F43" s="187"/>
      <c r="G43" s="187"/>
      <c r="H43" s="187"/>
      <c r="I43" s="187"/>
      <c r="J43" s="187"/>
      <c r="K43" s="187"/>
      <c r="L43" s="187"/>
      <c r="M43" s="187"/>
      <c r="N43" s="187"/>
      <c r="O43" s="188"/>
      <c r="P43" s="187"/>
      <c r="Q43" s="187"/>
    </row>
    <row r="44" spans="1:17">
      <c r="A44" s="187"/>
      <c r="B44" s="187"/>
      <c r="C44" s="187"/>
      <c r="D44" s="187"/>
      <c r="E44" s="187"/>
      <c r="F44" s="187"/>
      <c r="G44" s="187"/>
      <c r="H44" s="187"/>
      <c r="I44" s="187"/>
      <c r="J44" s="187"/>
      <c r="K44" s="187"/>
      <c r="L44" s="187"/>
      <c r="M44" s="187"/>
      <c r="N44" s="187"/>
      <c r="O44" s="188"/>
      <c r="P44" s="187"/>
      <c r="Q44" s="187"/>
    </row>
    <row r="45" spans="1:17">
      <c r="A45" s="187"/>
      <c r="B45" s="187"/>
      <c r="C45" s="187"/>
      <c r="D45" s="187"/>
      <c r="E45" s="187"/>
      <c r="F45" s="187"/>
      <c r="G45" s="187"/>
      <c r="H45" s="187"/>
      <c r="I45" s="187"/>
      <c r="J45" s="187"/>
      <c r="K45" s="187"/>
      <c r="L45" s="187"/>
      <c r="M45" s="187"/>
      <c r="N45" s="187"/>
      <c r="O45" s="188"/>
      <c r="P45" s="187"/>
      <c r="Q45" s="187"/>
    </row>
    <row r="46" spans="1:17">
      <c r="A46" s="187"/>
      <c r="B46" s="187"/>
      <c r="C46" s="187"/>
      <c r="D46" s="187"/>
      <c r="E46" s="187"/>
      <c r="F46" s="187"/>
      <c r="G46" s="187"/>
      <c r="H46" s="187"/>
      <c r="I46" s="187"/>
      <c r="J46" s="187"/>
      <c r="K46" s="187"/>
      <c r="L46" s="187"/>
      <c r="M46" s="187"/>
      <c r="N46" s="187"/>
      <c r="O46" s="188"/>
      <c r="P46" s="187"/>
      <c r="Q46" s="187"/>
    </row>
    <row r="47" spans="1:17">
      <c r="A47" s="187"/>
      <c r="B47" s="187"/>
      <c r="C47" s="187"/>
      <c r="D47" s="187"/>
      <c r="E47" s="187"/>
      <c r="F47" s="187"/>
      <c r="G47" s="187"/>
      <c r="H47" s="187"/>
      <c r="I47" s="187"/>
      <c r="J47" s="187"/>
      <c r="K47" s="187"/>
      <c r="L47" s="187"/>
      <c r="M47" s="187"/>
      <c r="N47" s="187"/>
      <c r="O47" s="188"/>
      <c r="P47" s="187"/>
      <c r="Q47" s="187"/>
    </row>
    <row r="48" spans="1:17">
      <c r="A48" s="187"/>
      <c r="B48" s="187"/>
      <c r="C48" s="187"/>
      <c r="D48" s="187"/>
      <c r="E48" s="187"/>
      <c r="F48" s="187"/>
      <c r="G48" s="187"/>
      <c r="H48" s="187"/>
      <c r="I48" s="187"/>
      <c r="J48" s="187"/>
      <c r="K48" s="187"/>
      <c r="L48" s="187"/>
      <c r="M48" s="187"/>
      <c r="N48" s="187"/>
      <c r="O48" s="188"/>
      <c r="P48" s="187"/>
      <c r="Q48" s="187"/>
    </row>
    <row r="49" spans="1:17">
      <c r="A49" s="187"/>
      <c r="B49" s="187"/>
      <c r="C49" s="187"/>
      <c r="D49" s="187"/>
      <c r="E49" s="187"/>
      <c r="F49" s="187"/>
      <c r="G49" s="187"/>
      <c r="H49" s="187"/>
      <c r="I49" s="187"/>
      <c r="J49" s="187"/>
      <c r="K49" s="187"/>
      <c r="L49" s="187"/>
      <c r="M49" s="187"/>
      <c r="N49" s="187"/>
      <c r="O49" s="188"/>
      <c r="P49" s="187"/>
      <c r="Q49" s="187"/>
    </row>
    <row r="50" spans="1:17">
      <c r="A50" s="187"/>
      <c r="B50" s="187"/>
      <c r="C50" s="187"/>
      <c r="D50" s="187"/>
      <c r="E50" s="187"/>
      <c r="F50" s="187"/>
      <c r="G50" s="187"/>
      <c r="H50" s="187"/>
      <c r="I50" s="187"/>
      <c r="J50" s="187"/>
      <c r="K50" s="187"/>
      <c r="L50" s="187"/>
      <c r="M50" s="187"/>
      <c r="N50" s="187"/>
      <c r="O50" s="188"/>
      <c r="P50" s="187"/>
      <c r="Q50" s="187"/>
    </row>
    <row r="51" spans="1:17">
      <c r="A51" s="187"/>
      <c r="B51" s="187"/>
      <c r="C51" s="187"/>
      <c r="D51" s="187"/>
      <c r="E51" s="187"/>
      <c r="F51" s="187"/>
      <c r="G51" s="187"/>
      <c r="H51" s="187"/>
      <c r="I51" s="187"/>
      <c r="J51" s="187"/>
      <c r="K51" s="187"/>
      <c r="L51" s="187"/>
      <c r="M51" s="187"/>
      <c r="N51" s="187"/>
      <c r="O51" s="188"/>
      <c r="P51" s="187"/>
      <c r="Q51" s="187"/>
    </row>
    <row r="52" spans="1:17">
      <c r="A52" s="187"/>
      <c r="B52" s="187"/>
      <c r="C52" s="187"/>
      <c r="D52" s="187"/>
      <c r="E52" s="187"/>
      <c r="F52" s="187"/>
      <c r="G52" s="187"/>
      <c r="H52" s="187"/>
      <c r="I52" s="187"/>
      <c r="J52" s="187"/>
      <c r="K52" s="187"/>
      <c r="L52" s="187"/>
      <c r="M52" s="187"/>
      <c r="N52" s="187"/>
      <c r="O52" s="188"/>
      <c r="P52" s="187"/>
      <c r="Q52" s="187"/>
    </row>
    <row r="53" spans="1:17">
      <c r="A53" s="187"/>
      <c r="B53" s="187"/>
      <c r="C53" s="187"/>
      <c r="D53" s="187"/>
      <c r="E53" s="187"/>
      <c r="F53" s="187"/>
      <c r="G53" s="187"/>
      <c r="H53" s="187"/>
      <c r="I53" s="187"/>
      <c r="J53" s="187"/>
      <c r="K53" s="187"/>
      <c r="L53" s="187"/>
      <c r="M53" s="187"/>
      <c r="N53" s="187"/>
      <c r="O53" s="188"/>
      <c r="P53" s="187"/>
      <c r="Q53" s="187"/>
    </row>
    <row r="54" spans="1:17">
      <c r="A54" s="187"/>
      <c r="B54" s="187"/>
      <c r="C54" s="187"/>
      <c r="D54" s="187"/>
      <c r="E54" s="187"/>
      <c r="F54" s="187"/>
      <c r="G54" s="187"/>
      <c r="H54" s="187"/>
      <c r="I54" s="187"/>
      <c r="J54" s="187"/>
      <c r="K54" s="187"/>
      <c r="L54" s="187"/>
      <c r="M54" s="187"/>
      <c r="N54" s="187"/>
      <c r="O54" s="188"/>
      <c r="P54" s="187"/>
      <c r="Q54" s="187"/>
    </row>
    <row r="55" spans="1:17">
      <c r="A55" s="187"/>
      <c r="B55" s="187"/>
      <c r="C55" s="187"/>
      <c r="D55" s="187"/>
      <c r="E55" s="187"/>
      <c r="F55" s="187"/>
      <c r="G55" s="187"/>
      <c r="H55" s="187"/>
      <c r="I55" s="187"/>
      <c r="J55" s="187"/>
      <c r="K55" s="187"/>
      <c r="L55" s="187"/>
      <c r="M55" s="187"/>
      <c r="N55" s="187"/>
      <c r="O55" s="188"/>
      <c r="P55" s="187"/>
      <c r="Q55" s="187"/>
    </row>
    <row r="56" spans="1:17">
      <c r="A56" s="187"/>
      <c r="B56" s="187"/>
      <c r="C56" s="187"/>
      <c r="D56" s="187"/>
      <c r="E56" s="187"/>
      <c r="F56" s="187"/>
      <c r="G56" s="187"/>
      <c r="H56" s="187"/>
      <c r="I56" s="187"/>
      <c r="J56" s="187"/>
      <c r="K56" s="187"/>
      <c r="L56" s="187"/>
      <c r="M56" s="187"/>
      <c r="N56" s="187"/>
      <c r="O56" s="188"/>
      <c r="P56" s="187"/>
      <c r="Q56" s="187"/>
    </row>
    <row r="57" spans="1:17">
      <c r="A57" s="187"/>
      <c r="B57" s="187"/>
      <c r="C57" s="187"/>
      <c r="D57" s="187"/>
      <c r="E57" s="187"/>
      <c r="F57" s="187"/>
      <c r="G57" s="187"/>
      <c r="H57" s="187"/>
      <c r="I57" s="187"/>
      <c r="J57" s="187"/>
      <c r="K57" s="187"/>
      <c r="L57" s="187"/>
      <c r="M57" s="187"/>
      <c r="N57" s="187"/>
      <c r="O57" s="188"/>
      <c r="P57" s="187"/>
      <c r="Q57" s="187"/>
    </row>
    <row r="58" spans="1:17">
      <c r="A58" s="187"/>
      <c r="B58" s="187"/>
      <c r="C58" s="187"/>
      <c r="D58" s="187"/>
      <c r="E58" s="187"/>
      <c r="F58" s="187"/>
      <c r="G58" s="187"/>
      <c r="H58" s="187"/>
      <c r="I58" s="187"/>
      <c r="J58" s="187"/>
      <c r="K58" s="187"/>
      <c r="L58" s="187"/>
      <c r="M58" s="187"/>
      <c r="N58" s="187"/>
      <c r="O58" s="188"/>
      <c r="P58" s="187"/>
      <c r="Q58" s="187"/>
    </row>
    <row r="59" spans="1:17">
      <c r="A59" s="187"/>
      <c r="B59" s="187"/>
      <c r="C59" s="187"/>
      <c r="D59" s="187"/>
      <c r="E59" s="187"/>
      <c r="F59" s="187"/>
      <c r="G59" s="187"/>
      <c r="H59" s="187"/>
      <c r="I59" s="187"/>
      <c r="J59" s="187"/>
      <c r="K59" s="187"/>
      <c r="L59" s="187"/>
      <c r="M59" s="187"/>
      <c r="N59" s="187"/>
      <c r="O59" s="188"/>
      <c r="P59" s="187"/>
      <c r="Q59" s="187"/>
    </row>
    <row r="60" spans="1:17">
      <c r="A60" s="187"/>
      <c r="B60" s="187"/>
      <c r="C60" s="187"/>
      <c r="D60" s="187"/>
      <c r="E60" s="187"/>
      <c r="F60" s="187"/>
      <c r="G60" s="187"/>
      <c r="H60" s="187"/>
      <c r="I60" s="187"/>
      <c r="J60" s="187"/>
      <c r="K60" s="187"/>
      <c r="L60" s="187"/>
      <c r="M60" s="187"/>
      <c r="N60" s="187"/>
      <c r="O60" s="188"/>
      <c r="P60" s="187"/>
      <c r="Q60" s="187"/>
    </row>
    <row r="61" spans="1:17">
      <c r="A61" s="187"/>
      <c r="B61" s="187"/>
      <c r="C61" s="187"/>
      <c r="D61" s="187"/>
      <c r="E61" s="187"/>
      <c r="F61" s="187"/>
      <c r="G61" s="187"/>
      <c r="H61" s="187"/>
      <c r="I61" s="187"/>
      <c r="J61" s="187"/>
      <c r="K61" s="187"/>
      <c r="L61" s="187"/>
      <c r="M61" s="187"/>
      <c r="N61" s="187"/>
      <c r="O61" s="188"/>
      <c r="P61" s="187"/>
      <c r="Q61" s="187"/>
    </row>
    <row r="62" spans="1:17">
      <c r="A62" s="187"/>
      <c r="B62" s="187"/>
      <c r="C62" s="187"/>
      <c r="D62" s="187"/>
      <c r="E62" s="187"/>
      <c r="F62" s="187"/>
      <c r="G62" s="187"/>
      <c r="H62" s="187"/>
      <c r="I62" s="187"/>
      <c r="J62" s="187"/>
      <c r="K62" s="187"/>
      <c r="L62" s="187"/>
      <c r="M62" s="187"/>
      <c r="N62" s="187"/>
      <c r="O62" s="188"/>
      <c r="P62" s="187"/>
      <c r="Q62" s="187"/>
    </row>
    <row r="63" spans="1:17">
      <c r="A63" s="187"/>
      <c r="B63" s="187"/>
      <c r="C63" s="187"/>
      <c r="D63" s="187"/>
      <c r="E63" s="187"/>
      <c r="F63" s="187"/>
      <c r="G63" s="187"/>
      <c r="H63" s="187"/>
      <c r="I63" s="187"/>
      <c r="J63" s="187"/>
      <c r="K63" s="187"/>
      <c r="L63" s="187"/>
      <c r="M63" s="187"/>
      <c r="N63" s="187"/>
      <c r="O63" s="188"/>
      <c r="P63" s="187"/>
      <c r="Q63" s="187"/>
    </row>
    <row r="64" spans="1:17">
      <c r="A64" s="187"/>
      <c r="B64" s="187"/>
      <c r="C64" s="187"/>
      <c r="D64" s="187"/>
      <c r="E64" s="187"/>
      <c r="F64" s="187"/>
      <c r="G64" s="187"/>
      <c r="H64" s="187"/>
      <c r="I64" s="187"/>
      <c r="J64" s="187"/>
      <c r="K64" s="187"/>
      <c r="L64" s="187"/>
      <c r="M64" s="187"/>
      <c r="N64" s="187"/>
      <c r="O64" s="188"/>
      <c r="P64" s="187"/>
      <c r="Q64" s="187"/>
    </row>
    <row r="65" spans="1:17">
      <c r="A65" s="187"/>
      <c r="B65" s="187"/>
      <c r="C65" s="187"/>
      <c r="D65" s="187"/>
      <c r="E65" s="187"/>
      <c r="F65" s="187"/>
      <c r="G65" s="187"/>
      <c r="H65" s="187"/>
      <c r="I65" s="187"/>
      <c r="J65" s="187"/>
      <c r="K65" s="187"/>
      <c r="L65" s="187"/>
      <c r="M65" s="187"/>
      <c r="N65" s="187"/>
      <c r="O65" s="188"/>
      <c r="P65" s="187"/>
      <c r="Q65" s="187"/>
    </row>
    <row r="66" spans="1:17">
      <c r="A66" s="187"/>
      <c r="B66" s="187"/>
      <c r="C66" s="187"/>
      <c r="D66" s="187"/>
      <c r="E66" s="187"/>
      <c r="F66" s="187"/>
      <c r="G66" s="187"/>
      <c r="H66" s="187"/>
      <c r="I66" s="187"/>
      <c r="J66" s="187"/>
      <c r="K66" s="187"/>
      <c r="L66" s="187"/>
      <c r="M66" s="187"/>
      <c r="N66" s="187"/>
      <c r="O66" s="188"/>
      <c r="P66" s="187"/>
      <c r="Q66" s="187"/>
    </row>
    <row r="67" spans="1:17">
      <c r="A67" s="187"/>
      <c r="B67" s="187"/>
      <c r="C67" s="187"/>
      <c r="D67" s="187"/>
      <c r="E67" s="187"/>
      <c r="F67" s="187"/>
      <c r="G67" s="187"/>
      <c r="H67" s="187"/>
      <c r="I67" s="187"/>
      <c r="J67" s="187"/>
      <c r="K67" s="187"/>
      <c r="L67" s="187"/>
      <c r="M67" s="187"/>
      <c r="N67" s="187"/>
      <c r="O67" s="188"/>
      <c r="P67" s="187"/>
      <c r="Q67" s="187"/>
    </row>
    <row r="68" spans="1:17">
      <c r="A68" s="187"/>
      <c r="B68" s="187"/>
      <c r="C68" s="187"/>
      <c r="D68" s="187"/>
      <c r="E68" s="187"/>
      <c r="F68" s="187"/>
      <c r="G68" s="187"/>
      <c r="H68" s="187"/>
      <c r="I68" s="187"/>
      <c r="J68" s="187"/>
      <c r="K68" s="187"/>
      <c r="L68" s="187"/>
      <c r="M68" s="187"/>
      <c r="N68" s="187"/>
      <c r="O68" s="188"/>
      <c r="P68" s="187"/>
      <c r="Q68" s="187"/>
    </row>
    <row r="69" spans="1:17">
      <c r="A69" s="187"/>
      <c r="B69" s="187"/>
      <c r="C69" s="187"/>
      <c r="D69" s="187"/>
      <c r="E69" s="187"/>
      <c r="F69" s="187"/>
      <c r="G69" s="187"/>
      <c r="H69" s="187"/>
      <c r="I69" s="187"/>
      <c r="J69" s="187"/>
      <c r="K69" s="187"/>
      <c r="L69" s="187"/>
      <c r="M69" s="187"/>
      <c r="N69" s="187"/>
      <c r="O69" s="188"/>
      <c r="P69" s="187"/>
      <c r="Q69" s="187"/>
    </row>
    <row r="70" spans="1:17">
      <c r="A70" s="187"/>
      <c r="B70" s="187"/>
      <c r="C70" s="187"/>
      <c r="D70" s="187"/>
      <c r="E70" s="187"/>
      <c r="F70" s="187"/>
      <c r="G70" s="187"/>
      <c r="H70" s="187"/>
      <c r="I70" s="187"/>
      <c r="J70" s="187"/>
      <c r="K70" s="187"/>
      <c r="L70" s="187"/>
      <c r="M70" s="187"/>
      <c r="N70" s="187"/>
      <c r="O70" s="188"/>
      <c r="P70" s="187"/>
      <c r="Q70" s="187"/>
    </row>
    <row r="71" spans="1:17">
      <c r="A71" s="187"/>
      <c r="B71" s="187"/>
      <c r="C71" s="187"/>
      <c r="D71" s="187"/>
      <c r="E71" s="187"/>
      <c r="F71" s="187"/>
      <c r="G71" s="187"/>
      <c r="H71" s="187"/>
      <c r="I71" s="187"/>
      <c r="J71" s="187"/>
      <c r="K71" s="187"/>
      <c r="L71" s="187"/>
      <c r="M71" s="187"/>
      <c r="N71" s="187"/>
      <c r="O71" s="188"/>
      <c r="P71" s="187"/>
      <c r="Q71" s="187"/>
    </row>
    <row r="72" spans="1:17">
      <c r="A72" s="187"/>
      <c r="B72" s="187"/>
      <c r="C72" s="187"/>
      <c r="D72" s="187"/>
      <c r="E72" s="187"/>
      <c r="F72" s="187"/>
      <c r="G72" s="187"/>
      <c r="H72" s="187"/>
      <c r="I72" s="187"/>
      <c r="J72" s="187"/>
      <c r="K72" s="187"/>
      <c r="L72" s="187"/>
      <c r="M72" s="187"/>
      <c r="N72" s="187"/>
      <c r="O72" s="188"/>
      <c r="P72" s="187"/>
      <c r="Q72" s="187"/>
    </row>
    <row r="73" spans="1:17">
      <c r="A73" s="187"/>
      <c r="B73" s="187"/>
      <c r="C73" s="187"/>
      <c r="D73" s="187"/>
      <c r="E73" s="187"/>
      <c r="F73" s="187"/>
      <c r="G73" s="187"/>
      <c r="H73" s="187"/>
      <c r="I73" s="187"/>
      <c r="J73" s="187"/>
      <c r="K73" s="187"/>
      <c r="L73" s="187"/>
      <c r="M73" s="187"/>
      <c r="N73" s="187"/>
      <c r="O73" s="188"/>
      <c r="P73" s="187"/>
      <c r="Q73" s="187"/>
    </row>
    <row r="74" spans="1:17">
      <c r="A74" s="187"/>
      <c r="B74" s="187"/>
      <c r="C74" s="187"/>
      <c r="D74" s="187"/>
      <c r="E74" s="187"/>
      <c r="F74" s="187"/>
      <c r="G74" s="187"/>
      <c r="H74" s="187"/>
      <c r="I74" s="187"/>
      <c r="J74" s="187"/>
      <c r="K74" s="187"/>
      <c r="L74" s="187"/>
      <c r="M74" s="187"/>
      <c r="N74" s="187"/>
      <c r="O74" s="188"/>
      <c r="P74" s="187"/>
      <c r="Q74" s="187"/>
    </row>
    <row r="75" spans="1:17">
      <c r="A75" s="187"/>
      <c r="B75" s="187"/>
      <c r="C75" s="187"/>
      <c r="D75" s="187"/>
      <c r="E75" s="187"/>
      <c r="F75" s="187"/>
      <c r="G75" s="187"/>
      <c r="H75" s="187"/>
      <c r="I75" s="187"/>
      <c r="J75" s="187"/>
      <c r="K75" s="187"/>
      <c r="L75" s="187"/>
      <c r="M75" s="187"/>
      <c r="N75" s="187"/>
      <c r="O75" s="188"/>
      <c r="P75" s="187"/>
      <c r="Q75" s="187"/>
    </row>
    <row r="76" spans="1:17">
      <c r="A76" s="187"/>
      <c r="B76" s="187"/>
      <c r="C76" s="187"/>
      <c r="D76" s="187"/>
      <c r="E76" s="187"/>
      <c r="F76" s="187"/>
      <c r="G76" s="187"/>
      <c r="H76" s="187"/>
      <c r="I76" s="187"/>
      <c r="J76" s="187"/>
      <c r="K76" s="187"/>
      <c r="L76" s="187"/>
      <c r="M76" s="187"/>
      <c r="N76" s="187"/>
      <c r="O76" s="188"/>
      <c r="P76" s="187"/>
      <c r="Q76" s="187"/>
    </row>
    <row r="77" spans="1:17">
      <c r="A77" s="187"/>
      <c r="B77" s="187"/>
      <c r="C77" s="187"/>
      <c r="D77" s="187"/>
      <c r="E77" s="187"/>
      <c r="F77" s="187"/>
      <c r="G77" s="187"/>
      <c r="H77" s="187"/>
      <c r="I77" s="187"/>
      <c r="J77" s="187"/>
      <c r="K77" s="187"/>
      <c r="L77" s="187"/>
      <c r="M77" s="187"/>
      <c r="N77" s="187"/>
      <c r="O77" s="188"/>
      <c r="P77" s="187"/>
      <c r="Q77" s="187"/>
    </row>
    <row r="78" spans="1:17">
      <c r="A78" s="187"/>
      <c r="B78" s="187"/>
      <c r="C78" s="187"/>
      <c r="D78" s="187"/>
      <c r="E78" s="187"/>
      <c r="F78" s="187"/>
      <c r="G78" s="187"/>
      <c r="H78" s="187"/>
      <c r="I78" s="187"/>
      <c r="J78" s="187"/>
      <c r="K78" s="187"/>
      <c r="L78" s="187"/>
      <c r="M78" s="187"/>
      <c r="N78" s="187"/>
      <c r="O78" s="188"/>
      <c r="P78" s="187"/>
      <c r="Q78" s="187"/>
    </row>
    <row r="79" spans="1:17">
      <c r="A79" s="187"/>
      <c r="B79" s="187"/>
      <c r="C79" s="187"/>
      <c r="D79" s="187"/>
      <c r="E79" s="187"/>
      <c r="F79" s="187"/>
      <c r="G79" s="187"/>
      <c r="H79" s="187"/>
      <c r="I79" s="187"/>
      <c r="J79" s="187"/>
      <c r="K79" s="187"/>
      <c r="L79" s="187"/>
      <c r="M79" s="187"/>
      <c r="N79" s="187"/>
      <c r="O79" s="188"/>
      <c r="P79" s="187"/>
      <c r="Q79" s="187"/>
    </row>
    <row r="80" spans="1:17">
      <c r="A80" s="187"/>
      <c r="B80" s="187"/>
      <c r="C80" s="187"/>
      <c r="D80" s="187"/>
      <c r="E80" s="187"/>
      <c r="F80" s="187"/>
      <c r="G80" s="187"/>
      <c r="H80" s="187"/>
      <c r="I80" s="187"/>
      <c r="J80" s="187"/>
      <c r="K80" s="187"/>
      <c r="L80" s="187"/>
      <c r="M80" s="187"/>
      <c r="N80" s="187"/>
      <c r="O80" s="188"/>
      <c r="P80" s="187"/>
      <c r="Q80" s="187"/>
    </row>
    <row r="81" spans="1:17">
      <c r="A81" s="187"/>
      <c r="B81" s="187"/>
      <c r="C81" s="187"/>
      <c r="D81" s="187"/>
      <c r="E81" s="187"/>
      <c r="F81" s="187"/>
      <c r="G81" s="187"/>
      <c r="H81" s="187"/>
      <c r="I81" s="187"/>
      <c r="J81" s="187"/>
      <c r="K81" s="187"/>
      <c r="L81" s="187"/>
      <c r="M81" s="187"/>
      <c r="N81" s="187"/>
      <c r="O81" s="188"/>
      <c r="P81" s="187"/>
      <c r="Q81" s="187"/>
    </row>
    <row r="82" spans="1:17">
      <c r="A82" s="187"/>
      <c r="B82" s="187"/>
      <c r="C82" s="187"/>
      <c r="D82" s="187"/>
      <c r="E82" s="187"/>
      <c r="F82" s="187"/>
      <c r="G82" s="187"/>
      <c r="H82" s="187"/>
      <c r="I82" s="187"/>
      <c r="J82" s="187"/>
      <c r="K82" s="187"/>
      <c r="L82" s="187"/>
      <c r="M82" s="187"/>
      <c r="N82" s="187"/>
      <c r="O82" s="188"/>
      <c r="P82" s="187"/>
      <c r="Q82" s="187"/>
    </row>
    <row r="83" spans="1:17">
      <c r="A83" s="187"/>
      <c r="B83" s="187"/>
      <c r="C83" s="187"/>
      <c r="D83" s="187"/>
      <c r="E83" s="187"/>
      <c r="F83" s="187"/>
      <c r="G83" s="187"/>
      <c r="H83" s="187"/>
      <c r="I83" s="187"/>
      <c r="J83" s="187"/>
      <c r="K83" s="187"/>
      <c r="L83" s="187"/>
      <c r="M83" s="187"/>
      <c r="N83" s="187"/>
      <c r="O83" s="188"/>
      <c r="P83" s="187"/>
      <c r="Q83" s="187"/>
    </row>
    <row r="84" spans="1:17">
      <c r="A84" s="187"/>
      <c r="B84" s="187"/>
      <c r="C84" s="187"/>
      <c r="D84" s="187"/>
      <c r="E84" s="187"/>
      <c r="F84" s="187"/>
      <c r="G84" s="187"/>
      <c r="H84" s="187"/>
      <c r="I84" s="187"/>
      <c r="J84" s="187"/>
      <c r="K84" s="187"/>
      <c r="L84" s="187"/>
      <c r="M84" s="187"/>
      <c r="N84" s="187"/>
      <c r="O84" s="188"/>
      <c r="P84" s="187"/>
      <c r="Q84" s="187"/>
    </row>
    <row r="85" spans="1:17">
      <c r="A85" s="187"/>
      <c r="B85" s="187"/>
      <c r="C85" s="187"/>
      <c r="D85" s="187"/>
      <c r="E85" s="187"/>
      <c r="F85" s="187"/>
      <c r="G85" s="187"/>
      <c r="H85" s="187"/>
      <c r="I85" s="187"/>
      <c r="J85" s="187"/>
      <c r="K85" s="187"/>
      <c r="L85" s="187"/>
      <c r="M85" s="187"/>
      <c r="N85" s="187"/>
      <c r="O85" s="188"/>
      <c r="P85" s="187"/>
      <c r="Q85" s="187"/>
    </row>
    <row r="86" spans="1:17">
      <c r="A86" s="187"/>
      <c r="B86" s="187"/>
      <c r="C86" s="187"/>
      <c r="D86" s="187"/>
      <c r="E86" s="187"/>
      <c r="F86" s="187"/>
      <c r="G86" s="187"/>
      <c r="H86" s="187"/>
      <c r="I86" s="187"/>
      <c r="J86" s="187"/>
      <c r="K86" s="187"/>
      <c r="L86" s="187"/>
      <c r="M86" s="187"/>
      <c r="N86" s="187"/>
      <c r="O86" s="188"/>
      <c r="P86" s="187"/>
      <c r="Q86" s="187"/>
    </row>
    <row r="87" spans="1:17">
      <c r="A87" s="187"/>
      <c r="B87" s="187"/>
      <c r="C87" s="187"/>
      <c r="D87" s="187"/>
      <c r="E87" s="187"/>
      <c r="F87" s="187"/>
      <c r="G87" s="187"/>
      <c r="H87" s="187"/>
      <c r="I87" s="187"/>
      <c r="J87" s="187"/>
      <c r="K87" s="187"/>
      <c r="L87" s="187"/>
      <c r="M87" s="187"/>
      <c r="N87" s="187"/>
      <c r="O87" s="188"/>
      <c r="P87" s="187"/>
      <c r="Q87" s="187"/>
    </row>
    <row r="88" spans="1:17">
      <c r="A88" s="187"/>
      <c r="B88" s="187"/>
      <c r="C88" s="187"/>
      <c r="D88" s="187"/>
      <c r="E88" s="187"/>
      <c r="F88" s="187"/>
      <c r="G88" s="187"/>
      <c r="H88" s="187"/>
      <c r="I88" s="187"/>
      <c r="J88" s="187"/>
      <c r="K88" s="187"/>
      <c r="L88" s="187"/>
      <c r="M88" s="187"/>
      <c r="N88" s="187"/>
      <c r="O88" s="188"/>
      <c r="P88" s="187"/>
      <c r="Q88" s="187"/>
    </row>
    <row r="89" spans="1:17">
      <c r="A89" s="187"/>
      <c r="B89" s="187"/>
      <c r="C89" s="187"/>
      <c r="D89" s="187"/>
      <c r="E89" s="187"/>
      <c r="F89" s="187"/>
      <c r="G89" s="187"/>
      <c r="H89" s="187"/>
      <c r="I89" s="187"/>
      <c r="J89" s="187"/>
      <c r="K89" s="187"/>
      <c r="L89" s="187"/>
      <c r="M89" s="187"/>
      <c r="N89" s="187"/>
      <c r="O89" s="188"/>
      <c r="P89" s="187"/>
      <c r="Q89" s="187"/>
    </row>
    <row r="90" spans="1:17">
      <c r="A90" s="187"/>
      <c r="B90" s="187"/>
      <c r="C90" s="187"/>
      <c r="D90" s="187"/>
      <c r="E90" s="187"/>
      <c r="F90" s="187"/>
      <c r="G90" s="187"/>
      <c r="H90" s="187"/>
      <c r="I90" s="187"/>
      <c r="J90" s="187"/>
      <c r="K90" s="187"/>
      <c r="L90" s="187"/>
      <c r="M90" s="187"/>
      <c r="N90" s="187"/>
      <c r="O90" s="188"/>
      <c r="P90" s="187"/>
      <c r="Q90" s="187"/>
    </row>
    <row r="91" spans="1:17">
      <c r="A91" s="187"/>
      <c r="B91" s="187"/>
      <c r="C91" s="187"/>
      <c r="D91" s="187"/>
      <c r="E91" s="187"/>
      <c r="F91" s="187"/>
      <c r="G91" s="187"/>
      <c r="H91" s="187"/>
      <c r="I91" s="187"/>
      <c r="J91" s="187"/>
      <c r="K91" s="187"/>
      <c r="L91" s="187"/>
      <c r="M91" s="187"/>
      <c r="N91" s="187"/>
      <c r="O91" s="188"/>
      <c r="P91" s="187"/>
      <c r="Q91" s="187"/>
    </row>
    <row r="92" spans="1:17">
      <c r="A92" s="187"/>
      <c r="B92" s="187"/>
      <c r="C92" s="187"/>
      <c r="D92" s="187"/>
      <c r="E92" s="187"/>
      <c r="F92" s="187"/>
      <c r="G92" s="187"/>
      <c r="H92" s="187"/>
      <c r="I92" s="187"/>
      <c r="J92" s="187"/>
      <c r="K92" s="187"/>
      <c r="L92" s="187"/>
      <c r="M92" s="187"/>
      <c r="N92" s="187"/>
      <c r="O92" s="188"/>
      <c r="P92" s="187"/>
      <c r="Q92" s="187"/>
    </row>
    <row r="93" spans="1:17">
      <c r="A93" s="187"/>
      <c r="B93" s="187"/>
      <c r="C93" s="187"/>
      <c r="D93" s="187"/>
      <c r="E93" s="187"/>
      <c r="F93" s="187"/>
      <c r="G93" s="187"/>
      <c r="H93" s="187"/>
      <c r="I93" s="187"/>
      <c r="J93" s="187"/>
      <c r="K93" s="187"/>
      <c r="L93" s="187"/>
      <c r="M93" s="187"/>
      <c r="N93" s="187"/>
      <c r="O93" s="188"/>
      <c r="P93" s="187"/>
      <c r="Q93" s="187"/>
    </row>
    <row r="94" spans="1:17">
      <c r="A94" s="187"/>
      <c r="B94" s="187"/>
      <c r="C94" s="187"/>
      <c r="D94" s="187"/>
      <c r="E94" s="187"/>
      <c r="F94" s="187"/>
      <c r="G94" s="187"/>
      <c r="H94" s="187"/>
      <c r="I94" s="187"/>
      <c r="J94" s="187"/>
      <c r="K94" s="187"/>
      <c r="L94" s="187"/>
      <c r="M94" s="187"/>
      <c r="N94" s="187"/>
      <c r="O94" s="188"/>
      <c r="P94" s="187"/>
      <c r="Q94" s="187"/>
    </row>
    <row r="95" spans="1:17">
      <c r="A95" s="187"/>
      <c r="B95" s="187"/>
      <c r="C95" s="187"/>
      <c r="D95" s="187"/>
      <c r="E95" s="187"/>
      <c r="F95" s="187"/>
      <c r="G95" s="187"/>
      <c r="H95" s="187"/>
      <c r="I95" s="187"/>
      <c r="J95" s="187"/>
      <c r="K95" s="187"/>
      <c r="L95" s="187"/>
      <c r="M95" s="187"/>
      <c r="N95" s="187"/>
      <c r="O95" s="188"/>
      <c r="P95" s="187"/>
      <c r="Q95" s="187"/>
    </row>
    <row r="96" spans="1:17">
      <c r="A96" s="187"/>
      <c r="B96" s="187"/>
      <c r="C96" s="187"/>
      <c r="D96" s="187"/>
      <c r="E96" s="187"/>
      <c r="F96" s="187"/>
      <c r="G96" s="187"/>
      <c r="H96" s="187"/>
      <c r="I96" s="187"/>
      <c r="J96" s="187"/>
      <c r="K96" s="187"/>
      <c r="L96" s="187"/>
      <c r="M96" s="187"/>
      <c r="N96" s="187"/>
      <c r="O96" s="188"/>
      <c r="P96" s="187"/>
      <c r="Q96" s="187"/>
    </row>
    <row r="97" spans="1:17">
      <c r="A97" s="187"/>
      <c r="B97" s="187"/>
      <c r="C97" s="187"/>
      <c r="D97" s="187"/>
      <c r="E97" s="187"/>
      <c r="F97" s="187"/>
      <c r="G97" s="187"/>
      <c r="H97" s="187"/>
      <c r="I97" s="187"/>
      <c r="J97" s="187"/>
      <c r="K97" s="187"/>
      <c r="L97" s="187"/>
      <c r="M97" s="187"/>
      <c r="N97" s="187"/>
      <c r="O97" s="188"/>
      <c r="P97" s="187"/>
      <c r="Q97" s="187"/>
    </row>
    <row r="98" spans="1:17">
      <c r="A98" s="187"/>
      <c r="B98" s="187"/>
      <c r="C98" s="187"/>
      <c r="D98" s="187"/>
      <c r="E98" s="187"/>
      <c r="F98" s="187"/>
      <c r="G98" s="187"/>
      <c r="H98" s="187"/>
      <c r="I98" s="187"/>
      <c r="J98" s="187"/>
      <c r="K98" s="187"/>
      <c r="L98" s="187"/>
      <c r="M98" s="187"/>
      <c r="N98" s="187"/>
      <c r="O98" s="188"/>
      <c r="P98" s="187"/>
      <c r="Q98" s="187"/>
    </row>
    <row r="99" spans="1:17">
      <c r="A99" s="187"/>
      <c r="B99" s="187"/>
      <c r="C99" s="187"/>
      <c r="D99" s="187"/>
      <c r="E99" s="187"/>
      <c r="F99" s="187"/>
      <c r="G99" s="187"/>
      <c r="H99" s="187"/>
      <c r="I99" s="187"/>
      <c r="J99" s="187"/>
      <c r="K99" s="187"/>
      <c r="L99" s="187"/>
      <c r="M99" s="187"/>
      <c r="N99" s="187"/>
      <c r="O99" s="188"/>
      <c r="P99" s="187"/>
      <c r="Q99" s="187"/>
    </row>
    <row r="100" spans="1:17">
      <c r="A100" s="187"/>
      <c r="B100" s="187"/>
      <c r="C100" s="187"/>
      <c r="D100" s="187"/>
      <c r="E100" s="187"/>
      <c r="F100" s="187"/>
      <c r="G100" s="187"/>
      <c r="H100" s="187"/>
      <c r="I100" s="187"/>
      <c r="J100" s="187"/>
      <c r="K100" s="187"/>
      <c r="L100" s="187"/>
      <c r="M100" s="187"/>
      <c r="N100" s="187"/>
      <c r="O100" s="188"/>
      <c r="P100" s="187"/>
      <c r="Q100" s="187"/>
    </row>
    <row r="101" spans="1:17">
      <c r="A101" s="187"/>
      <c r="B101" s="187"/>
      <c r="C101" s="187"/>
      <c r="D101" s="187"/>
      <c r="E101" s="187"/>
      <c r="F101" s="187"/>
      <c r="G101" s="187"/>
      <c r="H101" s="187"/>
      <c r="I101" s="187"/>
      <c r="J101" s="187"/>
      <c r="K101" s="187"/>
      <c r="L101" s="187"/>
      <c r="M101" s="187"/>
      <c r="N101" s="187"/>
      <c r="O101" s="188"/>
      <c r="P101" s="187"/>
      <c r="Q101" s="187"/>
    </row>
    <row r="102" spans="1:17">
      <c r="A102" s="187"/>
      <c r="B102" s="187"/>
      <c r="C102" s="187"/>
      <c r="D102" s="187"/>
      <c r="E102" s="187"/>
      <c r="F102" s="187"/>
      <c r="G102" s="187"/>
      <c r="H102" s="187"/>
      <c r="I102" s="187"/>
      <c r="J102" s="187"/>
      <c r="K102" s="187"/>
      <c r="L102" s="187"/>
      <c r="M102" s="187"/>
      <c r="N102" s="187"/>
      <c r="O102" s="188"/>
      <c r="P102" s="187"/>
      <c r="Q102" s="187"/>
    </row>
    <row r="103" spans="1:17">
      <c r="A103" s="187"/>
      <c r="B103" s="187"/>
      <c r="C103" s="187"/>
      <c r="D103" s="187"/>
      <c r="E103" s="187"/>
      <c r="F103" s="187"/>
      <c r="G103" s="187"/>
      <c r="H103" s="187"/>
      <c r="I103" s="187"/>
      <c r="J103" s="187"/>
      <c r="K103" s="187"/>
      <c r="L103" s="187"/>
      <c r="M103" s="187"/>
      <c r="N103" s="187"/>
      <c r="O103" s="188"/>
      <c r="P103" s="187"/>
      <c r="Q103" s="187"/>
    </row>
    <row r="104" spans="1:17">
      <c r="A104" s="187"/>
      <c r="B104" s="187"/>
      <c r="C104" s="187"/>
      <c r="D104" s="187"/>
      <c r="E104" s="187"/>
      <c r="F104" s="187"/>
      <c r="G104" s="187"/>
      <c r="H104" s="187"/>
      <c r="I104" s="187"/>
      <c r="J104" s="187"/>
      <c r="K104" s="187"/>
      <c r="L104" s="187"/>
      <c r="M104" s="187"/>
      <c r="N104" s="187"/>
      <c r="O104" s="188"/>
      <c r="P104" s="187"/>
      <c r="Q104" s="187"/>
    </row>
    <row r="105" spans="1:17">
      <c r="A105" s="187"/>
      <c r="Q105" s="187"/>
    </row>
    <row r="106" spans="1:17">
      <c r="A106" s="187"/>
      <c r="Q106" s="187"/>
    </row>
    <row r="107" spans="1:17">
      <c r="A107" s="187"/>
      <c r="Q107" s="187"/>
    </row>
    <row r="108" spans="1:17">
      <c r="A108" s="187"/>
      <c r="Q108" s="187"/>
    </row>
    <row r="109" spans="1:17">
      <c r="A109" s="187"/>
      <c r="Q109" s="187"/>
    </row>
    <row r="110" spans="1:17">
      <c r="A110" s="187"/>
      <c r="Q110" s="187"/>
    </row>
    <row r="111" spans="1:17">
      <c r="A111" s="187"/>
      <c r="Q111" s="187"/>
    </row>
    <row r="112" spans="1:17">
      <c r="A112" s="187"/>
      <c r="Q112" s="187"/>
    </row>
    <row r="113" spans="1:17">
      <c r="A113" s="187"/>
      <c r="Q113" s="187"/>
    </row>
    <row r="114" spans="1:17">
      <c r="A114" s="187"/>
      <c r="Q114" s="187"/>
    </row>
    <row r="115" spans="1:17">
      <c r="A115" s="187"/>
      <c r="Q115" s="187"/>
    </row>
    <row r="116" spans="1:17">
      <c r="A116" s="187"/>
      <c r="Q116" s="187"/>
    </row>
    <row r="117" spans="1:17">
      <c r="A117" s="187"/>
      <c r="Q117" s="187"/>
    </row>
    <row r="118" spans="1:17">
      <c r="A118" s="187"/>
      <c r="Q118" s="187"/>
    </row>
    <row r="119" spans="1:17">
      <c r="A119" s="187"/>
      <c r="Q119" s="187"/>
    </row>
    <row r="120" spans="1:17">
      <c r="A120" s="187"/>
      <c r="Q120" s="187"/>
    </row>
    <row r="121" spans="1:17">
      <c r="A121" s="187"/>
      <c r="Q121" s="187"/>
    </row>
    <row r="122" spans="1:17">
      <c r="A122" s="187"/>
      <c r="Q122" s="187"/>
    </row>
  </sheetData>
  <mergeCells count="1">
    <mergeCell ref="B7:P7"/>
  </mergeCells>
  <dataValidations count="1">
    <dataValidation type="list" allowBlank="1" showInputMessage="1" showErrorMessage="1" sqref="N3:N4">
      <formula1>"Yes,No"</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
  <sheetViews>
    <sheetView workbookViewId="0">
      <selection activeCell="C16" sqref="C16:J16"/>
    </sheetView>
  </sheetViews>
  <sheetFormatPr defaultRowHeight="15"/>
  <cols>
    <col min="3" max="3" width="15.42578125" customWidth="1"/>
    <col min="4" max="4" width="0" hidden="1" customWidth="1"/>
    <col min="5" max="5" width="14.85546875" hidden="1" customWidth="1"/>
    <col min="6" max="6" width="12.28515625" hidden="1" customWidth="1"/>
    <col min="7" max="7" width="17.85546875" customWidth="1"/>
    <col min="10" max="10" width="18.28515625" customWidth="1"/>
    <col min="11" max="12" width="0" hidden="1" customWidth="1"/>
    <col min="13" max="13" width="5" hidden="1" customWidth="1"/>
    <col min="14" max="14" width="15.140625" customWidth="1"/>
  </cols>
  <sheetData>
    <row r="1" spans="2:14" ht="15.75" thickBot="1"/>
    <row r="2" spans="2:14" ht="15.75" thickBot="1">
      <c r="B2" s="276"/>
      <c r="C2" s="512" t="s">
        <v>783</v>
      </c>
      <c r="D2" s="559"/>
      <c r="E2" s="560"/>
      <c r="F2" s="560"/>
      <c r="G2" s="561"/>
      <c r="I2" s="276"/>
      <c r="J2" s="512" t="s">
        <v>784</v>
      </c>
      <c r="K2" s="559"/>
      <c r="L2" s="560"/>
      <c r="M2" s="560"/>
      <c r="N2" s="561"/>
    </row>
    <row r="3" spans="2:14" ht="60.75" thickBot="1">
      <c r="B3" s="271" t="s">
        <v>442</v>
      </c>
      <c r="C3" s="272" t="s">
        <v>443</v>
      </c>
      <c r="D3" s="272" t="s">
        <v>444</v>
      </c>
      <c r="E3" s="272" t="s">
        <v>445</v>
      </c>
      <c r="F3" s="272" t="s">
        <v>446</v>
      </c>
      <c r="G3" s="272" t="s">
        <v>447</v>
      </c>
      <c r="I3" s="271" t="s">
        <v>442</v>
      </c>
      <c r="J3" s="272" t="s">
        <v>443</v>
      </c>
      <c r="K3" s="272" t="s">
        <v>444</v>
      </c>
      <c r="L3" s="272" t="s">
        <v>445</v>
      </c>
      <c r="M3" s="272" t="s">
        <v>446</v>
      </c>
      <c r="N3" s="272" t="s">
        <v>447</v>
      </c>
    </row>
    <row r="4" spans="2:14" ht="15.75" thickBot="1">
      <c r="B4" s="273">
        <v>44673</v>
      </c>
      <c r="C4" s="489">
        <v>773081</v>
      </c>
      <c r="D4" s="489"/>
      <c r="E4" s="489"/>
      <c r="F4" s="489"/>
      <c r="G4" s="274" t="s">
        <v>448</v>
      </c>
      <c r="I4" s="273">
        <v>44673</v>
      </c>
      <c r="J4" s="489">
        <v>1503726</v>
      </c>
      <c r="K4" s="489"/>
      <c r="L4" s="489"/>
      <c r="M4" s="489"/>
      <c r="N4" s="274" t="s">
        <v>448</v>
      </c>
    </row>
    <row r="5" spans="2:14" ht="15.75" thickBot="1">
      <c r="B5" s="273">
        <v>44703</v>
      </c>
      <c r="C5" s="489">
        <v>1051338</v>
      </c>
      <c r="D5" s="489"/>
      <c r="E5" s="489"/>
      <c r="F5" s="489"/>
      <c r="G5" s="274" t="s">
        <v>448</v>
      </c>
      <c r="I5" s="273">
        <v>44703</v>
      </c>
      <c r="J5" s="489">
        <v>1193888</v>
      </c>
      <c r="K5" s="489"/>
      <c r="L5" s="489"/>
      <c r="M5" s="489"/>
      <c r="N5" s="274" t="s">
        <v>448</v>
      </c>
    </row>
    <row r="6" spans="2:14" ht="15.75" thickBot="1">
      <c r="B6" s="273">
        <v>44734</v>
      </c>
      <c r="C6" s="489">
        <v>742641</v>
      </c>
      <c r="D6" s="489"/>
      <c r="E6" s="489"/>
      <c r="F6" s="489"/>
      <c r="G6" s="274" t="s">
        <v>448</v>
      </c>
      <c r="I6" s="273">
        <v>44734</v>
      </c>
      <c r="J6" s="489">
        <v>1039141</v>
      </c>
      <c r="K6" s="489"/>
      <c r="L6" s="489"/>
      <c r="M6" s="489"/>
      <c r="N6" s="274" t="s">
        <v>448</v>
      </c>
    </row>
    <row r="7" spans="2:14" ht="15.75" thickBot="1">
      <c r="B7" s="273">
        <v>44764</v>
      </c>
      <c r="C7" s="489">
        <v>657084</v>
      </c>
      <c r="D7" s="489"/>
      <c r="E7" s="489"/>
      <c r="F7" s="489"/>
      <c r="G7" s="274" t="s">
        <v>448</v>
      </c>
      <c r="I7" s="273">
        <v>44764</v>
      </c>
      <c r="J7" s="489">
        <v>1036302</v>
      </c>
      <c r="K7" s="489"/>
      <c r="L7" s="489"/>
      <c r="M7" s="489"/>
      <c r="N7" s="274" t="s">
        <v>448</v>
      </c>
    </row>
    <row r="8" spans="2:14" ht="15.75" thickBot="1">
      <c r="B8" s="273">
        <v>44795</v>
      </c>
      <c r="C8" s="489">
        <v>513940</v>
      </c>
      <c r="D8" s="489"/>
      <c r="E8" s="489"/>
      <c r="F8" s="489"/>
      <c r="G8" s="274" t="s">
        <v>448</v>
      </c>
      <c r="I8" s="273">
        <v>44795</v>
      </c>
      <c r="J8" s="489">
        <v>951925</v>
      </c>
      <c r="K8" s="489"/>
      <c r="L8" s="489"/>
      <c r="M8" s="489"/>
      <c r="N8" s="274" t="s">
        <v>448</v>
      </c>
    </row>
    <row r="9" spans="2:14" ht="15.75" thickBot="1">
      <c r="B9" s="273">
        <v>44826</v>
      </c>
      <c r="C9" s="489">
        <v>1068731</v>
      </c>
      <c r="D9" s="489"/>
      <c r="E9" s="489"/>
      <c r="F9" s="489"/>
      <c r="G9" s="274" t="s">
        <v>448</v>
      </c>
      <c r="I9" s="273">
        <v>44826</v>
      </c>
      <c r="J9" s="489">
        <v>1219923</v>
      </c>
      <c r="K9" s="489"/>
      <c r="L9" s="489"/>
      <c r="M9" s="489"/>
      <c r="N9" s="274" t="s">
        <v>448</v>
      </c>
    </row>
    <row r="10" spans="2:14" ht="15.75" thickBot="1">
      <c r="B10" s="273">
        <v>44856</v>
      </c>
      <c r="C10" s="489">
        <v>418117</v>
      </c>
      <c r="D10" s="489"/>
      <c r="E10" s="489"/>
      <c r="F10" s="489"/>
      <c r="G10" s="274" t="s">
        <v>448</v>
      </c>
      <c r="I10" s="273">
        <v>44856</v>
      </c>
      <c r="J10" s="489">
        <v>807203</v>
      </c>
      <c r="K10" s="489"/>
      <c r="L10" s="489"/>
      <c r="M10" s="489"/>
      <c r="N10" s="274" t="s">
        <v>448</v>
      </c>
    </row>
    <row r="11" spans="2:14" ht="15.75" thickBot="1">
      <c r="B11" s="273">
        <v>44887</v>
      </c>
      <c r="C11" s="489">
        <v>509193</v>
      </c>
      <c r="D11" s="489"/>
      <c r="E11" s="489"/>
      <c r="F11" s="489"/>
      <c r="G11" s="274" t="s">
        <v>448</v>
      </c>
      <c r="I11" s="273">
        <v>44887</v>
      </c>
      <c r="J11" s="489">
        <v>1149046</v>
      </c>
      <c r="K11" s="489"/>
      <c r="L11" s="489"/>
      <c r="M11" s="489"/>
      <c r="N11" s="274" t="s">
        <v>448</v>
      </c>
    </row>
    <row r="12" spans="2:14" ht="15.75" thickBot="1">
      <c r="B12" s="273">
        <v>44917</v>
      </c>
      <c r="C12" s="489">
        <v>247594</v>
      </c>
      <c r="D12" s="489"/>
      <c r="E12" s="489"/>
      <c r="F12" s="489"/>
      <c r="G12" s="274" t="s">
        <v>448</v>
      </c>
      <c r="I12" s="273">
        <v>44917</v>
      </c>
      <c r="J12" s="489">
        <v>662669</v>
      </c>
      <c r="K12" s="489"/>
      <c r="L12" s="489"/>
      <c r="M12" s="489"/>
      <c r="N12" s="274" t="s">
        <v>448</v>
      </c>
    </row>
    <row r="13" spans="2:14" ht="15.75" thickBot="1">
      <c r="B13" s="273">
        <v>44948</v>
      </c>
      <c r="C13" s="489">
        <v>227946</v>
      </c>
      <c r="D13" s="489"/>
      <c r="E13" s="489"/>
      <c r="F13" s="489"/>
      <c r="G13" s="274" t="s">
        <v>448</v>
      </c>
      <c r="I13" s="273">
        <v>44948</v>
      </c>
      <c r="J13" s="489">
        <v>1567859</v>
      </c>
      <c r="K13" s="489"/>
      <c r="L13" s="489"/>
      <c r="M13" s="489"/>
      <c r="N13" s="274" t="s">
        <v>448</v>
      </c>
    </row>
    <row r="14" spans="2:14" ht="15.75" thickBot="1">
      <c r="B14" s="273">
        <v>44979</v>
      </c>
      <c r="C14" s="489"/>
      <c r="D14" s="489"/>
      <c r="E14" s="489"/>
      <c r="F14" s="489"/>
      <c r="G14" s="274" t="s">
        <v>448</v>
      </c>
      <c r="I14" s="273">
        <v>44979</v>
      </c>
      <c r="J14" s="489">
        <v>1259649</v>
      </c>
      <c r="K14" s="489"/>
      <c r="L14" s="489"/>
      <c r="M14" s="489"/>
      <c r="N14" s="274" t="s">
        <v>448</v>
      </c>
    </row>
    <row r="15" spans="2:14" ht="15.75" thickBot="1">
      <c r="B15" s="273">
        <v>45007</v>
      </c>
      <c r="C15" s="490"/>
      <c r="D15" s="491"/>
      <c r="E15" s="491"/>
      <c r="F15" s="491"/>
      <c r="G15" s="274" t="s">
        <v>448</v>
      </c>
      <c r="I15" s="273">
        <v>45007</v>
      </c>
      <c r="J15" s="490"/>
      <c r="K15" s="491"/>
      <c r="L15" s="491"/>
      <c r="M15" s="491"/>
      <c r="N15" s="274" t="s">
        <v>448</v>
      </c>
    </row>
    <row r="16" spans="2:14" ht="15.75" thickBot="1">
      <c r="B16" s="277" t="s">
        <v>449</v>
      </c>
      <c r="C16" s="492">
        <f>SUM(C4:C15)</f>
        <v>6209665</v>
      </c>
      <c r="D16" s="492">
        <f>SUM(D4:D15)</f>
        <v>0</v>
      </c>
      <c r="E16" s="492">
        <f>SUM(E4:E15)</f>
        <v>0</v>
      </c>
      <c r="F16" s="492">
        <f>SUM(F4:F15)</f>
        <v>0</v>
      </c>
      <c r="G16" s="278"/>
      <c r="I16" s="277" t="s">
        <v>449</v>
      </c>
      <c r="J16" s="492">
        <f>SUM(J4:J15)</f>
        <v>12391331</v>
      </c>
      <c r="K16" s="492">
        <f>SUM(K4:K15)</f>
        <v>0</v>
      </c>
      <c r="L16" s="492">
        <f>SUM(L4:L15)</f>
        <v>0</v>
      </c>
      <c r="M16" s="492">
        <f>SUM(M4:M15)</f>
        <v>0</v>
      </c>
      <c r="N16" s="278"/>
    </row>
  </sheetData>
  <mergeCells count="2">
    <mergeCell ref="D2:G2"/>
    <mergeCell ref="K2:N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4" workbookViewId="0">
      <selection activeCell="B37" sqref="B37:C37"/>
    </sheetView>
  </sheetViews>
  <sheetFormatPr defaultColWidth="16.85546875" defaultRowHeight="12.75"/>
  <cols>
    <col min="1" max="1" width="23.85546875" style="127" bestFit="1" customWidth="1"/>
    <col min="2" max="4" width="10.7109375" style="127" customWidth="1"/>
    <col min="5" max="5" width="11.42578125" style="127" bestFit="1" customWidth="1"/>
    <col min="6" max="7" width="12.42578125" style="127" bestFit="1" customWidth="1"/>
    <col min="8" max="8" width="11.42578125" style="127" bestFit="1" customWidth="1"/>
    <col min="9" max="9" width="12.42578125" style="127" bestFit="1" customWidth="1"/>
    <col min="10" max="10" width="12.7109375" style="127" bestFit="1" customWidth="1"/>
    <col min="11" max="11" width="13.42578125" style="127" bestFit="1" customWidth="1"/>
    <col min="12" max="16384" width="16.85546875" style="127"/>
  </cols>
  <sheetData>
    <row r="1" spans="1:11" ht="13.5" thickBot="1"/>
    <row r="2" spans="1:11" ht="13.5" thickBot="1">
      <c r="A2" s="562" t="s">
        <v>242</v>
      </c>
      <c r="B2" s="563"/>
      <c r="C2" s="563"/>
      <c r="D2" s="563"/>
      <c r="E2" s="563"/>
      <c r="F2" s="563"/>
      <c r="G2" s="563"/>
      <c r="H2" s="563"/>
      <c r="I2" s="234"/>
      <c r="J2" s="234"/>
      <c r="K2" s="235"/>
    </row>
    <row r="3" spans="1:11" ht="51.75" thickBot="1">
      <c r="A3" s="206" t="s">
        <v>203</v>
      </c>
      <c r="B3" s="207" t="s">
        <v>246</v>
      </c>
      <c r="C3" s="207" t="s">
        <v>247</v>
      </c>
      <c r="D3" s="207" t="s">
        <v>248</v>
      </c>
      <c r="E3" s="207" t="s">
        <v>249</v>
      </c>
      <c r="F3" s="207" t="s">
        <v>250</v>
      </c>
      <c r="G3" s="207" t="s">
        <v>251</v>
      </c>
      <c r="H3" s="207" t="s">
        <v>252</v>
      </c>
      <c r="I3" s="232" t="s">
        <v>253</v>
      </c>
      <c r="J3" s="233" t="s">
        <v>254</v>
      </c>
      <c r="K3" s="233" t="s">
        <v>255</v>
      </c>
    </row>
    <row r="4" spans="1:11">
      <c r="A4" s="249"/>
      <c r="B4" s="236"/>
      <c r="C4" s="236"/>
      <c r="D4" s="237">
        <f>(D30+D58+D84+D110)/100000</f>
        <v>0</v>
      </c>
      <c r="E4" s="236"/>
      <c r="F4" s="236"/>
      <c r="G4" s="236"/>
      <c r="H4" s="210"/>
      <c r="I4" s="212"/>
      <c r="J4" s="213"/>
      <c r="K4" s="213"/>
    </row>
    <row r="5" spans="1:11">
      <c r="A5" s="250">
        <v>44672</v>
      </c>
      <c r="B5" s="237">
        <f>(B31+B59+B85+B111)/100000</f>
        <v>0.15283089999999999</v>
      </c>
      <c r="C5" s="237">
        <f t="shared" ref="C5:J5" si="0">(C31+C59+C85+C111)/100000</f>
        <v>0.13262090000000001</v>
      </c>
      <c r="D5" s="237">
        <f t="shared" si="0"/>
        <v>0.13262090000000001</v>
      </c>
      <c r="E5" s="237">
        <f t="shared" ref="E5" si="1">AVERAGE(B5:D5)</f>
        <v>0.13935756666666668</v>
      </c>
      <c r="F5" s="237">
        <f t="shared" si="0"/>
        <v>0</v>
      </c>
      <c r="G5" s="237">
        <f t="shared" si="0"/>
        <v>0</v>
      </c>
      <c r="H5" s="335">
        <f t="shared" ref="H5" si="2">F5-G5</f>
        <v>0</v>
      </c>
      <c r="I5" s="237">
        <f t="shared" si="0"/>
        <v>0</v>
      </c>
      <c r="J5" s="237">
        <f t="shared" si="0"/>
        <v>0</v>
      </c>
      <c r="K5" s="211">
        <f t="shared" ref="K5:K16" si="3">(K31+K59+K85+K111)/100000</f>
        <v>0</v>
      </c>
    </row>
    <row r="6" spans="1:11">
      <c r="A6" s="250">
        <v>44702</v>
      </c>
      <c r="B6" s="237">
        <f t="shared" ref="B6:D6" si="4">(B32+B60+B86+B112)/100000</f>
        <v>0.13262090000000001</v>
      </c>
      <c r="C6" s="237">
        <f t="shared" si="4"/>
        <v>0.12967090000000001</v>
      </c>
      <c r="D6" s="237">
        <f t="shared" si="4"/>
        <v>0.15552629999999998</v>
      </c>
      <c r="E6" s="237">
        <f t="shared" ref="E6:E16" si="5">AVERAGE(B6:D6)</f>
        <v>0.1392727</v>
      </c>
      <c r="F6" s="237">
        <f t="shared" ref="F6:G6" si="6">(F32+F60+F86+F112)/100000</f>
        <v>0</v>
      </c>
      <c r="G6" s="237">
        <f t="shared" si="6"/>
        <v>0</v>
      </c>
      <c r="H6" s="335">
        <f t="shared" ref="H6:H16" si="7">F6-G6</f>
        <v>0</v>
      </c>
      <c r="I6" s="237">
        <f t="shared" ref="I6:J6" si="8">(I32+I60+I86+I112)/100000</f>
        <v>0</v>
      </c>
      <c r="J6" s="237">
        <f t="shared" si="8"/>
        <v>0</v>
      </c>
      <c r="K6" s="211">
        <f t="shared" si="3"/>
        <v>0</v>
      </c>
    </row>
    <row r="7" spans="1:11">
      <c r="A7" s="250">
        <v>44733</v>
      </c>
      <c r="B7" s="237">
        <f t="shared" ref="B7:D7" si="9">(B33+B61+B87+B113)/100000</f>
        <v>0.15552629999999998</v>
      </c>
      <c r="C7" s="237">
        <f t="shared" si="9"/>
        <v>0.18913970000000002</v>
      </c>
      <c r="D7" s="237">
        <f t="shared" si="9"/>
        <v>0.18913970000000002</v>
      </c>
      <c r="E7" s="237">
        <f t="shared" si="5"/>
        <v>0.17793523333333336</v>
      </c>
      <c r="F7" s="237">
        <f t="shared" ref="F7:G7" si="10">(F33+F61+F87+F113)/100000</f>
        <v>0</v>
      </c>
      <c r="G7" s="237">
        <f t="shared" si="10"/>
        <v>0</v>
      </c>
      <c r="H7" s="335">
        <f t="shared" si="7"/>
        <v>0</v>
      </c>
      <c r="I7" s="237">
        <f t="shared" ref="I7:J7" si="11">(I33+I61+I87+I113)/100000</f>
        <v>0</v>
      </c>
      <c r="J7" s="237">
        <f t="shared" si="11"/>
        <v>0</v>
      </c>
      <c r="K7" s="211">
        <f t="shared" si="3"/>
        <v>0</v>
      </c>
    </row>
    <row r="8" spans="1:11">
      <c r="A8" s="250">
        <v>44763</v>
      </c>
      <c r="B8" s="237">
        <f t="shared" ref="B8:D8" si="12">(B34+B62+B88+B114)/100000</f>
        <v>0.18677970000000002</v>
      </c>
      <c r="C8" s="237">
        <f t="shared" si="12"/>
        <v>0.18382970000000001</v>
      </c>
      <c r="D8" s="237">
        <f t="shared" si="12"/>
        <v>0.18382970000000001</v>
      </c>
      <c r="E8" s="237">
        <f t="shared" si="5"/>
        <v>0.18481303333333335</v>
      </c>
      <c r="F8" s="237">
        <f t="shared" ref="F8:G8" si="13">(F34+F62+F88+F114)/100000</f>
        <v>0</v>
      </c>
      <c r="G8" s="237">
        <f t="shared" si="13"/>
        <v>0</v>
      </c>
      <c r="H8" s="335">
        <f t="shared" si="7"/>
        <v>0</v>
      </c>
      <c r="I8" s="237">
        <f t="shared" ref="I8:J8" si="14">(I34+I62+I88+I114)/100000</f>
        <v>0</v>
      </c>
      <c r="J8" s="237">
        <f t="shared" si="14"/>
        <v>0</v>
      </c>
      <c r="K8" s="211">
        <f t="shared" si="3"/>
        <v>0</v>
      </c>
    </row>
    <row r="9" spans="1:11">
      <c r="A9" s="250">
        <v>44794</v>
      </c>
      <c r="B9" s="237">
        <f t="shared" ref="B9:D9" si="15">(B35+B63+B89+B115)/100000</f>
        <v>0.1038297</v>
      </c>
      <c r="C9" s="237">
        <f t="shared" si="15"/>
        <v>0.10087969999999999</v>
      </c>
      <c r="D9" s="237">
        <f t="shared" si="15"/>
        <v>0.10087969999999999</v>
      </c>
      <c r="E9" s="237">
        <f t="shared" si="5"/>
        <v>0.10186303333333331</v>
      </c>
      <c r="F9" s="237">
        <f t="shared" ref="F9:G9" si="16">(F35+F63+F89+F115)/100000</f>
        <v>0</v>
      </c>
      <c r="G9" s="237">
        <f t="shared" si="16"/>
        <v>0</v>
      </c>
      <c r="H9" s="335">
        <f t="shared" si="7"/>
        <v>0</v>
      </c>
      <c r="I9" s="237">
        <f t="shared" ref="I9:J9" si="17">(I35+I63+I89+I115)/100000</f>
        <v>0</v>
      </c>
      <c r="J9" s="237">
        <f t="shared" si="17"/>
        <v>0</v>
      </c>
      <c r="K9" s="211">
        <f t="shared" si="3"/>
        <v>0</v>
      </c>
    </row>
    <row r="10" spans="1:11">
      <c r="A10" s="250">
        <v>44825</v>
      </c>
      <c r="B10" s="237">
        <f t="shared" ref="B10:D10" si="18">(B36+B64+B90+B116)/100000</f>
        <v>0.10087969999999999</v>
      </c>
      <c r="C10" s="237">
        <f t="shared" si="18"/>
        <v>9.7929699999999995E-2</v>
      </c>
      <c r="D10" s="237">
        <f t="shared" si="18"/>
        <v>9.7929699999999995E-2</v>
      </c>
      <c r="E10" s="237">
        <f t="shared" si="5"/>
        <v>9.8913033333333331E-2</v>
      </c>
      <c r="F10" s="237">
        <f t="shared" ref="F10:G10" si="19">(F36+F64+F90+F116)/100000</f>
        <v>0</v>
      </c>
      <c r="G10" s="237">
        <f t="shared" si="19"/>
        <v>0</v>
      </c>
      <c r="H10" s="335">
        <f t="shared" si="7"/>
        <v>0</v>
      </c>
      <c r="I10" s="237">
        <f t="shared" ref="I10:J10" si="20">(I36+I64+I90+I116)/100000</f>
        <v>0</v>
      </c>
      <c r="J10" s="237">
        <f t="shared" si="20"/>
        <v>0</v>
      </c>
      <c r="K10" s="211">
        <f t="shared" si="3"/>
        <v>0</v>
      </c>
    </row>
    <row r="11" spans="1:11">
      <c r="A11" s="250">
        <v>44855</v>
      </c>
      <c r="B11" s="237">
        <f t="shared" ref="B11:D11" si="21">(B37+B65+B91+B117)/100000</f>
        <v>9.7929699999999995E-2</v>
      </c>
      <c r="C11" s="237">
        <f t="shared" si="21"/>
        <v>9.49797E-2</v>
      </c>
      <c r="D11" s="237">
        <f t="shared" si="21"/>
        <v>0</v>
      </c>
      <c r="E11" s="237">
        <f t="shared" si="5"/>
        <v>6.4303133333333332E-2</v>
      </c>
      <c r="F11" s="237">
        <f t="shared" ref="F11:G11" si="22">(F37+F65+F91+F117)/100000</f>
        <v>0</v>
      </c>
      <c r="G11" s="237">
        <f t="shared" si="22"/>
        <v>0</v>
      </c>
      <c r="H11" s="335">
        <f t="shared" si="7"/>
        <v>0</v>
      </c>
      <c r="I11" s="237">
        <f t="shared" ref="I11:J11" si="23">(I37+I65+I91+I117)/100000</f>
        <v>0</v>
      </c>
      <c r="J11" s="237">
        <f t="shared" si="23"/>
        <v>0</v>
      </c>
      <c r="K11" s="211">
        <f t="shared" si="3"/>
        <v>0</v>
      </c>
    </row>
    <row r="12" spans="1:11">
      <c r="A12" s="250">
        <v>44886</v>
      </c>
      <c r="B12" s="237">
        <f t="shared" ref="B12:D12" si="24">(B38+B66+B92+B118)/100000</f>
        <v>0</v>
      </c>
      <c r="C12" s="237">
        <f t="shared" si="24"/>
        <v>0</v>
      </c>
      <c r="D12" s="237">
        <f t="shared" si="24"/>
        <v>0</v>
      </c>
      <c r="E12" s="237">
        <f t="shared" si="5"/>
        <v>0</v>
      </c>
      <c r="F12" s="237">
        <f t="shared" ref="F12:G12" si="25">(F38+F66+F92+F118)/100000</f>
        <v>0</v>
      </c>
      <c r="G12" s="237">
        <f t="shared" si="25"/>
        <v>0</v>
      </c>
      <c r="H12" s="335">
        <f t="shared" si="7"/>
        <v>0</v>
      </c>
      <c r="I12" s="237">
        <f t="shared" ref="I12:J12" si="26">(I38+I66+I92+I118)/100000</f>
        <v>0</v>
      </c>
      <c r="J12" s="237">
        <f t="shared" si="26"/>
        <v>0</v>
      </c>
      <c r="K12" s="211">
        <f t="shared" si="3"/>
        <v>0</v>
      </c>
    </row>
    <row r="13" spans="1:11">
      <c r="A13" s="250">
        <v>44916</v>
      </c>
      <c r="B13" s="237">
        <f t="shared" ref="B13:D13" si="27">(B39+B67+B93+B119)/100000</f>
        <v>0</v>
      </c>
      <c r="C13" s="237">
        <f t="shared" si="27"/>
        <v>0</v>
      </c>
      <c r="D13" s="237">
        <f t="shared" si="27"/>
        <v>0</v>
      </c>
      <c r="E13" s="237">
        <f t="shared" si="5"/>
        <v>0</v>
      </c>
      <c r="F13" s="237">
        <f t="shared" ref="F13:G13" si="28">(F39+F67+F93+F119)/100000</f>
        <v>0</v>
      </c>
      <c r="G13" s="237">
        <f t="shared" si="28"/>
        <v>0</v>
      </c>
      <c r="H13" s="335">
        <f t="shared" si="7"/>
        <v>0</v>
      </c>
      <c r="I13" s="237">
        <f t="shared" ref="I13:J13" si="29">(I39+I67+I93+I119)/100000</f>
        <v>0</v>
      </c>
      <c r="J13" s="237">
        <f t="shared" si="29"/>
        <v>0</v>
      </c>
      <c r="K13" s="211">
        <f t="shared" si="3"/>
        <v>0</v>
      </c>
    </row>
    <row r="14" spans="1:11">
      <c r="A14" s="250">
        <v>44947</v>
      </c>
      <c r="B14" s="237">
        <f t="shared" ref="B14:D14" si="30">(B40+B68+B94+B120)/100000</f>
        <v>0</v>
      </c>
      <c r="C14" s="237">
        <f t="shared" si="30"/>
        <v>0</v>
      </c>
      <c r="D14" s="237">
        <f t="shared" si="30"/>
        <v>0</v>
      </c>
      <c r="E14" s="237">
        <f t="shared" si="5"/>
        <v>0</v>
      </c>
      <c r="F14" s="237">
        <f t="shared" ref="F14:G14" si="31">(F40+F68+F94+F120)/100000</f>
        <v>0</v>
      </c>
      <c r="G14" s="237">
        <f t="shared" si="31"/>
        <v>0</v>
      </c>
      <c r="H14" s="335">
        <f t="shared" si="7"/>
        <v>0</v>
      </c>
      <c r="I14" s="237">
        <f t="shared" ref="I14:J14" si="32">(I40+I68+I94+I120)/100000</f>
        <v>0</v>
      </c>
      <c r="J14" s="237">
        <f t="shared" si="32"/>
        <v>0</v>
      </c>
      <c r="K14" s="211">
        <f t="shared" si="3"/>
        <v>0</v>
      </c>
    </row>
    <row r="15" spans="1:11">
      <c r="A15" s="250">
        <v>44978</v>
      </c>
      <c r="B15" s="237">
        <f t="shared" ref="B15:D15" si="33">(B41+B69+B95+B121)/100000</f>
        <v>0</v>
      </c>
      <c r="C15" s="237">
        <f t="shared" si="33"/>
        <v>0</v>
      </c>
      <c r="D15" s="237">
        <f t="shared" si="33"/>
        <v>0</v>
      </c>
      <c r="E15" s="237">
        <f t="shared" si="5"/>
        <v>0</v>
      </c>
      <c r="F15" s="237">
        <f t="shared" ref="F15:G15" si="34">(F41+F69+F95+F121)/100000</f>
        <v>0</v>
      </c>
      <c r="G15" s="237">
        <f t="shared" si="34"/>
        <v>0</v>
      </c>
      <c r="H15" s="335">
        <f t="shared" si="7"/>
        <v>0</v>
      </c>
      <c r="I15" s="237">
        <f t="shared" ref="I15:J15" si="35">(I41+I69+I95+I121)/100000</f>
        <v>0</v>
      </c>
      <c r="J15" s="237">
        <f t="shared" si="35"/>
        <v>0</v>
      </c>
      <c r="K15" s="211">
        <f t="shared" si="3"/>
        <v>0</v>
      </c>
    </row>
    <row r="16" spans="1:11" ht="13.5" thickBot="1">
      <c r="A16" s="250">
        <v>45006</v>
      </c>
      <c r="B16" s="237">
        <f t="shared" ref="B16:D16" si="36">(B42+B70+B96+B122)/100000</f>
        <v>0</v>
      </c>
      <c r="C16" s="237">
        <f t="shared" si="36"/>
        <v>0</v>
      </c>
      <c r="D16" s="237">
        <f t="shared" si="36"/>
        <v>0</v>
      </c>
      <c r="E16" s="237">
        <f t="shared" si="5"/>
        <v>0</v>
      </c>
      <c r="F16" s="237">
        <f t="shared" ref="F16:G16" si="37">(F42+F70+F96+F122)/100000</f>
        <v>0</v>
      </c>
      <c r="G16" s="237">
        <f t="shared" si="37"/>
        <v>0</v>
      </c>
      <c r="H16" s="335">
        <f t="shared" si="7"/>
        <v>0</v>
      </c>
      <c r="I16" s="237">
        <f t="shared" ref="I16:J16" si="38">(I42+I70+I96+I122)/100000</f>
        <v>0</v>
      </c>
      <c r="J16" s="237">
        <f t="shared" si="38"/>
        <v>0</v>
      </c>
      <c r="K16" s="211">
        <f t="shared" si="3"/>
        <v>0</v>
      </c>
    </row>
    <row r="17" spans="1:11" ht="13.5" thickBot="1">
      <c r="A17" s="214" t="s">
        <v>256</v>
      </c>
      <c r="B17" s="215">
        <f>AVERAGE(B5:B16)</f>
        <v>7.7533075000000007E-2</v>
      </c>
      <c r="C17" s="215">
        <f>AVERAGE(C5:C16)</f>
        <v>7.7420858333333342E-2</v>
      </c>
      <c r="D17" s="215">
        <f>AVERAGE(D5:D16)</f>
        <v>7.1660500000000002E-2</v>
      </c>
      <c r="E17" s="215"/>
      <c r="F17" s="215">
        <f>AVERAGE(F5:F16)</f>
        <v>0</v>
      </c>
      <c r="G17" s="215">
        <f>AVERAGE(G5:G16)</f>
        <v>0</v>
      </c>
      <c r="H17" s="215"/>
      <c r="I17" s="216"/>
      <c r="J17" s="217"/>
      <c r="K17" s="217"/>
    </row>
    <row r="18" spans="1:11">
      <c r="A18" s="564" t="s">
        <v>257</v>
      </c>
      <c r="B18" s="564"/>
      <c r="C18" s="564"/>
      <c r="D18" s="564"/>
      <c r="E18" s="218">
        <f>SUM(E5:E16)</f>
        <v>0.90645773333333346</v>
      </c>
      <c r="F18" s="564" t="s">
        <v>258</v>
      </c>
      <c r="G18" s="564"/>
      <c r="H18" s="218">
        <f>SUM(H5:H16)</f>
        <v>0</v>
      </c>
      <c r="I18" s="219"/>
      <c r="J18" s="220"/>
      <c r="K18" s="220"/>
    </row>
    <row r="19" spans="1:11" ht="13.5" thickBot="1">
      <c r="A19" s="565" t="s">
        <v>256</v>
      </c>
      <c r="B19" s="565"/>
      <c r="C19" s="565"/>
      <c r="D19" s="565"/>
      <c r="E19" s="221">
        <f>AVERAGE(E5:E16)</f>
        <v>7.5538144444444455E-2</v>
      </c>
      <c r="F19" s="565" t="s">
        <v>259</v>
      </c>
      <c r="G19" s="565"/>
      <c r="H19" s="221">
        <f>AVERAGE(H5:H16)</f>
        <v>0</v>
      </c>
      <c r="I19" s="222"/>
      <c r="J19" s="221"/>
      <c r="K19" s="221"/>
    </row>
    <row r="20" spans="1:11" ht="13.5" thickBot="1">
      <c r="A20" s="566" t="s">
        <v>260</v>
      </c>
      <c r="B20" s="566"/>
      <c r="C20" s="566"/>
      <c r="D20" s="566"/>
      <c r="E20" s="221"/>
      <c r="F20" s="223">
        <f>SUM(F4:F16)</f>
        <v>0</v>
      </c>
      <c r="G20" s="223">
        <f>SUM(G4:G16)</f>
        <v>0</v>
      </c>
      <c r="H20" s="221"/>
      <c r="I20" s="224">
        <f>SUM(I5:I16)</f>
        <v>0</v>
      </c>
      <c r="J20" s="224">
        <f>SUM(J5:J16)</f>
        <v>0</v>
      </c>
      <c r="K20" s="222">
        <f>SUM(K5:K16)</f>
        <v>0</v>
      </c>
    </row>
    <row r="21" spans="1:11" ht="13.5" thickBot="1">
      <c r="A21" s="566" t="s">
        <v>261</v>
      </c>
      <c r="B21" s="566"/>
      <c r="C21" s="566"/>
      <c r="D21" s="566"/>
      <c r="E21" s="221"/>
      <c r="F21" s="223">
        <f>F20-K20</f>
        <v>0</v>
      </c>
      <c r="G21" s="223"/>
      <c r="H21" s="221"/>
      <c r="I21" s="222"/>
      <c r="J21" s="222"/>
      <c r="K21" s="222"/>
    </row>
    <row r="24" spans="1:11">
      <c r="A24" s="204" t="s">
        <v>243</v>
      </c>
      <c r="B24" s="567" t="s">
        <v>783</v>
      </c>
      <c r="C24" s="567"/>
      <c r="D24" s="567"/>
      <c r="E24" s="567"/>
      <c r="F24" s="567"/>
      <c r="G24" s="567"/>
      <c r="H24" s="567"/>
      <c r="I24" s="203" t="s">
        <v>262</v>
      </c>
      <c r="J24" s="226">
        <f>MIN(B31:D42)</f>
        <v>0</v>
      </c>
    </row>
    <row r="25" spans="1:11">
      <c r="A25" s="204" t="s">
        <v>244</v>
      </c>
      <c r="B25" s="567" t="s">
        <v>795</v>
      </c>
      <c r="C25" s="567"/>
      <c r="D25" s="567"/>
      <c r="E25" s="567"/>
      <c r="F25" s="567"/>
      <c r="G25" s="567"/>
      <c r="H25" s="567"/>
      <c r="I25" s="203" t="s">
        <v>263</v>
      </c>
      <c r="J25" s="226">
        <f>MAX(B31:D42)</f>
        <v>18913.97</v>
      </c>
    </row>
    <row r="26" spans="1:11">
      <c r="A26" s="204" t="s">
        <v>264</v>
      </c>
      <c r="B26" s="567"/>
      <c r="C26" s="567"/>
      <c r="D26" s="567"/>
      <c r="E26" s="567"/>
      <c r="F26" s="567"/>
      <c r="G26" s="567"/>
      <c r="H26" s="567"/>
      <c r="I26" s="203"/>
      <c r="J26" s="203"/>
    </row>
    <row r="27" spans="1:11">
      <c r="A27" s="204" t="s">
        <v>245</v>
      </c>
      <c r="B27" s="568" t="s">
        <v>796</v>
      </c>
      <c r="C27" s="567"/>
      <c r="D27" s="567"/>
      <c r="E27" s="567"/>
      <c r="F27" s="567"/>
      <c r="G27" s="567"/>
      <c r="H27" s="567"/>
      <c r="I27" s="203"/>
      <c r="J27" s="203"/>
    </row>
    <row r="28" spans="1:11" ht="13.5" thickBot="1">
      <c r="A28" s="205" t="s">
        <v>265</v>
      </c>
      <c r="B28" s="567" t="s">
        <v>797</v>
      </c>
      <c r="C28" s="567"/>
      <c r="D28" s="567"/>
      <c r="E28" s="567"/>
      <c r="F28" s="567"/>
      <c r="G28" s="567"/>
      <c r="H28" s="567"/>
      <c r="I28" s="203"/>
      <c r="J28" s="203"/>
    </row>
    <row r="29" spans="1:11" ht="51.75" thickBot="1">
      <c r="A29" s="206" t="s">
        <v>203</v>
      </c>
      <c r="B29" s="207" t="s">
        <v>246</v>
      </c>
      <c r="C29" s="207" t="s">
        <v>247</v>
      </c>
      <c r="D29" s="207" t="s">
        <v>248</v>
      </c>
      <c r="E29" s="207" t="s">
        <v>249</v>
      </c>
      <c r="F29" s="207" t="s">
        <v>250</v>
      </c>
      <c r="G29" s="207" t="s">
        <v>251</v>
      </c>
      <c r="H29" s="207" t="s">
        <v>252</v>
      </c>
      <c r="I29" s="208" t="s">
        <v>253</v>
      </c>
      <c r="J29" s="209" t="s">
        <v>254</v>
      </c>
      <c r="K29" s="209" t="s">
        <v>255</v>
      </c>
    </row>
    <row r="30" spans="1:11">
      <c r="A30" s="249"/>
      <c r="B30" s="239"/>
      <c r="C30" s="239"/>
      <c r="D30" s="240"/>
      <c r="E30" s="241"/>
      <c r="F30" s="239"/>
      <c r="G30" s="239"/>
      <c r="H30" s="241"/>
      <c r="I30" s="242"/>
      <c r="J30" s="243"/>
      <c r="K30" s="244"/>
    </row>
    <row r="31" spans="1:11">
      <c r="A31" s="250">
        <v>44672</v>
      </c>
      <c r="B31" s="245">
        <v>15283.09</v>
      </c>
      <c r="C31" s="245">
        <v>13262.09</v>
      </c>
      <c r="D31" s="245">
        <v>13262.09</v>
      </c>
      <c r="E31" s="246">
        <f t="shared" ref="E31:E42" si="39">AVERAGE(B31:D31)</f>
        <v>13935.756666666668</v>
      </c>
      <c r="F31" s="245">
        <v>0</v>
      </c>
      <c r="G31" s="245">
        <v>0</v>
      </c>
      <c r="H31" s="238">
        <f>F31-G31</f>
        <v>0</v>
      </c>
      <c r="I31" s="247">
        <v>0</v>
      </c>
      <c r="J31" s="247">
        <v>0</v>
      </c>
      <c r="K31" s="248">
        <v>0</v>
      </c>
    </row>
    <row r="32" spans="1:11">
      <c r="A32" s="250">
        <v>44702</v>
      </c>
      <c r="B32" s="245">
        <v>13262.09</v>
      </c>
      <c r="C32" s="245">
        <v>12967.09</v>
      </c>
      <c r="D32" s="245">
        <v>15552.63</v>
      </c>
      <c r="E32" s="246">
        <f t="shared" si="39"/>
        <v>13927.269999999999</v>
      </c>
      <c r="F32" s="245">
        <v>0</v>
      </c>
      <c r="G32" s="245">
        <v>0</v>
      </c>
      <c r="H32" s="238">
        <f t="shared" ref="H32:H42" si="40">F32-G32</f>
        <v>0</v>
      </c>
      <c r="I32" s="247">
        <v>0</v>
      </c>
      <c r="J32" s="247">
        <v>0</v>
      </c>
      <c r="K32" s="248">
        <v>0</v>
      </c>
    </row>
    <row r="33" spans="1:12">
      <c r="A33" s="250">
        <v>44733</v>
      </c>
      <c r="B33" s="245">
        <v>15552.63</v>
      </c>
      <c r="C33" s="245">
        <v>18913.97</v>
      </c>
      <c r="D33" s="245">
        <v>18913.97</v>
      </c>
      <c r="E33" s="246">
        <f t="shared" si="39"/>
        <v>17793.523333333334</v>
      </c>
      <c r="F33" s="245">
        <v>0</v>
      </c>
      <c r="G33" s="245">
        <v>0</v>
      </c>
      <c r="H33" s="238">
        <f t="shared" si="40"/>
        <v>0</v>
      </c>
      <c r="I33" s="247">
        <v>0</v>
      </c>
      <c r="J33" s="247">
        <v>0</v>
      </c>
      <c r="K33" s="248">
        <v>0</v>
      </c>
    </row>
    <row r="34" spans="1:12">
      <c r="A34" s="250">
        <v>44763</v>
      </c>
      <c r="B34" s="245">
        <v>18677.97</v>
      </c>
      <c r="C34" s="245">
        <v>18382.97</v>
      </c>
      <c r="D34" s="245">
        <v>18382.97</v>
      </c>
      <c r="E34" s="246">
        <f t="shared" si="39"/>
        <v>18481.303333333333</v>
      </c>
      <c r="F34" s="245">
        <v>0</v>
      </c>
      <c r="G34" s="245">
        <v>0</v>
      </c>
      <c r="H34" s="238">
        <f t="shared" si="40"/>
        <v>0</v>
      </c>
      <c r="I34" s="247">
        <v>0</v>
      </c>
      <c r="J34" s="247">
        <v>0</v>
      </c>
      <c r="K34" s="248">
        <v>0</v>
      </c>
    </row>
    <row r="35" spans="1:12">
      <c r="A35" s="250">
        <v>44794</v>
      </c>
      <c r="B35" s="245">
        <v>10382.969999999999</v>
      </c>
      <c r="C35" s="245">
        <v>10087.969999999999</v>
      </c>
      <c r="D35" s="245">
        <v>10087.969999999999</v>
      </c>
      <c r="E35" s="246">
        <f t="shared" si="39"/>
        <v>10186.303333333331</v>
      </c>
      <c r="F35" s="245">
        <v>0</v>
      </c>
      <c r="G35" s="245">
        <v>0</v>
      </c>
      <c r="H35" s="238">
        <f t="shared" si="40"/>
        <v>0</v>
      </c>
      <c r="I35" s="247">
        <v>0</v>
      </c>
      <c r="J35" s="247">
        <v>0</v>
      </c>
      <c r="K35" s="248">
        <v>0</v>
      </c>
    </row>
    <row r="36" spans="1:12">
      <c r="A36" s="250">
        <v>44825</v>
      </c>
      <c r="B36" s="245">
        <v>10087.969999999999</v>
      </c>
      <c r="C36" s="245">
        <v>9792.9699999999993</v>
      </c>
      <c r="D36" s="245">
        <v>9792.9699999999993</v>
      </c>
      <c r="E36" s="246">
        <f t="shared" si="39"/>
        <v>9891.3033333333315</v>
      </c>
      <c r="F36" s="245">
        <v>0</v>
      </c>
      <c r="G36" s="245">
        <v>0</v>
      </c>
      <c r="H36" s="238">
        <f t="shared" si="40"/>
        <v>0</v>
      </c>
      <c r="I36" s="247">
        <v>0</v>
      </c>
      <c r="J36" s="247">
        <v>0</v>
      </c>
      <c r="K36" s="248">
        <v>0</v>
      </c>
      <c r="L36" s="231"/>
    </row>
    <row r="37" spans="1:12">
      <c r="A37" s="250">
        <v>44855</v>
      </c>
      <c r="B37" s="245">
        <v>9792.9699999999993</v>
      </c>
      <c r="C37" s="245">
        <v>9497.9699999999993</v>
      </c>
      <c r="D37" s="245">
        <v>0</v>
      </c>
      <c r="E37" s="246">
        <f t="shared" si="39"/>
        <v>6430.3133333333326</v>
      </c>
      <c r="F37" s="245">
        <v>0</v>
      </c>
      <c r="G37" s="245">
        <v>0</v>
      </c>
      <c r="H37" s="238">
        <f t="shared" si="40"/>
        <v>0</v>
      </c>
      <c r="I37" s="247">
        <v>0</v>
      </c>
      <c r="J37" s="247">
        <v>0</v>
      </c>
      <c r="K37" s="248">
        <v>0</v>
      </c>
    </row>
    <row r="38" spans="1:12">
      <c r="A38" s="250">
        <v>44886</v>
      </c>
      <c r="B38" s="245">
        <v>0</v>
      </c>
      <c r="C38" s="245">
        <v>0</v>
      </c>
      <c r="D38" s="245">
        <v>0</v>
      </c>
      <c r="E38" s="246">
        <f t="shared" si="39"/>
        <v>0</v>
      </c>
      <c r="F38" s="245">
        <v>0</v>
      </c>
      <c r="G38" s="245">
        <v>0</v>
      </c>
      <c r="H38" s="238">
        <f t="shared" si="40"/>
        <v>0</v>
      </c>
      <c r="I38" s="247">
        <v>0</v>
      </c>
      <c r="J38" s="247">
        <v>0</v>
      </c>
      <c r="K38" s="248">
        <v>0</v>
      </c>
    </row>
    <row r="39" spans="1:12">
      <c r="A39" s="250">
        <v>44916</v>
      </c>
      <c r="B39" s="245">
        <v>0</v>
      </c>
      <c r="C39" s="245">
        <v>0</v>
      </c>
      <c r="D39" s="245">
        <v>0</v>
      </c>
      <c r="E39" s="246">
        <f t="shared" si="39"/>
        <v>0</v>
      </c>
      <c r="F39" s="245">
        <v>0</v>
      </c>
      <c r="G39" s="245">
        <v>0</v>
      </c>
      <c r="H39" s="238">
        <f t="shared" si="40"/>
        <v>0</v>
      </c>
      <c r="I39" s="247">
        <v>0</v>
      </c>
      <c r="J39" s="247">
        <v>0</v>
      </c>
      <c r="K39" s="248">
        <v>0</v>
      </c>
      <c r="L39" s="231"/>
    </row>
    <row r="40" spans="1:12">
      <c r="A40" s="250">
        <v>44947</v>
      </c>
      <c r="B40" s="245">
        <v>0</v>
      </c>
      <c r="C40" s="245">
        <v>0</v>
      </c>
      <c r="D40" s="245">
        <v>0</v>
      </c>
      <c r="E40" s="246">
        <f t="shared" si="39"/>
        <v>0</v>
      </c>
      <c r="F40" s="245">
        <v>0</v>
      </c>
      <c r="G40" s="245">
        <v>0</v>
      </c>
      <c r="H40" s="238">
        <f t="shared" si="40"/>
        <v>0</v>
      </c>
      <c r="I40" s="247">
        <v>0</v>
      </c>
      <c r="J40" s="247">
        <v>0</v>
      </c>
      <c r="K40" s="248">
        <v>0</v>
      </c>
    </row>
    <row r="41" spans="1:12">
      <c r="A41" s="250">
        <v>44978</v>
      </c>
      <c r="B41" s="245">
        <v>0</v>
      </c>
      <c r="C41" s="245">
        <v>0</v>
      </c>
      <c r="D41" s="245">
        <v>0</v>
      </c>
      <c r="E41" s="246">
        <f t="shared" si="39"/>
        <v>0</v>
      </c>
      <c r="F41" s="245">
        <v>0</v>
      </c>
      <c r="G41" s="245">
        <v>0</v>
      </c>
      <c r="H41" s="238">
        <f t="shared" si="40"/>
        <v>0</v>
      </c>
      <c r="I41" s="247">
        <v>0</v>
      </c>
      <c r="J41" s="247">
        <v>0</v>
      </c>
      <c r="K41" s="248">
        <v>0</v>
      </c>
    </row>
    <row r="42" spans="1:12" ht="13.5" thickBot="1">
      <c r="A42" s="250">
        <v>45006</v>
      </c>
      <c r="B42" s="245">
        <v>0</v>
      </c>
      <c r="C42" s="245">
        <v>0</v>
      </c>
      <c r="D42" s="245">
        <v>0</v>
      </c>
      <c r="E42" s="246">
        <f t="shared" si="39"/>
        <v>0</v>
      </c>
      <c r="F42" s="245">
        <v>0</v>
      </c>
      <c r="G42" s="245">
        <v>0</v>
      </c>
      <c r="H42" s="238">
        <f t="shared" si="40"/>
        <v>0</v>
      </c>
      <c r="I42" s="247">
        <v>0</v>
      </c>
      <c r="J42" s="247">
        <v>0</v>
      </c>
      <c r="K42" s="248">
        <v>0</v>
      </c>
    </row>
    <row r="43" spans="1:12" ht="13.5" thickBot="1">
      <c r="A43" s="214" t="s">
        <v>256</v>
      </c>
      <c r="B43" s="215">
        <f>AVERAGE(B31:B42)</f>
        <v>7753.3074999999999</v>
      </c>
      <c r="C43" s="215">
        <f>AVERAGE(C31:C42)</f>
        <v>7742.0858333333335</v>
      </c>
      <c r="D43" s="215">
        <f>AVERAGE(D31:D42)</f>
        <v>7166.05</v>
      </c>
      <c r="E43" s="215"/>
      <c r="F43" s="215">
        <f>AVERAGE(F31:F42)</f>
        <v>0</v>
      </c>
      <c r="G43" s="215">
        <f>AVERAGE(G31:G42)</f>
        <v>0</v>
      </c>
      <c r="H43" s="215"/>
      <c r="I43" s="216"/>
      <c r="J43" s="217"/>
      <c r="K43" s="217"/>
    </row>
    <row r="44" spans="1:12">
      <c r="A44" s="564" t="s">
        <v>257</v>
      </c>
      <c r="B44" s="564"/>
      <c r="C44" s="564"/>
      <c r="D44" s="564"/>
      <c r="E44" s="218">
        <f>SUM(E31:E42)</f>
        <v>90645.773333333331</v>
      </c>
      <c r="F44" s="564" t="s">
        <v>258</v>
      </c>
      <c r="G44" s="564"/>
      <c r="H44" s="218">
        <f>SUM(H31:H42)</f>
        <v>0</v>
      </c>
      <c r="I44" s="219">
        <f>SUM(I31:I42)</f>
        <v>0</v>
      </c>
      <c r="J44" s="220">
        <f>SUM(J31:J42)</f>
        <v>0</v>
      </c>
      <c r="K44" s="220"/>
    </row>
    <row r="45" spans="1:12" ht="13.5" thickBot="1">
      <c r="A45" s="565" t="s">
        <v>256</v>
      </c>
      <c r="B45" s="565"/>
      <c r="C45" s="565"/>
      <c r="D45" s="565"/>
      <c r="E45" s="218">
        <f>AVERAGE(E31:E42)</f>
        <v>7553.8144444444442</v>
      </c>
      <c r="F45" s="565" t="s">
        <v>259</v>
      </c>
      <c r="G45" s="565"/>
      <c r="H45" s="221">
        <f>AVERAGE(H31:H42)</f>
        <v>0</v>
      </c>
      <c r="I45" s="222"/>
      <c r="J45" s="221"/>
      <c r="K45" s="228"/>
    </row>
    <row r="46" spans="1:12" ht="13.5" thickBot="1">
      <c r="A46" s="566" t="s">
        <v>260</v>
      </c>
      <c r="B46" s="566"/>
      <c r="C46" s="566"/>
      <c r="D46" s="566"/>
      <c r="E46" s="221"/>
      <c r="F46" s="223">
        <f>SUM(F30:F42)</f>
        <v>0</v>
      </c>
      <c r="G46" s="223">
        <f>SUM(G30:G42)</f>
        <v>0</v>
      </c>
      <c r="H46" s="221"/>
      <c r="I46" s="222"/>
      <c r="J46" s="229"/>
      <c r="K46" s="230">
        <f>SUM(K30:K42)</f>
        <v>0</v>
      </c>
    </row>
    <row r="47" spans="1:12" ht="13.5" thickBot="1">
      <c r="A47" s="566" t="s">
        <v>261</v>
      </c>
      <c r="B47" s="566"/>
      <c r="C47" s="566"/>
      <c r="D47" s="566"/>
      <c r="E47" s="221"/>
      <c r="F47" s="223">
        <f>F46-K46</f>
        <v>0</v>
      </c>
      <c r="G47" s="223"/>
      <c r="H47" s="221"/>
      <c r="I47" s="222"/>
      <c r="J47" s="229"/>
      <c r="K47" s="230"/>
    </row>
    <row r="50" spans="1:11">
      <c r="A50" s="225"/>
    </row>
    <row r="52" spans="1:11">
      <c r="A52" s="204" t="s">
        <v>243</v>
      </c>
      <c r="B52" s="569"/>
      <c r="C52" s="570"/>
      <c r="D52" s="570"/>
      <c r="E52" s="570"/>
      <c r="F52" s="570"/>
      <c r="G52" s="570"/>
      <c r="H52" s="571"/>
      <c r="I52" s="203" t="s">
        <v>262</v>
      </c>
      <c r="J52" s="226">
        <f>MIN(B59:D70)</f>
        <v>0</v>
      </c>
    </row>
    <row r="53" spans="1:11">
      <c r="A53" s="204" t="s">
        <v>244</v>
      </c>
      <c r="B53" s="569"/>
      <c r="C53" s="570"/>
      <c r="D53" s="570"/>
      <c r="E53" s="570"/>
      <c r="F53" s="570"/>
      <c r="G53" s="570"/>
      <c r="H53" s="571"/>
      <c r="I53" s="203" t="s">
        <v>263</v>
      </c>
      <c r="J53" s="226">
        <f>MAX(B59:D70)</f>
        <v>0</v>
      </c>
    </row>
    <row r="54" spans="1:11">
      <c r="A54" s="204" t="s">
        <v>264</v>
      </c>
      <c r="B54" s="567"/>
      <c r="C54" s="567"/>
      <c r="D54" s="567"/>
      <c r="E54" s="567"/>
      <c r="F54" s="567"/>
      <c r="G54" s="567"/>
      <c r="H54" s="567"/>
      <c r="I54" s="203"/>
      <c r="J54" s="203"/>
    </row>
    <row r="55" spans="1:11">
      <c r="A55" s="204" t="s">
        <v>245</v>
      </c>
      <c r="B55" s="568"/>
      <c r="C55" s="567"/>
      <c r="D55" s="567"/>
      <c r="E55" s="567"/>
      <c r="F55" s="567"/>
      <c r="G55" s="567"/>
      <c r="H55" s="567"/>
      <c r="I55" s="203"/>
      <c r="J55" s="203"/>
    </row>
    <row r="56" spans="1:11" ht="13.5" thickBot="1">
      <c r="A56" s="205" t="s">
        <v>265</v>
      </c>
      <c r="B56" s="567"/>
      <c r="C56" s="567"/>
      <c r="D56" s="567"/>
      <c r="E56" s="567"/>
      <c r="F56" s="567"/>
      <c r="G56" s="567"/>
      <c r="H56" s="567"/>
      <c r="I56" s="203"/>
      <c r="J56" s="203"/>
    </row>
    <row r="57" spans="1:11" ht="51.75" thickBot="1">
      <c r="A57" s="206" t="s">
        <v>203</v>
      </c>
      <c r="B57" s="207" t="s">
        <v>246</v>
      </c>
      <c r="C57" s="207" t="s">
        <v>247</v>
      </c>
      <c r="D57" s="207" t="s">
        <v>248</v>
      </c>
      <c r="E57" s="207" t="s">
        <v>249</v>
      </c>
      <c r="F57" s="207" t="s">
        <v>250</v>
      </c>
      <c r="G57" s="207" t="s">
        <v>251</v>
      </c>
      <c r="H57" s="207" t="s">
        <v>252</v>
      </c>
      <c r="I57" s="208" t="s">
        <v>253</v>
      </c>
      <c r="J57" s="209" t="s">
        <v>254</v>
      </c>
      <c r="K57" s="209" t="s">
        <v>255</v>
      </c>
    </row>
    <row r="58" spans="1:11">
      <c r="A58" s="249"/>
      <c r="B58" s="239"/>
      <c r="C58" s="239"/>
      <c r="D58" s="251"/>
      <c r="E58" s="241"/>
      <c r="F58" s="239"/>
      <c r="G58" s="239"/>
      <c r="H58" s="241"/>
      <c r="I58" s="242"/>
      <c r="J58" s="252"/>
      <c r="K58" s="227"/>
    </row>
    <row r="59" spans="1:11">
      <c r="A59" s="250">
        <v>44672</v>
      </c>
      <c r="B59" s="245">
        <v>0</v>
      </c>
      <c r="C59" s="245">
        <v>0</v>
      </c>
      <c r="D59" s="245">
        <v>0</v>
      </c>
      <c r="E59" s="246">
        <f t="shared" ref="E59" si="41">AVERAGE(B59:D59)</f>
        <v>0</v>
      </c>
      <c r="F59" s="245">
        <v>0</v>
      </c>
      <c r="G59" s="245">
        <v>0</v>
      </c>
      <c r="H59" s="238">
        <f>F59-G59</f>
        <v>0</v>
      </c>
      <c r="I59" s="247">
        <v>0</v>
      </c>
      <c r="J59" s="247">
        <v>0</v>
      </c>
      <c r="K59" s="248">
        <v>0</v>
      </c>
    </row>
    <row r="60" spans="1:11">
      <c r="A60" s="250">
        <v>44702</v>
      </c>
      <c r="B60" s="245">
        <v>0</v>
      </c>
      <c r="C60" s="245">
        <v>0</v>
      </c>
      <c r="D60" s="245">
        <v>0</v>
      </c>
      <c r="E60" s="246">
        <f t="shared" ref="E60:E70" si="42">AVERAGE(B60:D60)</f>
        <v>0</v>
      </c>
      <c r="F60" s="245">
        <v>0</v>
      </c>
      <c r="G60" s="245">
        <v>0</v>
      </c>
      <c r="H60" s="238">
        <f t="shared" ref="H60:H70" si="43">F60-G60</f>
        <v>0</v>
      </c>
      <c r="I60" s="247">
        <v>0</v>
      </c>
      <c r="J60" s="247">
        <v>0</v>
      </c>
      <c r="K60" s="248">
        <v>0</v>
      </c>
    </row>
    <row r="61" spans="1:11">
      <c r="A61" s="250">
        <v>44733</v>
      </c>
      <c r="B61" s="245">
        <v>0</v>
      </c>
      <c r="C61" s="245">
        <v>0</v>
      </c>
      <c r="D61" s="245">
        <v>0</v>
      </c>
      <c r="E61" s="246">
        <f t="shared" si="42"/>
        <v>0</v>
      </c>
      <c r="F61" s="245">
        <v>0</v>
      </c>
      <c r="G61" s="245">
        <v>0</v>
      </c>
      <c r="H61" s="238">
        <f t="shared" si="43"/>
        <v>0</v>
      </c>
      <c r="I61" s="247">
        <v>0</v>
      </c>
      <c r="J61" s="247">
        <v>0</v>
      </c>
      <c r="K61" s="248">
        <v>0</v>
      </c>
    </row>
    <row r="62" spans="1:11">
      <c r="A62" s="250">
        <v>44763</v>
      </c>
      <c r="B62" s="245">
        <v>0</v>
      </c>
      <c r="C62" s="245">
        <v>0</v>
      </c>
      <c r="D62" s="245">
        <v>0</v>
      </c>
      <c r="E62" s="246">
        <f t="shared" si="42"/>
        <v>0</v>
      </c>
      <c r="F62" s="245">
        <v>0</v>
      </c>
      <c r="G62" s="245">
        <v>0</v>
      </c>
      <c r="H62" s="238">
        <f t="shared" si="43"/>
        <v>0</v>
      </c>
      <c r="I62" s="247">
        <v>0</v>
      </c>
      <c r="J62" s="247">
        <v>0</v>
      </c>
      <c r="K62" s="248">
        <v>0</v>
      </c>
    </row>
    <row r="63" spans="1:11">
      <c r="A63" s="250">
        <v>44794</v>
      </c>
      <c r="B63" s="245">
        <v>0</v>
      </c>
      <c r="C63" s="245">
        <v>0</v>
      </c>
      <c r="D63" s="245">
        <v>0</v>
      </c>
      <c r="E63" s="246">
        <f t="shared" si="42"/>
        <v>0</v>
      </c>
      <c r="F63" s="245">
        <v>0</v>
      </c>
      <c r="G63" s="245">
        <v>0</v>
      </c>
      <c r="H63" s="238">
        <f t="shared" si="43"/>
        <v>0</v>
      </c>
      <c r="I63" s="247">
        <v>0</v>
      </c>
      <c r="J63" s="247">
        <v>0</v>
      </c>
      <c r="K63" s="248">
        <v>0</v>
      </c>
    </row>
    <row r="64" spans="1:11">
      <c r="A64" s="250">
        <v>44825</v>
      </c>
      <c r="B64" s="245">
        <v>0</v>
      </c>
      <c r="C64" s="245">
        <v>0</v>
      </c>
      <c r="D64" s="245">
        <v>0</v>
      </c>
      <c r="E64" s="246">
        <f t="shared" si="42"/>
        <v>0</v>
      </c>
      <c r="F64" s="245">
        <v>0</v>
      </c>
      <c r="G64" s="245">
        <v>0</v>
      </c>
      <c r="H64" s="238">
        <f t="shared" si="43"/>
        <v>0</v>
      </c>
      <c r="I64" s="247">
        <v>0</v>
      </c>
      <c r="J64" s="247">
        <v>0</v>
      </c>
      <c r="K64" s="248">
        <v>0</v>
      </c>
    </row>
    <row r="65" spans="1:11">
      <c r="A65" s="250">
        <v>44855</v>
      </c>
      <c r="B65" s="245">
        <v>0</v>
      </c>
      <c r="C65" s="245">
        <v>0</v>
      </c>
      <c r="D65" s="245">
        <v>0</v>
      </c>
      <c r="E65" s="246">
        <f t="shared" si="42"/>
        <v>0</v>
      </c>
      <c r="F65" s="245">
        <v>0</v>
      </c>
      <c r="G65" s="245">
        <v>0</v>
      </c>
      <c r="H65" s="238">
        <f t="shared" si="43"/>
        <v>0</v>
      </c>
      <c r="I65" s="247">
        <v>0</v>
      </c>
      <c r="J65" s="247">
        <v>0</v>
      </c>
      <c r="K65" s="248">
        <v>0</v>
      </c>
    </row>
    <row r="66" spans="1:11">
      <c r="A66" s="250">
        <v>44886</v>
      </c>
      <c r="B66" s="245">
        <v>0</v>
      </c>
      <c r="C66" s="245">
        <v>0</v>
      </c>
      <c r="D66" s="245">
        <v>0</v>
      </c>
      <c r="E66" s="246">
        <f t="shared" si="42"/>
        <v>0</v>
      </c>
      <c r="F66" s="245">
        <v>0</v>
      </c>
      <c r="G66" s="245">
        <v>0</v>
      </c>
      <c r="H66" s="238">
        <f t="shared" si="43"/>
        <v>0</v>
      </c>
      <c r="I66" s="247">
        <v>0</v>
      </c>
      <c r="J66" s="247">
        <v>0</v>
      </c>
      <c r="K66" s="248">
        <v>0</v>
      </c>
    </row>
    <row r="67" spans="1:11">
      <c r="A67" s="250">
        <v>44916</v>
      </c>
      <c r="B67" s="245">
        <v>0</v>
      </c>
      <c r="C67" s="245">
        <v>0</v>
      </c>
      <c r="D67" s="245">
        <v>0</v>
      </c>
      <c r="E67" s="246">
        <f t="shared" si="42"/>
        <v>0</v>
      </c>
      <c r="F67" s="245">
        <v>0</v>
      </c>
      <c r="G67" s="245">
        <v>0</v>
      </c>
      <c r="H67" s="238">
        <f t="shared" si="43"/>
        <v>0</v>
      </c>
      <c r="I67" s="247">
        <v>0</v>
      </c>
      <c r="J67" s="247">
        <v>0</v>
      </c>
      <c r="K67" s="248">
        <v>0</v>
      </c>
    </row>
    <row r="68" spans="1:11">
      <c r="A68" s="250">
        <v>44947</v>
      </c>
      <c r="B68" s="245">
        <v>0</v>
      </c>
      <c r="C68" s="245">
        <v>0</v>
      </c>
      <c r="D68" s="245">
        <v>0</v>
      </c>
      <c r="E68" s="246">
        <f t="shared" si="42"/>
        <v>0</v>
      </c>
      <c r="F68" s="245">
        <v>0</v>
      </c>
      <c r="G68" s="245">
        <v>0</v>
      </c>
      <c r="H68" s="238">
        <f t="shared" si="43"/>
        <v>0</v>
      </c>
      <c r="I68" s="247">
        <v>0</v>
      </c>
      <c r="J68" s="247">
        <v>0</v>
      </c>
      <c r="K68" s="248">
        <v>0</v>
      </c>
    </row>
    <row r="69" spans="1:11">
      <c r="A69" s="250">
        <v>44978</v>
      </c>
      <c r="B69" s="245">
        <v>0</v>
      </c>
      <c r="C69" s="245">
        <v>0</v>
      </c>
      <c r="D69" s="245">
        <v>0</v>
      </c>
      <c r="E69" s="246">
        <f t="shared" si="42"/>
        <v>0</v>
      </c>
      <c r="F69" s="245">
        <v>0</v>
      </c>
      <c r="G69" s="245">
        <v>0</v>
      </c>
      <c r="H69" s="238">
        <f t="shared" si="43"/>
        <v>0</v>
      </c>
      <c r="I69" s="247">
        <v>0</v>
      </c>
      <c r="J69" s="247">
        <v>0</v>
      </c>
      <c r="K69" s="248">
        <v>0</v>
      </c>
    </row>
    <row r="70" spans="1:11" ht="13.5" thickBot="1">
      <c r="A70" s="250">
        <v>45006</v>
      </c>
      <c r="B70" s="245">
        <v>0</v>
      </c>
      <c r="C70" s="245">
        <v>0</v>
      </c>
      <c r="D70" s="245">
        <v>0</v>
      </c>
      <c r="E70" s="246">
        <f t="shared" si="42"/>
        <v>0</v>
      </c>
      <c r="F70" s="245">
        <v>0</v>
      </c>
      <c r="G70" s="245">
        <v>0</v>
      </c>
      <c r="H70" s="238">
        <f t="shared" si="43"/>
        <v>0</v>
      </c>
      <c r="I70" s="247">
        <v>0</v>
      </c>
      <c r="J70" s="247">
        <v>0</v>
      </c>
      <c r="K70" s="248">
        <v>0</v>
      </c>
    </row>
    <row r="71" spans="1:11" ht="13.5" thickBot="1">
      <c r="A71" s="214" t="s">
        <v>256</v>
      </c>
      <c r="B71" s="215">
        <f>AVERAGE(B59:B70)</f>
        <v>0</v>
      </c>
      <c r="C71" s="215">
        <f>AVERAGE(C59:C70)</f>
        <v>0</v>
      </c>
      <c r="D71" s="215">
        <f>AVERAGE(D59:D70)</f>
        <v>0</v>
      </c>
      <c r="E71" s="215"/>
      <c r="F71" s="215">
        <f>AVERAGE(F59:F70)</f>
        <v>0</v>
      </c>
      <c r="G71" s="215">
        <f>AVERAGE(G59:G70)</f>
        <v>0</v>
      </c>
      <c r="H71" s="215"/>
      <c r="I71" s="216"/>
      <c r="J71" s="217"/>
      <c r="K71" s="217"/>
    </row>
    <row r="72" spans="1:11">
      <c r="A72" s="564" t="s">
        <v>257</v>
      </c>
      <c r="B72" s="564"/>
      <c r="C72" s="564"/>
      <c r="D72" s="564"/>
      <c r="E72" s="218">
        <f>SUM(E59:E70)</f>
        <v>0</v>
      </c>
      <c r="F72" s="564" t="s">
        <v>258</v>
      </c>
      <c r="G72" s="564"/>
      <c r="H72" s="218">
        <f>SUM(H59:H70)</f>
        <v>0</v>
      </c>
      <c r="I72" s="219">
        <f>SUM(I59:I70)</f>
        <v>0</v>
      </c>
      <c r="J72" s="220">
        <f>SUM(J59:J70)</f>
        <v>0</v>
      </c>
      <c r="K72" s="220"/>
    </row>
    <row r="73" spans="1:11" ht="13.5" thickBot="1">
      <c r="A73" s="565" t="s">
        <v>256</v>
      </c>
      <c r="B73" s="565"/>
      <c r="C73" s="565"/>
      <c r="D73" s="565"/>
      <c r="E73" s="221">
        <f>AVERAGE(E59:E70)</f>
        <v>0</v>
      </c>
      <c r="F73" s="565" t="s">
        <v>259</v>
      </c>
      <c r="G73" s="565"/>
      <c r="H73" s="221">
        <f>AVERAGE(H59:H70)</f>
        <v>0</v>
      </c>
      <c r="I73" s="222"/>
      <c r="J73" s="221"/>
      <c r="K73" s="228"/>
    </row>
    <row r="74" spans="1:11" ht="13.5" thickBot="1">
      <c r="A74" s="566" t="s">
        <v>260</v>
      </c>
      <c r="B74" s="566"/>
      <c r="C74" s="566"/>
      <c r="D74" s="566"/>
      <c r="E74" s="221"/>
      <c r="F74" s="223">
        <f>SUM(F58:F70)</f>
        <v>0</v>
      </c>
      <c r="G74" s="223">
        <f>SUM(G58:G70)</f>
        <v>0</v>
      </c>
      <c r="H74" s="221"/>
      <c r="I74" s="222"/>
      <c r="J74" s="229"/>
      <c r="K74" s="230">
        <f>SUM(K58:K70)</f>
        <v>0</v>
      </c>
    </row>
    <row r="75" spans="1:11" ht="13.5" thickBot="1">
      <c r="A75" s="566" t="s">
        <v>261</v>
      </c>
      <c r="B75" s="566"/>
      <c r="C75" s="566"/>
      <c r="D75" s="566"/>
      <c r="E75" s="221"/>
      <c r="F75" s="223">
        <f>F74-K74</f>
        <v>0</v>
      </c>
      <c r="G75" s="223"/>
      <c r="H75" s="221"/>
      <c r="I75" s="222"/>
      <c r="J75" s="229"/>
      <c r="K75" s="230"/>
    </row>
    <row r="78" spans="1:11">
      <c r="A78" s="204" t="s">
        <v>243</v>
      </c>
      <c r="B78" s="569"/>
      <c r="C78" s="570"/>
      <c r="D78" s="570"/>
      <c r="E78" s="570"/>
      <c r="F78" s="570"/>
      <c r="G78" s="570"/>
      <c r="H78" s="571"/>
      <c r="I78" s="203" t="s">
        <v>262</v>
      </c>
      <c r="J78" s="226">
        <f>MIN(B85:D96)</f>
        <v>0</v>
      </c>
    </row>
    <row r="79" spans="1:11">
      <c r="A79" s="204" t="s">
        <v>244</v>
      </c>
      <c r="B79" s="569"/>
      <c r="C79" s="570"/>
      <c r="D79" s="570"/>
      <c r="E79" s="570"/>
      <c r="F79" s="570"/>
      <c r="G79" s="570"/>
      <c r="H79" s="571"/>
      <c r="I79" s="203" t="s">
        <v>263</v>
      </c>
      <c r="J79" s="226">
        <f>MAX(B85:D96)</f>
        <v>0</v>
      </c>
    </row>
    <row r="80" spans="1:11">
      <c r="A80" s="204" t="s">
        <v>264</v>
      </c>
      <c r="B80" s="567"/>
      <c r="C80" s="567"/>
      <c r="D80" s="567"/>
      <c r="E80" s="567"/>
      <c r="F80" s="567"/>
      <c r="G80" s="567"/>
      <c r="H80" s="567"/>
      <c r="I80" s="203"/>
      <c r="J80" s="203"/>
    </row>
    <row r="81" spans="1:11">
      <c r="A81" s="204" t="s">
        <v>245</v>
      </c>
      <c r="B81" s="568"/>
      <c r="C81" s="567"/>
      <c r="D81" s="567"/>
      <c r="E81" s="567"/>
      <c r="F81" s="567"/>
      <c r="G81" s="567"/>
      <c r="H81" s="567"/>
      <c r="I81" s="203"/>
      <c r="J81" s="203"/>
    </row>
    <row r="82" spans="1:11" ht="13.5" thickBot="1">
      <c r="A82" s="205" t="s">
        <v>265</v>
      </c>
      <c r="B82" s="567"/>
      <c r="C82" s="567"/>
      <c r="D82" s="567"/>
      <c r="E82" s="567"/>
      <c r="F82" s="567"/>
      <c r="G82" s="567"/>
      <c r="H82" s="567"/>
      <c r="I82" s="203"/>
      <c r="J82" s="203"/>
    </row>
    <row r="83" spans="1:11" ht="51.75" thickBot="1">
      <c r="A83" s="206" t="s">
        <v>203</v>
      </c>
      <c r="B83" s="207" t="s">
        <v>246</v>
      </c>
      <c r="C83" s="207" t="s">
        <v>247</v>
      </c>
      <c r="D83" s="207" t="s">
        <v>248</v>
      </c>
      <c r="E83" s="207" t="s">
        <v>249</v>
      </c>
      <c r="F83" s="207" t="s">
        <v>250</v>
      </c>
      <c r="G83" s="207" t="s">
        <v>251</v>
      </c>
      <c r="H83" s="207" t="s">
        <v>252</v>
      </c>
      <c r="I83" s="208" t="s">
        <v>253</v>
      </c>
      <c r="J83" s="209" t="s">
        <v>254</v>
      </c>
      <c r="K83" s="209" t="s">
        <v>255</v>
      </c>
    </row>
    <row r="84" spans="1:11">
      <c r="A84" s="249"/>
      <c r="B84" s="239"/>
      <c r="C84" s="239"/>
      <c r="D84" s="251"/>
      <c r="E84" s="241"/>
      <c r="F84" s="239"/>
      <c r="G84" s="239"/>
      <c r="H84" s="241"/>
      <c r="I84" s="242"/>
      <c r="J84" s="252"/>
      <c r="K84" s="227"/>
    </row>
    <row r="85" spans="1:11">
      <c r="A85" s="250">
        <v>44672</v>
      </c>
      <c r="B85" s="245">
        <v>0</v>
      </c>
      <c r="C85" s="245">
        <v>0</v>
      </c>
      <c r="D85" s="245">
        <v>0</v>
      </c>
      <c r="E85" s="246">
        <f t="shared" ref="E85:E96" si="44">AVERAGE(B85:D85)</f>
        <v>0</v>
      </c>
      <c r="F85" s="245">
        <v>0</v>
      </c>
      <c r="G85" s="245">
        <v>0</v>
      </c>
      <c r="H85" s="238">
        <f>F85-G85</f>
        <v>0</v>
      </c>
      <c r="I85" s="247">
        <v>0</v>
      </c>
      <c r="J85" s="247">
        <v>0</v>
      </c>
      <c r="K85" s="248">
        <v>0</v>
      </c>
    </row>
    <row r="86" spans="1:11">
      <c r="A86" s="250">
        <v>44702</v>
      </c>
      <c r="B86" s="245">
        <v>0</v>
      </c>
      <c r="C86" s="245">
        <v>0</v>
      </c>
      <c r="D86" s="245">
        <v>0</v>
      </c>
      <c r="E86" s="246">
        <f t="shared" si="44"/>
        <v>0</v>
      </c>
      <c r="F86" s="245">
        <v>0</v>
      </c>
      <c r="G86" s="245">
        <v>0</v>
      </c>
      <c r="H86" s="238">
        <f t="shared" ref="H86:H96" si="45">F86-G86</f>
        <v>0</v>
      </c>
      <c r="I86" s="247">
        <v>0</v>
      </c>
      <c r="J86" s="247">
        <v>0</v>
      </c>
      <c r="K86" s="248">
        <v>0</v>
      </c>
    </row>
    <row r="87" spans="1:11">
      <c r="A87" s="250">
        <v>44733</v>
      </c>
      <c r="B87" s="245">
        <v>0</v>
      </c>
      <c r="C87" s="245">
        <v>0</v>
      </c>
      <c r="D87" s="245">
        <v>0</v>
      </c>
      <c r="E87" s="246">
        <f t="shared" si="44"/>
        <v>0</v>
      </c>
      <c r="F87" s="245">
        <v>0</v>
      </c>
      <c r="G87" s="245">
        <v>0</v>
      </c>
      <c r="H87" s="238">
        <f t="shared" si="45"/>
        <v>0</v>
      </c>
      <c r="I87" s="247">
        <v>0</v>
      </c>
      <c r="J87" s="247">
        <v>0</v>
      </c>
      <c r="K87" s="248">
        <v>0</v>
      </c>
    </row>
    <row r="88" spans="1:11">
      <c r="A88" s="250">
        <v>44763</v>
      </c>
      <c r="B88" s="245">
        <v>0</v>
      </c>
      <c r="C88" s="245">
        <v>0</v>
      </c>
      <c r="D88" s="245">
        <v>0</v>
      </c>
      <c r="E88" s="246">
        <f t="shared" si="44"/>
        <v>0</v>
      </c>
      <c r="F88" s="245">
        <v>0</v>
      </c>
      <c r="G88" s="245">
        <v>0</v>
      </c>
      <c r="H88" s="238">
        <f t="shared" si="45"/>
        <v>0</v>
      </c>
      <c r="I88" s="247">
        <v>0</v>
      </c>
      <c r="J88" s="247">
        <v>0</v>
      </c>
      <c r="K88" s="248">
        <v>0</v>
      </c>
    </row>
    <row r="89" spans="1:11">
      <c r="A89" s="250">
        <v>44794</v>
      </c>
      <c r="B89" s="245">
        <v>0</v>
      </c>
      <c r="C89" s="245">
        <v>0</v>
      </c>
      <c r="D89" s="245">
        <v>0</v>
      </c>
      <c r="E89" s="246">
        <f t="shared" si="44"/>
        <v>0</v>
      </c>
      <c r="F89" s="245">
        <v>0</v>
      </c>
      <c r="G89" s="245">
        <v>0</v>
      </c>
      <c r="H89" s="238">
        <f t="shared" si="45"/>
        <v>0</v>
      </c>
      <c r="I89" s="247">
        <v>0</v>
      </c>
      <c r="J89" s="247">
        <v>0</v>
      </c>
      <c r="K89" s="248">
        <v>0</v>
      </c>
    </row>
    <row r="90" spans="1:11">
      <c r="A90" s="250">
        <v>44825</v>
      </c>
      <c r="B90" s="245">
        <v>0</v>
      </c>
      <c r="C90" s="245">
        <v>0</v>
      </c>
      <c r="D90" s="245">
        <v>0</v>
      </c>
      <c r="E90" s="246">
        <f t="shared" si="44"/>
        <v>0</v>
      </c>
      <c r="F90" s="245">
        <v>0</v>
      </c>
      <c r="G90" s="245">
        <v>0</v>
      </c>
      <c r="H90" s="238">
        <f t="shared" si="45"/>
        <v>0</v>
      </c>
      <c r="I90" s="247">
        <v>0</v>
      </c>
      <c r="J90" s="247">
        <v>0</v>
      </c>
      <c r="K90" s="248">
        <v>0</v>
      </c>
    </row>
    <row r="91" spans="1:11">
      <c r="A91" s="250">
        <v>44855</v>
      </c>
      <c r="B91" s="245">
        <v>0</v>
      </c>
      <c r="C91" s="245">
        <v>0</v>
      </c>
      <c r="D91" s="245">
        <v>0</v>
      </c>
      <c r="E91" s="246">
        <f t="shared" si="44"/>
        <v>0</v>
      </c>
      <c r="F91" s="245">
        <v>0</v>
      </c>
      <c r="G91" s="245">
        <v>0</v>
      </c>
      <c r="H91" s="238">
        <f t="shared" si="45"/>
        <v>0</v>
      </c>
      <c r="I91" s="247">
        <v>0</v>
      </c>
      <c r="J91" s="247">
        <v>0</v>
      </c>
      <c r="K91" s="248">
        <v>0</v>
      </c>
    </row>
    <row r="92" spans="1:11">
      <c r="A92" s="250">
        <v>44886</v>
      </c>
      <c r="B92" s="245">
        <v>0</v>
      </c>
      <c r="C92" s="245">
        <v>0</v>
      </c>
      <c r="D92" s="245">
        <v>0</v>
      </c>
      <c r="E92" s="246">
        <f t="shared" si="44"/>
        <v>0</v>
      </c>
      <c r="F92" s="245">
        <v>0</v>
      </c>
      <c r="G92" s="245">
        <v>0</v>
      </c>
      <c r="H92" s="238">
        <f t="shared" si="45"/>
        <v>0</v>
      </c>
      <c r="I92" s="247">
        <v>0</v>
      </c>
      <c r="J92" s="247">
        <v>0</v>
      </c>
      <c r="K92" s="248">
        <v>0</v>
      </c>
    </row>
    <row r="93" spans="1:11">
      <c r="A93" s="250">
        <v>44916</v>
      </c>
      <c r="B93" s="245">
        <v>0</v>
      </c>
      <c r="C93" s="245">
        <v>0</v>
      </c>
      <c r="D93" s="245">
        <v>0</v>
      </c>
      <c r="E93" s="246">
        <f t="shared" si="44"/>
        <v>0</v>
      </c>
      <c r="F93" s="245">
        <v>0</v>
      </c>
      <c r="G93" s="245">
        <v>0</v>
      </c>
      <c r="H93" s="238">
        <f t="shared" si="45"/>
        <v>0</v>
      </c>
      <c r="I93" s="247">
        <v>0</v>
      </c>
      <c r="J93" s="247">
        <v>0</v>
      </c>
      <c r="K93" s="248">
        <v>0</v>
      </c>
    </row>
    <row r="94" spans="1:11">
      <c r="A94" s="250">
        <v>44947</v>
      </c>
      <c r="B94" s="245">
        <v>0</v>
      </c>
      <c r="C94" s="245">
        <v>0</v>
      </c>
      <c r="D94" s="245">
        <v>0</v>
      </c>
      <c r="E94" s="246">
        <f t="shared" si="44"/>
        <v>0</v>
      </c>
      <c r="F94" s="245">
        <v>0</v>
      </c>
      <c r="G94" s="245">
        <v>0</v>
      </c>
      <c r="H94" s="238">
        <f t="shared" si="45"/>
        <v>0</v>
      </c>
      <c r="I94" s="247">
        <v>0</v>
      </c>
      <c r="J94" s="247">
        <v>0</v>
      </c>
      <c r="K94" s="248">
        <v>0</v>
      </c>
    </row>
    <row r="95" spans="1:11">
      <c r="A95" s="250">
        <v>44978</v>
      </c>
      <c r="B95" s="245">
        <v>0</v>
      </c>
      <c r="C95" s="245">
        <v>0</v>
      </c>
      <c r="D95" s="245">
        <v>0</v>
      </c>
      <c r="E95" s="246">
        <f t="shared" si="44"/>
        <v>0</v>
      </c>
      <c r="F95" s="245">
        <v>0</v>
      </c>
      <c r="G95" s="245">
        <v>0</v>
      </c>
      <c r="H95" s="238">
        <f t="shared" si="45"/>
        <v>0</v>
      </c>
      <c r="I95" s="247">
        <v>0</v>
      </c>
      <c r="J95" s="247">
        <v>0</v>
      </c>
      <c r="K95" s="248">
        <v>0</v>
      </c>
    </row>
    <row r="96" spans="1:11" ht="13.5" thickBot="1">
      <c r="A96" s="250">
        <v>45006</v>
      </c>
      <c r="B96" s="245">
        <v>0</v>
      </c>
      <c r="C96" s="245">
        <v>0</v>
      </c>
      <c r="D96" s="245">
        <v>0</v>
      </c>
      <c r="E96" s="246">
        <f t="shared" si="44"/>
        <v>0</v>
      </c>
      <c r="F96" s="245">
        <v>0</v>
      </c>
      <c r="G96" s="245">
        <v>0</v>
      </c>
      <c r="H96" s="238">
        <f t="shared" si="45"/>
        <v>0</v>
      </c>
      <c r="I96" s="247">
        <v>0</v>
      </c>
      <c r="J96" s="247">
        <v>0</v>
      </c>
      <c r="K96" s="248">
        <v>0</v>
      </c>
    </row>
    <row r="97" spans="1:11" ht="13.5" thickBot="1">
      <c r="A97" s="214" t="s">
        <v>256</v>
      </c>
      <c r="B97" s="215">
        <f>AVERAGE(B85:B96)</f>
        <v>0</v>
      </c>
      <c r="C97" s="215">
        <f>AVERAGE(C85:C96)</f>
        <v>0</v>
      </c>
      <c r="D97" s="215">
        <f>AVERAGE(D85:D96)</f>
        <v>0</v>
      </c>
      <c r="E97" s="215"/>
      <c r="F97" s="215">
        <f>AVERAGE(F85:F96)</f>
        <v>0</v>
      </c>
      <c r="G97" s="215">
        <f>AVERAGE(G85:G96)</f>
        <v>0</v>
      </c>
      <c r="H97" s="215"/>
      <c r="I97" s="216"/>
      <c r="J97" s="217"/>
      <c r="K97" s="217"/>
    </row>
    <row r="98" spans="1:11">
      <c r="A98" s="564" t="s">
        <v>257</v>
      </c>
      <c r="B98" s="564"/>
      <c r="C98" s="564"/>
      <c r="D98" s="564"/>
      <c r="E98" s="218">
        <f>SUM(E85:E96)</f>
        <v>0</v>
      </c>
      <c r="F98" s="564" t="s">
        <v>258</v>
      </c>
      <c r="G98" s="564"/>
      <c r="H98" s="218">
        <f>SUM(H85:H96)</f>
        <v>0</v>
      </c>
      <c r="I98" s="219">
        <f>SUM(I85:I96)</f>
        <v>0</v>
      </c>
      <c r="J98" s="220">
        <f>SUM(J85:J96)</f>
        <v>0</v>
      </c>
      <c r="K98" s="220"/>
    </row>
    <row r="99" spans="1:11" ht="13.5" thickBot="1">
      <c r="A99" s="565" t="s">
        <v>256</v>
      </c>
      <c r="B99" s="565"/>
      <c r="C99" s="565"/>
      <c r="D99" s="565"/>
      <c r="E99" s="221">
        <f>AVERAGE(E85:E96)</f>
        <v>0</v>
      </c>
      <c r="F99" s="565" t="s">
        <v>259</v>
      </c>
      <c r="G99" s="565"/>
      <c r="H99" s="221">
        <f>AVERAGE(H85:H96)</f>
        <v>0</v>
      </c>
      <c r="I99" s="222"/>
      <c r="J99" s="221"/>
      <c r="K99" s="228"/>
    </row>
    <row r="100" spans="1:11" ht="13.5" thickBot="1">
      <c r="A100" s="566" t="s">
        <v>260</v>
      </c>
      <c r="B100" s="566"/>
      <c r="C100" s="566"/>
      <c r="D100" s="566"/>
      <c r="E100" s="221"/>
      <c r="F100" s="223">
        <f>SUM(F84:F96)</f>
        <v>0</v>
      </c>
      <c r="G100" s="223">
        <f>SUM(G84:G96)</f>
        <v>0</v>
      </c>
      <c r="H100" s="221"/>
      <c r="I100" s="222"/>
      <c r="J100" s="229"/>
      <c r="K100" s="230">
        <f>SUM(K84:K96)</f>
        <v>0</v>
      </c>
    </row>
    <row r="101" spans="1:11" ht="13.5" thickBot="1">
      <c r="A101" s="566" t="s">
        <v>261</v>
      </c>
      <c r="B101" s="566"/>
      <c r="C101" s="566"/>
      <c r="D101" s="566"/>
      <c r="E101" s="221"/>
      <c r="F101" s="223">
        <f>F100-K100</f>
        <v>0</v>
      </c>
      <c r="G101" s="223"/>
      <c r="H101" s="221"/>
      <c r="I101" s="222"/>
      <c r="J101" s="229"/>
      <c r="K101" s="230"/>
    </row>
    <row r="104" spans="1:11">
      <c r="A104" s="204" t="s">
        <v>243</v>
      </c>
      <c r="B104" s="569"/>
      <c r="C104" s="570"/>
      <c r="D104" s="570"/>
      <c r="E104" s="570"/>
      <c r="F104" s="570"/>
      <c r="G104" s="570"/>
      <c r="H104" s="571"/>
      <c r="I104" s="203" t="s">
        <v>262</v>
      </c>
      <c r="J104" s="226">
        <f>MIN(B111:D122)</f>
        <v>0</v>
      </c>
    </row>
    <row r="105" spans="1:11">
      <c r="A105" s="204" t="s">
        <v>244</v>
      </c>
      <c r="B105" s="569"/>
      <c r="C105" s="570"/>
      <c r="D105" s="570"/>
      <c r="E105" s="570"/>
      <c r="F105" s="570"/>
      <c r="G105" s="570"/>
      <c r="H105" s="571"/>
      <c r="I105" s="203" t="s">
        <v>263</v>
      </c>
      <c r="J105" s="226">
        <f>MAX(B111:D122)</f>
        <v>0</v>
      </c>
    </row>
    <row r="106" spans="1:11">
      <c r="A106" s="204" t="s">
        <v>264</v>
      </c>
      <c r="B106" s="567"/>
      <c r="C106" s="567"/>
      <c r="D106" s="567"/>
      <c r="E106" s="567"/>
      <c r="F106" s="567"/>
      <c r="G106" s="567"/>
      <c r="H106" s="567"/>
      <c r="I106" s="203"/>
      <c r="J106" s="203"/>
    </row>
    <row r="107" spans="1:11">
      <c r="A107" s="204" t="s">
        <v>245</v>
      </c>
      <c r="B107" s="568"/>
      <c r="C107" s="567"/>
      <c r="D107" s="567"/>
      <c r="E107" s="567"/>
      <c r="F107" s="567"/>
      <c r="G107" s="567"/>
      <c r="H107" s="567"/>
      <c r="I107" s="203"/>
      <c r="J107" s="203"/>
    </row>
    <row r="108" spans="1:11" ht="13.5" thickBot="1">
      <c r="A108" s="205" t="s">
        <v>265</v>
      </c>
      <c r="B108" s="567"/>
      <c r="C108" s="567"/>
      <c r="D108" s="567"/>
      <c r="E108" s="567"/>
      <c r="F108" s="567"/>
      <c r="G108" s="567"/>
      <c r="H108" s="567"/>
      <c r="I108" s="203"/>
      <c r="J108" s="203"/>
    </row>
    <row r="109" spans="1:11" ht="51.75" thickBot="1">
      <c r="A109" s="206" t="s">
        <v>203</v>
      </c>
      <c r="B109" s="207" t="s">
        <v>246</v>
      </c>
      <c r="C109" s="207" t="s">
        <v>247</v>
      </c>
      <c r="D109" s="207" t="s">
        <v>248</v>
      </c>
      <c r="E109" s="207" t="s">
        <v>249</v>
      </c>
      <c r="F109" s="207" t="s">
        <v>250</v>
      </c>
      <c r="G109" s="207" t="s">
        <v>251</v>
      </c>
      <c r="H109" s="207" t="s">
        <v>252</v>
      </c>
      <c r="I109" s="208" t="s">
        <v>253</v>
      </c>
      <c r="J109" s="209" t="s">
        <v>254</v>
      </c>
      <c r="K109" s="209" t="s">
        <v>255</v>
      </c>
    </row>
    <row r="110" spans="1:11">
      <c r="A110" s="249"/>
      <c r="B110" s="239"/>
      <c r="C110" s="239"/>
      <c r="D110" s="251"/>
      <c r="E110" s="241"/>
      <c r="F110" s="239"/>
      <c r="G110" s="239"/>
      <c r="H110" s="241"/>
      <c r="I110" s="242"/>
      <c r="J110" s="252"/>
      <c r="K110" s="227"/>
    </row>
    <row r="111" spans="1:11">
      <c r="A111" s="250">
        <v>44672</v>
      </c>
      <c r="B111" s="245">
        <v>0</v>
      </c>
      <c r="C111" s="245">
        <v>0</v>
      </c>
      <c r="D111" s="245">
        <v>0</v>
      </c>
      <c r="E111" s="246">
        <f t="shared" ref="E111:E122" si="46">AVERAGE(B111:D111)</f>
        <v>0</v>
      </c>
      <c r="F111" s="245">
        <v>0</v>
      </c>
      <c r="G111" s="245">
        <v>0</v>
      </c>
      <c r="H111" s="238">
        <f>F111-G111</f>
        <v>0</v>
      </c>
      <c r="I111" s="247">
        <v>0</v>
      </c>
      <c r="J111" s="247">
        <v>0</v>
      </c>
      <c r="K111" s="248">
        <v>0</v>
      </c>
    </row>
    <row r="112" spans="1:11">
      <c r="A112" s="250">
        <v>44702</v>
      </c>
      <c r="B112" s="245">
        <v>0</v>
      </c>
      <c r="C112" s="245">
        <v>0</v>
      </c>
      <c r="D112" s="245">
        <v>0</v>
      </c>
      <c r="E112" s="246">
        <f t="shared" si="46"/>
        <v>0</v>
      </c>
      <c r="F112" s="245">
        <v>0</v>
      </c>
      <c r="G112" s="245">
        <v>0</v>
      </c>
      <c r="H112" s="238">
        <f t="shared" ref="H112:H122" si="47">F112-G112</f>
        <v>0</v>
      </c>
      <c r="I112" s="247">
        <v>0</v>
      </c>
      <c r="J112" s="247">
        <v>0</v>
      </c>
      <c r="K112" s="248">
        <v>0</v>
      </c>
    </row>
    <row r="113" spans="1:11">
      <c r="A113" s="250">
        <v>44733</v>
      </c>
      <c r="B113" s="245">
        <v>0</v>
      </c>
      <c r="C113" s="245">
        <v>0</v>
      </c>
      <c r="D113" s="245">
        <v>0</v>
      </c>
      <c r="E113" s="246">
        <f t="shared" si="46"/>
        <v>0</v>
      </c>
      <c r="F113" s="245">
        <v>0</v>
      </c>
      <c r="G113" s="245">
        <v>0</v>
      </c>
      <c r="H113" s="238">
        <f t="shared" si="47"/>
        <v>0</v>
      </c>
      <c r="I113" s="247">
        <v>0</v>
      </c>
      <c r="J113" s="247">
        <v>0</v>
      </c>
      <c r="K113" s="248">
        <v>0</v>
      </c>
    </row>
    <row r="114" spans="1:11">
      <c r="A114" s="250">
        <v>44763</v>
      </c>
      <c r="B114" s="245">
        <v>0</v>
      </c>
      <c r="C114" s="245">
        <v>0</v>
      </c>
      <c r="D114" s="245">
        <v>0</v>
      </c>
      <c r="E114" s="246">
        <f t="shared" si="46"/>
        <v>0</v>
      </c>
      <c r="F114" s="245">
        <v>0</v>
      </c>
      <c r="G114" s="245">
        <v>0</v>
      </c>
      <c r="H114" s="238">
        <f t="shared" si="47"/>
        <v>0</v>
      </c>
      <c r="I114" s="247">
        <v>0</v>
      </c>
      <c r="J114" s="247">
        <v>0</v>
      </c>
      <c r="K114" s="248">
        <v>0</v>
      </c>
    </row>
    <row r="115" spans="1:11">
      <c r="A115" s="250">
        <v>44794</v>
      </c>
      <c r="B115" s="245">
        <v>0</v>
      </c>
      <c r="C115" s="245">
        <v>0</v>
      </c>
      <c r="D115" s="245">
        <v>0</v>
      </c>
      <c r="E115" s="246">
        <f t="shared" si="46"/>
        <v>0</v>
      </c>
      <c r="F115" s="245">
        <v>0</v>
      </c>
      <c r="G115" s="245">
        <v>0</v>
      </c>
      <c r="H115" s="238">
        <f t="shared" si="47"/>
        <v>0</v>
      </c>
      <c r="I115" s="247">
        <v>0</v>
      </c>
      <c r="J115" s="247">
        <v>0</v>
      </c>
      <c r="K115" s="248">
        <v>0</v>
      </c>
    </row>
    <row r="116" spans="1:11">
      <c r="A116" s="250">
        <v>44825</v>
      </c>
      <c r="B116" s="245">
        <v>0</v>
      </c>
      <c r="C116" s="245">
        <v>0</v>
      </c>
      <c r="D116" s="245">
        <v>0</v>
      </c>
      <c r="E116" s="246">
        <f t="shared" si="46"/>
        <v>0</v>
      </c>
      <c r="F116" s="245">
        <v>0</v>
      </c>
      <c r="G116" s="245">
        <v>0</v>
      </c>
      <c r="H116" s="238">
        <f t="shared" si="47"/>
        <v>0</v>
      </c>
      <c r="I116" s="247">
        <v>0</v>
      </c>
      <c r="J116" s="247">
        <v>0</v>
      </c>
      <c r="K116" s="248">
        <v>0</v>
      </c>
    </row>
    <row r="117" spans="1:11">
      <c r="A117" s="250">
        <v>44855</v>
      </c>
      <c r="B117" s="245">
        <v>0</v>
      </c>
      <c r="C117" s="245">
        <v>0</v>
      </c>
      <c r="D117" s="245">
        <v>0</v>
      </c>
      <c r="E117" s="246">
        <f t="shared" si="46"/>
        <v>0</v>
      </c>
      <c r="F117" s="245">
        <v>0</v>
      </c>
      <c r="G117" s="245">
        <v>0</v>
      </c>
      <c r="H117" s="238">
        <f t="shared" si="47"/>
        <v>0</v>
      </c>
      <c r="I117" s="247">
        <v>0</v>
      </c>
      <c r="J117" s="247">
        <v>0</v>
      </c>
      <c r="K117" s="248">
        <v>0</v>
      </c>
    </row>
    <row r="118" spans="1:11">
      <c r="A118" s="250">
        <v>44886</v>
      </c>
      <c r="B118" s="245">
        <v>0</v>
      </c>
      <c r="C118" s="245">
        <v>0</v>
      </c>
      <c r="D118" s="245">
        <v>0</v>
      </c>
      <c r="E118" s="246">
        <f t="shared" si="46"/>
        <v>0</v>
      </c>
      <c r="F118" s="245">
        <v>0</v>
      </c>
      <c r="G118" s="245">
        <v>0</v>
      </c>
      <c r="H118" s="238">
        <f t="shared" si="47"/>
        <v>0</v>
      </c>
      <c r="I118" s="247">
        <v>0</v>
      </c>
      <c r="J118" s="247">
        <v>0</v>
      </c>
      <c r="K118" s="248">
        <v>0</v>
      </c>
    </row>
    <row r="119" spans="1:11">
      <c r="A119" s="250">
        <v>44916</v>
      </c>
      <c r="B119" s="245">
        <v>0</v>
      </c>
      <c r="C119" s="245">
        <v>0</v>
      </c>
      <c r="D119" s="245">
        <v>0</v>
      </c>
      <c r="E119" s="246">
        <f t="shared" si="46"/>
        <v>0</v>
      </c>
      <c r="F119" s="245">
        <v>0</v>
      </c>
      <c r="G119" s="245">
        <v>0</v>
      </c>
      <c r="H119" s="238">
        <f t="shared" si="47"/>
        <v>0</v>
      </c>
      <c r="I119" s="247">
        <v>0</v>
      </c>
      <c r="J119" s="247">
        <v>0</v>
      </c>
      <c r="K119" s="248">
        <v>0</v>
      </c>
    </row>
    <row r="120" spans="1:11">
      <c r="A120" s="250">
        <v>44947</v>
      </c>
      <c r="B120" s="245">
        <v>0</v>
      </c>
      <c r="C120" s="245">
        <v>0</v>
      </c>
      <c r="D120" s="245">
        <v>0</v>
      </c>
      <c r="E120" s="246">
        <f t="shared" si="46"/>
        <v>0</v>
      </c>
      <c r="F120" s="245">
        <v>0</v>
      </c>
      <c r="G120" s="245">
        <v>0</v>
      </c>
      <c r="H120" s="238">
        <f t="shared" si="47"/>
        <v>0</v>
      </c>
      <c r="I120" s="247">
        <v>0</v>
      </c>
      <c r="J120" s="247">
        <v>0</v>
      </c>
      <c r="K120" s="248">
        <v>0</v>
      </c>
    </row>
    <row r="121" spans="1:11">
      <c r="A121" s="250">
        <v>44978</v>
      </c>
      <c r="B121" s="245">
        <v>0</v>
      </c>
      <c r="C121" s="245">
        <v>0</v>
      </c>
      <c r="D121" s="245">
        <v>0</v>
      </c>
      <c r="E121" s="246">
        <f t="shared" si="46"/>
        <v>0</v>
      </c>
      <c r="F121" s="245">
        <v>0</v>
      </c>
      <c r="G121" s="245">
        <v>0</v>
      </c>
      <c r="H121" s="238">
        <f t="shared" si="47"/>
        <v>0</v>
      </c>
      <c r="I121" s="247">
        <v>0</v>
      </c>
      <c r="J121" s="247">
        <v>0</v>
      </c>
      <c r="K121" s="248">
        <v>0</v>
      </c>
    </row>
    <row r="122" spans="1:11" ht="13.5" thickBot="1">
      <c r="A122" s="250">
        <v>45006</v>
      </c>
      <c r="B122" s="245">
        <v>0</v>
      </c>
      <c r="C122" s="245">
        <v>0</v>
      </c>
      <c r="D122" s="245">
        <v>0</v>
      </c>
      <c r="E122" s="246">
        <f t="shared" si="46"/>
        <v>0</v>
      </c>
      <c r="F122" s="245">
        <v>0</v>
      </c>
      <c r="G122" s="245">
        <v>0</v>
      </c>
      <c r="H122" s="238">
        <f t="shared" si="47"/>
        <v>0</v>
      </c>
      <c r="I122" s="247">
        <v>0</v>
      </c>
      <c r="J122" s="247">
        <v>0</v>
      </c>
      <c r="K122" s="248">
        <v>0</v>
      </c>
    </row>
    <row r="123" spans="1:11" ht="13.5" thickBot="1">
      <c r="A123" s="214" t="s">
        <v>256</v>
      </c>
      <c r="B123" s="215">
        <f>AVERAGE(B111:B122)</f>
        <v>0</v>
      </c>
      <c r="C123" s="215">
        <f>AVERAGE(C111:C122)</f>
        <v>0</v>
      </c>
      <c r="D123" s="215">
        <f>AVERAGE(D111:D122)</f>
        <v>0</v>
      </c>
      <c r="E123" s="215"/>
      <c r="F123" s="215">
        <f>AVERAGE(F111:F122)</f>
        <v>0</v>
      </c>
      <c r="G123" s="215">
        <f>AVERAGE(G111:G122)</f>
        <v>0</v>
      </c>
      <c r="H123" s="215"/>
      <c r="I123" s="216"/>
      <c r="J123" s="217"/>
      <c r="K123" s="217"/>
    </row>
    <row r="124" spans="1:11">
      <c r="A124" s="578" t="s">
        <v>257</v>
      </c>
      <c r="B124" s="579"/>
      <c r="C124" s="579"/>
      <c r="D124" s="580"/>
      <c r="E124" s="218">
        <f>SUM(E111:E122)</f>
        <v>0</v>
      </c>
      <c r="F124" s="578" t="s">
        <v>258</v>
      </c>
      <c r="G124" s="580"/>
      <c r="H124" s="218">
        <f>SUM(H111:H122)</f>
        <v>0</v>
      </c>
      <c r="I124" s="219">
        <f>SUM(I111:I122)</f>
        <v>0</v>
      </c>
      <c r="J124" s="220">
        <f>SUM(J111:J122)</f>
        <v>0</v>
      </c>
      <c r="K124" s="220"/>
    </row>
    <row r="125" spans="1:11" ht="13.5" thickBot="1">
      <c r="A125" s="572" t="s">
        <v>256</v>
      </c>
      <c r="B125" s="573"/>
      <c r="C125" s="573"/>
      <c r="D125" s="574"/>
      <c r="E125" s="221">
        <f>AVERAGE(E111:E122)</f>
        <v>0</v>
      </c>
      <c r="F125" s="572" t="s">
        <v>259</v>
      </c>
      <c r="G125" s="574"/>
      <c r="H125" s="221">
        <f>AVERAGE(H111:H122)</f>
        <v>0</v>
      </c>
      <c r="I125" s="222"/>
      <c r="J125" s="221"/>
      <c r="K125" s="228"/>
    </row>
    <row r="126" spans="1:11" ht="13.5" thickBot="1">
      <c r="A126" s="575" t="s">
        <v>260</v>
      </c>
      <c r="B126" s="576"/>
      <c r="C126" s="576"/>
      <c r="D126" s="577"/>
      <c r="E126" s="221"/>
      <c r="F126" s="223">
        <f>SUM(F110:F122)</f>
        <v>0</v>
      </c>
      <c r="G126" s="223">
        <f>SUM(G110:G122)</f>
        <v>0</v>
      </c>
      <c r="H126" s="221"/>
      <c r="I126" s="222"/>
      <c r="J126" s="229"/>
      <c r="K126" s="230">
        <f>SUM(K110:K122)</f>
        <v>0</v>
      </c>
    </row>
    <row r="127" spans="1:11" ht="13.5" thickBot="1">
      <c r="A127" s="575" t="s">
        <v>261</v>
      </c>
      <c r="B127" s="576"/>
      <c r="C127" s="576"/>
      <c r="D127" s="577"/>
      <c r="E127" s="221"/>
      <c r="F127" s="223">
        <f>F126-K126</f>
        <v>0</v>
      </c>
      <c r="G127" s="223"/>
      <c r="H127" s="221"/>
      <c r="I127" s="222"/>
      <c r="J127" s="229"/>
      <c r="K127" s="230"/>
    </row>
  </sheetData>
  <mergeCells count="51">
    <mergeCell ref="A125:D125"/>
    <mergeCell ref="F125:G125"/>
    <mergeCell ref="A126:D126"/>
    <mergeCell ref="A127:D127"/>
    <mergeCell ref="B104:H104"/>
    <mergeCell ref="B105:H105"/>
    <mergeCell ref="B106:H106"/>
    <mergeCell ref="B107:H107"/>
    <mergeCell ref="B108:H108"/>
    <mergeCell ref="A124:D124"/>
    <mergeCell ref="F124:G124"/>
    <mergeCell ref="A101:D101"/>
    <mergeCell ref="A75:D75"/>
    <mergeCell ref="B78:H78"/>
    <mergeCell ref="B79:H79"/>
    <mergeCell ref="B80:H80"/>
    <mergeCell ref="B81:H81"/>
    <mergeCell ref="B82:H82"/>
    <mergeCell ref="A98:D98"/>
    <mergeCell ref="F98:G98"/>
    <mergeCell ref="A99:D99"/>
    <mergeCell ref="F99:G99"/>
    <mergeCell ref="A100:D100"/>
    <mergeCell ref="A74:D74"/>
    <mergeCell ref="A46:D46"/>
    <mergeCell ref="A47:D47"/>
    <mergeCell ref="B52:H52"/>
    <mergeCell ref="B53:H53"/>
    <mergeCell ref="B54:H54"/>
    <mergeCell ref="B55:H55"/>
    <mergeCell ref="B56:H56"/>
    <mergeCell ref="A72:D72"/>
    <mergeCell ref="F72:G72"/>
    <mergeCell ref="A73:D73"/>
    <mergeCell ref="F73:G73"/>
    <mergeCell ref="A2:H2"/>
    <mergeCell ref="A18:D18"/>
    <mergeCell ref="F18:G18"/>
    <mergeCell ref="A45:D45"/>
    <mergeCell ref="F45:G45"/>
    <mergeCell ref="A19:D19"/>
    <mergeCell ref="F19:G19"/>
    <mergeCell ref="A20:D20"/>
    <mergeCell ref="A21:D21"/>
    <mergeCell ref="B24:H24"/>
    <mergeCell ref="B25:H25"/>
    <mergeCell ref="B26:H26"/>
    <mergeCell ref="B27:H27"/>
    <mergeCell ref="B28:H28"/>
    <mergeCell ref="A44:D44"/>
    <mergeCell ref="F44:G4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100" workbookViewId="0">
      <selection activeCell="G118" sqref="G118"/>
    </sheetView>
  </sheetViews>
  <sheetFormatPr defaultColWidth="16.85546875" defaultRowHeight="12.75"/>
  <cols>
    <col min="1" max="1" width="23.85546875" style="127" bestFit="1" customWidth="1"/>
    <col min="2" max="5" width="10.7109375" style="127" customWidth="1"/>
    <col min="6" max="7" width="12.42578125" style="127" bestFit="1" customWidth="1"/>
    <col min="8" max="8" width="12" style="127" bestFit="1" customWidth="1"/>
    <col min="9" max="9" width="12.42578125" style="127" bestFit="1" customWidth="1"/>
    <col min="10" max="10" width="12.7109375" style="127" bestFit="1" customWidth="1"/>
    <col min="11" max="11" width="13.42578125" style="127" bestFit="1" customWidth="1"/>
    <col min="12" max="16384" width="16.85546875" style="127"/>
  </cols>
  <sheetData>
    <row r="1" spans="1:11" ht="13.5" thickBot="1"/>
    <row r="2" spans="1:11" ht="13.5" thickBot="1">
      <c r="A2" s="562" t="s">
        <v>242</v>
      </c>
      <c r="B2" s="563"/>
      <c r="C2" s="563"/>
      <c r="D2" s="563"/>
      <c r="E2" s="563"/>
      <c r="F2" s="563"/>
      <c r="G2" s="563"/>
      <c r="H2" s="563"/>
      <c r="I2" s="234"/>
      <c r="J2" s="234"/>
      <c r="K2" s="235"/>
    </row>
    <row r="3" spans="1:11" ht="51.75" thickBot="1">
      <c r="A3" s="206" t="s">
        <v>203</v>
      </c>
      <c r="B3" s="207" t="s">
        <v>246</v>
      </c>
      <c r="C3" s="207" t="s">
        <v>247</v>
      </c>
      <c r="D3" s="207" t="s">
        <v>248</v>
      </c>
      <c r="E3" s="207" t="s">
        <v>249</v>
      </c>
      <c r="F3" s="207" t="s">
        <v>250</v>
      </c>
      <c r="G3" s="207" t="s">
        <v>251</v>
      </c>
      <c r="H3" s="207" t="s">
        <v>252</v>
      </c>
      <c r="I3" s="232" t="s">
        <v>253</v>
      </c>
      <c r="J3" s="233" t="s">
        <v>254</v>
      </c>
      <c r="K3" s="233" t="s">
        <v>255</v>
      </c>
    </row>
    <row r="4" spans="1:11">
      <c r="A4" s="249"/>
      <c r="B4" s="236"/>
      <c r="C4" s="236"/>
      <c r="D4" s="237">
        <f>(D30+D58+D84+D110)/100000</f>
        <v>0</v>
      </c>
      <c r="E4" s="236"/>
      <c r="F4" s="236"/>
      <c r="G4" s="236"/>
      <c r="H4" s="210"/>
      <c r="I4" s="212"/>
      <c r="J4" s="213"/>
      <c r="K4" s="213"/>
    </row>
    <row r="5" spans="1:11">
      <c r="A5" s="250">
        <v>44672</v>
      </c>
      <c r="B5" s="237">
        <f>(B31+B59+B85+B111)/100000</f>
        <v>0</v>
      </c>
      <c r="C5" s="237">
        <f t="shared" ref="C5:J16" si="0">(C31+C59+C85+C111)/100000</f>
        <v>0</v>
      </c>
      <c r="D5" s="237">
        <f t="shared" si="0"/>
        <v>0</v>
      </c>
      <c r="E5" s="237">
        <f t="shared" ref="E5:E16" si="1">AVERAGE(B5:D5)</f>
        <v>0</v>
      </c>
      <c r="F5" s="237">
        <f t="shared" si="0"/>
        <v>0</v>
      </c>
      <c r="G5" s="237">
        <f t="shared" si="0"/>
        <v>0</v>
      </c>
      <c r="H5" s="335">
        <f t="shared" ref="H5:H16" si="2">F5-G5</f>
        <v>0</v>
      </c>
      <c r="I5" s="237">
        <f t="shared" si="0"/>
        <v>0</v>
      </c>
      <c r="J5" s="237">
        <f t="shared" si="0"/>
        <v>0</v>
      </c>
      <c r="K5" s="211">
        <f t="shared" ref="K5:K16" si="3">(K31+K59+K85+K111)/100000</f>
        <v>0</v>
      </c>
    </row>
    <row r="6" spans="1:11">
      <c r="A6" s="250">
        <v>44702</v>
      </c>
      <c r="B6" s="237">
        <f t="shared" ref="B6:D16" si="4">(B32+B60+B86+B112)/100000</f>
        <v>0</v>
      </c>
      <c r="C6" s="237">
        <f t="shared" si="4"/>
        <v>0</v>
      </c>
      <c r="D6" s="237">
        <f t="shared" si="4"/>
        <v>0</v>
      </c>
      <c r="E6" s="237">
        <f t="shared" si="1"/>
        <v>0</v>
      </c>
      <c r="F6" s="237">
        <f t="shared" si="0"/>
        <v>0</v>
      </c>
      <c r="G6" s="237">
        <f t="shared" si="0"/>
        <v>0</v>
      </c>
      <c r="H6" s="335">
        <f t="shared" si="2"/>
        <v>0</v>
      </c>
      <c r="I6" s="237">
        <f t="shared" si="0"/>
        <v>0</v>
      </c>
      <c r="J6" s="237">
        <f t="shared" si="0"/>
        <v>0</v>
      </c>
      <c r="K6" s="211">
        <f t="shared" si="3"/>
        <v>0</v>
      </c>
    </row>
    <row r="7" spans="1:11">
      <c r="A7" s="250">
        <v>44733</v>
      </c>
      <c r="B7" s="237">
        <f t="shared" si="4"/>
        <v>0</v>
      </c>
      <c r="C7" s="237">
        <f t="shared" si="4"/>
        <v>0</v>
      </c>
      <c r="D7" s="237">
        <f t="shared" si="4"/>
        <v>0</v>
      </c>
      <c r="E7" s="237">
        <f t="shared" si="1"/>
        <v>0</v>
      </c>
      <c r="F7" s="237">
        <f t="shared" si="0"/>
        <v>0</v>
      </c>
      <c r="G7" s="237">
        <f t="shared" si="0"/>
        <v>0</v>
      </c>
      <c r="H7" s="335">
        <f t="shared" si="2"/>
        <v>0</v>
      </c>
      <c r="I7" s="237">
        <f t="shared" si="0"/>
        <v>0</v>
      </c>
      <c r="J7" s="237">
        <f t="shared" si="0"/>
        <v>0</v>
      </c>
      <c r="K7" s="211">
        <f t="shared" si="3"/>
        <v>0</v>
      </c>
    </row>
    <row r="8" spans="1:11">
      <c r="A8" s="250">
        <v>44763</v>
      </c>
      <c r="B8" s="237">
        <f t="shared" si="4"/>
        <v>0</v>
      </c>
      <c r="C8" s="237">
        <f t="shared" si="4"/>
        <v>0</v>
      </c>
      <c r="D8" s="237">
        <f t="shared" si="4"/>
        <v>0</v>
      </c>
      <c r="E8" s="237">
        <f t="shared" si="1"/>
        <v>0</v>
      </c>
      <c r="F8" s="237">
        <f t="shared" si="0"/>
        <v>0</v>
      </c>
      <c r="G8" s="237">
        <f t="shared" si="0"/>
        <v>0</v>
      </c>
      <c r="H8" s="335">
        <f t="shared" si="2"/>
        <v>0</v>
      </c>
      <c r="I8" s="237">
        <f t="shared" si="0"/>
        <v>0</v>
      </c>
      <c r="J8" s="237">
        <f t="shared" si="0"/>
        <v>0</v>
      </c>
      <c r="K8" s="211">
        <f t="shared" si="3"/>
        <v>0</v>
      </c>
    </row>
    <row r="9" spans="1:11">
      <c r="A9" s="250">
        <v>44794</v>
      </c>
      <c r="B9" s="237">
        <f t="shared" si="4"/>
        <v>0</v>
      </c>
      <c r="C9" s="237">
        <f t="shared" si="4"/>
        <v>0</v>
      </c>
      <c r="D9" s="237">
        <f t="shared" si="4"/>
        <v>0</v>
      </c>
      <c r="E9" s="237">
        <f t="shared" si="1"/>
        <v>0</v>
      </c>
      <c r="F9" s="237">
        <f t="shared" si="0"/>
        <v>0</v>
      </c>
      <c r="G9" s="237">
        <f t="shared" si="0"/>
        <v>0</v>
      </c>
      <c r="H9" s="335">
        <f t="shared" si="2"/>
        <v>0</v>
      </c>
      <c r="I9" s="237">
        <f t="shared" si="0"/>
        <v>0</v>
      </c>
      <c r="J9" s="237">
        <f t="shared" si="0"/>
        <v>0</v>
      </c>
      <c r="K9" s="211">
        <f t="shared" si="3"/>
        <v>0</v>
      </c>
    </row>
    <row r="10" spans="1:11">
      <c r="A10" s="250">
        <v>44825</v>
      </c>
      <c r="B10" s="237">
        <f t="shared" si="4"/>
        <v>0</v>
      </c>
      <c r="C10" s="237">
        <f t="shared" si="4"/>
        <v>0</v>
      </c>
      <c r="D10" s="237">
        <f t="shared" si="4"/>
        <v>0</v>
      </c>
      <c r="E10" s="237">
        <f t="shared" si="1"/>
        <v>0</v>
      </c>
      <c r="F10" s="237">
        <f t="shared" si="0"/>
        <v>0</v>
      </c>
      <c r="G10" s="237">
        <f t="shared" si="0"/>
        <v>0</v>
      </c>
      <c r="H10" s="335">
        <f t="shared" si="2"/>
        <v>0</v>
      </c>
      <c r="I10" s="237">
        <f t="shared" si="0"/>
        <v>0</v>
      </c>
      <c r="J10" s="237">
        <f t="shared" si="0"/>
        <v>0</v>
      </c>
      <c r="K10" s="211">
        <f t="shared" si="3"/>
        <v>0</v>
      </c>
    </row>
    <row r="11" spans="1:11">
      <c r="A11" s="250">
        <v>44855</v>
      </c>
      <c r="B11" s="237">
        <f t="shared" si="4"/>
        <v>0</v>
      </c>
      <c r="C11" s="237">
        <f t="shared" si="4"/>
        <v>0</v>
      </c>
      <c r="D11" s="237">
        <f t="shared" si="4"/>
        <v>0</v>
      </c>
      <c r="E11" s="237">
        <f t="shared" si="1"/>
        <v>0</v>
      </c>
      <c r="F11" s="237">
        <f t="shared" si="0"/>
        <v>0</v>
      </c>
      <c r="G11" s="237">
        <f t="shared" si="0"/>
        <v>0</v>
      </c>
      <c r="H11" s="335">
        <f t="shared" si="2"/>
        <v>0</v>
      </c>
      <c r="I11" s="237">
        <f t="shared" si="0"/>
        <v>0</v>
      </c>
      <c r="J11" s="237">
        <f t="shared" si="0"/>
        <v>0</v>
      </c>
      <c r="K11" s="211">
        <f t="shared" si="3"/>
        <v>0</v>
      </c>
    </row>
    <row r="12" spans="1:11">
      <c r="A12" s="250">
        <v>44886</v>
      </c>
      <c r="B12" s="237">
        <f t="shared" si="4"/>
        <v>0</v>
      </c>
      <c r="C12" s="237">
        <f t="shared" si="4"/>
        <v>0</v>
      </c>
      <c r="D12" s="237">
        <f t="shared" si="4"/>
        <v>0</v>
      </c>
      <c r="E12" s="237">
        <f t="shared" si="1"/>
        <v>0</v>
      </c>
      <c r="F12" s="237">
        <f t="shared" si="0"/>
        <v>0</v>
      </c>
      <c r="G12" s="237">
        <f t="shared" si="0"/>
        <v>0</v>
      </c>
      <c r="H12" s="335">
        <f t="shared" si="2"/>
        <v>0</v>
      </c>
      <c r="I12" s="237">
        <f t="shared" si="0"/>
        <v>0</v>
      </c>
      <c r="J12" s="237">
        <f t="shared" si="0"/>
        <v>0</v>
      </c>
      <c r="K12" s="211">
        <f t="shared" si="3"/>
        <v>0</v>
      </c>
    </row>
    <row r="13" spans="1:11">
      <c r="A13" s="250">
        <v>44916</v>
      </c>
      <c r="B13" s="237">
        <f t="shared" si="4"/>
        <v>0</v>
      </c>
      <c r="C13" s="237">
        <f t="shared" si="4"/>
        <v>0</v>
      </c>
      <c r="D13" s="237">
        <f t="shared" si="4"/>
        <v>0</v>
      </c>
      <c r="E13" s="237">
        <f t="shared" si="1"/>
        <v>0</v>
      </c>
      <c r="F13" s="237">
        <f t="shared" si="0"/>
        <v>0</v>
      </c>
      <c r="G13" s="237">
        <f t="shared" si="0"/>
        <v>0</v>
      </c>
      <c r="H13" s="335">
        <f t="shared" si="2"/>
        <v>0</v>
      </c>
      <c r="I13" s="237">
        <f t="shared" si="0"/>
        <v>0</v>
      </c>
      <c r="J13" s="237">
        <f t="shared" si="0"/>
        <v>0</v>
      </c>
      <c r="K13" s="211">
        <f t="shared" si="3"/>
        <v>0</v>
      </c>
    </row>
    <row r="14" spans="1:11">
      <c r="A14" s="250">
        <v>44947</v>
      </c>
      <c r="B14" s="237">
        <f t="shared" si="4"/>
        <v>0</v>
      </c>
      <c r="C14" s="237">
        <f t="shared" si="4"/>
        <v>0</v>
      </c>
      <c r="D14" s="237">
        <f t="shared" si="4"/>
        <v>0</v>
      </c>
      <c r="E14" s="237">
        <f t="shared" si="1"/>
        <v>0</v>
      </c>
      <c r="F14" s="237">
        <f t="shared" si="0"/>
        <v>0</v>
      </c>
      <c r="G14" s="237">
        <f t="shared" si="0"/>
        <v>0</v>
      </c>
      <c r="H14" s="335">
        <f t="shared" si="2"/>
        <v>0</v>
      </c>
      <c r="I14" s="237">
        <f t="shared" si="0"/>
        <v>0</v>
      </c>
      <c r="J14" s="237">
        <f t="shared" si="0"/>
        <v>0</v>
      </c>
      <c r="K14" s="211">
        <f t="shared" si="3"/>
        <v>0</v>
      </c>
    </row>
    <row r="15" spans="1:11">
      <c r="A15" s="250">
        <v>44978</v>
      </c>
      <c r="B15" s="237">
        <f t="shared" si="4"/>
        <v>0</v>
      </c>
      <c r="C15" s="237">
        <f t="shared" si="4"/>
        <v>0</v>
      </c>
      <c r="D15" s="237">
        <f t="shared" si="4"/>
        <v>0</v>
      </c>
      <c r="E15" s="237">
        <f t="shared" si="1"/>
        <v>0</v>
      </c>
      <c r="F15" s="237">
        <f t="shared" si="0"/>
        <v>0</v>
      </c>
      <c r="G15" s="237">
        <f t="shared" si="0"/>
        <v>0</v>
      </c>
      <c r="H15" s="335">
        <f t="shared" si="2"/>
        <v>0</v>
      </c>
      <c r="I15" s="237">
        <f t="shared" si="0"/>
        <v>0</v>
      </c>
      <c r="J15" s="237">
        <f t="shared" si="0"/>
        <v>0</v>
      </c>
      <c r="K15" s="211">
        <f t="shared" si="3"/>
        <v>0</v>
      </c>
    </row>
    <row r="16" spans="1:11" ht="13.5" thickBot="1">
      <c r="A16" s="250">
        <v>45006</v>
      </c>
      <c r="B16" s="237">
        <f t="shared" si="4"/>
        <v>0</v>
      </c>
      <c r="C16" s="237">
        <f t="shared" si="4"/>
        <v>0</v>
      </c>
      <c r="D16" s="237">
        <f t="shared" si="4"/>
        <v>0</v>
      </c>
      <c r="E16" s="237">
        <f t="shared" si="1"/>
        <v>0</v>
      </c>
      <c r="F16" s="237">
        <f t="shared" si="0"/>
        <v>0</v>
      </c>
      <c r="G16" s="237">
        <f t="shared" si="0"/>
        <v>0</v>
      </c>
      <c r="H16" s="335">
        <f t="shared" si="2"/>
        <v>0</v>
      </c>
      <c r="I16" s="237">
        <f t="shared" si="0"/>
        <v>0</v>
      </c>
      <c r="J16" s="237">
        <f t="shared" si="0"/>
        <v>0</v>
      </c>
      <c r="K16" s="211">
        <f t="shared" si="3"/>
        <v>0</v>
      </c>
    </row>
    <row r="17" spans="1:11" ht="13.5" thickBot="1">
      <c r="A17" s="214" t="s">
        <v>256</v>
      </c>
      <c r="B17" s="215">
        <f>AVERAGE(B5:B16)</f>
        <v>0</v>
      </c>
      <c r="C17" s="215">
        <f>AVERAGE(C5:C16)</f>
        <v>0</v>
      </c>
      <c r="D17" s="215">
        <f>AVERAGE(D5:D16)</f>
        <v>0</v>
      </c>
      <c r="E17" s="215"/>
      <c r="F17" s="215">
        <f>AVERAGE(F5:F16)</f>
        <v>0</v>
      </c>
      <c r="G17" s="215">
        <f>AVERAGE(G5:G16)</f>
        <v>0</v>
      </c>
      <c r="H17" s="215"/>
      <c r="I17" s="216"/>
      <c r="J17" s="217"/>
      <c r="K17" s="217"/>
    </row>
    <row r="18" spans="1:11">
      <c r="A18" s="564" t="s">
        <v>257</v>
      </c>
      <c r="B18" s="564"/>
      <c r="C18" s="564"/>
      <c r="D18" s="564"/>
      <c r="E18" s="218">
        <f>SUM(E5:E16)</f>
        <v>0</v>
      </c>
      <c r="F18" s="564" t="s">
        <v>258</v>
      </c>
      <c r="G18" s="564"/>
      <c r="H18" s="218">
        <f>SUM(H5:H16)</f>
        <v>0</v>
      </c>
      <c r="I18" s="219"/>
      <c r="J18" s="220"/>
      <c r="K18" s="220"/>
    </row>
    <row r="19" spans="1:11" ht="13.5" thickBot="1">
      <c r="A19" s="565" t="s">
        <v>256</v>
      </c>
      <c r="B19" s="565"/>
      <c r="C19" s="565"/>
      <c r="D19" s="565"/>
      <c r="E19" s="221">
        <f>AVERAGE(E5:E16)</f>
        <v>0</v>
      </c>
      <c r="F19" s="565" t="s">
        <v>259</v>
      </c>
      <c r="G19" s="565"/>
      <c r="H19" s="221">
        <f>AVERAGE(H5:H16)</f>
        <v>0</v>
      </c>
      <c r="I19" s="222"/>
      <c r="J19" s="221"/>
      <c r="K19" s="221"/>
    </row>
    <row r="20" spans="1:11" ht="13.5" thickBot="1">
      <c r="A20" s="566" t="s">
        <v>260</v>
      </c>
      <c r="B20" s="566"/>
      <c r="C20" s="566"/>
      <c r="D20" s="566"/>
      <c r="E20" s="221"/>
      <c r="F20" s="223">
        <f>SUM(F4:F16)</f>
        <v>0</v>
      </c>
      <c r="G20" s="223">
        <f>SUM(G4:G16)</f>
        <v>0</v>
      </c>
      <c r="H20" s="221"/>
      <c r="I20" s="224">
        <f>SUM(I5:I16)</f>
        <v>0</v>
      </c>
      <c r="J20" s="224">
        <f>SUM(J5:J16)</f>
        <v>0</v>
      </c>
      <c r="K20" s="222">
        <f>SUM(K5:K16)</f>
        <v>0</v>
      </c>
    </row>
    <row r="21" spans="1:11" ht="13.5" thickBot="1">
      <c r="A21" s="566" t="s">
        <v>261</v>
      </c>
      <c r="B21" s="566"/>
      <c r="C21" s="566"/>
      <c r="D21" s="566"/>
      <c r="E21" s="221"/>
      <c r="F21" s="223">
        <f>F20-K20</f>
        <v>0</v>
      </c>
      <c r="G21" s="223"/>
      <c r="H21" s="221"/>
      <c r="I21" s="222"/>
      <c r="J21" s="222"/>
      <c r="K21" s="222"/>
    </row>
    <row r="24" spans="1:11">
      <c r="A24" s="204" t="s">
        <v>243</v>
      </c>
      <c r="B24" s="569"/>
      <c r="C24" s="570"/>
      <c r="D24" s="570"/>
      <c r="E24" s="570"/>
      <c r="F24" s="570"/>
      <c r="G24" s="570"/>
      <c r="H24" s="571"/>
      <c r="I24" s="203" t="s">
        <v>262</v>
      </c>
      <c r="J24" s="226">
        <f>MIN(B31:D42)</f>
        <v>0</v>
      </c>
    </row>
    <row r="25" spans="1:11">
      <c r="A25" s="204" t="s">
        <v>244</v>
      </c>
      <c r="B25" s="569"/>
      <c r="C25" s="570"/>
      <c r="D25" s="570"/>
      <c r="E25" s="570"/>
      <c r="F25" s="570"/>
      <c r="G25" s="570"/>
      <c r="H25" s="571"/>
      <c r="I25" s="203" t="s">
        <v>263</v>
      </c>
      <c r="J25" s="226">
        <f>MAX(B31:D42)</f>
        <v>0</v>
      </c>
    </row>
    <row r="26" spans="1:11">
      <c r="A26" s="204" t="s">
        <v>264</v>
      </c>
      <c r="B26" s="567"/>
      <c r="C26" s="567"/>
      <c r="D26" s="567"/>
      <c r="E26" s="567"/>
      <c r="F26" s="567"/>
      <c r="G26" s="567"/>
      <c r="H26" s="567"/>
      <c r="I26" s="203"/>
      <c r="J26" s="203"/>
    </row>
    <row r="27" spans="1:11">
      <c r="A27" s="204" t="s">
        <v>245</v>
      </c>
      <c r="B27" s="568"/>
      <c r="C27" s="567"/>
      <c r="D27" s="567"/>
      <c r="E27" s="567"/>
      <c r="F27" s="567"/>
      <c r="G27" s="567"/>
      <c r="H27" s="567"/>
      <c r="I27" s="203"/>
      <c r="J27" s="203"/>
    </row>
    <row r="28" spans="1:11" ht="13.5" thickBot="1">
      <c r="A28" s="205" t="s">
        <v>265</v>
      </c>
      <c r="B28" s="567"/>
      <c r="C28" s="567"/>
      <c r="D28" s="567"/>
      <c r="E28" s="567"/>
      <c r="F28" s="567"/>
      <c r="G28" s="567"/>
      <c r="H28" s="567"/>
      <c r="I28" s="203"/>
      <c r="J28" s="203"/>
    </row>
    <row r="29" spans="1:11" ht="51.75" thickBot="1">
      <c r="A29" s="206" t="s">
        <v>203</v>
      </c>
      <c r="B29" s="207" t="s">
        <v>246</v>
      </c>
      <c r="C29" s="207" t="s">
        <v>247</v>
      </c>
      <c r="D29" s="207" t="s">
        <v>248</v>
      </c>
      <c r="E29" s="207" t="s">
        <v>249</v>
      </c>
      <c r="F29" s="207" t="s">
        <v>250</v>
      </c>
      <c r="G29" s="207" t="s">
        <v>251</v>
      </c>
      <c r="H29" s="207" t="s">
        <v>252</v>
      </c>
      <c r="I29" s="208" t="s">
        <v>253</v>
      </c>
      <c r="J29" s="209" t="s">
        <v>254</v>
      </c>
      <c r="K29" s="209" t="s">
        <v>255</v>
      </c>
    </row>
    <row r="30" spans="1:11">
      <c r="A30" s="249"/>
      <c r="B30" s="239"/>
      <c r="C30" s="239"/>
      <c r="D30" s="240"/>
      <c r="E30" s="241"/>
      <c r="F30" s="239"/>
      <c r="G30" s="239"/>
      <c r="H30" s="241"/>
      <c r="I30" s="242"/>
      <c r="J30" s="243"/>
      <c r="K30" s="244"/>
    </row>
    <row r="31" spans="1:11">
      <c r="A31" s="250">
        <v>44672</v>
      </c>
      <c r="B31" s="245">
        <v>0</v>
      </c>
      <c r="C31" s="245">
        <v>0</v>
      </c>
      <c r="D31" s="245">
        <v>0</v>
      </c>
      <c r="E31" s="246">
        <f t="shared" ref="E31:E42" si="5">AVERAGE(B31:D31)</f>
        <v>0</v>
      </c>
      <c r="F31" s="245">
        <v>0</v>
      </c>
      <c r="G31" s="245">
        <v>0</v>
      </c>
      <c r="H31" s="238">
        <f>F31-G31</f>
        <v>0</v>
      </c>
      <c r="I31" s="247">
        <v>0</v>
      </c>
      <c r="J31" s="247">
        <v>0</v>
      </c>
      <c r="K31" s="248">
        <v>0</v>
      </c>
    </row>
    <row r="32" spans="1:11">
      <c r="A32" s="250">
        <v>44702</v>
      </c>
      <c r="B32" s="245">
        <v>0</v>
      </c>
      <c r="C32" s="245">
        <v>0</v>
      </c>
      <c r="D32" s="245">
        <v>0</v>
      </c>
      <c r="E32" s="246">
        <f t="shared" si="5"/>
        <v>0</v>
      </c>
      <c r="F32" s="245">
        <v>0</v>
      </c>
      <c r="G32" s="245">
        <v>0</v>
      </c>
      <c r="H32" s="238">
        <f t="shared" ref="H32:H42" si="6">F32-G32</f>
        <v>0</v>
      </c>
      <c r="I32" s="247">
        <v>0</v>
      </c>
      <c r="J32" s="247">
        <v>0</v>
      </c>
      <c r="K32" s="248">
        <v>0</v>
      </c>
    </row>
    <row r="33" spans="1:12">
      <c r="A33" s="250">
        <v>44733</v>
      </c>
      <c r="B33" s="245">
        <v>0</v>
      </c>
      <c r="C33" s="245">
        <v>0</v>
      </c>
      <c r="D33" s="245">
        <v>0</v>
      </c>
      <c r="E33" s="246">
        <f t="shared" si="5"/>
        <v>0</v>
      </c>
      <c r="F33" s="245">
        <v>0</v>
      </c>
      <c r="G33" s="245">
        <v>0</v>
      </c>
      <c r="H33" s="238">
        <f t="shared" si="6"/>
        <v>0</v>
      </c>
      <c r="I33" s="247">
        <v>0</v>
      </c>
      <c r="J33" s="247">
        <v>0</v>
      </c>
      <c r="K33" s="248">
        <v>0</v>
      </c>
    </row>
    <row r="34" spans="1:12">
      <c r="A34" s="250">
        <v>44763</v>
      </c>
      <c r="B34" s="245">
        <v>0</v>
      </c>
      <c r="C34" s="245">
        <v>0</v>
      </c>
      <c r="D34" s="245">
        <v>0</v>
      </c>
      <c r="E34" s="246">
        <f t="shared" si="5"/>
        <v>0</v>
      </c>
      <c r="F34" s="245">
        <v>0</v>
      </c>
      <c r="G34" s="245">
        <v>0</v>
      </c>
      <c r="H34" s="238">
        <f t="shared" si="6"/>
        <v>0</v>
      </c>
      <c r="I34" s="247">
        <v>0</v>
      </c>
      <c r="J34" s="247">
        <v>0</v>
      </c>
      <c r="K34" s="248">
        <v>0</v>
      </c>
    </row>
    <row r="35" spans="1:12">
      <c r="A35" s="250">
        <v>44794</v>
      </c>
      <c r="B35" s="245">
        <v>0</v>
      </c>
      <c r="C35" s="245">
        <v>0</v>
      </c>
      <c r="D35" s="245">
        <v>0</v>
      </c>
      <c r="E35" s="246">
        <f t="shared" si="5"/>
        <v>0</v>
      </c>
      <c r="F35" s="245">
        <v>0</v>
      </c>
      <c r="G35" s="245">
        <v>0</v>
      </c>
      <c r="H35" s="238">
        <f t="shared" si="6"/>
        <v>0</v>
      </c>
      <c r="I35" s="247">
        <v>0</v>
      </c>
      <c r="J35" s="247">
        <v>0</v>
      </c>
      <c r="K35" s="248">
        <v>0</v>
      </c>
    </row>
    <row r="36" spans="1:12">
      <c r="A36" s="250">
        <v>44825</v>
      </c>
      <c r="B36" s="245">
        <v>0</v>
      </c>
      <c r="C36" s="245">
        <v>0</v>
      </c>
      <c r="D36" s="245">
        <v>0</v>
      </c>
      <c r="E36" s="246">
        <f t="shared" si="5"/>
        <v>0</v>
      </c>
      <c r="F36" s="245">
        <v>0</v>
      </c>
      <c r="G36" s="245">
        <v>0</v>
      </c>
      <c r="H36" s="238">
        <f t="shared" si="6"/>
        <v>0</v>
      </c>
      <c r="I36" s="247">
        <v>0</v>
      </c>
      <c r="J36" s="247">
        <v>0</v>
      </c>
      <c r="K36" s="248">
        <v>0</v>
      </c>
      <c r="L36" s="231"/>
    </row>
    <row r="37" spans="1:12">
      <c r="A37" s="250">
        <v>44855</v>
      </c>
      <c r="B37" s="245">
        <v>0</v>
      </c>
      <c r="C37" s="245">
        <v>0</v>
      </c>
      <c r="D37" s="245">
        <v>0</v>
      </c>
      <c r="E37" s="246">
        <f t="shared" si="5"/>
        <v>0</v>
      </c>
      <c r="F37" s="245">
        <v>0</v>
      </c>
      <c r="G37" s="245">
        <v>0</v>
      </c>
      <c r="H37" s="238">
        <f t="shared" si="6"/>
        <v>0</v>
      </c>
      <c r="I37" s="247">
        <v>0</v>
      </c>
      <c r="J37" s="247">
        <v>0</v>
      </c>
      <c r="K37" s="248">
        <v>0</v>
      </c>
    </row>
    <row r="38" spans="1:12">
      <c r="A38" s="250">
        <v>44886</v>
      </c>
      <c r="B38" s="245">
        <v>0</v>
      </c>
      <c r="C38" s="245">
        <v>0</v>
      </c>
      <c r="D38" s="245">
        <v>0</v>
      </c>
      <c r="E38" s="246">
        <f t="shared" si="5"/>
        <v>0</v>
      </c>
      <c r="F38" s="245">
        <v>0</v>
      </c>
      <c r="G38" s="245">
        <v>0</v>
      </c>
      <c r="H38" s="238">
        <f t="shared" si="6"/>
        <v>0</v>
      </c>
      <c r="I38" s="247">
        <v>0</v>
      </c>
      <c r="J38" s="247">
        <v>0</v>
      </c>
      <c r="K38" s="248">
        <v>0</v>
      </c>
    </row>
    <row r="39" spans="1:12">
      <c r="A39" s="250">
        <v>44916</v>
      </c>
      <c r="B39" s="245">
        <v>0</v>
      </c>
      <c r="C39" s="245">
        <v>0</v>
      </c>
      <c r="D39" s="245">
        <v>0</v>
      </c>
      <c r="E39" s="246">
        <f t="shared" si="5"/>
        <v>0</v>
      </c>
      <c r="F39" s="245">
        <v>0</v>
      </c>
      <c r="G39" s="245">
        <v>0</v>
      </c>
      <c r="H39" s="238">
        <f t="shared" si="6"/>
        <v>0</v>
      </c>
      <c r="I39" s="247">
        <v>0</v>
      </c>
      <c r="J39" s="247">
        <v>0</v>
      </c>
      <c r="K39" s="248">
        <v>0</v>
      </c>
      <c r="L39" s="231"/>
    </row>
    <row r="40" spans="1:12">
      <c r="A40" s="250">
        <v>44947</v>
      </c>
      <c r="B40" s="245">
        <v>0</v>
      </c>
      <c r="C40" s="245">
        <v>0</v>
      </c>
      <c r="D40" s="245">
        <v>0</v>
      </c>
      <c r="E40" s="246">
        <f t="shared" si="5"/>
        <v>0</v>
      </c>
      <c r="F40" s="245">
        <v>0</v>
      </c>
      <c r="G40" s="245">
        <v>0</v>
      </c>
      <c r="H40" s="238">
        <f t="shared" si="6"/>
        <v>0</v>
      </c>
      <c r="I40" s="247">
        <v>0</v>
      </c>
      <c r="J40" s="247">
        <v>0</v>
      </c>
      <c r="K40" s="248">
        <v>0</v>
      </c>
    </row>
    <row r="41" spans="1:12">
      <c r="A41" s="250">
        <v>44978</v>
      </c>
      <c r="B41" s="245">
        <v>0</v>
      </c>
      <c r="C41" s="245">
        <v>0</v>
      </c>
      <c r="D41" s="245">
        <v>0</v>
      </c>
      <c r="E41" s="246">
        <f t="shared" si="5"/>
        <v>0</v>
      </c>
      <c r="F41" s="245">
        <v>0</v>
      </c>
      <c r="G41" s="245">
        <v>0</v>
      </c>
      <c r="H41" s="238">
        <f t="shared" si="6"/>
        <v>0</v>
      </c>
      <c r="I41" s="247">
        <v>0</v>
      </c>
      <c r="J41" s="247">
        <v>0</v>
      </c>
      <c r="K41" s="248">
        <v>0</v>
      </c>
    </row>
    <row r="42" spans="1:12" ht="13.5" thickBot="1">
      <c r="A42" s="250">
        <v>45006</v>
      </c>
      <c r="B42" s="245">
        <v>0</v>
      </c>
      <c r="C42" s="245">
        <v>0</v>
      </c>
      <c r="D42" s="245">
        <v>0</v>
      </c>
      <c r="E42" s="246">
        <f t="shared" si="5"/>
        <v>0</v>
      </c>
      <c r="F42" s="245">
        <v>0</v>
      </c>
      <c r="G42" s="245">
        <v>0</v>
      </c>
      <c r="H42" s="238">
        <f t="shared" si="6"/>
        <v>0</v>
      </c>
      <c r="I42" s="247">
        <v>0</v>
      </c>
      <c r="J42" s="247">
        <v>0</v>
      </c>
      <c r="K42" s="248">
        <v>0</v>
      </c>
    </row>
    <row r="43" spans="1:12" ht="13.5" thickBot="1">
      <c r="A43" s="214" t="s">
        <v>256</v>
      </c>
      <c r="B43" s="215">
        <f>AVERAGE(B31:B42)</f>
        <v>0</v>
      </c>
      <c r="C43" s="215">
        <f>AVERAGE(C31:C42)</f>
        <v>0</v>
      </c>
      <c r="D43" s="215">
        <f>AVERAGE(D31:D42)</f>
        <v>0</v>
      </c>
      <c r="E43" s="215"/>
      <c r="F43" s="215">
        <f>AVERAGE(F31:F42)</f>
        <v>0</v>
      </c>
      <c r="G43" s="215">
        <f>AVERAGE(G31:G42)</f>
        <v>0</v>
      </c>
      <c r="H43" s="215"/>
      <c r="I43" s="216"/>
      <c r="J43" s="217"/>
      <c r="K43" s="217"/>
    </row>
    <row r="44" spans="1:12">
      <c r="A44" s="564" t="s">
        <v>257</v>
      </c>
      <c r="B44" s="564"/>
      <c r="C44" s="564"/>
      <c r="D44" s="564"/>
      <c r="E44" s="218">
        <f>SUM(E31:E42)</f>
        <v>0</v>
      </c>
      <c r="F44" s="564" t="s">
        <v>258</v>
      </c>
      <c r="G44" s="564"/>
      <c r="H44" s="218">
        <f>SUM(H31:H42)</f>
        <v>0</v>
      </c>
      <c r="I44" s="219">
        <f>SUM(I31:I42)</f>
        <v>0</v>
      </c>
      <c r="J44" s="220">
        <f>SUM(J31:J42)</f>
        <v>0</v>
      </c>
      <c r="K44" s="220"/>
    </row>
    <row r="45" spans="1:12" ht="13.5" thickBot="1">
      <c r="A45" s="565" t="s">
        <v>256</v>
      </c>
      <c r="B45" s="565"/>
      <c r="C45" s="565"/>
      <c r="D45" s="565"/>
      <c r="E45" s="218">
        <f>AVERAGE(E31:E42)</f>
        <v>0</v>
      </c>
      <c r="F45" s="565" t="s">
        <v>259</v>
      </c>
      <c r="G45" s="565"/>
      <c r="H45" s="221">
        <f>AVERAGE(H31:H42)</f>
        <v>0</v>
      </c>
      <c r="I45" s="222"/>
      <c r="J45" s="221"/>
      <c r="K45" s="228"/>
    </row>
    <row r="46" spans="1:12" ht="13.5" thickBot="1">
      <c r="A46" s="566" t="s">
        <v>260</v>
      </c>
      <c r="B46" s="566"/>
      <c r="C46" s="566"/>
      <c r="D46" s="566"/>
      <c r="E46" s="221"/>
      <c r="F46" s="223">
        <f>SUM(F30:F42)</f>
        <v>0</v>
      </c>
      <c r="G46" s="223">
        <f>SUM(G30:G42)</f>
        <v>0</v>
      </c>
      <c r="H46" s="221"/>
      <c r="I46" s="222"/>
      <c r="J46" s="229"/>
      <c r="K46" s="230">
        <f>SUM(K30:K42)</f>
        <v>0</v>
      </c>
    </row>
    <row r="47" spans="1:12" ht="13.5" thickBot="1">
      <c r="A47" s="566" t="s">
        <v>261</v>
      </c>
      <c r="B47" s="566"/>
      <c r="C47" s="566"/>
      <c r="D47" s="566"/>
      <c r="E47" s="221"/>
      <c r="F47" s="223">
        <f>F46-K46</f>
        <v>0</v>
      </c>
      <c r="G47" s="223"/>
      <c r="H47" s="221"/>
      <c r="I47" s="222"/>
      <c r="J47" s="229"/>
      <c r="K47" s="230"/>
    </row>
    <row r="50" spans="1:11">
      <c r="A50" s="225"/>
    </row>
    <row r="52" spans="1:11">
      <c r="A52" s="204" t="s">
        <v>243</v>
      </c>
      <c r="B52" s="569"/>
      <c r="C52" s="570"/>
      <c r="D52" s="570"/>
      <c r="E52" s="570"/>
      <c r="F52" s="570"/>
      <c r="G52" s="570"/>
      <c r="H52" s="571"/>
      <c r="I52" s="203" t="s">
        <v>262</v>
      </c>
      <c r="J52" s="226">
        <f>MIN(B59:D70)</f>
        <v>0</v>
      </c>
    </row>
    <row r="53" spans="1:11">
      <c r="A53" s="204" t="s">
        <v>244</v>
      </c>
      <c r="B53" s="569"/>
      <c r="C53" s="570"/>
      <c r="D53" s="570"/>
      <c r="E53" s="570"/>
      <c r="F53" s="570"/>
      <c r="G53" s="570"/>
      <c r="H53" s="571"/>
      <c r="I53" s="203" t="s">
        <v>263</v>
      </c>
      <c r="J53" s="226">
        <f>MAX(B59:D70)</f>
        <v>0</v>
      </c>
    </row>
    <row r="54" spans="1:11">
      <c r="A54" s="204" t="s">
        <v>264</v>
      </c>
      <c r="B54" s="567"/>
      <c r="C54" s="567"/>
      <c r="D54" s="567"/>
      <c r="E54" s="567"/>
      <c r="F54" s="567"/>
      <c r="G54" s="567"/>
      <c r="H54" s="567"/>
      <c r="I54" s="203"/>
      <c r="J54" s="203"/>
    </row>
    <row r="55" spans="1:11">
      <c r="A55" s="204" t="s">
        <v>245</v>
      </c>
      <c r="B55" s="568"/>
      <c r="C55" s="567"/>
      <c r="D55" s="567"/>
      <c r="E55" s="567"/>
      <c r="F55" s="567"/>
      <c r="G55" s="567"/>
      <c r="H55" s="567"/>
      <c r="I55" s="203"/>
      <c r="J55" s="203"/>
    </row>
    <row r="56" spans="1:11" ht="13.5" thickBot="1">
      <c r="A56" s="205" t="s">
        <v>265</v>
      </c>
      <c r="B56" s="567"/>
      <c r="C56" s="567"/>
      <c r="D56" s="567"/>
      <c r="E56" s="567"/>
      <c r="F56" s="567"/>
      <c r="G56" s="567"/>
      <c r="H56" s="567"/>
      <c r="I56" s="203"/>
      <c r="J56" s="203"/>
    </row>
    <row r="57" spans="1:11" ht="51.75" thickBot="1">
      <c r="A57" s="206" t="s">
        <v>203</v>
      </c>
      <c r="B57" s="207" t="s">
        <v>246</v>
      </c>
      <c r="C57" s="207" t="s">
        <v>247</v>
      </c>
      <c r="D57" s="207" t="s">
        <v>248</v>
      </c>
      <c r="E57" s="207" t="s">
        <v>249</v>
      </c>
      <c r="F57" s="207" t="s">
        <v>250</v>
      </c>
      <c r="G57" s="207" t="s">
        <v>251</v>
      </c>
      <c r="H57" s="207" t="s">
        <v>252</v>
      </c>
      <c r="I57" s="208" t="s">
        <v>253</v>
      </c>
      <c r="J57" s="209" t="s">
        <v>254</v>
      </c>
      <c r="K57" s="209" t="s">
        <v>255</v>
      </c>
    </row>
    <row r="58" spans="1:11">
      <c r="A58" s="249"/>
      <c r="B58" s="239"/>
      <c r="C58" s="239"/>
      <c r="D58" s="251"/>
      <c r="E58" s="241"/>
      <c r="F58" s="239"/>
      <c r="G58" s="239"/>
      <c r="H58" s="241"/>
      <c r="I58" s="242"/>
      <c r="J58" s="252"/>
      <c r="K58" s="227"/>
    </row>
    <row r="59" spans="1:11">
      <c r="A59" s="250">
        <v>44672</v>
      </c>
      <c r="B59" s="245">
        <v>0</v>
      </c>
      <c r="C59" s="245">
        <v>0</v>
      </c>
      <c r="D59" s="245">
        <v>0</v>
      </c>
      <c r="E59" s="246">
        <f t="shared" ref="E59:E70" si="7">AVERAGE(B59:D59)</f>
        <v>0</v>
      </c>
      <c r="F59" s="245">
        <v>0</v>
      </c>
      <c r="G59" s="245">
        <v>0</v>
      </c>
      <c r="H59" s="238">
        <f>F59-G59</f>
        <v>0</v>
      </c>
      <c r="I59" s="247">
        <v>0</v>
      </c>
      <c r="J59" s="247">
        <v>0</v>
      </c>
      <c r="K59" s="248">
        <v>0</v>
      </c>
    </row>
    <row r="60" spans="1:11">
      <c r="A60" s="250">
        <v>44702</v>
      </c>
      <c r="B60" s="245">
        <v>0</v>
      </c>
      <c r="C60" s="245">
        <v>0</v>
      </c>
      <c r="D60" s="245">
        <v>0</v>
      </c>
      <c r="E60" s="246">
        <f t="shared" si="7"/>
        <v>0</v>
      </c>
      <c r="F60" s="245">
        <v>0</v>
      </c>
      <c r="G60" s="245">
        <v>0</v>
      </c>
      <c r="H60" s="238">
        <f t="shared" ref="H60:H70" si="8">F60-G60</f>
        <v>0</v>
      </c>
      <c r="I60" s="247">
        <v>0</v>
      </c>
      <c r="J60" s="247">
        <v>0</v>
      </c>
      <c r="K60" s="248">
        <v>0</v>
      </c>
    </row>
    <row r="61" spans="1:11">
      <c r="A61" s="250">
        <v>44733</v>
      </c>
      <c r="B61" s="245">
        <v>0</v>
      </c>
      <c r="C61" s="245">
        <v>0</v>
      </c>
      <c r="D61" s="245">
        <v>0</v>
      </c>
      <c r="E61" s="246">
        <f t="shared" si="7"/>
        <v>0</v>
      </c>
      <c r="F61" s="245">
        <v>0</v>
      </c>
      <c r="G61" s="245">
        <v>0</v>
      </c>
      <c r="H61" s="238">
        <f t="shared" si="8"/>
        <v>0</v>
      </c>
      <c r="I61" s="247">
        <v>0</v>
      </c>
      <c r="J61" s="247">
        <v>0</v>
      </c>
      <c r="K61" s="248">
        <v>0</v>
      </c>
    </row>
    <row r="62" spans="1:11">
      <c r="A62" s="250">
        <v>44763</v>
      </c>
      <c r="B62" s="245">
        <v>0</v>
      </c>
      <c r="C62" s="245">
        <v>0</v>
      </c>
      <c r="D62" s="245">
        <v>0</v>
      </c>
      <c r="E62" s="246">
        <f t="shared" si="7"/>
        <v>0</v>
      </c>
      <c r="F62" s="245">
        <v>0</v>
      </c>
      <c r="G62" s="245">
        <v>0</v>
      </c>
      <c r="H62" s="238">
        <f t="shared" si="8"/>
        <v>0</v>
      </c>
      <c r="I62" s="247">
        <v>0</v>
      </c>
      <c r="J62" s="247">
        <v>0</v>
      </c>
      <c r="K62" s="248">
        <v>0</v>
      </c>
    </row>
    <row r="63" spans="1:11">
      <c r="A63" s="250">
        <v>44794</v>
      </c>
      <c r="B63" s="245">
        <v>0</v>
      </c>
      <c r="C63" s="245">
        <v>0</v>
      </c>
      <c r="D63" s="245">
        <v>0</v>
      </c>
      <c r="E63" s="246">
        <f t="shared" si="7"/>
        <v>0</v>
      </c>
      <c r="F63" s="245">
        <v>0</v>
      </c>
      <c r="G63" s="245">
        <v>0</v>
      </c>
      <c r="H63" s="238">
        <f t="shared" si="8"/>
        <v>0</v>
      </c>
      <c r="I63" s="247">
        <v>0</v>
      </c>
      <c r="J63" s="247">
        <v>0</v>
      </c>
      <c r="K63" s="248">
        <v>0</v>
      </c>
    </row>
    <row r="64" spans="1:11">
      <c r="A64" s="250">
        <v>44825</v>
      </c>
      <c r="B64" s="245">
        <v>0</v>
      </c>
      <c r="C64" s="245">
        <v>0</v>
      </c>
      <c r="D64" s="245">
        <v>0</v>
      </c>
      <c r="E64" s="246">
        <f t="shared" si="7"/>
        <v>0</v>
      </c>
      <c r="F64" s="245">
        <v>0</v>
      </c>
      <c r="G64" s="245">
        <v>0</v>
      </c>
      <c r="H64" s="238">
        <f t="shared" si="8"/>
        <v>0</v>
      </c>
      <c r="I64" s="247">
        <v>0</v>
      </c>
      <c r="J64" s="247">
        <v>0</v>
      </c>
      <c r="K64" s="248">
        <v>0</v>
      </c>
    </row>
    <row r="65" spans="1:11">
      <c r="A65" s="250">
        <v>44855</v>
      </c>
      <c r="B65" s="245">
        <v>0</v>
      </c>
      <c r="C65" s="245">
        <v>0</v>
      </c>
      <c r="D65" s="245">
        <v>0</v>
      </c>
      <c r="E65" s="246">
        <f t="shared" si="7"/>
        <v>0</v>
      </c>
      <c r="F65" s="245">
        <v>0</v>
      </c>
      <c r="G65" s="245">
        <v>0</v>
      </c>
      <c r="H65" s="238">
        <f t="shared" si="8"/>
        <v>0</v>
      </c>
      <c r="I65" s="247">
        <v>0</v>
      </c>
      <c r="J65" s="247">
        <v>0</v>
      </c>
      <c r="K65" s="248">
        <v>0</v>
      </c>
    </row>
    <row r="66" spans="1:11">
      <c r="A66" s="250">
        <v>44886</v>
      </c>
      <c r="B66" s="245">
        <v>0</v>
      </c>
      <c r="C66" s="245">
        <v>0</v>
      </c>
      <c r="D66" s="245">
        <v>0</v>
      </c>
      <c r="E66" s="246">
        <f t="shared" si="7"/>
        <v>0</v>
      </c>
      <c r="F66" s="245">
        <v>0</v>
      </c>
      <c r="G66" s="245">
        <v>0</v>
      </c>
      <c r="H66" s="238">
        <f t="shared" si="8"/>
        <v>0</v>
      </c>
      <c r="I66" s="247">
        <v>0</v>
      </c>
      <c r="J66" s="247">
        <v>0</v>
      </c>
      <c r="K66" s="248">
        <v>0</v>
      </c>
    </row>
    <row r="67" spans="1:11">
      <c r="A67" s="250">
        <v>44916</v>
      </c>
      <c r="B67" s="245">
        <v>0</v>
      </c>
      <c r="C67" s="245">
        <v>0</v>
      </c>
      <c r="D67" s="245">
        <v>0</v>
      </c>
      <c r="E67" s="246">
        <f t="shared" si="7"/>
        <v>0</v>
      </c>
      <c r="F67" s="245">
        <v>0</v>
      </c>
      <c r="G67" s="245">
        <v>0</v>
      </c>
      <c r="H67" s="238">
        <f t="shared" si="8"/>
        <v>0</v>
      </c>
      <c r="I67" s="247">
        <v>0</v>
      </c>
      <c r="J67" s="247">
        <v>0</v>
      </c>
      <c r="K67" s="248">
        <v>0</v>
      </c>
    </row>
    <row r="68" spans="1:11">
      <c r="A68" s="250">
        <v>44947</v>
      </c>
      <c r="B68" s="245">
        <v>0</v>
      </c>
      <c r="C68" s="245">
        <v>0</v>
      </c>
      <c r="D68" s="245">
        <v>0</v>
      </c>
      <c r="E68" s="246">
        <f t="shared" si="7"/>
        <v>0</v>
      </c>
      <c r="F68" s="245">
        <v>0</v>
      </c>
      <c r="G68" s="245">
        <v>0</v>
      </c>
      <c r="H68" s="238">
        <f t="shared" si="8"/>
        <v>0</v>
      </c>
      <c r="I68" s="247">
        <v>0</v>
      </c>
      <c r="J68" s="247">
        <v>0</v>
      </c>
      <c r="K68" s="248">
        <v>0</v>
      </c>
    </row>
    <row r="69" spans="1:11">
      <c r="A69" s="250">
        <v>44978</v>
      </c>
      <c r="B69" s="245">
        <v>0</v>
      </c>
      <c r="C69" s="245">
        <v>0</v>
      </c>
      <c r="D69" s="245">
        <v>0</v>
      </c>
      <c r="E69" s="246">
        <f t="shared" si="7"/>
        <v>0</v>
      </c>
      <c r="F69" s="245">
        <v>0</v>
      </c>
      <c r="G69" s="245">
        <v>0</v>
      </c>
      <c r="H69" s="238">
        <f t="shared" si="8"/>
        <v>0</v>
      </c>
      <c r="I69" s="247">
        <v>0</v>
      </c>
      <c r="J69" s="247">
        <v>0</v>
      </c>
      <c r="K69" s="248">
        <v>0</v>
      </c>
    </row>
    <row r="70" spans="1:11" ht="13.5" thickBot="1">
      <c r="A70" s="250">
        <v>45006</v>
      </c>
      <c r="B70" s="245">
        <v>0</v>
      </c>
      <c r="C70" s="245">
        <v>0</v>
      </c>
      <c r="D70" s="245">
        <v>0</v>
      </c>
      <c r="E70" s="246">
        <f t="shared" si="7"/>
        <v>0</v>
      </c>
      <c r="F70" s="245">
        <v>0</v>
      </c>
      <c r="G70" s="245">
        <v>0</v>
      </c>
      <c r="H70" s="238">
        <f t="shared" si="8"/>
        <v>0</v>
      </c>
      <c r="I70" s="247">
        <v>0</v>
      </c>
      <c r="J70" s="247">
        <v>0</v>
      </c>
      <c r="K70" s="248">
        <v>0</v>
      </c>
    </row>
    <row r="71" spans="1:11" ht="13.5" thickBot="1">
      <c r="A71" s="214" t="s">
        <v>256</v>
      </c>
      <c r="B71" s="215">
        <f>AVERAGE(B59:B70)</f>
        <v>0</v>
      </c>
      <c r="C71" s="215">
        <f>AVERAGE(C59:C70)</f>
        <v>0</v>
      </c>
      <c r="D71" s="215">
        <f>AVERAGE(D59:D70)</f>
        <v>0</v>
      </c>
      <c r="E71" s="215"/>
      <c r="F71" s="215">
        <f>AVERAGE(F59:F70)</f>
        <v>0</v>
      </c>
      <c r="G71" s="215">
        <f>AVERAGE(G59:G70)</f>
        <v>0</v>
      </c>
      <c r="H71" s="215"/>
      <c r="I71" s="216"/>
      <c r="J71" s="217"/>
      <c r="K71" s="217"/>
    </row>
    <row r="72" spans="1:11">
      <c r="A72" s="564" t="s">
        <v>257</v>
      </c>
      <c r="B72" s="564"/>
      <c r="C72" s="564"/>
      <c r="D72" s="564"/>
      <c r="E72" s="218">
        <f>SUM(E59:E70)</f>
        <v>0</v>
      </c>
      <c r="F72" s="564" t="s">
        <v>258</v>
      </c>
      <c r="G72" s="564"/>
      <c r="H72" s="218">
        <f>SUM(H59:H70)</f>
        <v>0</v>
      </c>
      <c r="I72" s="219">
        <f>SUM(I59:I70)</f>
        <v>0</v>
      </c>
      <c r="J72" s="220">
        <f>SUM(J59:J70)</f>
        <v>0</v>
      </c>
      <c r="K72" s="220"/>
    </row>
    <row r="73" spans="1:11" ht="13.5" thickBot="1">
      <c r="A73" s="565" t="s">
        <v>256</v>
      </c>
      <c r="B73" s="565"/>
      <c r="C73" s="565"/>
      <c r="D73" s="565"/>
      <c r="E73" s="221">
        <f>AVERAGE(E59:E70)</f>
        <v>0</v>
      </c>
      <c r="F73" s="565" t="s">
        <v>259</v>
      </c>
      <c r="G73" s="565"/>
      <c r="H73" s="221">
        <f>AVERAGE(H59:H70)</f>
        <v>0</v>
      </c>
      <c r="I73" s="222"/>
      <c r="J73" s="221"/>
      <c r="K73" s="228"/>
    </row>
    <row r="74" spans="1:11" ht="13.5" thickBot="1">
      <c r="A74" s="566" t="s">
        <v>260</v>
      </c>
      <c r="B74" s="566"/>
      <c r="C74" s="566"/>
      <c r="D74" s="566"/>
      <c r="E74" s="221"/>
      <c r="F74" s="223">
        <f>SUM(F58:F70)</f>
        <v>0</v>
      </c>
      <c r="G74" s="223">
        <f>SUM(G58:G70)</f>
        <v>0</v>
      </c>
      <c r="H74" s="221"/>
      <c r="I74" s="222"/>
      <c r="J74" s="229"/>
      <c r="K74" s="230">
        <f>SUM(K58:K70)</f>
        <v>0</v>
      </c>
    </row>
    <row r="75" spans="1:11" ht="13.5" thickBot="1">
      <c r="A75" s="566" t="s">
        <v>261</v>
      </c>
      <c r="B75" s="566"/>
      <c r="C75" s="566"/>
      <c r="D75" s="566"/>
      <c r="E75" s="221"/>
      <c r="F75" s="223">
        <f>F74-K74</f>
        <v>0</v>
      </c>
      <c r="G75" s="223"/>
      <c r="H75" s="221"/>
      <c r="I75" s="222"/>
      <c r="J75" s="229"/>
      <c r="K75" s="230"/>
    </row>
    <row r="78" spans="1:11">
      <c r="A78" s="204" t="s">
        <v>243</v>
      </c>
      <c r="B78" s="569"/>
      <c r="C78" s="570"/>
      <c r="D78" s="570"/>
      <c r="E78" s="570"/>
      <c r="F78" s="570"/>
      <c r="G78" s="570"/>
      <c r="H78" s="571"/>
      <c r="I78" s="203" t="s">
        <v>262</v>
      </c>
      <c r="J78" s="226">
        <f>MIN(B85:D96)</f>
        <v>0</v>
      </c>
    </row>
    <row r="79" spans="1:11">
      <c r="A79" s="204" t="s">
        <v>244</v>
      </c>
      <c r="B79" s="569"/>
      <c r="C79" s="570"/>
      <c r="D79" s="570"/>
      <c r="E79" s="570"/>
      <c r="F79" s="570"/>
      <c r="G79" s="570"/>
      <c r="H79" s="571"/>
      <c r="I79" s="203" t="s">
        <v>263</v>
      </c>
      <c r="J79" s="226">
        <f>MAX(B85:D96)</f>
        <v>0</v>
      </c>
    </row>
    <row r="80" spans="1:11">
      <c r="A80" s="204" t="s">
        <v>264</v>
      </c>
      <c r="B80" s="567"/>
      <c r="C80" s="567"/>
      <c r="D80" s="567"/>
      <c r="E80" s="567"/>
      <c r="F80" s="567"/>
      <c r="G80" s="567"/>
      <c r="H80" s="567"/>
      <c r="I80" s="203"/>
      <c r="J80" s="203"/>
    </row>
    <row r="81" spans="1:11">
      <c r="A81" s="204" t="s">
        <v>245</v>
      </c>
      <c r="B81" s="568"/>
      <c r="C81" s="567"/>
      <c r="D81" s="567"/>
      <c r="E81" s="567"/>
      <c r="F81" s="567"/>
      <c r="G81" s="567"/>
      <c r="H81" s="567"/>
      <c r="I81" s="203"/>
      <c r="J81" s="203"/>
    </row>
    <row r="82" spans="1:11" ht="13.5" thickBot="1">
      <c r="A82" s="205" t="s">
        <v>265</v>
      </c>
      <c r="B82" s="567"/>
      <c r="C82" s="567"/>
      <c r="D82" s="567"/>
      <c r="E82" s="567"/>
      <c r="F82" s="567"/>
      <c r="G82" s="567"/>
      <c r="H82" s="567"/>
      <c r="I82" s="203"/>
      <c r="J82" s="203"/>
    </row>
    <row r="83" spans="1:11" ht="51.75" thickBot="1">
      <c r="A83" s="206" t="s">
        <v>203</v>
      </c>
      <c r="B83" s="207" t="s">
        <v>246</v>
      </c>
      <c r="C83" s="207" t="s">
        <v>247</v>
      </c>
      <c r="D83" s="207" t="s">
        <v>248</v>
      </c>
      <c r="E83" s="207" t="s">
        <v>249</v>
      </c>
      <c r="F83" s="207" t="s">
        <v>250</v>
      </c>
      <c r="G83" s="207" t="s">
        <v>251</v>
      </c>
      <c r="H83" s="207" t="s">
        <v>252</v>
      </c>
      <c r="I83" s="208" t="s">
        <v>253</v>
      </c>
      <c r="J83" s="209" t="s">
        <v>254</v>
      </c>
      <c r="K83" s="209" t="s">
        <v>255</v>
      </c>
    </row>
    <row r="84" spans="1:11">
      <c r="A84" s="249"/>
      <c r="B84" s="239"/>
      <c r="C84" s="239"/>
      <c r="D84" s="251"/>
      <c r="E84" s="241"/>
      <c r="F84" s="239"/>
      <c r="G84" s="239"/>
      <c r="H84" s="241"/>
      <c r="I84" s="242"/>
      <c r="J84" s="252"/>
      <c r="K84" s="227"/>
    </row>
    <row r="85" spans="1:11">
      <c r="A85" s="250">
        <v>44672</v>
      </c>
      <c r="B85" s="245">
        <v>0</v>
      </c>
      <c r="C85" s="245">
        <v>0</v>
      </c>
      <c r="D85" s="245">
        <v>0</v>
      </c>
      <c r="E85" s="246">
        <f t="shared" ref="E85:E96" si="9">AVERAGE(B85:D85)</f>
        <v>0</v>
      </c>
      <c r="F85" s="245">
        <v>0</v>
      </c>
      <c r="G85" s="245">
        <v>0</v>
      </c>
      <c r="H85" s="238">
        <f>F85-G85</f>
        <v>0</v>
      </c>
      <c r="I85" s="247">
        <v>0</v>
      </c>
      <c r="J85" s="247">
        <v>0</v>
      </c>
      <c r="K85" s="248">
        <v>0</v>
      </c>
    </row>
    <row r="86" spans="1:11">
      <c r="A86" s="250">
        <v>44702</v>
      </c>
      <c r="B86" s="245">
        <v>0</v>
      </c>
      <c r="C86" s="245">
        <v>0</v>
      </c>
      <c r="D86" s="245">
        <v>0</v>
      </c>
      <c r="E86" s="246">
        <f t="shared" si="9"/>
        <v>0</v>
      </c>
      <c r="F86" s="245">
        <v>0</v>
      </c>
      <c r="G86" s="245">
        <v>0</v>
      </c>
      <c r="H86" s="238">
        <f t="shared" ref="H86:H96" si="10">F86-G86</f>
        <v>0</v>
      </c>
      <c r="I86" s="247">
        <v>0</v>
      </c>
      <c r="J86" s="247">
        <v>0</v>
      </c>
      <c r="K86" s="248">
        <v>0</v>
      </c>
    </row>
    <row r="87" spans="1:11">
      <c r="A87" s="250">
        <v>44733</v>
      </c>
      <c r="B87" s="245">
        <v>0</v>
      </c>
      <c r="C87" s="245">
        <v>0</v>
      </c>
      <c r="D87" s="245">
        <v>0</v>
      </c>
      <c r="E87" s="246">
        <f t="shared" si="9"/>
        <v>0</v>
      </c>
      <c r="F87" s="245">
        <v>0</v>
      </c>
      <c r="G87" s="245">
        <v>0</v>
      </c>
      <c r="H87" s="238">
        <f t="shared" si="10"/>
        <v>0</v>
      </c>
      <c r="I87" s="247">
        <v>0</v>
      </c>
      <c r="J87" s="247">
        <v>0</v>
      </c>
      <c r="K87" s="248">
        <v>0</v>
      </c>
    </row>
    <row r="88" spans="1:11">
      <c r="A88" s="250">
        <v>44763</v>
      </c>
      <c r="B88" s="245">
        <v>0</v>
      </c>
      <c r="C88" s="245">
        <v>0</v>
      </c>
      <c r="D88" s="245">
        <v>0</v>
      </c>
      <c r="E88" s="246">
        <f t="shared" si="9"/>
        <v>0</v>
      </c>
      <c r="F88" s="245">
        <v>0</v>
      </c>
      <c r="G88" s="245">
        <v>0</v>
      </c>
      <c r="H88" s="238">
        <f t="shared" si="10"/>
        <v>0</v>
      </c>
      <c r="I88" s="247">
        <v>0</v>
      </c>
      <c r="J88" s="247">
        <v>0</v>
      </c>
      <c r="K88" s="248">
        <v>0</v>
      </c>
    </row>
    <row r="89" spans="1:11">
      <c r="A89" s="250">
        <v>44794</v>
      </c>
      <c r="B89" s="245">
        <v>0</v>
      </c>
      <c r="C89" s="245">
        <v>0</v>
      </c>
      <c r="D89" s="245">
        <v>0</v>
      </c>
      <c r="E89" s="246">
        <f t="shared" si="9"/>
        <v>0</v>
      </c>
      <c r="F89" s="245">
        <v>0</v>
      </c>
      <c r="G89" s="245">
        <v>0</v>
      </c>
      <c r="H89" s="238">
        <f t="shared" si="10"/>
        <v>0</v>
      </c>
      <c r="I89" s="247">
        <v>0</v>
      </c>
      <c r="J89" s="247">
        <v>0</v>
      </c>
      <c r="K89" s="248">
        <v>0</v>
      </c>
    </row>
    <row r="90" spans="1:11">
      <c r="A90" s="250">
        <v>44825</v>
      </c>
      <c r="B90" s="245">
        <v>0</v>
      </c>
      <c r="C90" s="245">
        <v>0</v>
      </c>
      <c r="D90" s="245">
        <v>0</v>
      </c>
      <c r="E90" s="246">
        <f t="shared" si="9"/>
        <v>0</v>
      </c>
      <c r="F90" s="245">
        <v>0</v>
      </c>
      <c r="G90" s="245">
        <v>0</v>
      </c>
      <c r="H90" s="238">
        <f t="shared" si="10"/>
        <v>0</v>
      </c>
      <c r="I90" s="247">
        <v>0</v>
      </c>
      <c r="J90" s="247">
        <v>0</v>
      </c>
      <c r="K90" s="248">
        <v>0</v>
      </c>
    </row>
    <row r="91" spans="1:11">
      <c r="A91" s="250">
        <v>44855</v>
      </c>
      <c r="B91" s="245">
        <v>0</v>
      </c>
      <c r="C91" s="245">
        <v>0</v>
      </c>
      <c r="D91" s="245">
        <v>0</v>
      </c>
      <c r="E91" s="246">
        <f t="shared" si="9"/>
        <v>0</v>
      </c>
      <c r="F91" s="245">
        <v>0</v>
      </c>
      <c r="G91" s="245">
        <v>0</v>
      </c>
      <c r="H91" s="238">
        <f t="shared" si="10"/>
        <v>0</v>
      </c>
      <c r="I91" s="247">
        <v>0</v>
      </c>
      <c r="J91" s="247">
        <v>0</v>
      </c>
      <c r="K91" s="248">
        <v>0</v>
      </c>
    </row>
    <row r="92" spans="1:11">
      <c r="A92" s="250">
        <v>44886</v>
      </c>
      <c r="B92" s="245">
        <v>0</v>
      </c>
      <c r="C92" s="245">
        <v>0</v>
      </c>
      <c r="D92" s="245">
        <v>0</v>
      </c>
      <c r="E92" s="246">
        <f t="shared" si="9"/>
        <v>0</v>
      </c>
      <c r="F92" s="245">
        <v>0</v>
      </c>
      <c r="G92" s="245">
        <v>0</v>
      </c>
      <c r="H92" s="238">
        <f t="shared" si="10"/>
        <v>0</v>
      </c>
      <c r="I92" s="247">
        <v>0</v>
      </c>
      <c r="J92" s="247">
        <v>0</v>
      </c>
      <c r="K92" s="248">
        <v>0</v>
      </c>
    </row>
    <row r="93" spans="1:11">
      <c r="A93" s="250">
        <v>44916</v>
      </c>
      <c r="B93" s="245">
        <v>0</v>
      </c>
      <c r="C93" s="245">
        <v>0</v>
      </c>
      <c r="D93" s="245">
        <v>0</v>
      </c>
      <c r="E93" s="246">
        <f t="shared" si="9"/>
        <v>0</v>
      </c>
      <c r="F93" s="245">
        <v>0</v>
      </c>
      <c r="G93" s="245">
        <v>0</v>
      </c>
      <c r="H93" s="238">
        <f t="shared" si="10"/>
        <v>0</v>
      </c>
      <c r="I93" s="247">
        <v>0</v>
      </c>
      <c r="J93" s="247">
        <v>0</v>
      </c>
      <c r="K93" s="248">
        <v>0</v>
      </c>
    </row>
    <row r="94" spans="1:11">
      <c r="A94" s="250">
        <v>44947</v>
      </c>
      <c r="B94" s="245">
        <v>0</v>
      </c>
      <c r="C94" s="245">
        <v>0</v>
      </c>
      <c r="D94" s="245">
        <v>0</v>
      </c>
      <c r="E94" s="246">
        <f t="shared" si="9"/>
        <v>0</v>
      </c>
      <c r="F94" s="245">
        <v>0</v>
      </c>
      <c r="G94" s="245">
        <v>0</v>
      </c>
      <c r="H94" s="238">
        <f t="shared" si="10"/>
        <v>0</v>
      </c>
      <c r="I94" s="247">
        <v>0</v>
      </c>
      <c r="J94" s="247">
        <v>0</v>
      </c>
      <c r="K94" s="248">
        <v>0</v>
      </c>
    </row>
    <row r="95" spans="1:11">
      <c r="A95" s="250">
        <v>44978</v>
      </c>
      <c r="B95" s="245">
        <v>0</v>
      </c>
      <c r="C95" s="245">
        <v>0</v>
      </c>
      <c r="D95" s="245">
        <v>0</v>
      </c>
      <c r="E95" s="246">
        <f t="shared" si="9"/>
        <v>0</v>
      </c>
      <c r="F95" s="245">
        <v>0</v>
      </c>
      <c r="G95" s="245">
        <v>0</v>
      </c>
      <c r="H95" s="238">
        <f t="shared" si="10"/>
        <v>0</v>
      </c>
      <c r="I95" s="247">
        <v>0</v>
      </c>
      <c r="J95" s="247">
        <v>0</v>
      </c>
      <c r="K95" s="248">
        <v>0</v>
      </c>
    </row>
    <row r="96" spans="1:11" ht="13.5" thickBot="1">
      <c r="A96" s="250">
        <v>45006</v>
      </c>
      <c r="B96" s="245">
        <v>0</v>
      </c>
      <c r="C96" s="245">
        <v>0</v>
      </c>
      <c r="D96" s="245">
        <v>0</v>
      </c>
      <c r="E96" s="246">
        <f t="shared" si="9"/>
        <v>0</v>
      </c>
      <c r="F96" s="245">
        <v>0</v>
      </c>
      <c r="G96" s="245">
        <v>0</v>
      </c>
      <c r="H96" s="238">
        <f t="shared" si="10"/>
        <v>0</v>
      </c>
      <c r="I96" s="247">
        <v>0</v>
      </c>
      <c r="J96" s="247">
        <v>0</v>
      </c>
      <c r="K96" s="248">
        <v>0</v>
      </c>
    </row>
    <row r="97" spans="1:11" ht="13.5" thickBot="1">
      <c r="A97" s="214" t="s">
        <v>256</v>
      </c>
      <c r="B97" s="215">
        <f>AVERAGE(B85:B96)</f>
        <v>0</v>
      </c>
      <c r="C97" s="215">
        <f>AVERAGE(C85:C96)</f>
        <v>0</v>
      </c>
      <c r="D97" s="215">
        <f>AVERAGE(D85:D96)</f>
        <v>0</v>
      </c>
      <c r="E97" s="215"/>
      <c r="F97" s="215">
        <f>AVERAGE(F85:F96)</f>
        <v>0</v>
      </c>
      <c r="G97" s="215">
        <f>AVERAGE(G85:G96)</f>
        <v>0</v>
      </c>
      <c r="H97" s="215"/>
      <c r="I97" s="216"/>
      <c r="J97" s="217"/>
      <c r="K97" s="217"/>
    </row>
    <row r="98" spans="1:11">
      <c r="A98" s="564" t="s">
        <v>257</v>
      </c>
      <c r="B98" s="564"/>
      <c r="C98" s="564"/>
      <c r="D98" s="564"/>
      <c r="E98" s="218">
        <f>SUM(E85:E96)</f>
        <v>0</v>
      </c>
      <c r="F98" s="564" t="s">
        <v>258</v>
      </c>
      <c r="G98" s="564"/>
      <c r="H98" s="218">
        <f>SUM(H85:H96)</f>
        <v>0</v>
      </c>
      <c r="I98" s="219">
        <f>SUM(I85:I96)</f>
        <v>0</v>
      </c>
      <c r="J98" s="220">
        <f>SUM(J85:J96)</f>
        <v>0</v>
      </c>
      <c r="K98" s="220"/>
    </row>
    <row r="99" spans="1:11" ht="13.5" thickBot="1">
      <c r="A99" s="565" t="s">
        <v>256</v>
      </c>
      <c r="B99" s="565"/>
      <c r="C99" s="565"/>
      <c r="D99" s="565"/>
      <c r="E99" s="221">
        <f>AVERAGE(E85:E96)</f>
        <v>0</v>
      </c>
      <c r="F99" s="565" t="s">
        <v>259</v>
      </c>
      <c r="G99" s="565"/>
      <c r="H99" s="221">
        <f>AVERAGE(H85:H96)</f>
        <v>0</v>
      </c>
      <c r="I99" s="222"/>
      <c r="J99" s="221"/>
      <c r="K99" s="228"/>
    </row>
    <row r="100" spans="1:11" ht="13.5" thickBot="1">
      <c r="A100" s="566" t="s">
        <v>260</v>
      </c>
      <c r="B100" s="566"/>
      <c r="C100" s="566"/>
      <c r="D100" s="566"/>
      <c r="E100" s="221"/>
      <c r="F100" s="223">
        <f>SUM(F84:F96)</f>
        <v>0</v>
      </c>
      <c r="G100" s="223">
        <f>SUM(G84:G96)</f>
        <v>0</v>
      </c>
      <c r="H100" s="221"/>
      <c r="I100" s="222"/>
      <c r="J100" s="229"/>
      <c r="K100" s="230">
        <f>SUM(K84:K96)</f>
        <v>0</v>
      </c>
    </row>
    <row r="101" spans="1:11" ht="13.5" thickBot="1">
      <c r="A101" s="566" t="s">
        <v>261</v>
      </c>
      <c r="B101" s="566"/>
      <c r="C101" s="566"/>
      <c r="D101" s="566"/>
      <c r="E101" s="221"/>
      <c r="F101" s="223">
        <f>F100-K100</f>
        <v>0</v>
      </c>
      <c r="G101" s="223"/>
      <c r="H101" s="221"/>
      <c r="I101" s="222"/>
      <c r="J101" s="229"/>
      <c r="K101" s="230"/>
    </row>
    <row r="104" spans="1:11">
      <c r="A104" s="204" t="s">
        <v>243</v>
      </c>
      <c r="B104" s="569"/>
      <c r="C104" s="570"/>
      <c r="D104" s="570"/>
      <c r="E104" s="570"/>
      <c r="F104" s="570"/>
      <c r="G104" s="570"/>
      <c r="H104" s="571"/>
      <c r="I104" s="203" t="s">
        <v>262</v>
      </c>
      <c r="J104" s="226">
        <f>MIN(B111:D122)</f>
        <v>0</v>
      </c>
    </row>
    <row r="105" spans="1:11">
      <c r="A105" s="204" t="s">
        <v>244</v>
      </c>
      <c r="B105" s="569"/>
      <c r="C105" s="570"/>
      <c r="D105" s="570"/>
      <c r="E105" s="570"/>
      <c r="F105" s="570"/>
      <c r="G105" s="570"/>
      <c r="H105" s="571"/>
      <c r="I105" s="203" t="s">
        <v>263</v>
      </c>
      <c r="J105" s="226">
        <f>MAX(B111:D122)</f>
        <v>0</v>
      </c>
    </row>
    <row r="106" spans="1:11">
      <c r="A106" s="204" t="s">
        <v>264</v>
      </c>
      <c r="B106" s="567"/>
      <c r="C106" s="567"/>
      <c r="D106" s="567"/>
      <c r="E106" s="567"/>
      <c r="F106" s="567"/>
      <c r="G106" s="567"/>
      <c r="H106" s="567"/>
      <c r="I106" s="203"/>
      <c r="J106" s="203"/>
    </row>
    <row r="107" spans="1:11">
      <c r="A107" s="204" t="s">
        <v>245</v>
      </c>
      <c r="B107" s="568"/>
      <c r="C107" s="567"/>
      <c r="D107" s="567"/>
      <c r="E107" s="567"/>
      <c r="F107" s="567"/>
      <c r="G107" s="567"/>
      <c r="H107" s="567"/>
      <c r="I107" s="203"/>
      <c r="J107" s="203"/>
    </row>
    <row r="108" spans="1:11" ht="13.5" thickBot="1">
      <c r="A108" s="205" t="s">
        <v>265</v>
      </c>
      <c r="B108" s="567"/>
      <c r="C108" s="567"/>
      <c r="D108" s="567"/>
      <c r="E108" s="567"/>
      <c r="F108" s="567"/>
      <c r="G108" s="567"/>
      <c r="H108" s="567"/>
      <c r="I108" s="203"/>
      <c r="J108" s="203"/>
    </row>
    <row r="109" spans="1:11" ht="51.75" thickBot="1">
      <c r="A109" s="206" t="s">
        <v>203</v>
      </c>
      <c r="B109" s="207" t="s">
        <v>246</v>
      </c>
      <c r="C109" s="207" t="s">
        <v>247</v>
      </c>
      <c r="D109" s="207" t="s">
        <v>248</v>
      </c>
      <c r="E109" s="207" t="s">
        <v>249</v>
      </c>
      <c r="F109" s="207" t="s">
        <v>250</v>
      </c>
      <c r="G109" s="207" t="s">
        <v>251</v>
      </c>
      <c r="H109" s="207" t="s">
        <v>252</v>
      </c>
      <c r="I109" s="208" t="s">
        <v>253</v>
      </c>
      <c r="J109" s="209" t="s">
        <v>254</v>
      </c>
      <c r="K109" s="209" t="s">
        <v>255</v>
      </c>
    </row>
    <row r="110" spans="1:11">
      <c r="A110" s="249"/>
      <c r="B110" s="239"/>
      <c r="C110" s="239"/>
      <c r="D110" s="251"/>
      <c r="E110" s="241"/>
      <c r="F110" s="239"/>
      <c r="G110" s="239"/>
      <c r="H110" s="241"/>
      <c r="I110" s="242"/>
      <c r="J110" s="252"/>
      <c r="K110" s="227"/>
    </row>
    <row r="111" spans="1:11">
      <c r="A111" s="250">
        <v>44672</v>
      </c>
      <c r="B111" s="245">
        <v>0</v>
      </c>
      <c r="C111" s="245">
        <v>0</v>
      </c>
      <c r="D111" s="245">
        <v>0</v>
      </c>
      <c r="E111" s="246">
        <f t="shared" ref="E111:E122" si="11">AVERAGE(B111:D111)</f>
        <v>0</v>
      </c>
      <c r="F111" s="245">
        <v>0</v>
      </c>
      <c r="G111" s="245">
        <v>0</v>
      </c>
      <c r="H111" s="238">
        <f>F111-G111</f>
        <v>0</v>
      </c>
      <c r="I111" s="247">
        <v>0</v>
      </c>
      <c r="J111" s="247">
        <v>0</v>
      </c>
      <c r="K111" s="248">
        <v>0</v>
      </c>
    </row>
    <row r="112" spans="1:11">
      <c r="A112" s="250">
        <v>44702</v>
      </c>
      <c r="B112" s="245">
        <v>0</v>
      </c>
      <c r="C112" s="245">
        <v>0</v>
      </c>
      <c r="D112" s="245">
        <v>0</v>
      </c>
      <c r="E112" s="246">
        <f t="shared" si="11"/>
        <v>0</v>
      </c>
      <c r="F112" s="245">
        <v>0</v>
      </c>
      <c r="G112" s="245">
        <v>0</v>
      </c>
      <c r="H112" s="238">
        <f t="shared" ref="H112:H122" si="12">F112-G112</f>
        <v>0</v>
      </c>
      <c r="I112" s="247">
        <v>0</v>
      </c>
      <c r="J112" s="247">
        <v>0</v>
      </c>
      <c r="K112" s="248">
        <v>0</v>
      </c>
    </row>
    <row r="113" spans="1:11">
      <c r="A113" s="250">
        <v>44733</v>
      </c>
      <c r="B113" s="245">
        <v>0</v>
      </c>
      <c r="C113" s="245">
        <v>0</v>
      </c>
      <c r="D113" s="245">
        <v>0</v>
      </c>
      <c r="E113" s="246">
        <f t="shared" si="11"/>
        <v>0</v>
      </c>
      <c r="F113" s="245">
        <v>0</v>
      </c>
      <c r="G113" s="245">
        <v>0</v>
      </c>
      <c r="H113" s="238">
        <f t="shared" si="12"/>
        <v>0</v>
      </c>
      <c r="I113" s="247">
        <v>0</v>
      </c>
      <c r="J113" s="247">
        <v>0</v>
      </c>
      <c r="K113" s="248">
        <v>0</v>
      </c>
    </row>
    <row r="114" spans="1:11">
      <c r="A114" s="250">
        <v>44763</v>
      </c>
      <c r="B114" s="245">
        <v>0</v>
      </c>
      <c r="C114" s="245">
        <v>0</v>
      </c>
      <c r="D114" s="245">
        <v>0</v>
      </c>
      <c r="E114" s="246">
        <f t="shared" si="11"/>
        <v>0</v>
      </c>
      <c r="F114" s="245">
        <v>0</v>
      </c>
      <c r="G114" s="245">
        <v>0</v>
      </c>
      <c r="H114" s="238">
        <f t="shared" si="12"/>
        <v>0</v>
      </c>
      <c r="I114" s="247">
        <v>0</v>
      </c>
      <c r="J114" s="247">
        <v>0</v>
      </c>
      <c r="K114" s="248">
        <v>0</v>
      </c>
    </row>
    <row r="115" spans="1:11">
      <c r="A115" s="250">
        <v>44794</v>
      </c>
      <c r="B115" s="245">
        <v>0</v>
      </c>
      <c r="C115" s="245">
        <v>0</v>
      </c>
      <c r="D115" s="245">
        <v>0</v>
      </c>
      <c r="E115" s="246">
        <f t="shared" si="11"/>
        <v>0</v>
      </c>
      <c r="F115" s="245">
        <v>0</v>
      </c>
      <c r="G115" s="245">
        <v>0</v>
      </c>
      <c r="H115" s="238">
        <f t="shared" si="12"/>
        <v>0</v>
      </c>
      <c r="I115" s="247">
        <v>0</v>
      </c>
      <c r="J115" s="247">
        <v>0</v>
      </c>
      <c r="K115" s="248">
        <v>0</v>
      </c>
    </row>
    <row r="116" spans="1:11">
      <c r="A116" s="250">
        <v>44825</v>
      </c>
      <c r="B116" s="245">
        <v>0</v>
      </c>
      <c r="C116" s="245">
        <v>0</v>
      </c>
      <c r="D116" s="245">
        <v>0</v>
      </c>
      <c r="E116" s="246">
        <f t="shared" si="11"/>
        <v>0</v>
      </c>
      <c r="F116" s="245">
        <v>0</v>
      </c>
      <c r="G116" s="245">
        <v>0</v>
      </c>
      <c r="H116" s="238">
        <f t="shared" si="12"/>
        <v>0</v>
      </c>
      <c r="I116" s="247">
        <v>0</v>
      </c>
      <c r="J116" s="247">
        <v>0</v>
      </c>
      <c r="K116" s="248">
        <v>0</v>
      </c>
    </row>
    <row r="117" spans="1:11">
      <c r="A117" s="250">
        <v>44855</v>
      </c>
      <c r="B117" s="245">
        <v>0</v>
      </c>
      <c r="C117" s="245">
        <v>0</v>
      </c>
      <c r="D117" s="245">
        <v>0</v>
      </c>
      <c r="E117" s="246">
        <f t="shared" si="11"/>
        <v>0</v>
      </c>
      <c r="F117" s="245">
        <v>0</v>
      </c>
      <c r="G117" s="245">
        <v>0</v>
      </c>
      <c r="H117" s="238">
        <f t="shared" si="12"/>
        <v>0</v>
      </c>
      <c r="I117" s="247">
        <v>0</v>
      </c>
      <c r="J117" s="247">
        <v>0</v>
      </c>
      <c r="K117" s="248">
        <v>0</v>
      </c>
    </row>
    <row r="118" spans="1:11">
      <c r="A118" s="250">
        <v>44886</v>
      </c>
      <c r="B118" s="245">
        <v>0</v>
      </c>
      <c r="C118" s="245">
        <v>0</v>
      </c>
      <c r="D118" s="245">
        <v>0</v>
      </c>
      <c r="E118" s="246">
        <f t="shared" si="11"/>
        <v>0</v>
      </c>
      <c r="F118" s="245">
        <v>0</v>
      </c>
      <c r="G118" s="245">
        <v>0</v>
      </c>
      <c r="H118" s="238">
        <f t="shared" si="12"/>
        <v>0</v>
      </c>
      <c r="I118" s="247">
        <v>0</v>
      </c>
      <c r="J118" s="247">
        <v>0</v>
      </c>
      <c r="K118" s="248">
        <v>0</v>
      </c>
    </row>
    <row r="119" spans="1:11">
      <c r="A119" s="250">
        <v>44916</v>
      </c>
      <c r="B119" s="245">
        <v>0</v>
      </c>
      <c r="C119" s="245">
        <v>0</v>
      </c>
      <c r="D119" s="245">
        <v>0</v>
      </c>
      <c r="E119" s="246">
        <f t="shared" si="11"/>
        <v>0</v>
      </c>
      <c r="F119" s="245">
        <v>0</v>
      </c>
      <c r="G119" s="245">
        <v>0</v>
      </c>
      <c r="H119" s="238">
        <f t="shared" si="12"/>
        <v>0</v>
      </c>
      <c r="I119" s="247">
        <v>0</v>
      </c>
      <c r="J119" s="247">
        <v>0</v>
      </c>
      <c r="K119" s="248">
        <v>0</v>
      </c>
    </row>
    <row r="120" spans="1:11">
      <c r="A120" s="250">
        <v>44947</v>
      </c>
      <c r="B120" s="245">
        <v>0</v>
      </c>
      <c r="C120" s="245">
        <v>0</v>
      </c>
      <c r="D120" s="245">
        <v>0</v>
      </c>
      <c r="E120" s="246">
        <f t="shared" si="11"/>
        <v>0</v>
      </c>
      <c r="F120" s="245">
        <v>0</v>
      </c>
      <c r="G120" s="245">
        <v>0</v>
      </c>
      <c r="H120" s="238">
        <f t="shared" si="12"/>
        <v>0</v>
      </c>
      <c r="I120" s="247">
        <v>0</v>
      </c>
      <c r="J120" s="247">
        <v>0</v>
      </c>
      <c r="K120" s="248">
        <v>0</v>
      </c>
    </row>
    <row r="121" spans="1:11">
      <c r="A121" s="250">
        <v>44978</v>
      </c>
      <c r="B121" s="245">
        <v>0</v>
      </c>
      <c r="C121" s="245">
        <v>0</v>
      </c>
      <c r="D121" s="245">
        <v>0</v>
      </c>
      <c r="E121" s="246">
        <f t="shared" si="11"/>
        <v>0</v>
      </c>
      <c r="F121" s="245">
        <v>0</v>
      </c>
      <c r="G121" s="245">
        <v>0</v>
      </c>
      <c r="H121" s="238">
        <f t="shared" si="12"/>
        <v>0</v>
      </c>
      <c r="I121" s="247">
        <v>0</v>
      </c>
      <c r="J121" s="247">
        <v>0</v>
      </c>
      <c r="K121" s="248">
        <v>0</v>
      </c>
    </row>
    <row r="122" spans="1:11" ht="13.5" thickBot="1">
      <c r="A122" s="250">
        <v>45006</v>
      </c>
      <c r="B122" s="245">
        <v>0</v>
      </c>
      <c r="C122" s="245">
        <v>0</v>
      </c>
      <c r="D122" s="245">
        <v>0</v>
      </c>
      <c r="E122" s="246">
        <f t="shared" si="11"/>
        <v>0</v>
      </c>
      <c r="F122" s="245">
        <v>0</v>
      </c>
      <c r="G122" s="245">
        <v>0</v>
      </c>
      <c r="H122" s="238">
        <f t="shared" si="12"/>
        <v>0</v>
      </c>
      <c r="I122" s="247">
        <v>0</v>
      </c>
      <c r="J122" s="247">
        <v>0</v>
      </c>
      <c r="K122" s="248">
        <v>0</v>
      </c>
    </row>
    <row r="123" spans="1:11" ht="13.5" thickBot="1">
      <c r="A123" s="214" t="s">
        <v>256</v>
      </c>
      <c r="B123" s="215">
        <f>AVERAGE(B111:B122)</f>
        <v>0</v>
      </c>
      <c r="C123" s="215">
        <f>AVERAGE(C111:C122)</f>
        <v>0</v>
      </c>
      <c r="D123" s="215">
        <f>AVERAGE(D111:D122)</f>
        <v>0</v>
      </c>
      <c r="E123" s="215"/>
      <c r="F123" s="215">
        <f>AVERAGE(F111:F122)</f>
        <v>0</v>
      </c>
      <c r="G123" s="215">
        <f>AVERAGE(G111:G122)</f>
        <v>0</v>
      </c>
      <c r="H123" s="215"/>
      <c r="I123" s="216"/>
      <c r="J123" s="217"/>
      <c r="K123" s="217"/>
    </row>
    <row r="124" spans="1:11">
      <c r="A124" s="578" t="s">
        <v>257</v>
      </c>
      <c r="B124" s="579"/>
      <c r="C124" s="579"/>
      <c r="D124" s="580"/>
      <c r="E124" s="218">
        <f>SUM(E111:E122)</f>
        <v>0</v>
      </c>
      <c r="F124" s="578" t="s">
        <v>258</v>
      </c>
      <c r="G124" s="580"/>
      <c r="H124" s="218">
        <f>SUM(H111:H122)</f>
        <v>0</v>
      </c>
      <c r="I124" s="219">
        <f>SUM(I111:I122)</f>
        <v>0</v>
      </c>
      <c r="J124" s="220">
        <f>SUM(J111:J122)</f>
        <v>0</v>
      </c>
      <c r="K124" s="220"/>
    </row>
    <row r="125" spans="1:11" ht="13.5" thickBot="1">
      <c r="A125" s="572" t="s">
        <v>256</v>
      </c>
      <c r="B125" s="573"/>
      <c r="C125" s="573"/>
      <c r="D125" s="574"/>
      <c r="E125" s="221">
        <f>AVERAGE(E111:E122)</f>
        <v>0</v>
      </c>
      <c r="F125" s="572" t="s">
        <v>259</v>
      </c>
      <c r="G125" s="574"/>
      <c r="H125" s="221">
        <f>AVERAGE(H111:H122)</f>
        <v>0</v>
      </c>
      <c r="I125" s="222"/>
      <c r="J125" s="221"/>
      <c r="K125" s="228"/>
    </row>
    <row r="126" spans="1:11" ht="13.5" thickBot="1">
      <c r="A126" s="575" t="s">
        <v>260</v>
      </c>
      <c r="B126" s="576"/>
      <c r="C126" s="576"/>
      <c r="D126" s="577"/>
      <c r="E126" s="221"/>
      <c r="F126" s="223">
        <f>SUM(F110:F122)</f>
        <v>0</v>
      </c>
      <c r="G126" s="223">
        <f>SUM(G110:G122)</f>
        <v>0</v>
      </c>
      <c r="H126" s="221"/>
      <c r="I126" s="222"/>
      <c r="J126" s="229"/>
      <c r="K126" s="230">
        <f>SUM(K110:K122)</f>
        <v>0</v>
      </c>
    </row>
    <row r="127" spans="1:11" ht="13.5" thickBot="1">
      <c r="A127" s="575" t="s">
        <v>261</v>
      </c>
      <c r="B127" s="576"/>
      <c r="C127" s="576"/>
      <c r="D127" s="577"/>
      <c r="E127" s="221"/>
      <c r="F127" s="223">
        <f>F126-K126</f>
        <v>0</v>
      </c>
      <c r="G127" s="223"/>
      <c r="H127" s="221"/>
      <c r="I127" s="222"/>
      <c r="J127" s="229"/>
      <c r="K127" s="230"/>
    </row>
  </sheetData>
  <mergeCells count="51">
    <mergeCell ref="A127:D127"/>
    <mergeCell ref="B108:H108"/>
    <mergeCell ref="A124:D124"/>
    <mergeCell ref="F124:G124"/>
    <mergeCell ref="A125:D125"/>
    <mergeCell ref="F125:G125"/>
    <mergeCell ref="A126:D126"/>
    <mergeCell ref="B107:H107"/>
    <mergeCell ref="B80:H80"/>
    <mergeCell ref="B81:H81"/>
    <mergeCell ref="B82:H82"/>
    <mergeCell ref="A98:D98"/>
    <mergeCell ref="F98:G98"/>
    <mergeCell ref="A99:D99"/>
    <mergeCell ref="F99:G99"/>
    <mergeCell ref="A100:D100"/>
    <mergeCell ref="A101:D101"/>
    <mergeCell ref="B104:H104"/>
    <mergeCell ref="B105:H105"/>
    <mergeCell ref="B106:H106"/>
    <mergeCell ref="B79:H79"/>
    <mergeCell ref="B52:H52"/>
    <mergeCell ref="B53:H53"/>
    <mergeCell ref="B54:H54"/>
    <mergeCell ref="B55:H55"/>
    <mergeCell ref="B56:H56"/>
    <mergeCell ref="A72:D72"/>
    <mergeCell ref="F72:G72"/>
    <mergeCell ref="A73:D73"/>
    <mergeCell ref="F73:G73"/>
    <mergeCell ref="A74:D74"/>
    <mergeCell ref="A75:D75"/>
    <mergeCell ref="B78:H78"/>
    <mergeCell ref="A47:D47"/>
    <mergeCell ref="A21:D21"/>
    <mergeCell ref="B24:H24"/>
    <mergeCell ref="B25:H25"/>
    <mergeCell ref="B26:H26"/>
    <mergeCell ref="B27:H27"/>
    <mergeCell ref="B28:H28"/>
    <mergeCell ref="A44:D44"/>
    <mergeCell ref="F44:G44"/>
    <mergeCell ref="A45:D45"/>
    <mergeCell ref="F45:G45"/>
    <mergeCell ref="A46:D46"/>
    <mergeCell ref="A20:D20"/>
    <mergeCell ref="A2:H2"/>
    <mergeCell ref="A18:D18"/>
    <mergeCell ref="F18:G18"/>
    <mergeCell ref="A19:D19"/>
    <mergeCell ref="F19:G1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workbookViewId="0">
      <selection activeCell="C10" sqref="C10"/>
    </sheetView>
  </sheetViews>
  <sheetFormatPr defaultColWidth="16" defaultRowHeight="15"/>
  <cols>
    <col min="1" max="1" width="8.7109375" customWidth="1"/>
    <col min="2" max="2" width="27.28515625" customWidth="1"/>
    <col min="3" max="3" width="19.42578125" customWidth="1"/>
    <col min="4" max="4" width="21" customWidth="1"/>
  </cols>
  <sheetData>
    <row r="2" spans="2:4">
      <c r="B2" s="121" t="s">
        <v>744</v>
      </c>
      <c r="C2" s="122"/>
      <c r="D2" s="123"/>
    </row>
    <row r="3" spans="2:4" ht="26.25">
      <c r="B3" s="108" t="s">
        <v>148</v>
      </c>
      <c r="C3" s="109" t="s">
        <v>166</v>
      </c>
      <c r="D3" s="109" t="s">
        <v>165</v>
      </c>
    </row>
    <row r="4" spans="2:4">
      <c r="B4" s="110" t="s">
        <v>149</v>
      </c>
      <c r="C4" s="493">
        <v>0</v>
      </c>
      <c r="D4" s="493">
        <v>0</v>
      </c>
    </row>
    <row r="5" spans="2:4">
      <c r="B5" s="110" t="s">
        <v>150</v>
      </c>
      <c r="C5" s="493">
        <f>C4*18%</f>
        <v>0</v>
      </c>
      <c r="D5" s="493">
        <f>D4*18%</f>
        <v>0</v>
      </c>
    </row>
    <row r="6" spans="2:4">
      <c r="B6" s="110" t="s">
        <v>151</v>
      </c>
      <c r="C6" s="493">
        <f>C4*10%</f>
        <v>0</v>
      </c>
      <c r="D6" s="493">
        <f>D4*10%</f>
        <v>0</v>
      </c>
    </row>
    <row r="7" spans="2:4">
      <c r="B7" s="110" t="s">
        <v>152</v>
      </c>
      <c r="C7" s="493">
        <f>C4+C5-C6</f>
        <v>0</v>
      </c>
      <c r="D7" s="493">
        <f>D4+D5-D6</f>
        <v>0</v>
      </c>
    </row>
    <row r="8" spans="2:4">
      <c r="B8" s="111" t="s">
        <v>153</v>
      </c>
      <c r="C8" s="494">
        <f>C4-C6</f>
        <v>0</v>
      </c>
      <c r="D8" s="494">
        <f>D4-D6</f>
        <v>0</v>
      </c>
    </row>
    <row r="9" spans="2:4">
      <c r="B9" s="113" t="s">
        <v>154</v>
      </c>
      <c r="C9" s="495">
        <v>100</v>
      </c>
      <c r="D9" s="495">
        <v>0</v>
      </c>
    </row>
    <row r="10" spans="2:4">
      <c r="B10" s="114" t="s">
        <v>155</v>
      </c>
      <c r="C10" s="110">
        <v>12</v>
      </c>
      <c r="D10" s="110">
        <v>12</v>
      </c>
    </row>
    <row r="11" spans="2:4">
      <c r="B11" s="114" t="s">
        <v>185</v>
      </c>
      <c r="C11" s="115">
        <v>0.1</v>
      </c>
      <c r="D11" s="115">
        <f>+C11</f>
        <v>0.1</v>
      </c>
    </row>
    <row r="12" spans="2:4">
      <c r="B12" s="114" t="s">
        <v>156</v>
      </c>
      <c r="C12" s="112">
        <f>PMT(C11/12,C10*12,-100000,0)</f>
        <v>1195.0782628273339</v>
      </c>
      <c r="D12" s="112">
        <f>PMT(D11/12,D10*12,-100000,0)</f>
        <v>1195.0782628273339</v>
      </c>
    </row>
    <row r="13" spans="2:4">
      <c r="B13" s="114" t="s">
        <v>157</v>
      </c>
      <c r="C13" s="112">
        <f>+(C12*C9)+1</f>
        <v>119508.8262827334</v>
      </c>
      <c r="D13" s="112">
        <f>+(D12*D9)+1</f>
        <v>1</v>
      </c>
    </row>
    <row r="14" spans="2:4">
      <c r="B14" s="114" t="s">
        <v>158</v>
      </c>
      <c r="C14" s="112">
        <f>+'Loan Details'!O5</f>
        <v>22900</v>
      </c>
      <c r="D14" s="112">
        <f>+'Loan Details'!O5</f>
        <v>22900</v>
      </c>
    </row>
    <row r="15" spans="2:4">
      <c r="B15" s="116" t="s">
        <v>159</v>
      </c>
      <c r="C15" s="117">
        <f>+C13+C14</f>
        <v>142408.82628273341</v>
      </c>
      <c r="D15" s="117">
        <f>+D13+D14</f>
        <v>22901</v>
      </c>
    </row>
    <row r="16" spans="2:4">
      <c r="B16" s="114" t="s">
        <v>160</v>
      </c>
      <c r="C16" s="110">
        <f>+'Property Details'!D13/100000</f>
        <v>0</v>
      </c>
      <c r="D16" s="110"/>
    </row>
    <row r="17" spans="2:4">
      <c r="B17" s="118" t="s">
        <v>161</v>
      </c>
      <c r="C17" s="119" t="e">
        <f>C9/C16</f>
        <v>#DIV/0!</v>
      </c>
      <c r="D17" s="119" t="e">
        <f>D9/D16</f>
        <v>#DIV/0!</v>
      </c>
    </row>
    <row r="18" spans="2:4">
      <c r="B18" s="114" t="s">
        <v>162</v>
      </c>
      <c r="C18" s="120">
        <f>+C8-C15</f>
        <v>-142408.82628273341</v>
      </c>
      <c r="D18" s="120">
        <f>+D8-D15</f>
        <v>-22901</v>
      </c>
    </row>
    <row r="19" spans="2:4">
      <c r="B19" s="118" t="s">
        <v>163</v>
      </c>
      <c r="C19" s="119" t="e">
        <f>+C15/C8</f>
        <v>#DIV/0!</v>
      </c>
      <c r="D19" s="119" t="e">
        <f>+D15/D8</f>
        <v>#DIV/0!</v>
      </c>
    </row>
    <row r="20" spans="2:4">
      <c r="B20" s="118" t="s">
        <v>164</v>
      </c>
      <c r="C20" s="119" t="e">
        <f>+C15/C7</f>
        <v>#DIV/0!</v>
      </c>
      <c r="D20" s="119" t="e">
        <f>+D15/D7</f>
        <v>#DIV/0!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2"/>
  <sheetViews>
    <sheetView workbookViewId="0">
      <selection activeCell="B11" sqref="B11"/>
    </sheetView>
  </sheetViews>
  <sheetFormatPr defaultColWidth="8.7109375" defaultRowHeight="15"/>
  <cols>
    <col min="1" max="1" width="4.7109375" style="126" customWidth="1"/>
    <col min="2" max="2" width="23.42578125" style="126" customWidth="1"/>
    <col min="3" max="3" width="12.5703125" style="126" bestFit="1" customWidth="1"/>
    <col min="4" max="4" width="15.42578125" style="126" bestFit="1" customWidth="1"/>
    <col min="5" max="5" width="12.5703125" style="126" bestFit="1" customWidth="1"/>
    <col min="6" max="6" width="15.42578125" style="126" bestFit="1" customWidth="1"/>
    <col min="7" max="7" width="14.28515625" style="126" bestFit="1" customWidth="1"/>
    <col min="8" max="8" width="15.42578125" style="126" bestFit="1" customWidth="1"/>
    <col min="9" max="9" width="12.5703125" style="126" bestFit="1" customWidth="1"/>
    <col min="10" max="10" width="17" style="126" customWidth="1"/>
    <col min="11" max="16384" width="8.7109375" style="126"/>
  </cols>
  <sheetData>
    <row r="1" spans="2:7" ht="15.75" thickBot="1"/>
    <row r="2" spans="2:7" ht="15.75" thickBot="1">
      <c r="B2" s="583" t="s">
        <v>186</v>
      </c>
      <c r="C2" s="584"/>
      <c r="D2" s="584"/>
      <c r="E2" s="584"/>
      <c r="F2" s="584"/>
      <c r="G2" s="281" t="s">
        <v>452</v>
      </c>
    </row>
    <row r="3" spans="2:7">
      <c r="B3" s="285" t="s">
        <v>187</v>
      </c>
      <c r="C3" s="288"/>
      <c r="D3" s="290"/>
      <c r="E3" s="290"/>
      <c r="F3" s="290"/>
      <c r="G3" s="331"/>
    </row>
    <row r="4" spans="2:7">
      <c r="B4" s="280" t="s">
        <v>201</v>
      </c>
      <c r="C4" s="289"/>
      <c r="D4" s="291"/>
      <c r="E4" s="291"/>
      <c r="F4" s="291"/>
      <c r="G4" s="332"/>
    </row>
    <row r="5" spans="2:7" ht="30">
      <c r="B5" s="280" t="s">
        <v>205</v>
      </c>
      <c r="C5" s="289"/>
      <c r="D5" s="291"/>
      <c r="E5" s="291"/>
      <c r="F5" s="291"/>
      <c r="G5" s="332"/>
    </row>
    <row r="6" spans="2:7">
      <c r="B6" s="280" t="s">
        <v>454</v>
      </c>
      <c r="C6" s="289"/>
      <c r="D6" s="291"/>
      <c r="E6" s="291"/>
      <c r="F6" s="291"/>
      <c r="G6" s="332"/>
    </row>
    <row r="7" spans="2:7" ht="30">
      <c r="B7" s="280" t="s">
        <v>199</v>
      </c>
      <c r="C7" s="289"/>
      <c r="D7" s="291"/>
      <c r="E7" s="291"/>
      <c r="F7" s="291"/>
      <c r="G7" s="332"/>
    </row>
    <row r="8" spans="2:7">
      <c r="B8" s="286" t="s">
        <v>191</v>
      </c>
      <c r="C8" s="289"/>
      <c r="D8" s="291"/>
      <c r="E8" s="291"/>
      <c r="F8" s="291"/>
      <c r="G8" s="332"/>
    </row>
    <row r="9" spans="2:7">
      <c r="B9" s="286" t="s">
        <v>192</v>
      </c>
      <c r="C9" s="289"/>
      <c r="D9" s="291"/>
      <c r="E9" s="291"/>
      <c r="F9" s="291"/>
      <c r="G9" s="332"/>
    </row>
    <row r="10" spans="2:7">
      <c r="B10" s="287" t="s">
        <v>194</v>
      </c>
      <c r="C10" s="289"/>
      <c r="D10" s="291"/>
      <c r="E10" s="291"/>
      <c r="F10" s="291"/>
      <c r="G10" s="332"/>
    </row>
    <row r="11" spans="2:7">
      <c r="B11" s="287" t="s">
        <v>190</v>
      </c>
      <c r="C11" s="289"/>
      <c r="D11" s="291"/>
      <c r="E11" s="291"/>
      <c r="F11" s="291"/>
      <c r="G11" s="334">
        <f>SUM(C11:F11)</f>
        <v>0</v>
      </c>
    </row>
    <row r="12" spans="2:7">
      <c r="B12" s="287" t="s">
        <v>195</v>
      </c>
      <c r="C12" s="289"/>
      <c r="D12" s="291"/>
      <c r="E12" s="291"/>
      <c r="F12" s="291"/>
      <c r="G12" s="334">
        <f t="shared" ref="G12:G16" si="0">SUM(C12:F12)</f>
        <v>0</v>
      </c>
    </row>
    <row r="13" spans="2:7">
      <c r="B13" s="287" t="s">
        <v>196</v>
      </c>
      <c r="C13" s="282"/>
      <c r="D13" s="291"/>
      <c r="E13" s="291"/>
      <c r="F13" s="291"/>
      <c r="G13" s="334">
        <f t="shared" si="0"/>
        <v>0</v>
      </c>
    </row>
    <row r="14" spans="2:7" s="129" customFormat="1">
      <c r="B14" s="287" t="s">
        <v>197</v>
      </c>
      <c r="C14" s="283"/>
      <c r="D14" s="292"/>
      <c r="E14" s="292"/>
      <c r="F14" s="292"/>
      <c r="G14" s="334">
        <f t="shared" si="0"/>
        <v>0</v>
      </c>
    </row>
    <row r="15" spans="2:7" s="129" customFormat="1">
      <c r="B15" s="286" t="s">
        <v>198</v>
      </c>
      <c r="C15" s="283"/>
      <c r="D15" s="292"/>
      <c r="E15" s="292"/>
      <c r="F15" s="292"/>
      <c r="G15" s="334">
        <f t="shared" si="0"/>
        <v>0</v>
      </c>
    </row>
    <row r="16" spans="2:7">
      <c r="B16" s="286" t="s">
        <v>189</v>
      </c>
      <c r="C16" s="282"/>
      <c r="D16" s="291"/>
      <c r="E16" s="291"/>
      <c r="F16" s="291"/>
      <c r="G16" s="334">
        <f t="shared" si="0"/>
        <v>0</v>
      </c>
    </row>
    <row r="17" spans="2:10" ht="15.75" thickBot="1">
      <c r="B17" s="286" t="s">
        <v>202</v>
      </c>
      <c r="C17" s="284"/>
      <c r="D17" s="293"/>
      <c r="E17" s="293"/>
      <c r="F17" s="293"/>
      <c r="G17" s="333"/>
    </row>
    <row r="19" spans="2:10">
      <c r="B19" s="585" t="s">
        <v>203</v>
      </c>
      <c r="C19" s="581" t="s">
        <v>204</v>
      </c>
      <c r="D19" s="582"/>
      <c r="E19" s="581" t="s">
        <v>204</v>
      </c>
      <c r="F19" s="582"/>
      <c r="G19" s="581" t="s">
        <v>204</v>
      </c>
      <c r="H19" s="582"/>
      <c r="I19" s="581" t="s">
        <v>204</v>
      </c>
      <c r="J19" s="582"/>
    </row>
    <row r="20" spans="2:10" ht="30">
      <c r="B20" s="585"/>
      <c r="C20" s="128" t="s">
        <v>206</v>
      </c>
      <c r="D20" s="128" t="s">
        <v>207</v>
      </c>
      <c r="E20" s="128" t="s">
        <v>206</v>
      </c>
      <c r="F20" s="128" t="s">
        <v>207</v>
      </c>
      <c r="G20" s="128" t="s">
        <v>206</v>
      </c>
      <c r="H20" s="128" t="s">
        <v>207</v>
      </c>
      <c r="I20" s="128" t="s">
        <v>206</v>
      </c>
      <c r="J20" s="128" t="s">
        <v>207</v>
      </c>
    </row>
    <row r="21" spans="2:10">
      <c r="B21" s="133">
        <v>44673</v>
      </c>
      <c r="C21" s="130"/>
      <c r="D21" s="132"/>
      <c r="E21" s="130"/>
      <c r="F21" s="132"/>
      <c r="G21" s="130"/>
      <c r="H21" s="132"/>
      <c r="I21" s="130"/>
      <c r="J21" s="132"/>
    </row>
    <row r="22" spans="2:10">
      <c r="B22" s="133">
        <v>44703</v>
      </c>
      <c r="C22" s="130"/>
      <c r="D22" s="132"/>
      <c r="E22" s="130"/>
      <c r="F22" s="132"/>
      <c r="G22" s="130"/>
      <c r="H22" s="132"/>
      <c r="I22" s="130"/>
      <c r="J22" s="132"/>
    </row>
    <row r="23" spans="2:10">
      <c r="B23" s="133">
        <v>44734</v>
      </c>
      <c r="C23" s="130"/>
      <c r="D23" s="132"/>
      <c r="E23" s="130"/>
      <c r="F23" s="132"/>
      <c r="G23" s="130"/>
      <c r="H23" s="132"/>
      <c r="I23" s="130"/>
      <c r="J23" s="132"/>
    </row>
    <row r="24" spans="2:10">
      <c r="B24" s="133">
        <v>44764</v>
      </c>
      <c r="C24" s="130"/>
      <c r="D24" s="132"/>
      <c r="E24" s="130"/>
      <c r="F24" s="132"/>
      <c r="G24" s="130"/>
      <c r="H24" s="132"/>
      <c r="I24" s="130"/>
      <c r="J24" s="132"/>
    </row>
    <row r="25" spans="2:10">
      <c r="B25" s="133">
        <v>44795</v>
      </c>
      <c r="C25" s="130"/>
      <c r="D25" s="132"/>
      <c r="E25" s="130"/>
      <c r="F25" s="132"/>
      <c r="G25" s="130"/>
      <c r="H25" s="132"/>
      <c r="I25" s="130"/>
      <c r="J25" s="132"/>
    </row>
    <row r="26" spans="2:10">
      <c r="B26" s="133">
        <v>44826</v>
      </c>
      <c r="C26" s="130"/>
      <c r="D26" s="132"/>
      <c r="E26" s="130"/>
      <c r="F26" s="132"/>
      <c r="G26" s="130"/>
      <c r="H26" s="132"/>
      <c r="I26" s="130"/>
      <c r="J26" s="132"/>
    </row>
    <row r="27" spans="2:10">
      <c r="B27" s="133">
        <v>44856</v>
      </c>
      <c r="C27" s="130"/>
      <c r="D27" s="132"/>
      <c r="E27" s="130"/>
      <c r="F27" s="132"/>
      <c r="G27" s="130"/>
      <c r="H27" s="132"/>
      <c r="I27" s="130"/>
      <c r="J27" s="132"/>
    </row>
    <row r="28" spans="2:10">
      <c r="B28" s="133">
        <v>44887</v>
      </c>
      <c r="C28" s="130"/>
      <c r="D28" s="132"/>
      <c r="E28" s="130"/>
      <c r="F28" s="132"/>
      <c r="G28" s="130"/>
      <c r="H28" s="132"/>
      <c r="I28" s="130"/>
      <c r="J28" s="132"/>
    </row>
    <row r="29" spans="2:10">
      <c r="B29" s="133">
        <v>44917</v>
      </c>
      <c r="C29" s="130"/>
      <c r="D29" s="132"/>
      <c r="E29" s="130"/>
      <c r="F29" s="132"/>
      <c r="G29" s="130"/>
      <c r="H29" s="132"/>
      <c r="I29" s="130"/>
      <c r="J29" s="132"/>
    </row>
    <row r="30" spans="2:10">
      <c r="B30" s="133">
        <v>44948</v>
      </c>
      <c r="C30" s="130"/>
      <c r="D30" s="132"/>
      <c r="E30" s="130"/>
      <c r="F30" s="132"/>
      <c r="G30" s="130"/>
      <c r="H30" s="132"/>
      <c r="I30" s="130"/>
      <c r="J30" s="132"/>
    </row>
    <row r="31" spans="2:10">
      <c r="B31" s="133">
        <v>44979</v>
      </c>
      <c r="C31" s="130"/>
      <c r="D31" s="132"/>
      <c r="E31" s="130"/>
      <c r="F31" s="132"/>
      <c r="G31" s="130"/>
      <c r="H31" s="132"/>
      <c r="I31" s="130"/>
      <c r="J31" s="132"/>
    </row>
    <row r="32" spans="2:10">
      <c r="B32" s="126" t="s">
        <v>208</v>
      </c>
    </row>
  </sheetData>
  <mergeCells count="6">
    <mergeCell ref="I19:J19"/>
    <mergeCell ref="B2:F2"/>
    <mergeCell ref="B19:B20"/>
    <mergeCell ref="C19:D19"/>
    <mergeCell ref="E19:F19"/>
    <mergeCell ref="G19:H1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election activeCell="C26" sqref="C26"/>
    </sheetView>
  </sheetViews>
  <sheetFormatPr defaultColWidth="8.7109375" defaultRowHeight="14.25"/>
  <cols>
    <col min="1" max="1" width="8.7109375" style="5"/>
    <col min="2" max="2" width="40.28515625" style="5" bestFit="1" customWidth="1"/>
    <col min="3" max="3" width="17.28515625" style="5" customWidth="1"/>
    <col min="4" max="4" width="20" style="5" customWidth="1"/>
    <col min="5" max="5" width="24" style="5" customWidth="1"/>
    <col min="6" max="6" width="19.28515625" style="5" customWidth="1"/>
    <col min="7" max="16384" width="8.7109375" style="5"/>
  </cols>
  <sheetData>
    <row r="1" spans="2:4" ht="15" thickBot="1"/>
    <row r="2" spans="2:4">
      <c r="B2" s="294" t="s">
        <v>148</v>
      </c>
      <c r="C2" s="302" t="s">
        <v>168</v>
      </c>
      <c r="D2" s="302" t="s">
        <v>169</v>
      </c>
    </row>
    <row r="3" spans="2:4">
      <c r="B3" s="295" t="s">
        <v>176</v>
      </c>
      <c r="C3" s="303"/>
      <c r="D3" s="303"/>
    </row>
    <row r="4" spans="2:4">
      <c r="B4" s="295" t="s">
        <v>174</v>
      </c>
      <c r="C4" s="303"/>
      <c r="D4" s="303"/>
    </row>
    <row r="5" spans="2:4">
      <c r="B5" s="295" t="s">
        <v>171</v>
      </c>
      <c r="C5" s="303"/>
      <c r="D5" s="303"/>
    </row>
    <row r="6" spans="2:4">
      <c r="B6" s="295" t="s">
        <v>172</v>
      </c>
      <c r="C6" s="303"/>
      <c r="D6" s="303"/>
    </row>
    <row r="7" spans="2:4">
      <c r="B7" s="295" t="s">
        <v>173</v>
      </c>
      <c r="C7" s="303"/>
      <c r="D7" s="303"/>
    </row>
    <row r="8" spans="2:4">
      <c r="B8" s="295" t="s">
        <v>179</v>
      </c>
      <c r="C8" s="303"/>
      <c r="D8" s="303"/>
    </row>
    <row r="9" spans="2:4" ht="15" thickBot="1">
      <c r="B9" s="313" t="s">
        <v>180</v>
      </c>
      <c r="C9" s="314">
        <f>60-C8</f>
        <v>60</v>
      </c>
      <c r="D9" s="314">
        <f>60-D8</f>
        <v>60</v>
      </c>
    </row>
    <row r="10" spans="2:4" ht="15" thickBot="1">
      <c r="B10" s="316" t="s">
        <v>175</v>
      </c>
      <c r="C10" s="317"/>
      <c r="D10" s="317"/>
    </row>
    <row r="11" spans="2:4">
      <c r="B11" s="296">
        <v>44764</v>
      </c>
      <c r="C11" s="315">
        <v>0</v>
      </c>
      <c r="D11" s="315"/>
    </row>
    <row r="12" spans="2:4">
      <c r="B12" s="297">
        <v>44795</v>
      </c>
      <c r="C12" s="304">
        <v>0</v>
      </c>
      <c r="D12" s="304"/>
    </row>
    <row r="13" spans="2:4" ht="15" thickBot="1">
      <c r="B13" s="318">
        <v>44826</v>
      </c>
      <c r="C13" s="319">
        <v>0</v>
      </c>
      <c r="D13" s="319"/>
    </row>
    <row r="14" spans="2:4" ht="15" thickBot="1">
      <c r="B14" s="321" t="s">
        <v>181</v>
      </c>
      <c r="C14" s="322">
        <f>SUM(C11:C13)</f>
        <v>0</v>
      </c>
      <c r="D14" s="322">
        <f>SUM(D11:D13)</f>
        <v>0</v>
      </c>
    </row>
    <row r="15" spans="2:4">
      <c r="B15" s="320" t="s">
        <v>170</v>
      </c>
      <c r="C15" s="315">
        <f>C14/3</f>
        <v>0</v>
      </c>
      <c r="D15" s="315">
        <f>D14/3</f>
        <v>0</v>
      </c>
    </row>
    <row r="16" spans="2:4">
      <c r="B16" s="295" t="s">
        <v>182</v>
      </c>
      <c r="C16" s="304">
        <v>0</v>
      </c>
      <c r="D16" s="304">
        <v>0</v>
      </c>
    </row>
    <row r="17" spans="2:4">
      <c r="B17" s="298" t="s">
        <v>177</v>
      </c>
      <c r="C17" s="305">
        <f>SUM(C15:D16)</f>
        <v>0</v>
      </c>
      <c r="D17" s="304"/>
    </row>
    <row r="18" spans="2:4">
      <c r="B18" s="298" t="s">
        <v>451</v>
      </c>
      <c r="C18" s="306">
        <f>+'Rent Agreements'!G16</f>
        <v>0</v>
      </c>
      <c r="D18" s="304"/>
    </row>
    <row r="19" spans="2:4">
      <c r="B19" s="299" t="s">
        <v>178</v>
      </c>
      <c r="C19" s="307">
        <f>C17+C18</f>
        <v>0</v>
      </c>
      <c r="D19" s="304"/>
    </row>
    <row r="20" spans="2:4">
      <c r="B20" s="300" t="s">
        <v>154</v>
      </c>
      <c r="C20" s="308">
        <v>0</v>
      </c>
      <c r="D20" s="303"/>
    </row>
    <row r="21" spans="2:4">
      <c r="B21" s="301" t="s">
        <v>155</v>
      </c>
      <c r="C21" s="309">
        <v>12</v>
      </c>
      <c r="D21" s="303"/>
    </row>
    <row r="22" spans="2:4">
      <c r="B22" s="301" t="s">
        <v>185</v>
      </c>
      <c r="C22" s="310">
        <v>0.1</v>
      </c>
      <c r="D22" s="303"/>
    </row>
    <row r="23" spans="2:4">
      <c r="B23" s="301" t="s">
        <v>156</v>
      </c>
      <c r="C23" s="311">
        <f>PMT(C22/12,C21*12,-100000,0)</f>
        <v>1195.0782628273339</v>
      </c>
      <c r="D23" s="303"/>
    </row>
    <row r="24" spans="2:4">
      <c r="B24" s="301" t="s">
        <v>157</v>
      </c>
      <c r="C24" s="311">
        <f>+(C23*C20)+1</f>
        <v>1</v>
      </c>
      <c r="D24" s="303"/>
    </row>
    <row r="25" spans="2:4">
      <c r="B25" s="301" t="s">
        <v>184</v>
      </c>
      <c r="C25" s="311">
        <f>+'Loan Details'!O5</f>
        <v>22900</v>
      </c>
      <c r="D25" s="303"/>
    </row>
    <row r="26" spans="2:4" ht="15" thickBot="1">
      <c r="B26" s="323" t="s">
        <v>159</v>
      </c>
      <c r="C26" s="324">
        <f>+C24+C25</f>
        <v>22901</v>
      </c>
      <c r="D26" s="303"/>
    </row>
    <row r="27" spans="2:4" ht="15" thickBot="1">
      <c r="B27" s="325" t="s">
        <v>183</v>
      </c>
      <c r="C27" s="326" t="e">
        <f>C26/C19</f>
        <v>#DIV/0!</v>
      </c>
      <c r="D27" s="303"/>
    </row>
    <row r="28" spans="2:4" ht="15" thickBot="1">
      <c r="B28" s="327" t="s">
        <v>160</v>
      </c>
      <c r="C28" s="328">
        <f>+'Property Details'!D13/100000</f>
        <v>0</v>
      </c>
      <c r="D28" s="303"/>
    </row>
    <row r="29" spans="2:4" ht="15" thickBot="1">
      <c r="B29" s="329" t="s">
        <v>161</v>
      </c>
      <c r="C29" s="330" t="e">
        <f>C20/C28</f>
        <v>#DIV/0!</v>
      </c>
      <c r="D29" s="31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7" sqref="A7"/>
    </sheetView>
  </sheetViews>
  <sheetFormatPr defaultRowHeight="15"/>
  <cols>
    <col min="1" max="1" width="39.85546875" customWidth="1"/>
    <col min="2" max="2" width="29.5703125" customWidth="1"/>
    <col min="3" max="3" width="38.7109375" customWidth="1"/>
  </cols>
  <sheetData>
    <row r="1" spans="1:3" ht="15.75" thickBot="1"/>
    <row r="2" spans="1:3" ht="30">
      <c r="A2" s="590" t="s">
        <v>691</v>
      </c>
      <c r="B2" s="428" t="s">
        <v>692</v>
      </c>
      <c r="C2" s="428" t="s">
        <v>694</v>
      </c>
    </row>
    <row r="3" spans="1:3" ht="30.75" thickBot="1">
      <c r="A3" s="591"/>
      <c r="B3" s="429" t="s">
        <v>693</v>
      </c>
      <c r="C3" s="430" t="s">
        <v>695</v>
      </c>
    </row>
    <row r="4" spans="1:3">
      <c r="A4" s="586" t="s">
        <v>696</v>
      </c>
      <c r="B4" s="432"/>
      <c r="C4" s="434"/>
    </row>
    <row r="5" spans="1:3" ht="15.75" thickBot="1">
      <c r="A5" s="587"/>
      <c r="B5" s="433"/>
      <c r="C5" s="430"/>
    </row>
    <row r="6" spans="1:3" ht="15.75" thickBot="1">
      <c r="A6" s="435" t="s">
        <v>697</v>
      </c>
      <c r="B6" s="430" t="s">
        <v>450</v>
      </c>
      <c r="C6" s="430" t="s">
        <v>698</v>
      </c>
    </row>
    <row r="7" spans="1:3" ht="30.75" thickBot="1">
      <c r="A7" s="435" t="s">
        <v>699</v>
      </c>
      <c r="B7" s="430"/>
      <c r="C7" s="430"/>
    </row>
    <row r="8" spans="1:3">
      <c r="A8" s="586" t="s">
        <v>700</v>
      </c>
      <c r="B8" s="432"/>
      <c r="C8" s="434"/>
    </row>
    <row r="9" spans="1:3">
      <c r="A9" s="592"/>
      <c r="B9" s="432"/>
      <c r="C9" s="434"/>
    </row>
    <row r="10" spans="1:3">
      <c r="A10" s="592"/>
      <c r="B10" s="436"/>
      <c r="C10" s="434"/>
    </row>
    <row r="11" spans="1:3" ht="15.75" thickBot="1">
      <c r="A11" s="587"/>
      <c r="B11" s="437"/>
      <c r="C11" s="430"/>
    </row>
    <row r="12" spans="1:3">
      <c r="A12" s="586" t="s">
        <v>701</v>
      </c>
      <c r="B12" s="432"/>
      <c r="C12" s="434"/>
    </row>
    <row r="13" spans="1:3" ht="15.75" thickBot="1">
      <c r="A13" s="587"/>
      <c r="B13" s="433"/>
      <c r="C13" s="430"/>
    </row>
    <row r="14" spans="1:3" ht="30.75" thickBot="1">
      <c r="A14" s="435" t="s">
        <v>702</v>
      </c>
      <c r="B14" s="430"/>
      <c r="C14" s="430"/>
    </row>
    <row r="15" spans="1:3" ht="30">
      <c r="A15" s="431" t="s">
        <v>703</v>
      </c>
      <c r="B15" s="588"/>
      <c r="C15" s="588"/>
    </row>
    <row r="16" spans="1:3" ht="15.75" thickBot="1">
      <c r="A16" s="435" t="s">
        <v>704</v>
      </c>
      <c r="B16" s="589"/>
      <c r="C16" s="589"/>
    </row>
    <row r="17" spans="1:3">
      <c r="A17" s="586" t="s">
        <v>705</v>
      </c>
      <c r="B17" s="432"/>
      <c r="C17" s="588"/>
    </row>
    <row r="18" spans="1:3" ht="15.75" thickBot="1">
      <c r="A18" s="587"/>
      <c r="B18" s="433"/>
      <c r="C18" s="589"/>
    </row>
    <row r="19" spans="1:3">
      <c r="A19" s="586" t="s">
        <v>706</v>
      </c>
      <c r="B19" s="432"/>
      <c r="C19" s="434"/>
    </row>
    <row r="20" spans="1:3" ht="15.75" thickBot="1">
      <c r="A20" s="587"/>
      <c r="B20" s="433"/>
      <c r="C20" s="430"/>
    </row>
    <row r="21" spans="1:3" ht="30.75" thickBot="1">
      <c r="A21" s="435" t="s">
        <v>707</v>
      </c>
      <c r="B21" s="430"/>
      <c r="C21" s="430"/>
    </row>
    <row r="22" spans="1:3" ht="30.75" thickBot="1">
      <c r="A22" s="435" t="s">
        <v>708</v>
      </c>
      <c r="B22" s="430"/>
      <c r="C22" s="430"/>
    </row>
  </sheetData>
  <mergeCells count="9">
    <mergeCell ref="A17:A18"/>
    <mergeCell ref="C17:C18"/>
    <mergeCell ref="A19:A20"/>
    <mergeCell ref="A2:A3"/>
    <mergeCell ref="A4:A5"/>
    <mergeCell ref="A8:A11"/>
    <mergeCell ref="A12:A13"/>
    <mergeCell ref="B15:B16"/>
    <mergeCell ref="C15:C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workbookViewId="0">
      <selection activeCell="C19" sqref="C19"/>
    </sheetView>
  </sheetViews>
  <sheetFormatPr defaultColWidth="8.7109375" defaultRowHeight="15"/>
  <cols>
    <col min="1" max="1" width="8.7109375" style="126"/>
    <col min="2" max="2" width="6.42578125" style="126" bestFit="1" customWidth="1"/>
    <col min="3" max="3" width="37.140625" style="126" customWidth="1"/>
    <col min="4" max="4" width="18.28515625" style="126" bestFit="1" customWidth="1"/>
    <col min="5" max="5" width="15.5703125" style="126" bestFit="1" customWidth="1"/>
    <col min="6" max="6" width="16.7109375" style="126" customWidth="1"/>
    <col min="7" max="7" width="11.7109375" style="126" bestFit="1" customWidth="1"/>
    <col min="8" max="8" width="18.5703125" style="126" customWidth="1"/>
    <col min="9" max="16384" width="8.7109375" style="126"/>
  </cols>
  <sheetData>
    <row r="1" spans="2:8">
      <c r="B1" s="131"/>
      <c r="C1" s="131"/>
      <c r="D1" s="131"/>
      <c r="E1" s="131"/>
      <c r="F1" s="131"/>
      <c r="G1" s="131"/>
    </row>
    <row r="2" spans="2:8">
      <c r="B2" s="131"/>
      <c r="C2" s="131"/>
      <c r="D2" s="131"/>
      <c r="E2" s="131"/>
      <c r="F2" s="131"/>
      <c r="G2" s="131"/>
    </row>
    <row r="3" spans="2:8">
      <c r="B3" s="513" t="s">
        <v>110</v>
      </c>
      <c r="C3" s="513"/>
      <c r="D3" s="514" t="s">
        <v>776</v>
      </c>
      <c r="E3" s="514"/>
      <c r="F3" s="514"/>
      <c r="G3" s="514"/>
      <c r="H3" s="514"/>
    </row>
    <row r="4" spans="2:8">
      <c r="B4" s="513" t="s">
        <v>111</v>
      </c>
      <c r="C4" s="513"/>
      <c r="D4" s="514" t="s">
        <v>777</v>
      </c>
      <c r="E4" s="514"/>
      <c r="F4" s="514"/>
      <c r="G4" s="514"/>
      <c r="H4" s="514"/>
    </row>
    <row r="5" spans="2:8">
      <c r="B5" s="513" t="s">
        <v>112</v>
      </c>
      <c r="C5" s="513"/>
      <c r="D5" s="514" t="s">
        <v>723</v>
      </c>
      <c r="E5" s="514"/>
      <c r="F5" s="514"/>
      <c r="G5" s="514"/>
      <c r="H5" s="514"/>
    </row>
    <row r="6" spans="2:8">
      <c r="B6" s="513" t="s">
        <v>113</v>
      </c>
      <c r="C6" s="513"/>
      <c r="D6" s="514" t="s">
        <v>778</v>
      </c>
      <c r="E6" s="514"/>
      <c r="F6" s="514"/>
      <c r="G6" s="514"/>
      <c r="H6" s="514"/>
    </row>
    <row r="7" spans="2:8">
      <c r="B7" s="513" t="s">
        <v>114</v>
      </c>
      <c r="C7" s="513"/>
      <c r="D7" s="514" t="s">
        <v>779</v>
      </c>
      <c r="E7" s="514"/>
      <c r="F7" s="514"/>
      <c r="G7" s="514"/>
      <c r="H7" s="514"/>
    </row>
    <row r="8" spans="2:8">
      <c r="B8" s="513" t="s">
        <v>115</v>
      </c>
      <c r="C8" s="513"/>
      <c r="D8" s="514" t="s">
        <v>116</v>
      </c>
      <c r="E8" s="514"/>
      <c r="F8" s="514"/>
      <c r="G8" s="514"/>
      <c r="H8" s="514"/>
    </row>
    <row r="9" spans="2:8">
      <c r="B9" s="513" t="s">
        <v>117</v>
      </c>
      <c r="C9" s="513"/>
      <c r="D9" s="513"/>
      <c r="E9" s="513"/>
      <c r="F9" s="513"/>
      <c r="G9" s="513"/>
      <c r="H9" s="513"/>
    </row>
    <row r="10" spans="2:8" ht="45">
      <c r="B10" s="267" t="s">
        <v>118</v>
      </c>
      <c r="C10" s="267" t="s">
        <v>119</v>
      </c>
      <c r="D10" s="267" t="s">
        <v>120</v>
      </c>
      <c r="E10" s="268" t="s">
        <v>167</v>
      </c>
      <c r="F10" s="268" t="s">
        <v>121</v>
      </c>
      <c r="G10" s="267" t="s">
        <v>122</v>
      </c>
      <c r="H10" s="268" t="s">
        <v>123</v>
      </c>
    </row>
    <row r="11" spans="2:8">
      <c r="B11" s="269">
        <v>1</v>
      </c>
      <c r="C11" s="266" t="s">
        <v>780</v>
      </c>
      <c r="D11" s="266">
        <f>2023-1978</f>
        <v>45</v>
      </c>
      <c r="E11" s="270" t="s">
        <v>781</v>
      </c>
      <c r="F11" s="270" t="s">
        <v>237</v>
      </c>
      <c r="G11" s="266">
        <v>793</v>
      </c>
      <c r="H11" s="270" t="s">
        <v>124</v>
      </c>
    </row>
    <row r="12" spans="2:8">
      <c r="B12" s="269">
        <v>2</v>
      </c>
      <c r="C12" s="266" t="s">
        <v>782</v>
      </c>
      <c r="D12" s="266">
        <f>2023-1950</f>
        <v>73</v>
      </c>
      <c r="E12" s="270"/>
      <c r="F12" s="270" t="s">
        <v>237</v>
      </c>
      <c r="G12" s="266">
        <v>765</v>
      </c>
      <c r="H12" s="270" t="s">
        <v>124</v>
      </c>
    </row>
    <row r="13" spans="2:8">
      <c r="B13" s="269">
        <v>3</v>
      </c>
      <c r="C13" s="270" t="s">
        <v>783</v>
      </c>
      <c r="D13" s="266"/>
      <c r="E13" s="270" t="s">
        <v>785</v>
      </c>
      <c r="F13" s="270" t="s">
        <v>237</v>
      </c>
      <c r="G13" s="270" t="s">
        <v>124</v>
      </c>
      <c r="H13" s="270" t="s">
        <v>124</v>
      </c>
    </row>
    <row r="14" spans="2:8">
      <c r="B14" s="269">
        <v>4</v>
      </c>
      <c r="C14" s="270" t="s">
        <v>784</v>
      </c>
      <c r="D14" s="270"/>
      <c r="E14" s="270" t="s">
        <v>785</v>
      </c>
      <c r="F14" s="270" t="s">
        <v>237</v>
      </c>
      <c r="G14" s="270" t="s">
        <v>124</v>
      </c>
      <c r="H14" s="270" t="s">
        <v>124</v>
      </c>
    </row>
  </sheetData>
  <mergeCells count="13">
    <mergeCell ref="B3:C3"/>
    <mergeCell ref="D3:H3"/>
    <mergeCell ref="B4:C4"/>
    <mergeCell ref="D4:H4"/>
    <mergeCell ref="B5:C5"/>
    <mergeCell ref="D5:H5"/>
    <mergeCell ref="B9:H9"/>
    <mergeCell ref="B6:C6"/>
    <mergeCell ref="D6:H6"/>
    <mergeCell ref="B7:C7"/>
    <mergeCell ref="D7:H7"/>
    <mergeCell ref="B8:C8"/>
    <mergeCell ref="D8: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0"/>
  <sheetViews>
    <sheetView workbookViewId="0">
      <selection activeCell="C8" sqref="C8"/>
    </sheetView>
  </sheetViews>
  <sheetFormatPr defaultRowHeight="15"/>
  <cols>
    <col min="2" max="2" width="6.7109375" bestFit="1" customWidth="1"/>
    <col min="3" max="3" width="27.140625" bestFit="1" customWidth="1"/>
    <col min="4" max="4" width="42.7109375" customWidth="1"/>
    <col min="5" max="5" width="16.7109375" customWidth="1"/>
    <col min="6" max="6" width="13.5703125" customWidth="1"/>
    <col min="7" max="7" width="35.85546875" customWidth="1"/>
  </cols>
  <sheetData>
    <row r="1" spans="2:11" ht="15.75" thickBot="1"/>
    <row r="2" spans="2:11" ht="15.75" thickBot="1">
      <c r="B2" s="255" t="s">
        <v>349</v>
      </c>
      <c r="C2" s="256"/>
      <c r="D2" s="256"/>
      <c r="E2" s="597" t="s">
        <v>350</v>
      </c>
      <c r="F2" s="599" t="s">
        <v>351</v>
      </c>
      <c r="G2" s="257"/>
    </row>
    <row r="3" spans="2:11" ht="15.75" thickBot="1">
      <c r="B3" s="258" t="s">
        <v>200</v>
      </c>
      <c r="C3" s="259" t="s">
        <v>352</v>
      </c>
      <c r="D3" s="259" t="s">
        <v>353</v>
      </c>
      <c r="E3" s="598"/>
      <c r="F3" s="600"/>
      <c r="G3" s="259" t="s">
        <v>354</v>
      </c>
    </row>
    <row r="4" spans="2:11" ht="15.75" thickBot="1">
      <c r="B4" s="260">
        <v>1</v>
      </c>
      <c r="C4" s="261" t="s">
        <v>355</v>
      </c>
      <c r="D4" s="262" t="s">
        <v>356</v>
      </c>
      <c r="E4" s="261"/>
      <c r="F4" s="261"/>
      <c r="G4" s="261" t="s">
        <v>124</v>
      </c>
    </row>
    <row r="5" spans="2:11" ht="30.75" thickBot="1">
      <c r="B5" s="260">
        <v>2</v>
      </c>
      <c r="C5" s="595" t="s">
        <v>357</v>
      </c>
      <c r="D5" s="262" t="s">
        <v>358</v>
      </c>
      <c r="E5" s="262"/>
      <c r="F5" s="262"/>
      <c r="G5" s="262" t="s">
        <v>124</v>
      </c>
    </row>
    <row r="6" spans="2:11" ht="30.75" thickBot="1">
      <c r="B6" s="263"/>
      <c r="C6" s="601"/>
      <c r="D6" s="262" t="s">
        <v>359</v>
      </c>
      <c r="E6" s="262"/>
      <c r="F6" s="262"/>
      <c r="G6" s="262" t="s">
        <v>124</v>
      </c>
    </row>
    <row r="7" spans="2:11" ht="15.75" thickBot="1">
      <c r="B7" s="263"/>
      <c r="C7" s="596"/>
      <c r="D7" s="262" t="s">
        <v>360</v>
      </c>
      <c r="E7" s="262"/>
      <c r="F7" s="262"/>
      <c r="G7" s="262" t="s">
        <v>124</v>
      </c>
    </row>
    <row r="8" spans="2:11" ht="30.75" thickBot="1">
      <c r="B8" s="260">
        <v>3</v>
      </c>
      <c r="C8" s="261" t="s">
        <v>361</v>
      </c>
      <c r="D8" s="262" t="s">
        <v>362</v>
      </c>
      <c r="E8" s="262"/>
      <c r="F8" s="262"/>
      <c r="G8" s="262" t="s">
        <v>124</v>
      </c>
      <c r="I8">
        <v>500</v>
      </c>
    </row>
    <row r="9" spans="2:11" ht="30.75" thickBot="1">
      <c r="B9" s="593">
        <v>4</v>
      </c>
      <c r="C9" s="595" t="s">
        <v>363</v>
      </c>
      <c r="D9" s="262" t="s">
        <v>364</v>
      </c>
      <c r="E9" s="262"/>
      <c r="F9" s="262"/>
      <c r="G9" s="262" t="s">
        <v>124</v>
      </c>
      <c r="I9">
        <f>I8*80%</f>
        <v>400</v>
      </c>
      <c r="J9">
        <f>I8*65%</f>
        <v>325</v>
      </c>
      <c r="K9">
        <v>180</v>
      </c>
    </row>
    <row r="10" spans="2:11" ht="30.75" thickBot="1">
      <c r="B10" s="594"/>
      <c r="C10" s="596"/>
      <c r="D10" s="262" t="s">
        <v>365</v>
      </c>
      <c r="E10" s="262"/>
      <c r="F10" s="262"/>
      <c r="G10" s="262" t="s">
        <v>124</v>
      </c>
      <c r="J10">
        <f>I8*15%</f>
        <v>75</v>
      </c>
      <c r="K10">
        <v>60</v>
      </c>
    </row>
    <row r="11" spans="2:11" ht="15.75" thickBot="1">
      <c r="B11" s="263"/>
      <c r="C11" s="595" t="s">
        <v>366</v>
      </c>
      <c r="D11" s="262" t="s">
        <v>367</v>
      </c>
      <c r="E11" s="262"/>
      <c r="F11" s="262"/>
      <c r="G11" s="262" t="s">
        <v>124</v>
      </c>
    </row>
    <row r="12" spans="2:11" ht="45.75" thickBot="1">
      <c r="B12" s="260">
        <v>5</v>
      </c>
      <c r="C12" s="596"/>
      <c r="D12" s="262" t="s">
        <v>368</v>
      </c>
      <c r="E12" s="262" t="s">
        <v>124</v>
      </c>
      <c r="F12" s="262"/>
      <c r="G12" s="262" t="s">
        <v>124</v>
      </c>
    </row>
    <row r="13" spans="2:11" ht="30.75" thickBot="1">
      <c r="B13" s="260">
        <v>6</v>
      </c>
      <c r="C13" s="261" t="s">
        <v>369</v>
      </c>
      <c r="D13" s="262" t="s">
        <v>370</v>
      </c>
      <c r="E13" s="262"/>
      <c r="F13" s="262"/>
      <c r="G13" s="262" t="s">
        <v>124</v>
      </c>
    </row>
    <row r="14" spans="2:11" ht="30.75" thickBot="1">
      <c r="B14" s="260">
        <v>7</v>
      </c>
      <c r="C14" s="261" t="s">
        <v>122</v>
      </c>
      <c r="D14" s="262" t="s">
        <v>371</v>
      </c>
      <c r="E14" s="262"/>
      <c r="F14" s="262"/>
      <c r="G14" s="262" t="s">
        <v>372</v>
      </c>
    </row>
    <row r="15" spans="2:11" ht="30.75" thickBot="1">
      <c r="B15" s="260">
        <v>8</v>
      </c>
      <c r="C15" s="261" t="s">
        <v>373</v>
      </c>
      <c r="D15" s="262" t="s">
        <v>374</v>
      </c>
      <c r="E15" s="262"/>
      <c r="F15" s="262"/>
      <c r="G15" s="262" t="s">
        <v>375</v>
      </c>
    </row>
    <row r="16" spans="2:11" ht="15.75" thickBot="1">
      <c r="B16" s="260">
        <v>9</v>
      </c>
      <c r="C16" s="261" t="s">
        <v>376</v>
      </c>
      <c r="D16" s="262" t="s">
        <v>377</v>
      </c>
      <c r="E16" s="262"/>
      <c r="F16" s="262"/>
      <c r="G16" s="262" t="s">
        <v>378</v>
      </c>
    </row>
    <row r="17" spans="2:7" ht="45.75" thickBot="1">
      <c r="B17" s="260">
        <v>10</v>
      </c>
      <c r="C17" s="261" t="s">
        <v>379</v>
      </c>
      <c r="D17" s="262" t="s">
        <v>380</v>
      </c>
      <c r="E17" s="262"/>
      <c r="F17" s="262"/>
      <c r="G17" s="262" t="s">
        <v>381</v>
      </c>
    </row>
    <row r="18" spans="2:7" ht="15.75" thickBot="1">
      <c r="B18" s="260">
        <v>11</v>
      </c>
      <c r="C18" s="261" t="s">
        <v>382</v>
      </c>
      <c r="D18" s="262" t="s">
        <v>383</v>
      </c>
      <c r="E18" s="262" t="e">
        <v>#DIV/0!</v>
      </c>
      <c r="F18" s="262"/>
      <c r="G18" s="262" t="s">
        <v>384</v>
      </c>
    </row>
    <row r="19" spans="2:7" ht="15.75" thickBot="1">
      <c r="B19" s="260">
        <v>12</v>
      </c>
      <c r="C19" s="261" t="s">
        <v>385</v>
      </c>
      <c r="D19" s="262" t="s">
        <v>386</v>
      </c>
      <c r="E19" s="262" t="e">
        <v>#DIV/0!</v>
      </c>
      <c r="F19" s="262"/>
      <c r="G19" s="262" t="s">
        <v>387</v>
      </c>
    </row>
    <row r="20" spans="2:7" ht="15.75" thickBot="1">
      <c r="B20" s="260">
        <v>13</v>
      </c>
      <c r="C20" s="261" t="s">
        <v>388</v>
      </c>
      <c r="D20" s="262" t="s">
        <v>389</v>
      </c>
      <c r="E20" s="262" t="e">
        <v>#DIV/0!</v>
      </c>
      <c r="F20" s="262"/>
      <c r="G20" s="262" t="s">
        <v>390</v>
      </c>
    </row>
    <row r="21" spans="2:7" ht="15.75" thickBot="1">
      <c r="B21" s="593">
        <v>14</v>
      </c>
      <c r="C21" s="595" t="s">
        <v>136</v>
      </c>
      <c r="D21" s="262" t="s">
        <v>391</v>
      </c>
      <c r="E21" s="264" t="s">
        <v>450</v>
      </c>
      <c r="F21" s="262"/>
      <c r="G21" s="262" t="s">
        <v>392</v>
      </c>
    </row>
    <row r="22" spans="2:7" ht="30.75" thickBot="1">
      <c r="B22" s="594"/>
      <c r="C22" s="596"/>
      <c r="D22" s="262" t="s">
        <v>393</v>
      </c>
      <c r="E22" s="262"/>
      <c r="F22" s="262"/>
      <c r="G22" s="262" t="s">
        <v>394</v>
      </c>
    </row>
    <row r="23" spans="2:7" ht="30.75" thickBot="1">
      <c r="B23" s="260">
        <v>15</v>
      </c>
      <c r="C23" s="261" t="s">
        <v>395</v>
      </c>
      <c r="D23" s="262" t="s">
        <v>396</v>
      </c>
      <c r="E23" s="262"/>
      <c r="F23" s="262"/>
      <c r="G23" s="262" t="s">
        <v>397</v>
      </c>
    </row>
    <row r="24" spans="2:7" ht="45.75" thickBot="1">
      <c r="B24" s="260">
        <v>16</v>
      </c>
      <c r="C24" s="261" t="s">
        <v>398</v>
      </c>
      <c r="D24" s="262" t="s">
        <v>399</v>
      </c>
      <c r="E24" s="262"/>
      <c r="F24" s="262"/>
      <c r="G24" s="262" t="s">
        <v>400</v>
      </c>
    </row>
    <row r="25" spans="2:7" ht="30.75" thickBot="1">
      <c r="B25" s="260">
        <v>17</v>
      </c>
      <c r="C25" s="261" t="s">
        <v>401</v>
      </c>
      <c r="D25" s="262" t="s">
        <v>402</v>
      </c>
      <c r="E25" s="262"/>
      <c r="F25" s="262"/>
      <c r="G25" s="262" t="s">
        <v>397</v>
      </c>
    </row>
    <row r="26" spans="2:7" ht="30.75" thickBot="1">
      <c r="B26" s="260">
        <v>18</v>
      </c>
      <c r="C26" s="261" t="s">
        <v>403</v>
      </c>
      <c r="D26" s="262" t="s">
        <v>404</v>
      </c>
      <c r="E26" s="262"/>
      <c r="F26" s="262"/>
      <c r="G26" s="262" t="s">
        <v>397</v>
      </c>
    </row>
    <row r="27" spans="2:7" ht="15.75" thickBot="1">
      <c r="B27" s="260">
        <v>19</v>
      </c>
      <c r="C27" s="261" t="s">
        <v>405</v>
      </c>
      <c r="D27" s="262" t="s">
        <v>406</v>
      </c>
      <c r="E27" s="262"/>
      <c r="F27" s="262"/>
      <c r="G27" s="262" t="s">
        <v>407</v>
      </c>
    </row>
    <row r="28" spans="2:7" ht="30.75" thickBot="1">
      <c r="B28" s="260">
        <v>20</v>
      </c>
      <c r="C28" s="261" t="s">
        <v>408</v>
      </c>
      <c r="D28" s="262" t="s">
        <v>409</v>
      </c>
      <c r="E28" s="262"/>
      <c r="F28" s="262"/>
      <c r="G28" s="262" t="s">
        <v>410</v>
      </c>
    </row>
    <row r="29" spans="2:7" ht="30.75" thickBot="1">
      <c r="B29" s="260">
        <v>21</v>
      </c>
      <c r="C29" s="261" t="s">
        <v>411</v>
      </c>
      <c r="D29" s="262" t="s">
        <v>412</v>
      </c>
      <c r="E29" s="262"/>
      <c r="F29" s="262"/>
      <c r="G29" s="262"/>
    </row>
    <row r="30" spans="2:7" ht="45.75" thickBot="1">
      <c r="B30" s="260">
        <v>22</v>
      </c>
      <c r="C30" s="261" t="s">
        <v>413</v>
      </c>
      <c r="D30" s="265" t="s">
        <v>414</v>
      </c>
      <c r="E30" s="262"/>
      <c r="F30" s="262"/>
      <c r="G30" s="262" t="s">
        <v>415</v>
      </c>
    </row>
  </sheetData>
  <mergeCells count="8">
    <mergeCell ref="B21:B22"/>
    <mergeCell ref="C21:C22"/>
    <mergeCell ref="E2:E3"/>
    <mergeCell ref="F2:F3"/>
    <mergeCell ref="C5:C7"/>
    <mergeCell ref="B9:B10"/>
    <mergeCell ref="C9:C10"/>
    <mergeCell ref="C11:C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workbookViewId="0">
      <selection activeCell="D9" sqref="D9"/>
    </sheetView>
  </sheetViews>
  <sheetFormatPr defaultRowHeight="15"/>
  <cols>
    <col min="2" max="2" width="6.7109375" bestFit="1" customWidth="1"/>
    <col min="3" max="3" width="31.28515625" customWidth="1"/>
    <col min="4" max="4" width="38.42578125" customWidth="1"/>
    <col min="5" max="5" width="16.7109375" customWidth="1"/>
    <col min="6" max="6" width="13.5703125" customWidth="1"/>
    <col min="7" max="7" width="31.5703125" customWidth="1"/>
  </cols>
  <sheetData>
    <row r="1" spans="2:7" ht="15.75" thickBot="1"/>
    <row r="2" spans="2:7" ht="15.75" thickBot="1">
      <c r="B2" s="604" t="s">
        <v>416</v>
      </c>
      <c r="C2" s="605"/>
      <c r="D2" s="606"/>
      <c r="E2" s="597" t="s">
        <v>350</v>
      </c>
      <c r="F2" s="599" t="s">
        <v>351</v>
      </c>
      <c r="G2" s="257"/>
    </row>
    <row r="3" spans="2:7" ht="15.75" thickBot="1">
      <c r="B3" s="258" t="s">
        <v>200</v>
      </c>
      <c r="C3" s="259" t="s">
        <v>352</v>
      </c>
      <c r="D3" s="259" t="s">
        <v>353</v>
      </c>
      <c r="E3" s="598"/>
      <c r="F3" s="600"/>
      <c r="G3" s="259" t="s">
        <v>354</v>
      </c>
    </row>
    <row r="4" spans="2:7" ht="15.75" thickBot="1">
      <c r="B4" s="260">
        <v>1</v>
      </c>
      <c r="C4" s="261" t="s">
        <v>355</v>
      </c>
      <c r="D4" s="261" t="s">
        <v>417</v>
      </c>
      <c r="E4" s="261"/>
      <c r="F4" s="261"/>
      <c r="G4" s="261" t="s">
        <v>124</v>
      </c>
    </row>
    <row r="5" spans="2:7" ht="30.75" thickBot="1">
      <c r="B5" s="593">
        <v>2</v>
      </c>
      <c r="C5" s="595" t="s">
        <v>357</v>
      </c>
      <c r="D5" s="262" t="s">
        <v>358</v>
      </c>
      <c r="E5" s="262"/>
      <c r="F5" s="262"/>
      <c r="G5" s="261" t="s">
        <v>124</v>
      </c>
    </row>
    <row r="6" spans="2:7" ht="30.75" thickBot="1">
      <c r="B6" s="607"/>
      <c r="C6" s="601"/>
      <c r="D6" s="262" t="s">
        <v>359</v>
      </c>
      <c r="E6" s="262"/>
      <c r="F6" s="262"/>
      <c r="G6" s="262" t="s">
        <v>124</v>
      </c>
    </row>
    <row r="7" spans="2:7" ht="30.75" thickBot="1">
      <c r="B7" s="603"/>
      <c r="C7" s="596"/>
      <c r="D7" s="262" t="s">
        <v>418</v>
      </c>
      <c r="E7" s="262"/>
      <c r="F7" s="262"/>
      <c r="G7" s="262" t="s">
        <v>124</v>
      </c>
    </row>
    <row r="8" spans="2:7" ht="30.75" thickBot="1">
      <c r="B8" s="602">
        <v>3</v>
      </c>
      <c r="C8" s="595" t="s">
        <v>361</v>
      </c>
      <c r="D8" s="262" t="s">
        <v>419</v>
      </c>
      <c r="E8" s="262"/>
      <c r="F8" s="262"/>
      <c r="G8" s="262" t="s">
        <v>124</v>
      </c>
    </row>
    <row r="9" spans="2:7" ht="15.75" thickBot="1">
      <c r="B9" s="603"/>
      <c r="C9" s="596"/>
      <c r="D9" s="262" t="s">
        <v>420</v>
      </c>
      <c r="E9" s="262"/>
      <c r="F9" s="262"/>
      <c r="G9" s="262" t="s">
        <v>124</v>
      </c>
    </row>
    <row r="10" spans="2:7" ht="15.75" thickBot="1">
      <c r="B10" s="602">
        <v>4</v>
      </c>
      <c r="C10" s="595" t="s">
        <v>366</v>
      </c>
      <c r="D10" s="262" t="s">
        <v>421</v>
      </c>
      <c r="E10" s="262"/>
      <c r="F10" s="262"/>
      <c r="G10" s="262" t="s">
        <v>124</v>
      </c>
    </row>
    <row r="11" spans="2:7" ht="45.75" thickBot="1">
      <c r="B11" s="603"/>
      <c r="C11" s="596"/>
      <c r="D11" s="262" t="s">
        <v>422</v>
      </c>
      <c r="E11" s="262"/>
      <c r="F11" s="262"/>
      <c r="G11" s="262" t="s">
        <v>124</v>
      </c>
    </row>
    <row r="12" spans="2:7" ht="30.75" thickBot="1">
      <c r="B12" s="260">
        <v>5</v>
      </c>
      <c r="C12" s="261" t="s">
        <v>369</v>
      </c>
      <c r="D12" s="262" t="s">
        <v>423</v>
      </c>
      <c r="E12" s="262" t="s">
        <v>124</v>
      </c>
      <c r="F12" s="262"/>
      <c r="G12" s="262" t="s">
        <v>424</v>
      </c>
    </row>
    <row r="13" spans="2:7" ht="15.75" thickBot="1">
      <c r="B13" s="260">
        <v>6</v>
      </c>
      <c r="C13" s="261" t="s">
        <v>122</v>
      </c>
      <c r="D13" s="262" t="s">
        <v>425</v>
      </c>
      <c r="E13" s="262"/>
      <c r="F13" s="262"/>
      <c r="G13" s="262" t="s">
        <v>426</v>
      </c>
    </row>
    <row r="14" spans="2:7" ht="15.75" thickBot="1">
      <c r="B14" s="260">
        <v>7</v>
      </c>
      <c r="C14" s="261" t="s">
        <v>376</v>
      </c>
      <c r="D14" s="262" t="s">
        <v>377</v>
      </c>
      <c r="E14" s="262"/>
      <c r="F14" s="262"/>
      <c r="G14" s="262" t="s">
        <v>378</v>
      </c>
    </row>
    <row r="15" spans="2:7" ht="30.75" thickBot="1">
      <c r="B15" s="260">
        <v>8</v>
      </c>
      <c r="C15" s="261" t="s">
        <v>379</v>
      </c>
      <c r="D15" s="262" t="s">
        <v>427</v>
      </c>
      <c r="E15" s="262"/>
      <c r="F15" s="262"/>
      <c r="G15" s="262" t="s">
        <v>381</v>
      </c>
    </row>
    <row r="16" spans="2:7" ht="15.75" thickBot="1">
      <c r="B16" s="260">
        <v>9</v>
      </c>
      <c r="C16" s="261" t="s">
        <v>193</v>
      </c>
      <c r="D16" s="262" t="s">
        <v>428</v>
      </c>
      <c r="E16" s="262"/>
      <c r="F16" s="262"/>
      <c r="G16" s="262" t="s">
        <v>124</v>
      </c>
    </row>
    <row r="17" spans="2:7" ht="30.75" thickBot="1">
      <c r="B17" s="593">
        <v>10</v>
      </c>
      <c r="C17" s="595" t="s">
        <v>136</v>
      </c>
      <c r="D17" s="262" t="s">
        <v>392</v>
      </c>
      <c r="E17" s="262"/>
      <c r="F17" s="262"/>
      <c r="G17" s="262" t="s">
        <v>429</v>
      </c>
    </row>
    <row r="18" spans="2:7" ht="30.75" thickBot="1">
      <c r="B18" s="603"/>
      <c r="C18" s="596"/>
      <c r="D18" s="262" t="s">
        <v>430</v>
      </c>
      <c r="E18" s="262"/>
      <c r="F18" s="262"/>
      <c r="G18" s="262" t="s">
        <v>431</v>
      </c>
    </row>
    <row r="19" spans="2:7" ht="30.75" thickBot="1">
      <c r="B19" s="260">
        <v>11</v>
      </c>
      <c r="C19" s="261" t="s">
        <v>373</v>
      </c>
      <c r="D19" s="262" t="s">
        <v>375</v>
      </c>
      <c r="E19" s="262"/>
      <c r="F19" s="262"/>
      <c r="G19" s="262"/>
    </row>
    <row r="20" spans="2:7" ht="30.75" thickBot="1">
      <c r="B20" s="260">
        <v>12</v>
      </c>
      <c r="C20" s="261" t="s">
        <v>411</v>
      </c>
      <c r="D20" s="262" t="s">
        <v>432</v>
      </c>
      <c r="E20" s="262"/>
      <c r="F20" s="262"/>
      <c r="G20" s="262"/>
    </row>
    <row r="21" spans="2:7" ht="60.75" thickBot="1">
      <c r="B21" s="260">
        <v>13</v>
      </c>
      <c r="C21" s="261" t="s">
        <v>413</v>
      </c>
      <c r="D21" s="262" t="s">
        <v>414</v>
      </c>
      <c r="E21" s="264" t="s">
        <v>450</v>
      </c>
      <c r="F21" s="262"/>
      <c r="G21" s="262" t="s">
        <v>415</v>
      </c>
    </row>
    <row r="24" spans="2:7">
      <c r="C24" s="107" t="s">
        <v>122</v>
      </c>
      <c r="D24" s="107" t="s">
        <v>433</v>
      </c>
    </row>
    <row r="25" spans="2:7">
      <c r="C25" s="107" t="s">
        <v>434</v>
      </c>
      <c r="D25" s="107" t="s">
        <v>236</v>
      </c>
    </row>
    <row r="26" spans="2:7">
      <c r="C26" s="107" t="s">
        <v>435</v>
      </c>
      <c r="D26" s="107" t="s">
        <v>236</v>
      </c>
    </row>
    <row r="27" spans="2:7">
      <c r="C27" s="107" t="s">
        <v>436</v>
      </c>
      <c r="D27" s="107" t="s">
        <v>236</v>
      </c>
    </row>
    <row r="28" spans="2:7">
      <c r="C28" s="107" t="s">
        <v>376</v>
      </c>
      <c r="D28" s="107" t="s">
        <v>377</v>
      </c>
    </row>
    <row r="29" spans="2:7">
      <c r="C29" s="107" t="s">
        <v>379</v>
      </c>
      <c r="D29" s="107" t="s">
        <v>427</v>
      </c>
    </row>
    <row r="30" spans="2:7">
      <c r="C30" s="107" t="s">
        <v>437</v>
      </c>
      <c r="D30" s="107" t="s">
        <v>237</v>
      </c>
    </row>
    <row r="31" spans="2:7">
      <c r="C31" s="107" t="s">
        <v>438</v>
      </c>
      <c r="D31" s="107" t="s">
        <v>237</v>
      </c>
    </row>
    <row r="32" spans="2:7">
      <c r="C32" s="107" t="s">
        <v>439</v>
      </c>
      <c r="D32" s="107" t="s">
        <v>440</v>
      </c>
    </row>
    <row r="33" spans="3:4">
      <c r="C33" s="608" t="s">
        <v>136</v>
      </c>
      <c r="D33" s="107" t="s">
        <v>391</v>
      </c>
    </row>
    <row r="34" spans="3:4">
      <c r="C34" s="608"/>
      <c r="D34" s="107" t="s">
        <v>441</v>
      </c>
    </row>
  </sheetData>
  <mergeCells count="12">
    <mergeCell ref="B10:B11"/>
    <mergeCell ref="C10:C11"/>
    <mergeCell ref="B17:B18"/>
    <mergeCell ref="C17:C18"/>
    <mergeCell ref="C33:C34"/>
    <mergeCell ref="B8:B9"/>
    <mergeCell ref="C8:C9"/>
    <mergeCell ref="B2:D2"/>
    <mergeCell ref="E2:E3"/>
    <mergeCell ref="F2:F3"/>
    <mergeCell ref="B5:B7"/>
    <mergeCell ref="C5:C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3"/>
  <sheetViews>
    <sheetView workbookViewId="0">
      <selection activeCell="E9" sqref="E9"/>
    </sheetView>
  </sheetViews>
  <sheetFormatPr defaultRowHeight="15"/>
  <cols>
    <col min="2" max="2" width="23.85546875" bestFit="1" customWidth="1"/>
    <col min="3" max="3" width="19.140625" customWidth="1"/>
  </cols>
  <sheetData>
    <row r="2" spans="2:3">
      <c r="B2" s="409" t="s">
        <v>148</v>
      </c>
      <c r="C2" s="107"/>
    </row>
    <row r="3" spans="2:3">
      <c r="B3" s="409" t="s">
        <v>520</v>
      </c>
      <c r="C3" s="107"/>
    </row>
    <row r="4" spans="2:3">
      <c r="B4" s="409" t="s">
        <v>521</v>
      </c>
      <c r="C4" s="107"/>
    </row>
    <row r="5" spans="2:3">
      <c r="B5" s="409" t="s">
        <v>522</v>
      </c>
      <c r="C5" s="107"/>
    </row>
    <row r="6" spans="2:3">
      <c r="B6" s="409" t="s">
        <v>227</v>
      </c>
      <c r="C6" s="107"/>
    </row>
    <row r="7" spans="2:3">
      <c r="B7" s="409" t="s">
        <v>523</v>
      </c>
      <c r="C7" s="107"/>
    </row>
    <row r="8" spans="2:3">
      <c r="B8" s="409" t="s">
        <v>524</v>
      </c>
      <c r="C8" s="107"/>
    </row>
    <row r="9" spans="2:3">
      <c r="B9" s="409" t="s">
        <v>477</v>
      </c>
      <c r="C9" s="107"/>
    </row>
    <row r="10" spans="2:3">
      <c r="B10" s="409" t="s">
        <v>503</v>
      </c>
      <c r="C10" s="107"/>
    </row>
    <row r="11" spans="2:3">
      <c r="B11" s="409" t="s">
        <v>525</v>
      </c>
      <c r="C11" s="107"/>
    </row>
    <row r="12" spans="2:3">
      <c r="B12" s="409" t="s">
        <v>526</v>
      </c>
      <c r="C12" s="107"/>
    </row>
    <row r="13" spans="2:3">
      <c r="B13" s="409" t="s">
        <v>527</v>
      </c>
      <c r="C13" s="10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9"/>
  <sheetViews>
    <sheetView workbookViewId="0">
      <selection activeCell="C13" sqref="C13"/>
    </sheetView>
  </sheetViews>
  <sheetFormatPr defaultRowHeight="15"/>
  <cols>
    <col min="3" max="3" width="57" bestFit="1" customWidth="1"/>
    <col min="4" max="4" width="12.5703125" style="499" bestFit="1" customWidth="1"/>
  </cols>
  <sheetData>
    <row r="2" spans="3:4">
      <c r="C2" s="496" t="s">
        <v>770</v>
      </c>
      <c r="D2" s="497" t="s">
        <v>765</v>
      </c>
    </row>
    <row r="3" spans="3:4">
      <c r="C3" s="107" t="s">
        <v>764</v>
      </c>
      <c r="D3" s="498">
        <v>1000000</v>
      </c>
    </row>
    <row r="4" spans="3:4">
      <c r="C4" s="107" t="s">
        <v>766</v>
      </c>
      <c r="D4" s="498">
        <f>D3*7%</f>
        <v>70000</v>
      </c>
    </row>
    <row r="5" spans="3:4">
      <c r="C5" s="496" t="s">
        <v>767</v>
      </c>
      <c r="D5" s="497">
        <f>D3+D4</f>
        <v>1070000</v>
      </c>
    </row>
    <row r="6" spans="3:4">
      <c r="C6" s="107"/>
      <c r="D6" s="498"/>
    </row>
    <row r="7" spans="3:4">
      <c r="C7" s="107" t="s">
        <v>768</v>
      </c>
      <c r="D7" s="498">
        <f>D3*85%</f>
        <v>850000</v>
      </c>
    </row>
    <row r="8" spans="3:4">
      <c r="C8" s="107" t="s">
        <v>769</v>
      </c>
      <c r="D8" s="498">
        <f>(D5*150%)-D7</f>
        <v>755000</v>
      </c>
    </row>
    <row r="9" spans="3:4">
      <c r="C9" s="500" t="s">
        <v>771</v>
      </c>
      <c r="D9" s="497">
        <f>SUM(D7:D8)</f>
        <v>1605000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7"/>
  <sheetViews>
    <sheetView workbookViewId="0">
      <selection activeCell="D7" sqref="D7"/>
    </sheetView>
  </sheetViews>
  <sheetFormatPr defaultRowHeight="15"/>
  <cols>
    <col min="2" max="2" width="17.28515625" customWidth="1"/>
    <col min="3" max="3" width="81.5703125" customWidth="1"/>
    <col min="4" max="4" width="30.140625" customWidth="1"/>
  </cols>
  <sheetData>
    <row r="3" spans="2:4">
      <c r="B3" s="107" t="s">
        <v>528</v>
      </c>
      <c r="C3" s="107" t="s">
        <v>529</v>
      </c>
      <c r="D3" s="107"/>
    </row>
    <row r="4" spans="2:4">
      <c r="B4" s="107" t="s">
        <v>530</v>
      </c>
      <c r="C4" s="107" t="s">
        <v>531</v>
      </c>
      <c r="D4" s="107"/>
    </row>
    <row r="5" spans="2:4">
      <c r="B5" s="107" t="s">
        <v>532</v>
      </c>
      <c r="C5" s="107" t="s">
        <v>533</v>
      </c>
      <c r="D5" s="107"/>
    </row>
    <row r="6" spans="2:4">
      <c r="B6" s="107" t="s">
        <v>534</v>
      </c>
      <c r="C6" s="107" t="s">
        <v>535</v>
      </c>
      <c r="D6" s="107"/>
    </row>
    <row r="7" spans="2:4">
      <c r="B7" s="107" t="s">
        <v>536</v>
      </c>
      <c r="C7" s="107" t="s">
        <v>537</v>
      </c>
      <c r="D7" s="107"/>
    </row>
    <row r="8" spans="2:4">
      <c r="B8" s="107" t="s">
        <v>538</v>
      </c>
      <c r="C8" s="107" t="s">
        <v>539</v>
      </c>
      <c r="D8" s="107"/>
    </row>
    <row r="9" spans="2:4">
      <c r="B9" s="107" t="s">
        <v>540</v>
      </c>
      <c r="C9" s="107" t="s">
        <v>541</v>
      </c>
      <c r="D9" s="107"/>
    </row>
    <row r="11" spans="2:4" ht="15.75" thickBot="1"/>
    <row r="12" spans="2:4" ht="32.25" thickBot="1">
      <c r="B12" s="410" t="s">
        <v>542</v>
      </c>
      <c r="C12" s="411" t="s">
        <v>222</v>
      </c>
      <c r="D12" s="411" t="s">
        <v>543</v>
      </c>
    </row>
    <row r="13" spans="2:4" ht="16.5" thickBot="1">
      <c r="B13" s="612" t="s">
        <v>544</v>
      </c>
      <c r="C13" s="613"/>
      <c r="D13" s="614"/>
    </row>
    <row r="14" spans="2:4" ht="32.25" thickBot="1">
      <c r="B14" s="412">
        <v>1</v>
      </c>
      <c r="C14" s="413" t="s">
        <v>545</v>
      </c>
      <c r="D14" s="414" t="s">
        <v>546</v>
      </c>
    </row>
    <row r="15" spans="2:4" ht="16.5" thickBot="1">
      <c r="B15" s="412">
        <v>2</v>
      </c>
      <c r="C15" s="413" t="s">
        <v>547</v>
      </c>
      <c r="D15" s="414" t="s">
        <v>546</v>
      </c>
    </row>
    <row r="16" spans="2:4" ht="48" thickBot="1">
      <c r="B16" s="412">
        <v>3</v>
      </c>
      <c r="C16" s="413" t="s">
        <v>548</v>
      </c>
      <c r="D16" s="414" t="s">
        <v>549</v>
      </c>
    </row>
    <row r="17" spans="2:4" ht="16.5" thickBot="1">
      <c r="B17" s="612" t="s">
        <v>550</v>
      </c>
      <c r="C17" s="613"/>
      <c r="D17" s="614"/>
    </row>
    <row r="18" spans="2:4" ht="16.5" thickBot="1">
      <c r="B18" s="412">
        <v>4</v>
      </c>
      <c r="C18" s="413" t="s">
        <v>551</v>
      </c>
      <c r="D18" s="414" t="s">
        <v>552</v>
      </c>
    </row>
    <row r="19" spans="2:4" ht="16.5" thickBot="1">
      <c r="B19" s="412">
        <v>5</v>
      </c>
      <c r="C19" s="413" t="s">
        <v>553</v>
      </c>
      <c r="D19" s="414" t="s">
        <v>546</v>
      </c>
    </row>
    <row r="20" spans="2:4" ht="16.5" thickBot="1">
      <c r="B20" s="412">
        <v>6</v>
      </c>
      <c r="C20" s="413" t="s">
        <v>554</v>
      </c>
      <c r="D20" s="414" t="s">
        <v>555</v>
      </c>
    </row>
    <row r="21" spans="2:4" ht="32.25" thickBot="1">
      <c r="B21" s="412">
        <v>7</v>
      </c>
      <c r="C21" s="413" t="s">
        <v>556</v>
      </c>
      <c r="D21" s="414" t="s">
        <v>555</v>
      </c>
    </row>
    <row r="22" spans="2:4" ht="32.25" thickBot="1">
      <c r="B22" s="412">
        <v>8</v>
      </c>
      <c r="C22" s="413" t="s">
        <v>557</v>
      </c>
      <c r="D22" s="414" t="s">
        <v>546</v>
      </c>
    </row>
    <row r="23" spans="2:4" ht="16.5" thickBot="1">
      <c r="B23" s="612" t="s">
        <v>558</v>
      </c>
      <c r="C23" s="613"/>
      <c r="D23" s="614"/>
    </row>
    <row r="24" spans="2:4" ht="16.5" thickBot="1">
      <c r="B24" s="412">
        <v>9</v>
      </c>
      <c r="C24" s="413" t="s">
        <v>559</v>
      </c>
      <c r="D24" s="414" t="s">
        <v>560</v>
      </c>
    </row>
    <row r="25" spans="2:4" ht="16.5" thickBot="1">
      <c r="B25" s="412">
        <v>10</v>
      </c>
      <c r="C25" s="413" t="s">
        <v>561</v>
      </c>
      <c r="D25" s="414" t="s">
        <v>562</v>
      </c>
    </row>
    <row r="26" spans="2:4" ht="16.5" thickBot="1">
      <c r="B26" s="412">
        <v>11</v>
      </c>
      <c r="C26" s="413" t="s">
        <v>563</v>
      </c>
      <c r="D26" s="414" t="s">
        <v>562</v>
      </c>
    </row>
    <row r="27" spans="2:4" ht="16.5" thickBot="1">
      <c r="B27" s="412">
        <v>12</v>
      </c>
      <c r="C27" s="413" t="s">
        <v>564</v>
      </c>
      <c r="D27" s="414" t="s">
        <v>555</v>
      </c>
    </row>
    <row r="28" spans="2:4" ht="16.5" thickBot="1">
      <c r="B28" s="412">
        <v>13</v>
      </c>
      <c r="C28" s="413" t="s">
        <v>565</v>
      </c>
      <c r="D28" s="414" t="s">
        <v>562</v>
      </c>
    </row>
    <row r="29" spans="2:4" ht="16.5" thickBot="1">
      <c r="B29" s="412">
        <v>14</v>
      </c>
      <c r="C29" s="413" t="s">
        <v>566</v>
      </c>
      <c r="D29" s="414" t="s">
        <v>552</v>
      </c>
    </row>
    <row r="30" spans="2:4" ht="16.5" thickBot="1">
      <c r="B30" s="412">
        <v>15</v>
      </c>
      <c r="C30" s="413" t="s">
        <v>567</v>
      </c>
      <c r="D30" s="414" t="s">
        <v>552</v>
      </c>
    </row>
    <row r="31" spans="2:4" ht="16.5" thickBot="1">
      <c r="B31" s="612" t="s">
        <v>568</v>
      </c>
      <c r="C31" s="613"/>
      <c r="D31" s="614"/>
    </row>
    <row r="32" spans="2:4" ht="16.5" thickBot="1">
      <c r="B32" s="412">
        <v>16</v>
      </c>
      <c r="C32" s="415" t="s">
        <v>569</v>
      </c>
      <c r="D32" s="414" t="s">
        <v>570</v>
      </c>
    </row>
    <row r="33" spans="2:4" ht="16.5" thickBot="1">
      <c r="B33" s="412">
        <v>17</v>
      </c>
      <c r="C33" s="413" t="s">
        <v>571</v>
      </c>
      <c r="D33" s="414" t="s">
        <v>570</v>
      </c>
    </row>
    <row r="34" spans="2:4" ht="16.5" thickBot="1">
      <c r="B34" s="412">
        <v>18</v>
      </c>
      <c r="C34" s="413" t="s">
        <v>572</v>
      </c>
      <c r="D34" s="414" t="s">
        <v>560</v>
      </c>
    </row>
    <row r="35" spans="2:4" ht="16.5" thickBot="1">
      <c r="B35" s="412">
        <v>19</v>
      </c>
      <c r="C35" s="413" t="s">
        <v>573</v>
      </c>
      <c r="D35" s="414" t="s">
        <v>562</v>
      </c>
    </row>
    <row r="36" spans="2:4" ht="16.5" thickBot="1">
      <c r="B36" s="412">
        <v>20</v>
      </c>
      <c r="C36" s="413" t="s">
        <v>574</v>
      </c>
      <c r="D36" s="414" t="s">
        <v>575</v>
      </c>
    </row>
    <row r="37" spans="2:4" ht="16.5" thickBot="1">
      <c r="B37" s="412">
        <v>21</v>
      </c>
      <c r="C37" s="413" t="s">
        <v>576</v>
      </c>
      <c r="D37" s="414" t="s">
        <v>575</v>
      </c>
    </row>
    <row r="38" spans="2:4" ht="32.25" thickBot="1">
      <c r="B38" s="412">
        <v>22</v>
      </c>
      <c r="C38" s="413" t="s">
        <v>577</v>
      </c>
      <c r="D38" s="414" t="s">
        <v>578</v>
      </c>
    </row>
    <row r="39" spans="2:4" ht="63.75" thickBot="1">
      <c r="B39" s="412">
        <v>23</v>
      </c>
      <c r="C39" s="413" t="s">
        <v>579</v>
      </c>
      <c r="D39" s="414" t="s">
        <v>578</v>
      </c>
    </row>
    <row r="40" spans="2:4" ht="32.25" thickBot="1">
      <c r="B40" s="412">
        <v>24</v>
      </c>
      <c r="C40" s="413" t="s">
        <v>580</v>
      </c>
      <c r="D40" s="414" t="s">
        <v>560</v>
      </c>
    </row>
    <row r="41" spans="2:4" ht="32.25" thickBot="1">
      <c r="B41" s="412">
        <v>25</v>
      </c>
      <c r="C41" s="413" t="s">
        <v>581</v>
      </c>
      <c r="D41" s="414" t="s">
        <v>575</v>
      </c>
    </row>
    <row r="42" spans="2:4" ht="32.25" thickBot="1">
      <c r="B42" s="412">
        <v>26</v>
      </c>
      <c r="C42" s="413" t="s">
        <v>582</v>
      </c>
      <c r="D42" s="414" t="s">
        <v>555</v>
      </c>
    </row>
    <row r="43" spans="2:4" ht="16.5" thickBot="1">
      <c r="B43" s="412">
        <v>27</v>
      </c>
      <c r="C43" s="413" t="s">
        <v>583</v>
      </c>
      <c r="D43" s="414" t="s">
        <v>575</v>
      </c>
    </row>
    <row r="44" spans="2:4" ht="32.25" thickBot="1">
      <c r="B44" s="412">
        <v>28</v>
      </c>
      <c r="C44" s="413" t="s">
        <v>584</v>
      </c>
      <c r="D44" s="414" t="s">
        <v>552</v>
      </c>
    </row>
    <row r="45" spans="2:4" ht="32.25" thickBot="1">
      <c r="B45" s="412">
        <v>29</v>
      </c>
      <c r="C45" s="413" t="s">
        <v>585</v>
      </c>
      <c r="D45" s="414" t="s">
        <v>586</v>
      </c>
    </row>
    <row r="46" spans="2:4" ht="48" thickBot="1">
      <c r="B46" s="412">
        <v>30</v>
      </c>
      <c r="C46" s="413" t="s">
        <v>587</v>
      </c>
      <c r="D46" s="414" t="s">
        <v>588</v>
      </c>
    </row>
    <row r="47" spans="2:4" ht="16.5" thickBot="1">
      <c r="B47" s="612" t="s">
        <v>589</v>
      </c>
      <c r="C47" s="613"/>
      <c r="D47" s="614"/>
    </row>
    <row r="48" spans="2:4" ht="16.5" thickBot="1">
      <c r="B48" s="412">
        <v>31</v>
      </c>
      <c r="C48" s="413" t="s">
        <v>590</v>
      </c>
      <c r="D48" s="414" t="s">
        <v>591</v>
      </c>
    </row>
    <row r="49" spans="2:4" ht="16.5" thickBot="1">
      <c r="B49" s="412">
        <v>32</v>
      </c>
      <c r="C49" s="413" t="s">
        <v>592</v>
      </c>
      <c r="D49" s="414" t="s">
        <v>546</v>
      </c>
    </row>
    <row r="50" spans="2:4" ht="16.5" thickBot="1">
      <c r="B50" s="412">
        <v>33</v>
      </c>
      <c r="C50" s="413" t="s">
        <v>593</v>
      </c>
      <c r="D50" s="414" t="s">
        <v>560</v>
      </c>
    </row>
    <row r="51" spans="2:4" ht="16.5" thickBot="1">
      <c r="B51" s="412">
        <v>34</v>
      </c>
      <c r="C51" s="413" t="s">
        <v>594</v>
      </c>
      <c r="D51" s="414" t="s">
        <v>562</v>
      </c>
    </row>
    <row r="52" spans="2:4" ht="16.5" thickBot="1">
      <c r="B52" s="612" t="s">
        <v>595</v>
      </c>
      <c r="C52" s="613"/>
      <c r="D52" s="614"/>
    </row>
    <row r="53" spans="2:4" ht="16.5" thickBot="1">
      <c r="B53" s="412">
        <v>35</v>
      </c>
      <c r="C53" s="413" t="s">
        <v>596</v>
      </c>
      <c r="D53" s="414" t="s">
        <v>591</v>
      </c>
    </row>
    <row r="54" spans="2:4" ht="16.5" thickBot="1">
      <c r="B54" s="412">
        <v>36</v>
      </c>
      <c r="C54" s="413" t="s">
        <v>597</v>
      </c>
      <c r="D54" s="414" t="s">
        <v>575</v>
      </c>
    </row>
    <row r="55" spans="2:4" ht="16.5" thickBot="1">
      <c r="B55" s="412">
        <v>37</v>
      </c>
      <c r="C55" s="413" t="s">
        <v>598</v>
      </c>
      <c r="D55" s="414" t="s">
        <v>555</v>
      </c>
    </row>
    <row r="56" spans="2:4" ht="16.5" thickBot="1">
      <c r="B56" s="615" t="s">
        <v>599</v>
      </c>
      <c r="C56" s="616"/>
      <c r="D56" s="617"/>
    </row>
    <row r="57" spans="2:4" ht="16.5" thickBot="1">
      <c r="B57" s="609" t="s">
        <v>600</v>
      </c>
      <c r="C57" s="610"/>
      <c r="D57" s="611"/>
    </row>
    <row r="58" spans="2:4" ht="32.25" thickBot="1">
      <c r="B58" s="416">
        <v>38</v>
      </c>
      <c r="C58" s="413" t="s">
        <v>601</v>
      </c>
      <c r="D58" s="414" t="s">
        <v>591</v>
      </c>
    </row>
    <row r="59" spans="2:4" ht="16.5" thickBot="1">
      <c r="B59" s="416">
        <v>39</v>
      </c>
      <c r="C59" s="413" t="s">
        <v>602</v>
      </c>
      <c r="D59" s="414" t="s">
        <v>591</v>
      </c>
    </row>
    <row r="60" spans="2:4" ht="16.5" thickBot="1">
      <c r="B60" s="416">
        <v>40</v>
      </c>
      <c r="C60" s="413" t="s">
        <v>603</v>
      </c>
      <c r="D60" s="414" t="s">
        <v>591</v>
      </c>
    </row>
    <row r="61" spans="2:4" ht="16.5" thickBot="1">
      <c r="B61" s="416">
        <v>41</v>
      </c>
      <c r="C61" s="413" t="s">
        <v>604</v>
      </c>
      <c r="D61" s="414" t="s">
        <v>591</v>
      </c>
    </row>
    <row r="62" spans="2:4" ht="48" thickBot="1">
      <c r="B62" s="416">
        <v>42</v>
      </c>
      <c r="C62" s="413" t="s">
        <v>605</v>
      </c>
      <c r="D62" s="414" t="s">
        <v>591</v>
      </c>
    </row>
    <row r="63" spans="2:4" ht="48" thickBot="1">
      <c r="B63" s="416">
        <v>43</v>
      </c>
      <c r="C63" s="413" t="s">
        <v>606</v>
      </c>
      <c r="D63" s="414" t="s">
        <v>591</v>
      </c>
    </row>
    <row r="64" spans="2:4" ht="48" thickBot="1">
      <c r="B64" s="416">
        <v>44</v>
      </c>
      <c r="C64" s="413" t="s">
        <v>607</v>
      </c>
      <c r="D64" s="414" t="s">
        <v>591</v>
      </c>
    </row>
    <row r="65" spans="2:4" ht="32.25" thickBot="1">
      <c r="B65" s="416">
        <v>45</v>
      </c>
      <c r="C65" s="413" t="s">
        <v>608</v>
      </c>
      <c r="D65" s="414" t="s">
        <v>591</v>
      </c>
    </row>
    <row r="66" spans="2:4" ht="32.25" thickBot="1">
      <c r="B66" s="416">
        <v>46</v>
      </c>
      <c r="C66" s="413" t="s">
        <v>609</v>
      </c>
      <c r="D66" s="414" t="s">
        <v>591</v>
      </c>
    </row>
    <row r="67" spans="2:4" ht="16.5" thickBot="1">
      <c r="B67" s="416">
        <v>47</v>
      </c>
      <c r="C67" s="413" t="s">
        <v>610</v>
      </c>
      <c r="D67" s="414" t="s">
        <v>546</v>
      </c>
    </row>
    <row r="68" spans="2:4" ht="16.5" thickBot="1">
      <c r="B68" s="416">
        <v>48</v>
      </c>
      <c r="C68" s="413" t="s">
        <v>611</v>
      </c>
      <c r="D68" s="414" t="s">
        <v>546</v>
      </c>
    </row>
    <row r="69" spans="2:4" ht="48" thickBot="1">
      <c r="B69" s="416">
        <v>49</v>
      </c>
      <c r="C69" s="413" t="s">
        <v>612</v>
      </c>
      <c r="D69" s="414" t="s">
        <v>546</v>
      </c>
    </row>
    <row r="70" spans="2:4" ht="16.5" thickBot="1">
      <c r="B70" s="416">
        <v>50</v>
      </c>
      <c r="C70" s="413" t="s">
        <v>613</v>
      </c>
      <c r="D70" s="414" t="s">
        <v>562</v>
      </c>
    </row>
    <row r="71" spans="2:4" ht="32.25" thickBot="1">
      <c r="B71" s="416">
        <v>51</v>
      </c>
      <c r="C71" s="413" t="s">
        <v>614</v>
      </c>
      <c r="D71" s="414" t="s">
        <v>562</v>
      </c>
    </row>
    <row r="72" spans="2:4" ht="32.25" thickBot="1">
      <c r="B72" s="416">
        <v>52</v>
      </c>
      <c r="C72" s="413" t="s">
        <v>615</v>
      </c>
      <c r="D72" s="414" t="s">
        <v>562</v>
      </c>
    </row>
    <row r="73" spans="2:4" ht="32.25" thickBot="1">
      <c r="B73" s="416">
        <v>53</v>
      </c>
      <c r="C73" s="413" t="s">
        <v>616</v>
      </c>
      <c r="D73" s="414" t="s">
        <v>555</v>
      </c>
    </row>
    <row r="74" spans="2:4" ht="16.5" thickBot="1">
      <c r="B74" s="412">
        <v>54</v>
      </c>
      <c r="C74" s="413" t="s">
        <v>617</v>
      </c>
      <c r="D74" s="414" t="s">
        <v>562</v>
      </c>
    </row>
    <row r="75" spans="2:4" ht="16.5" thickBot="1">
      <c r="B75" s="412">
        <v>55</v>
      </c>
      <c r="C75" s="413" t="s">
        <v>618</v>
      </c>
      <c r="D75" s="414" t="s">
        <v>591</v>
      </c>
    </row>
    <row r="76" spans="2:4" ht="16.5" thickBot="1">
      <c r="B76" s="412">
        <v>56</v>
      </c>
      <c r="C76" s="413" t="s">
        <v>619</v>
      </c>
      <c r="D76" s="414" t="s">
        <v>560</v>
      </c>
    </row>
    <row r="77" spans="2:4" ht="16.5" thickBot="1">
      <c r="B77" s="412">
        <v>57</v>
      </c>
      <c r="C77" s="413" t="s">
        <v>620</v>
      </c>
      <c r="D77" s="414" t="s">
        <v>546</v>
      </c>
    </row>
    <row r="78" spans="2:4" ht="16.5" thickBot="1">
      <c r="B78" s="412">
        <v>58</v>
      </c>
      <c r="C78" s="413" t="s">
        <v>621</v>
      </c>
      <c r="D78" s="414" t="s">
        <v>546</v>
      </c>
    </row>
    <row r="79" spans="2:4" ht="16.5" thickBot="1">
      <c r="B79" s="412">
        <v>59</v>
      </c>
      <c r="C79" s="413" t="s">
        <v>622</v>
      </c>
      <c r="D79" s="414" t="s">
        <v>623</v>
      </c>
    </row>
    <row r="80" spans="2:4" ht="16.5" thickBot="1">
      <c r="B80" s="412">
        <v>60</v>
      </c>
      <c r="C80" s="413" t="s">
        <v>624</v>
      </c>
      <c r="D80" s="414" t="s">
        <v>560</v>
      </c>
    </row>
    <row r="81" spans="2:4" ht="16.5" thickBot="1">
      <c r="B81" s="609" t="s">
        <v>625</v>
      </c>
      <c r="C81" s="610"/>
      <c r="D81" s="611"/>
    </row>
    <row r="82" spans="2:4" ht="16.5" thickBot="1">
      <c r="B82" s="412">
        <v>61</v>
      </c>
      <c r="C82" s="413" t="s">
        <v>626</v>
      </c>
      <c r="D82" s="414" t="s">
        <v>591</v>
      </c>
    </row>
    <row r="83" spans="2:4" ht="32.25" thickBot="1">
      <c r="B83" s="412">
        <v>62</v>
      </c>
      <c r="C83" s="413" t="s">
        <v>627</v>
      </c>
      <c r="D83" s="414" t="s">
        <v>591</v>
      </c>
    </row>
    <row r="84" spans="2:4" ht="16.5" thickBot="1">
      <c r="B84" s="412">
        <v>63</v>
      </c>
      <c r="C84" s="413" t="s">
        <v>628</v>
      </c>
      <c r="D84" s="414" t="s">
        <v>546</v>
      </c>
    </row>
    <row r="85" spans="2:4" ht="16.5" thickBot="1">
      <c r="B85" s="412">
        <v>64</v>
      </c>
      <c r="C85" s="413" t="s">
        <v>629</v>
      </c>
      <c r="D85" s="414" t="s">
        <v>560</v>
      </c>
    </row>
    <row r="86" spans="2:4" ht="16.5" thickBot="1">
      <c r="B86" s="412">
        <v>65</v>
      </c>
      <c r="C86" s="413" t="s">
        <v>630</v>
      </c>
      <c r="D86" s="414" t="s">
        <v>562</v>
      </c>
    </row>
    <row r="87" spans="2:4" ht="16.5" thickBot="1">
      <c r="B87" s="412">
        <v>66</v>
      </c>
      <c r="C87" s="413" t="s">
        <v>631</v>
      </c>
      <c r="D87" s="414" t="s">
        <v>562</v>
      </c>
    </row>
    <row r="88" spans="2:4" ht="32.25" thickBot="1">
      <c r="B88" s="412">
        <v>67</v>
      </c>
      <c r="C88" s="413" t="s">
        <v>632</v>
      </c>
      <c r="D88" s="414" t="s">
        <v>562</v>
      </c>
    </row>
    <row r="89" spans="2:4" ht="32.25" thickBot="1">
      <c r="B89" s="412">
        <v>68</v>
      </c>
      <c r="C89" s="413" t="s">
        <v>633</v>
      </c>
      <c r="D89" s="414" t="s">
        <v>562</v>
      </c>
    </row>
    <row r="90" spans="2:4" ht="16.5" thickBot="1">
      <c r="B90" s="412">
        <v>69</v>
      </c>
      <c r="C90" s="413" t="s">
        <v>634</v>
      </c>
      <c r="D90" s="414" t="s">
        <v>555</v>
      </c>
    </row>
    <row r="91" spans="2:4" ht="16.5" thickBot="1">
      <c r="B91" s="412">
        <v>70</v>
      </c>
      <c r="C91" s="413" t="s">
        <v>635</v>
      </c>
      <c r="D91" s="414" t="s">
        <v>555</v>
      </c>
    </row>
    <row r="92" spans="2:4" ht="16.5" thickBot="1">
      <c r="B92" s="412">
        <v>71</v>
      </c>
      <c r="C92" s="413" t="s">
        <v>636</v>
      </c>
      <c r="D92" s="414" t="s">
        <v>555</v>
      </c>
    </row>
    <row r="93" spans="2:4" ht="16.5" thickBot="1">
      <c r="B93" s="412">
        <v>72</v>
      </c>
      <c r="C93" s="413" t="s">
        <v>637</v>
      </c>
      <c r="D93" s="414" t="s">
        <v>555</v>
      </c>
    </row>
    <row r="94" spans="2:4" ht="16.5" thickBot="1">
      <c r="B94" s="412">
        <v>73</v>
      </c>
      <c r="C94" s="413" t="s">
        <v>638</v>
      </c>
      <c r="D94" s="414" t="s">
        <v>555</v>
      </c>
    </row>
    <row r="95" spans="2:4" ht="16.5" thickBot="1">
      <c r="B95" s="412">
        <v>74</v>
      </c>
      <c r="C95" s="413" t="s">
        <v>639</v>
      </c>
      <c r="D95" s="414" t="s">
        <v>555</v>
      </c>
    </row>
    <row r="96" spans="2:4" ht="16.5" thickBot="1">
      <c r="B96" s="412">
        <v>75</v>
      </c>
      <c r="C96" s="413" t="s">
        <v>640</v>
      </c>
      <c r="D96" s="414" t="s">
        <v>555</v>
      </c>
    </row>
    <row r="97" spans="2:4" ht="16.5" thickBot="1">
      <c r="B97" s="412">
        <v>76</v>
      </c>
      <c r="C97" s="413" t="s">
        <v>641</v>
      </c>
      <c r="D97" s="414" t="s">
        <v>555</v>
      </c>
    </row>
    <row r="98" spans="2:4" ht="16.5" thickBot="1">
      <c r="B98" s="412">
        <v>77</v>
      </c>
      <c r="C98" s="413" t="s">
        <v>642</v>
      </c>
      <c r="D98" s="414" t="s">
        <v>552</v>
      </c>
    </row>
    <row r="99" spans="2:4" ht="32.25" thickBot="1">
      <c r="B99" s="412">
        <v>78</v>
      </c>
      <c r="C99" s="413" t="s">
        <v>643</v>
      </c>
      <c r="D99" s="414" t="s">
        <v>552</v>
      </c>
    </row>
    <row r="100" spans="2:4" ht="16.5" thickBot="1">
      <c r="B100" s="412">
        <v>79</v>
      </c>
      <c r="C100" s="413" t="s">
        <v>644</v>
      </c>
      <c r="D100" s="414" t="s">
        <v>552</v>
      </c>
    </row>
    <row r="101" spans="2:4" ht="16.5" thickBot="1">
      <c r="B101" s="412">
        <v>80</v>
      </c>
      <c r="C101" s="413" t="s">
        <v>645</v>
      </c>
      <c r="D101" s="414" t="s">
        <v>552</v>
      </c>
    </row>
    <row r="102" spans="2:4" ht="16.5" thickBot="1">
      <c r="B102" s="609" t="s">
        <v>646</v>
      </c>
      <c r="C102" s="610"/>
      <c r="D102" s="611"/>
    </row>
    <row r="103" spans="2:4" ht="16.5" thickBot="1">
      <c r="B103" s="412">
        <v>81</v>
      </c>
      <c r="C103" s="413" t="s">
        <v>647</v>
      </c>
      <c r="D103" s="414" t="s">
        <v>591</v>
      </c>
    </row>
    <row r="104" spans="2:4" ht="16.5" thickBot="1">
      <c r="B104" s="412">
        <v>82</v>
      </c>
      <c r="C104" s="413" t="s">
        <v>648</v>
      </c>
      <c r="D104" s="414" t="s">
        <v>546</v>
      </c>
    </row>
    <row r="105" spans="2:4" ht="16.5" thickBot="1">
      <c r="B105" s="412">
        <v>83</v>
      </c>
      <c r="C105" s="413" t="s">
        <v>649</v>
      </c>
      <c r="D105" s="414" t="s">
        <v>560</v>
      </c>
    </row>
    <row r="106" spans="2:4" ht="16.5" thickBot="1">
      <c r="B106" s="412">
        <v>84</v>
      </c>
      <c r="C106" s="413" t="s">
        <v>650</v>
      </c>
      <c r="D106" s="414" t="s">
        <v>555</v>
      </c>
    </row>
    <row r="107" spans="2:4" ht="16.5" thickBot="1">
      <c r="B107" s="609" t="s">
        <v>651</v>
      </c>
      <c r="C107" s="610"/>
      <c r="D107" s="611"/>
    </row>
    <row r="108" spans="2:4" ht="16.5" thickBot="1">
      <c r="B108" s="412">
        <v>85</v>
      </c>
      <c r="C108" s="413" t="s">
        <v>652</v>
      </c>
      <c r="D108" s="414" t="s">
        <v>555</v>
      </c>
    </row>
    <row r="109" spans="2:4" ht="16.5" thickBot="1">
      <c r="B109" s="412">
        <v>86</v>
      </c>
      <c r="C109" s="413" t="s">
        <v>653</v>
      </c>
      <c r="D109" s="414" t="s">
        <v>591</v>
      </c>
    </row>
    <row r="110" spans="2:4" ht="16.5" thickBot="1">
      <c r="B110" s="609" t="s">
        <v>654</v>
      </c>
      <c r="C110" s="610"/>
      <c r="D110" s="611"/>
    </row>
    <row r="111" spans="2:4" ht="48" thickBot="1">
      <c r="B111" s="412">
        <v>87</v>
      </c>
      <c r="C111" s="413" t="s">
        <v>655</v>
      </c>
      <c r="D111" s="414" t="s">
        <v>555</v>
      </c>
    </row>
    <row r="112" spans="2:4" ht="16.5" thickBot="1">
      <c r="B112" s="412">
        <v>88</v>
      </c>
      <c r="C112" s="413" t="s">
        <v>656</v>
      </c>
      <c r="D112" s="414" t="s">
        <v>552</v>
      </c>
    </row>
    <row r="113" spans="2:4" ht="16.5" thickBot="1">
      <c r="B113" s="412">
        <v>89</v>
      </c>
      <c r="C113" s="413" t="s">
        <v>657</v>
      </c>
      <c r="D113" s="414" t="s">
        <v>552</v>
      </c>
    </row>
    <row r="114" spans="2:4" ht="16.5" thickBot="1">
      <c r="B114" s="412">
        <v>90</v>
      </c>
      <c r="C114" s="413" t="s">
        <v>658</v>
      </c>
      <c r="D114" s="414" t="s">
        <v>552</v>
      </c>
    </row>
    <row r="115" spans="2:4" ht="16.5" thickBot="1">
      <c r="B115" s="412">
        <v>91</v>
      </c>
      <c r="C115" s="413" t="s">
        <v>659</v>
      </c>
      <c r="D115" s="414" t="s">
        <v>552</v>
      </c>
    </row>
    <row r="116" spans="2:4" ht="16.5" thickBot="1">
      <c r="B116" s="412">
        <v>92</v>
      </c>
      <c r="C116" s="413" t="s">
        <v>660</v>
      </c>
      <c r="D116" s="414" t="s">
        <v>552</v>
      </c>
    </row>
    <row r="117" spans="2:4" ht="16.5" thickBot="1">
      <c r="B117" s="412">
        <v>93</v>
      </c>
      <c r="C117" s="413" t="s">
        <v>661</v>
      </c>
      <c r="D117" s="414" t="s">
        <v>623</v>
      </c>
    </row>
  </sheetData>
  <mergeCells count="12">
    <mergeCell ref="B110:D110"/>
    <mergeCell ref="B13:D13"/>
    <mergeCell ref="B17:D17"/>
    <mergeCell ref="B23:D23"/>
    <mergeCell ref="B31:D31"/>
    <mergeCell ref="B47:D47"/>
    <mergeCell ref="B52:D52"/>
    <mergeCell ref="B56:D56"/>
    <mergeCell ref="B57:D57"/>
    <mergeCell ref="B81:D81"/>
    <mergeCell ref="B102:D102"/>
    <mergeCell ref="B107:D10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workbookViewId="0">
      <selection activeCell="D4" sqref="D4:D6"/>
    </sheetView>
  </sheetViews>
  <sheetFormatPr defaultRowHeight="15"/>
  <cols>
    <col min="2" max="2" width="18.85546875" customWidth="1"/>
    <col min="3" max="3" width="26.42578125" customWidth="1"/>
    <col min="4" max="4" width="28.85546875" customWidth="1"/>
    <col min="5" max="5" width="24.140625" customWidth="1"/>
    <col min="6" max="6" width="61" customWidth="1"/>
  </cols>
  <sheetData>
    <row r="1" spans="2:6" ht="15.75" thickBot="1"/>
    <row r="2" spans="2:6" ht="60.75" thickBot="1">
      <c r="B2" s="265" t="s">
        <v>662</v>
      </c>
      <c r="C2" s="417" t="s">
        <v>663</v>
      </c>
      <c r="D2" s="417" t="s">
        <v>664</v>
      </c>
      <c r="E2" s="417" t="s">
        <v>665</v>
      </c>
      <c r="F2" s="418" t="s">
        <v>222</v>
      </c>
    </row>
    <row r="3" spans="2:6" ht="30.75" thickBot="1">
      <c r="B3" s="419" t="s">
        <v>528</v>
      </c>
      <c r="C3" s="420" t="s">
        <v>666</v>
      </c>
      <c r="D3" s="420" t="s">
        <v>667</v>
      </c>
      <c r="E3" s="420" t="s">
        <v>540</v>
      </c>
      <c r="F3" s="421"/>
    </row>
    <row r="4" spans="2:6" ht="45">
      <c r="B4" s="588" t="s">
        <v>668</v>
      </c>
      <c r="C4" s="619">
        <v>0.65</v>
      </c>
      <c r="D4" s="619">
        <v>0.7</v>
      </c>
      <c r="E4" s="619">
        <v>0.75</v>
      </c>
      <c r="F4" s="422" t="s">
        <v>669</v>
      </c>
    </row>
    <row r="5" spans="2:6" ht="30">
      <c r="B5" s="618"/>
      <c r="C5" s="620"/>
      <c r="D5" s="620"/>
      <c r="E5" s="620"/>
      <c r="F5" s="422" t="s">
        <v>670</v>
      </c>
    </row>
    <row r="6" spans="2:6" ht="15.75" thickBot="1">
      <c r="B6" s="589"/>
      <c r="C6" s="621"/>
      <c r="D6" s="621"/>
      <c r="E6" s="621"/>
      <c r="F6" s="423" t="s">
        <v>671</v>
      </c>
    </row>
    <row r="7" spans="2:6" ht="45">
      <c r="B7" s="588" t="s">
        <v>672</v>
      </c>
      <c r="C7" s="619">
        <v>0.6</v>
      </c>
      <c r="D7" s="619">
        <v>0.65</v>
      </c>
      <c r="E7" s="619">
        <v>0.7</v>
      </c>
      <c r="F7" s="422" t="s">
        <v>673</v>
      </c>
    </row>
    <row r="8" spans="2:6" ht="30">
      <c r="B8" s="618"/>
      <c r="C8" s="620"/>
      <c r="D8" s="620"/>
      <c r="E8" s="620"/>
      <c r="F8" s="422" t="s">
        <v>674</v>
      </c>
    </row>
    <row r="9" spans="2:6" ht="15.75" thickBot="1">
      <c r="B9" s="589"/>
      <c r="C9" s="621"/>
      <c r="D9" s="621"/>
      <c r="E9" s="621"/>
      <c r="F9" s="423" t="s">
        <v>671</v>
      </c>
    </row>
    <row r="10" spans="2:6" ht="45">
      <c r="B10" s="588" t="s">
        <v>675</v>
      </c>
      <c r="C10" s="619">
        <v>0.65</v>
      </c>
      <c r="D10" s="619">
        <v>0.7</v>
      </c>
      <c r="E10" s="619">
        <v>0.75</v>
      </c>
      <c r="F10" s="422" t="s">
        <v>673</v>
      </c>
    </row>
    <row r="11" spans="2:6" ht="30">
      <c r="B11" s="618"/>
      <c r="C11" s="620"/>
      <c r="D11" s="620"/>
      <c r="E11" s="620"/>
      <c r="F11" s="422" t="s">
        <v>674</v>
      </c>
    </row>
    <row r="12" spans="2:6" ht="15.75" thickBot="1">
      <c r="B12" s="589"/>
      <c r="C12" s="621"/>
      <c r="D12" s="621"/>
      <c r="E12" s="621"/>
      <c r="F12" s="423" t="s">
        <v>671</v>
      </c>
    </row>
    <row r="13" spans="2:6" ht="45">
      <c r="B13" s="588" t="s">
        <v>676</v>
      </c>
      <c r="C13" s="619">
        <v>0.6</v>
      </c>
      <c r="D13" s="619">
        <v>0.65</v>
      </c>
      <c r="E13" s="619">
        <v>0.7</v>
      </c>
      <c r="F13" s="422" t="s">
        <v>673</v>
      </c>
    </row>
    <row r="14" spans="2:6" ht="30">
      <c r="B14" s="618"/>
      <c r="C14" s="620"/>
      <c r="D14" s="620"/>
      <c r="E14" s="620"/>
      <c r="F14" s="422" t="s">
        <v>674</v>
      </c>
    </row>
    <row r="15" spans="2:6" ht="15.75" thickBot="1">
      <c r="B15" s="589"/>
      <c r="C15" s="621"/>
      <c r="D15" s="621"/>
      <c r="E15" s="621"/>
      <c r="F15" s="423" t="s">
        <v>671</v>
      </c>
    </row>
    <row r="16" spans="2:6" ht="45">
      <c r="B16" s="588" t="s">
        <v>677</v>
      </c>
      <c r="C16" s="619">
        <v>0.6</v>
      </c>
      <c r="D16" s="619">
        <v>0.65</v>
      </c>
      <c r="E16" s="619">
        <v>0.7</v>
      </c>
      <c r="F16" s="422" t="s">
        <v>673</v>
      </c>
    </row>
    <row r="17" spans="2:6" ht="30">
      <c r="B17" s="618"/>
      <c r="C17" s="620"/>
      <c r="D17" s="620"/>
      <c r="E17" s="620"/>
      <c r="F17" s="422" t="s">
        <v>674</v>
      </c>
    </row>
    <row r="18" spans="2:6" ht="15.75" thickBot="1">
      <c r="B18" s="589"/>
      <c r="C18" s="621"/>
      <c r="D18" s="621"/>
      <c r="E18" s="621"/>
      <c r="F18" s="423" t="s">
        <v>671</v>
      </c>
    </row>
    <row r="19" spans="2:6" ht="45">
      <c r="B19" s="588" t="s">
        <v>678</v>
      </c>
      <c r="C19" s="619">
        <v>0.6</v>
      </c>
      <c r="D19" s="619">
        <v>0.65</v>
      </c>
      <c r="E19" s="619">
        <v>0.7</v>
      </c>
      <c r="F19" s="422" t="s">
        <v>673</v>
      </c>
    </row>
    <row r="20" spans="2:6" ht="30">
      <c r="B20" s="618"/>
      <c r="C20" s="620"/>
      <c r="D20" s="620"/>
      <c r="E20" s="620"/>
      <c r="F20" s="422" t="s">
        <v>674</v>
      </c>
    </row>
    <row r="21" spans="2:6" ht="15.75" thickBot="1">
      <c r="B21" s="589"/>
      <c r="C21" s="621"/>
      <c r="D21" s="621"/>
      <c r="E21" s="621"/>
      <c r="F21" s="423" t="s">
        <v>671</v>
      </c>
    </row>
    <row r="22" spans="2:6" ht="45">
      <c r="B22" s="588" t="s">
        <v>679</v>
      </c>
      <c r="C22" s="619">
        <v>0.5</v>
      </c>
      <c r="D22" s="622">
        <v>0.6</v>
      </c>
      <c r="E22" s="622">
        <v>0.7</v>
      </c>
      <c r="F22" s="422" t="s">
        <v>673</v>
      </c>
    </row>
    <row r="23" spans="2:6" ht="30">
      <c r="B23" s="618"/>
      <c r="C23" s="620"/>
      <c r="D23" s="623"/>
      <c r="E23" s="623"/>
      <c r="F23" s="422" t="s">
        <v>674</v>
      </c>
    </row>
    <row r="24" spans="2:6" ht="15.75" thickBot="1">
      <c r="B24" s="589"/>
      <c r="C24" s="621"/>
      <c r="D24" s="624"/>
      <c r="E24" s="624"/>
      <c r="F24" s="423" t="s">
        <v>671</v>
      </c>
    </row>
  </sheetData>
  <mergeCells count="28">
    <mergeCell ref="B4:B6"/>
    <mergeCell ref="C4:C6"/>
    <mergeCell ref="D4:D6"/>
    <mergeCell ref="E4:E6"/>
    <mergeCell ref="B7:B9"/>
    <mergeCell ref="C7:C9"/>
    <mergeCell ref="D7:D9"/>
    <mergeCell ref="E7:E9"/>
    <mergeCell ref="B10:B12"/>
    <mergeCell ref="C10:C12"/>
    <mergeCell ref="D10:D12"/>
    <mergeCell ref="E10:E12"/>
    <mergeCell ref="B13:B15"/>
    <mergeCell ref="C13:C15"/>
    <mergeCell ref="D13:D15"/>
    <mergeCell ref="E13:E15"/>
    <mergeCell ref="B22:B24"/>
    <mergeCell ref="C22:C24"/>
    <mergeCell ref="D22:D24"/>
    <mergeCell ref="E22:E24"/>
    <mergeCell ref="B16:B18"/>
    <mergeCell ref="C16:C18"/>
    <mergeCell ref="D16:D18"/>
    <mergeCell ref="E16:E18"/>
    <mergeCell ref="B19:B21"/>
    <mergeCell ref="C19:C21"/>
    <mergeCell ref="D19:D21"/>
    <mergeCell ref="E19:E2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10" sqref="E10"/>
    </sheetView>
  </sheetViews>
  <sheetFormatPr defaultRowHeight="15"/>
  <cols>
    <col min="1" max="1" width="5.7109375" bestFit="1" customWidth="1"/>
    <col min="2" max="2" width="12.5703125" bestFit="1" customWidth="1"/>
    <col min="3" max="3" width="49.5703125" style="124" customWidth="1"/>
    <col min="4" max="4" width="8.42578125" bestFit="1" customWidth="1"/>
    <col min="5" max="5" width="56" customWidth="1"/>
  </cols>
  <sheetData>
    <row r="1" spans="1:5">
      <c r="A1" s="253" t="s">
        <v>270</v>
      </c>
      <c r="B1" s="254" t="s">
        <v>271</v>
      </c>
      <c r="C1" s="253" t="s">
        <v>272</v>
      </c>
      <c r="D1" s="253"/>
      <c r="E1" s="253" t="s">
        <v>273</v>
      </c>
    </row>
    <row r="2" spans="1:5" ht="26.25">
      <c r="A2" s="253">
        <v>1</v>
      </c>
      <c r="B2" s="254" t="s">
        <v>274</v>
      </c>
      <c r="C2" s="253" t="s">
        <v>275</v>
      </c>
      <c r="D2" s="253" t="s">
        <v>276</v>
      </c>
      <c r="E2" s="253" t="str">
        <f t="shared" ref="E2:E31" si="0">CONCATENATE(C2, D2)</f>
        <v>Agriculture and allied activities, fertilizers, sugar and paper, rubber, fishery &amp; poulty    -M001</v>
      </c>
    </row>
    <row r="3" spans="1:5" ht="26.25">
      <c r="A3" s="253">
        <f t="shared" ref="A3:A31" si="1">A2+1</f>
        <v>2</v>
      </c>
      <c r="B3" s="254" t="s">
        <v>274</v>
      </c>
      <c r="C3" s="253" t="s">
        <v>277</v>
      </c>
      <c r="D3" s="253" t="s">
        <v>278</v>
      </c>
      <c r="E3" s="253" t="str">
        <f t="shared" si="0"/>
        <v>Plastics/rubber as a raw material/chemicals and pharma    -M002</v>
      </c>
    </row>
    <row r="4" spans="1:5">
      <c r="A4" s="253">
        <f t="shared" si="1"/>
        <v>3</v>
      </c>
      <c r="B4" s="254" t="s">
        <v>274</v>
      </c>
      <c r="C4" s="253" t="s">
        <v>279</v>
      </c>
      <c r="D4" s="253" t="s">
        <v>280</v>
      </c>
      <c r="E4" s="253" t="str">
        <f t="shared" si="0"/>
        <v>Power,oil and natural gas, petroleum    -M003</v>
      </c>
    </row>
    <row r="5" spans="1:5">
      <c r="A5" s="253">
        <f t="shared" si="1"/>
        <v>4</v>
      </c>
      <c r="B5" s="254" t="s">
        <v>274</v>
      </c>
      <c r="C5" s="253" t="s">
        <v>281</v>
      </c>
      <c r="D5" s="253" t="s">
        <v>282</v>
      </c>
      <c r="E5" s="253" t="str">
        <f t="shared" si="0"/>
        <v>Garments &amp; textiles    -M004</v>
      </c>
    </row>
    <row r="6" spans="1:5">
      <c r="A6" s="253">
        <f t="shared" si="1"/>
        <v>5</v>
      </c>
      <c r="B6" s="254" t="s">
        <v>274</v>
      </c>
      <c r="C6" s="253" t="s">
        <v>283</v>
      </c>
      <c r="D6" s="253" t="s">
        <v>284</v>
      </c>
      <c r="E6" s="253" t="str">
        <f t="shared" si="0"/>
        <v>Leather &amp; footwear    -M005</v>
      </c>
    </row>
    <row r="7" spans="1:5" ht="26.25">
      <c r="A7" s="253">
        <f t="shared" si="1"/>
        <v>6</v>
      </c>
      <c r="B7" s="254" t="s">
        <v>274</v>
      </c>
      <c r="C7" s="253" t="s">
        <v>285</v>
      </c>
      <c r="D7" s="253" t="s">
        <v>286</v>
      </c>
      <c r="E7" s="253" t="str">
        <f t="shared" si="0"/>
        <v>Mining , iron and steel, glass,  and other metals not reated to construction.     -M006</v>
      </c>
    </row>
    <row r="8" spans="1:5">
      <c r="A8" s="253">
        <f t="shared" si="1"/>
        <v>7</v>
      </c>
      <c r="B8" s="254" t="s">
        <v>274</v>
      </c>
      <c r="C8" s="253" t="s">
        <v>287</v>
      </c>
      <c r="D8" s="253" t="s">
        <v>288</v>
      </c>
      <c r="E8" s="253" t="str">
        <f t="shared" si="0"/>
        <v>Infrastructure companies    -M007</v>
      </c>
    </row>
    <row r="9" spans="1:5" ht="51.75">
      <c r="A9" s="253">
        <f t="shared" si="1"/>
        <v>8</v>
      </c>
      <c r="B9" s="254" t="s">
        <v>274</v>
      </c>
      <c r="C9" s="253" t="s">
        <v>289</v>
      </c>
      <c r="D9" s="253" t="s">
        <v>290</v>
      </c>
      <c r="E9" s="253" t="str">
        <f t="shared" si="0"/>
        <v>Builder, real estate, ceramics, property development, and broking, quarry owner, blue metals, building material, furniture, capenter, civil and electrical contrctors and other AMCs    -M008</v>
      </c>
    </row>
    <row r="10" spans="1:5" ht="26.25">
      <c r="A10" s="253">
        <f t="shared" si="1"/>
        <v>9</v>
      </c>
      <c r="B10" s="254" t="s">
        <v>274</v>
      </c>
      <c r="C10" s="253" t="s">
        <v>291</v>
      </c>
      <c r="D10" s="253" t="s">
        <v>292</v>
      </c>
      <c r="E10" s="253" t="str">
        <f t="shared" si="0"/>
        <v>FMCG and consumer durables, personal accessories, beauty care products, hair care    -M009</v>
      </c>
    </row>
    <row r="11" spans="1:5" ht="26.25">
      <c r="A11" s="253">
        <f t="shared" si="1"/>
        <v>10</v>
      </c>
      <c r="B11" s="254" t="s">
        <v>274</v>
      </c>
      <c r="C11" s="253" t="s">
        <v>293</v>
      </c>
      <c r="D11" s="253" t="s">
        <v>294</v>
      </c>
      <c r="E11" s="253" t="str">
        <f t="shared" si="0"/>
        <v>Mahicnery and equipment, cables and wires, IT hardware    -M010</v>
      </c>
    </row>
    <row r="12" spans="1:5">
      <c r="A12" s="253">
        <f t="shared" si="1"/>
        <v>11</v>
      </c>
      <c r="B12" s="254" t="s">
        <v>274</v>
      </c>
      <c r="C12" s="253" t="s">
        <v>295</v>
      </c>
      <c r="D12" s="253" t="s">
        <v>296</v>
      </c>
      <c r="E12" s="253" t="str">
        <f t="shared" si="0"/>
        <v>automobile and auto ancilliaries    -M011</v>
      </c>
    </row>
    <row r="13" spans="1:5">
      <c r="A13" s="253">
        <f t="shared" si="1"/>
        <v>12</v>
      </c>
      <c r="B13" s="254" t="s">
        <v>274</v>
      </c>
      <c r="C13" s="253" t="s">
        <v>297</v>
      </c>
      <c r="D13" s="253" t="s">
        <v>298</v>
      </c>
      <c r="E13" s="253" t="str">
        <f t="shared" si="0"/>
        <v>Gems &amp; Jewellery    -M012</v>
      </c>
    </row>
    <row r="14" spans="1:5">
      <c r="A14" s="253">
        <f t="shared" si="1"/>
        <v>13</v>
      </c>
      <c r="B14" s="254" t="s">
        <v>299</v>
      </c>
      <c r="C14" s="253" t="s">
        <v>300</v>
      </c>
      <c r="D14" s="253" t="s">
        <v>301</v>
      </c>
      <c r="E14" s="253" t="str">
        <f t="shared" si="0"/>
        <v>Trader wholesaler  -T001</v>
      </c>
    </row>
    <row r="15" spans="1:5" ht="26.25">
      <c r="A15" s="253">
        <f t="shared" si="1"/>
        <v>14</v>
      </c>
      <c r="B15" s="254" t="s">
        <v>299</v>
      </c>
      <c r="C15" s="253" t="s">
        <v>302</v>
      </c>
      <c r="D15" s="253" t="s">
        <v>303</v>
      </c>
      <c r="E15" s="253" t="str">
        <f t="shared" si="0"/>
        <v>Trader retailer, including retail services of flour mill, milk distributor, bakery, stationery, petrol pump etc.   -T002</v>
      </c>
    </row>
    <row r="16" spans="1:5" ht="26.25">
      <c r="A16" s="253">
        <f t="shared" si="1"/>
        <v>15</v>
      </c>
      <c r="B16" s="254" t="s">
        <v>304</v>
      </c>
      <c r="C16" s="253" t="s">
        <v>305</v>
      </c>
      <c r="D16" s="253" t="s">
        <v>306</v>
      </c>
      <c r="E16" s="253" t="str">
        <f t="shared" si="0"/>
        <v>Educational institutions and other related to educational sector    -S001</v>
      </c>
    </row>
    <row r="17" spans="1:5" ht="39">
      <c r="A17" s="253">
        <f t="shared" si="1"/>
        <v>16</v>
      </c>
      <c r="B17" s="254" t="s">
        <v>304</v>
      </c>
      <c r="C17" s="253" t="s">
        <v>307</v>
      </c>
      <c r="D17" s="253" t="s">
        <v>308</v>
      </c>
      <c r="E17" s="253" t="str">
        <f t="shared" si="0"/>
        <v>Entertainment and media, production houses, media houses, advertisers and publishers, multplex owners, cable operators, media and film proffesionals    -S002</v>
      </c>
    </row>
    <row r="18" spans="1:5">
      <c r="A18" s="253">
        <f t="shared" si="1"/>
        <v>17</v>
      </c>
      <c r="B18" s="254" t="s">
        <v>304</v>
      </c>
      <c r="C18" s="253" t="s">
        <v>309</v>
      </c>
      <c r="D18" s="253" t="s">
        <v>310</v>
      </c>
      <c r="E18" s="253" t="str">
        <f t="shared" si="0"/>
        <v>Software, IT, BPO, KPO.     -S003</v>
      </c>
    </row>
    <row r="19" spans="1:5" ht="26.25">
      <c r="A19" s="253">
        <f t="shared" si="1"/>
        <v>18</v>
      </c>
      <c r="B19" s="254" t="s">
        <v>304</v>
      </c>
      <c r="C19" s="253" t="s">
        <v>311</v>
      </c>
      <c r="D19" s="253" t="s">
        <v>312</v>
      </c>
      <c r="E19" s="253" t="str">
        <f t="shared" si="0"/>
        <v>Transport and airlinies, logistics including courier services    -S004</v>
      </c>
    </row>
    <row r="20" spans="1:5">
      <c r="A20" s="253">
        <f t="shared" si="1"/>
        <v>19</v>
      </c>
      <c r="B20" s="254" t="s">
        <v>304</v>
      </c>
      <c r="C20" s="253" t="s">
        <v>313</v>
      </c>
      <c r="D20" s="253" t="s">
        <v>314</v>
      </c>
      <c r="E20" s="253" t="str">
        <f t="shared" si="0"/>
        <v>Taxi services and fleet operators.     -S005</v>
      </c>
    </row>
    <row r="21" spans="1:5">
      <c r="A21" s="253">
        <f t="shared" si="1"/>
        <v>20</v>
      </c>
      <c r="B21" s="254" t="s">
        <v>304</v>
      </c>
      <c r="C21" s="253" t="s">
        <v>315</v>
      </c>
      <c r="D21" s="253" t="s">
        <v>316</v>
      </c>
      <c r="E21" s="253" t="str">
        <f t="shared" si="0"/>
        <v>Fianancial, investment, broking, insurance    -S006</v>
      </c>
    </row>
    <row r="22" spans="1:5" ht="26.25">
      <c r="A22" s="253">
        <f t="shared" si="1"/>
        <v>21</v>
      </c>
      <c r="B22" s="254" t="s">
        <v>304</v>
      </c>
      <c r="C22" s="253" t="s">
        <v>317</v>
      </c>
      <c r="D22" s="253" t="s">
        <v>318</v>
      </c>
      <c r="E22" s="253" t="str">
        <f t="shared" si="0"/>
        <v>Consultants - management and others other than real estate, doctors, financial covered above    -S007</v>
      </c>
    </row>
    <row r="23" spans="1:5">
      <c r="A23" s="253">
        <f t="shared" si="1"/>
        <v>22</v>
      </c>
      <c r="B23" s="254" t="s">
        <v>304</v>
      </c>
      <c r="C23" s="253" t="s">
        <v>319</v>
      </c>
      <c r="D23" s="253" t="s">
        <v>320</v>
      </c>
      <c r="E23" s="253" t="str">
        <f t="shared" si="0"/>
        <v>Hospitality, tourism, package tour operators    -S008</v>
      </c>
    </row>
    <row r="24" spans="1:5">
      <c r="A24" s="253">
        <f t="shared" si="1"/>
        <v>23</v>
      </c>
      <c r="B24" s="254" t="s">
        <v>304</v>
      </c>
      <c r="C24" s="253" t="s">
        <v>321</v>
      </c>
      <c r="D24" s="253" t="s">
        <v>322</v>
      </c>
      <c r="E24" s="253" t="str">
        <f t="shared" si="0"/>
        <v>Health and hospitality - hospitals, hotels, doctors etc    -S009</v>
      </c>
    </row>
    <row r="25" spans="1:5">
      <c r="A25" s="253">
        <f t="shared" si="1"/>
        <v>24</v>
      </c>
      <c r="B25" s="254" t="s">
        <v>304</v>
      </c>
      <c r="C25" s="253" t="s">
        <v>323</v>
      </c>
      <c r="D25" s="253" t="s">
        <v>324</v>
      </c>
      <c r="E25" s="253" t="str">
        <f t="shared" si="0"/>
        <v>liquor, wine contractors, distilleries.    -S010</v>
      </c>
    </row>
    <row r="26" spans="1:5">
      <c r="A26" s="253">
        <f t="shared" si="1"/>
        <v>25</v>
      </c>
      <c r="B26" s="254" t="s">
        <v>304</v>
      </c>
      <c r="C26" s="253" t="s">
        <v>325</v>
      </c>
      <c r="D26" s="253" t="s">
        <v>326</v>
      </c>
      <c r="E26" s="253" t="str">
        <f t="shared" si="0"/>
        <v>Landlords, rentals income    -S011</v>
      </c>
    </row>
    <row r="27" spans="1:5" ht="39">
      <c r="A27" s="253">
        <f t="shared" si="1"/>
        <v>26</v>
      </c>
      <c r="B27" s="254" t="s">
        <v>304</v>
      </c>
      <c r="C27" s="253" t="s">
        <v>327</v>
      </c>
      <c r="D27" s="253" t="s">
        <v>328</v>
      </c>
      <c r="E27" s="253" t="str">
        <f t="shared" si="0"/>
        <v>Salaried - State and central Govt servants, servants of local bodies and authorities including army and PSU employees    -S012</v>
      </c>
    </row>
    <row r="28" spans="1:5">
      <c r="A28" s="253">
        <f t="shared" si="1"/>
        <v>27</v>
      </c>
      <c r="B28" s="254" t="s">
        <v>304</v>
      </c>
      <c r="C28" s="253" t="s">
        <v>329</v>
      </c>
      <c r="D28" s="253" t="s">
        <v>330</v>
      </c>
      <c r="E28" s="253" t="str">
        <f t="shared" si="0"/>
        <v>Salaried - Private - Organised, Public Limited co's    -S013</v>
      </c>
    </row>
    <row r="29" spans="1:5">
      <c r="A29" s="253">
        <f t="shared" si="1"/>
        <v>28</v>
      </c>
      <c r="B29" s="254" t="s">
        <v>304</v>
      </c>
      <c r="C29" s="253" t="s">
        <v>331</v>
      </c>
      <c r="D29" s="253" t="s">
        <v>332</v>
      </c>
      <c r="E29" s="253" t="str">
        <f t="shared" si="0"/>
        <v>Salaried - Private - Unorganised    -S014</v>
      </c>
    </row>
    <row r="30" spans="1:5">
      <c r="A30" s="253">
        <f t="shared" si="1"/>
        <v>29</v>
      </c>
      <c r="B30" s="254" t="s">
        <v>304</v>
      </c>
      <c r="C30" s="253" t="s">
        <v>333</v>
      </c>
      <c r="D30" s="253" t="s">
        <v>334</v>
      </c>
      <c r="E30" s="253" t="str">
        <f t="shared" si="0"/>
        <v>Telecom industry.     -S015</v>
      </c>
    </row>
    <row r="31" spans="1:5">
      <c r="A31" s="253">
        <f t="shared" si="1"/>
        <v>30</v>
      </c>
      <c r="B31" s="254" t="s">
        <v>104</v>
      </c>
      <c r="C31" s="253" t="s">
        <v>335</v>
      </c>
      <c r="D31" s="253" t="s">
        <v>336</v>
      </c>
      <c r="E31" s="253" t="str">
        <f t="shared" si="0"/>
        <v>Other unorganised businesses.     -O100</v>
      </c>
    </row>
  </sheetData>
  <dataValidations count="1">
    <dataValidation type="list" allowBlank="1" showInputMessage="1" showErrorMessage="1" sqref="C1:C31">
      <formula1>$D$4:$D$27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workbookViewId="0">
      <selection activeCell="C15" sqref="C15"/>
    </sheetView>
  </sheetViews>
  <sheetFormatPr defaultRowHeight="15"/>
  <cols>
    <col min="3" max="3" width="38.28515625" customWidth="1"/>
  </cols>
  <sheetData>
    <row r="2" spans="2:4">
      <c r="B2" s="443" t="s">
        <v>724</v>
      </c>
    </row>
    <row r="3" spans="2:4">
      <c r="B3" s="444" t="s">
        <v>725</v>
      </c>
    </row>
    <row r="4" spans="2:4">
      <c r="B4" s="445" t="s">
        <v>726</v>
      </c>
    </row>
    <row r="5" spans="2:4">
      <c r="B5" s="445" t="s">
        <v>727</v>
      </c>
    </row>
    <row r="6" spans="2:4">
      <c r="B6" s="445" t="s">
        <v>728</v>
      </c>
    </row>
    <row r="7" spans="2:4">
      <c r="B7" s="445" t="s">
        <v>729</v>
      </c>
    </row>
    <row r="8" spans="2:4">
      <c r="B8" s="445" t="s">
        <v>730</v>
      </c>
    </row>
    <row r="9" spans="2:4">
      <c r="B9" s="445" t="s">
        <v>731</v>
      </c>
    </row>
    <row r="10" spans="2:4">
      <c r="B10" s="445" t="s">
        <v>732</v>
      </c>
    </row>
    <row r="11" spans="2:4">
      <c r="B11" s="444" t="s">
        <v>733</v>
      </c>
    </row>
    <row r="12" spans="2:4">
      <c r="B12" s="447" t="s">
        <v>734</v>
      </c>
    </row>
    <row r="13" spans="2:4" ht="15.75" thickBot="1">
      <c r="B13" s="446"/>
    </row>
    <row r="14" spans="2:4" ht="30.75" thickBot="1">
      <c r="C14" s="448" t="s">
        <v>735</v>
      </c>
      <c r="D14" s="449" t="s">
        <v>736</v>
      </c>
    </row>
    <row r="15" spans="2:4" ht="30.75" thickBot="1">
      <c r="C15" s="450" t="s">
        <v>737</v>
      </c>
      <c r="D15" s="451" t="s">
        <v>738</v>
      </c>
    </row>
    <row r="16" spans="2:4" ht="30.75" thickBot="1">
      <c r="C16" s="450" t="s">
        <v>739</v>
      </c>
      <c r="D16" s="451" t="s">
        <v>740</v>
      </c>
    </row>
    <row r="17" spans="3:4" ht="15.75" thickBot="1">
      <c r="C17" s="450" t="s">
        <v>741</v>
      </c>
      <c r="D17" s="451" t="s">
        <v>742</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tabSelected="1" workbookViewId="0">
      <selection activeCell="L11" sqref="L11"/>
    </sheetView>
  </sheetViews>
  <sheetFormatPr defaultColWidth="8.7109375" defaultRowHeight="15"/>
  <cols>
    <col min="1" max="1" width="8.7109375" style="126"/>
    <col min="2" max="2" width="30.85546875" style="126" bestFit="1" customWidth="1"/>
    <col min="3" max="3" width="17.5703125" style="126" customWidth="1"/>
    <col min="4" max="4" width="15.28515625" style="126" customWidth="1"/>
    <col min="5" max="16384" width="8.7109375" style="126"/>
  </cols>
  <sheetData>
    <row r="3" spans="2:4">
      <c r="B3" s="399" t="s">
        <v>519</v>
      </c>
      <c r="C3" s="625"/>
      <c r="D3" s="625"/>
    </row>
    <row r="4" spans="2:4">
      <c r="B4" s="400"/>
      <c r="C4" s="625" t="s">
        <v>518</v>
      </c>
      <c r="D4" s="625"/>
    </row>
    <row r="5" spans="2:4">
      <c r="B5" s="400"/>
      <c r="C5" s="401" t="s">
        <v>517</v>
      </c>
      <c r="D5" s="401" t="s">
        <v>505</v>
      </c>
    </row>
    <row r="6" spans="2:4">
      <c r="B6" s="402" t="s">
        <v>506</v>
      </c>
      <c r="C6" s="403"/>
      <c r="D6" s="403"/>
    </row>
    <row r="7" spans="2:4">
      <c r="B7" s="404" t="s">
        <v>507</v>
      </c>
      <c r="C7" s="405"/>
      <c r="D7" s="405"/>
    </row>
    <row r="8" spans="2:4">
      <c r="B8" s="404" t="s">
        <v>508</v>
      </c>
      <c r="C8" s="405"/>
      <c r="D8" s="405"/>
    </row>
    <row r="9" spans="2:4">
      <c r="B9" s="404" t="s">
        <v>509</v>
      </c>
      <c r="C9" s="405"/>
      <c r="D9" s="405"/>
    </row>
    <row r="10" spans="2:4">
      <c r="B10" s="404" t="s">
        <v>510</v>
      </c>
      <c r="C10" s="405"/>
      <c r="D10" s="405"/>
    </row>
    <row r="11" spans="2:4">
      <c r="B11" s="404" t="s">
        <v>511</v>
      </c>
      <c r="C11" s="405"/>
      <c r="D11" s="405"/>
    </row>
    <row r="12" spans="2:4">
      <c r="B12" s="399" t="s">
        <v>512</v>
      </c>
      <c r="C12" s="406">
        <f>SUM(C7:C11)</f>
        <v>0</v>
      </c>
      <c r="D12" s="406">
        <f t="shared" ref="D12" si="0">SUM(D7:D11)</f>
        <v>0</v>
      </c>
    </row>
    <row r="13" spans="2:4">
      <c r="B13" s="399" t="s">
        <v>513</v>
      </c>
      <c r="C13" s="406"/>
      <c r="D13" s="406"/>
    </row>
    <row r="14" spans="2:4">
      <c r="B14" s="407" t="s">
        <v>514</v>
      </c>
      <c r="C14" s="405"/>
      <c r="D14" s="405"/>
    </row>
    <row r="15" spans="2:4">
      <c r="B15" s="407" t="s">
        <v>484</v>
      </c>
      <c r="C15" s="405"/>
      <c r="D15" s="405"/>
    </row>
    <row r="16" spans="2:4">
      <c r="B16" s="407" t="s">
        <v>515</v>
      </c>
      <c r="C16" s="405"/>
      <c r="D16" s="405"/>
    </row>
    <row r="17" spans="2:4">
      <c r="B17" s="407" t="s">
        <v>516</v>
      </c>
      <c r="C17" s="408">
        <f>C16+C15+C14-C13</f>
        <v>0</v>
      </c>
      <c r="D17" s="408">
        <f t="shared" ref="D17" si="1">D16+D15+D14-D13</f>
        <v>0</v>
      </c>
    </row>
  </sheetData>
  <mergeCells count="2">
    <mergeCell ref="C3:D3"/>
    <mergeCell ref="C4:D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workbookViewId="0">
      <selection activeCell="G12" sqref="G12"/>
    </sheetView>
  </sheetViews>
  <sheetFormatPr defaultRowHeight="15"/>
  <cols>
    <col min="3" max="3" width="30.5703125" bestFit="1" customWidth="1"/>
    <col min="11" max="11" width="35.42578125" customWidth="1"/>
  </cols>
  <sheetData>
    <row r="1" spans="2:11" ht="15.75" thickBot="1"/>
    <row r="2" spans="2:11" ht="32.25" thickBot="1">
      <c r="B2" s="389" t="s">
        <v>465</v>
      </c>
      <c r="C2" s="390" t="s">
        <v>498</v>
      </c>
      <c r="D2" s="390" t="s">
        <v>499</v>
      </c>
      <c r="E2" s="390" t="s">
        <v>500</v>
      </c>
      <c r="F2" s="390" t="s">
        <v>467</v>
      </c>
      <c r="G2" s="390" t="s">
        <v>501</v>
      </c>
      <c r="H2" s="390" t="s">
        <v>502</v>
      </c>
      <c r="I2" s="390" t="s">
        <v>193</v>
      </c>
      <c r="J2" s="390" t="s">
        <v>503</v>
      </c>
      <c r="K2" s="390" t="s">
        <v>504</v>
      </c>
    </row>
    <row r="3" spans="2:11" ht="15.75" thickBot="1">
      <c r="B3" s="391">
        <v>1</v>
      </c>
      <c r="C3" s="392"/>
      <c r="D3" s="392"/>
      <c r="E3" s="393"/>
      <c r="F3" s="392"/>
      <c r="G3" s="392"/>
      <c r="H3" s="392"/>
      <c r="I3" s="392"/>
      <c r="J3" s="392"/>
      <c r="K3" s="394"/>
    </row>
    <row r="4" spans="2:11" ht="15.75" thickBot="1">
      <c r="B4" s="395">
        <v>2</v>
      </c>
      <c r="C4" s="396"/>
      <c r="D4" s="396"/>
      <c r="E4" s="397"/>
      <c r="F4" s="396"/>
      <c r="G4" s="396"/>
      <c r="H4" s="396"/>
      <c r="I4" s="396"/>
      <c r="J4" s="396"/>
      <c r="K4" s="398"/>
    </row>
    <row r="5" spans="2:11" ht="15.75" thickBot="1">
      <c r="B5" s="395">
        <v>3</v>
      </c>
      <c r="C5" s="396"/>
      <c r="D5" s="396"/>
      <c r="E5" s="397"/>
      <c r="F5" s="396"/>
      <c r="G5" s="396"/>
      <c r="H5" s="396"/>
      <c r="I5" s="396"/>
      <c r="J5" s="396"/>
      <c r="K5" s="398"/>
    </row>
    <row r="6" spans="2:11" ht="15.75" thickBot="1">
      <c r="B6" s="395">
        <v>4</v>
      </c>
      <c r="C6" s="396"/>
      <c r="D6" s="396"/>
      <c r="E6" s="397"/>
      <c r="F6" s="396"/>
      <c r="G6" s="396"/>
      <c r="H6" s="396"/>
      <c r="I6" s="396"/>
      <c r="J6" s="396"/>
      <c r="K6" s="398"/>
    </row>
    <row r="7" spans="2:11" ht="15.75" thickBot="1">
      <c r="B7" s="395">
        <v>5</v>
      </c>
      <c r="C7" s="396"/>
      <c r="D7" s="396"/>
      <c r="E7" s="397"/>
      <c r="F7" s="396"/>
      <c r="G7" s="396"/>
      <c r="H7" s="396"/>
      <c r="I7" s="396"/>
      <c r="J7" s="396"/>
      <c r="K7" s="398"/>
    </row>
    <row r="8" spans="2:11" ht="15.75" thickBot="1">
      <c r="B8" s="395">
        <v>6</v>
      </c>
      <c r="C8" s="396"/>
      <c r="D8" s="396"/>
      <c r="E8" s="397"/>
      <c r="F8" s="396"/>
      <c r="G8" s="396"/>
      <c r="H8" s="396"/>
      <c r="I8" s="396"/>
      <c r="J8" s="396"/>
      <c r="K8" s="39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5"/>
  <sheetViews>
    <sheetView workbookViewId="0">
      <selection activeCell="G16" sqref="G16"/>
    </sheetView>
  </sheetViews>
  <sheetFormatPr defaultColWidth="8.7109375" defaultRowHeight="15"/>
  <cols>
    <col min="1" max="1" width="8.7109375" style="126"/>
    <col min="2" max="2" width="35.140625" style="126" customWidth="1"/>
    <col min="3" max="3" width="14.42578125" style="126" customWidth="1"/>
    <col min="4" max="4" width="14.85546875" style="126" customWidth="1"/>
    <col min="5" max="5" width="16.85546875" style="126" customWidth="1"/>
    <col min="6" max="6" width="20.85546875" style="126" customWidth="1"/>
    <col min="7" max="7" width="21.85546875" style="126" customWidth="1"/>
    <col min="8" max="16384" width="8.7109375" style="126"/>
  </cols>
  <sheetData>
    <row r="1" spans="2:7" ht="15.75" thickBot="1"/>
    <row r="2" spans="2:7" ht="15.75" thickBot="1">
      <c r="B2" s="134"/>
      <c r="C2" s="135" t="s">
        <v>125</v>
      </c>
      <c r="D2" s="135" t="s">
        <v>126</v>
      </c>
      <c r="E2" s="131"/>
      <c r="F2" s="131"/>
    </row>
    <row r="3" spans="2:7" ht="15.75" thickBot="1">
      <c r="B3" s="136" t="s">
        <v>127</v>
      </c>
      <c r="C3" s="137">
        <v>250</v>
      </c>
      <c r="D3" s="137">
        <v>0</v>
      </c>
      <c r="E3" s="131"/>
      <c r="F3" s="131"/>
    </row>
    <row r="4" spans="2:7" ht="15.75" thickBot="1">
      <c r="B4" s="136" t="s">
        <v>128</v>
      </c>
      <c r="C4" s="137">
        <v>12</v>
      </c>
      <c r="D4" s="137">
        <v>12</v>
      </c>
      <c r="E4" s="131"/>
      <c r="F4" s="131"/>
    </row>
    <row r="5" spans="2:7" ht="15.75" thickBot="1">
      <c r="B5" s="136" t="s">
        <v>129</v>
      </c>
      <c r="C5" s="138">
        <v>0.1</v>
      </c>
      <c r="D5" s="138">
        <f>+C5</f>
        <v>0.1</v>
      </c>
    </row>
    <row r="6" spans="2:7" ht="15.75" thickBot="1">
      <c r="B6" s="136" t="s">
        <v>130</v>
      </c>
      <c r="C6" s="139">
        <f>PMT(C5/12,C4*12,-100000,0)</f>
        <v>1195.0782628273339</v>
      </c>
      <c r="D6" s="139">
        <f>PMT(D5/12,D4*12,-100000,0)</f>
        <v>1195.0782628273339</v>
      </c>
    </row>
    <row r="7" spans="2:7" ht="15.75" thickBot="1">
      <c r="B7" s="136" t="s">
        <v>131</v>
      </c>
      <c r="C7" s="140">
        <f>C3*C6</f>
        <v>298769.5657068335</v>
      </c>
      <c r="D7" s="140">
        <f>D3*D6</f>
        <v>0</v>
      </c>
    </row>
    <row r="8" spans="2:7" ht="15.75" thickBot="1">
      <c r="B8" s="136" t="s">
        <v>132</v>
      </c>
      <c r="C8" s="140">
        <f>'Property Details'!D13/100000</f>
        <v>0</v>
      </c>
      <c r="D8" s="140"/>
    </row>
    <row r="9" spans="2:7" ht="15.75" thickBot="1">
      <c r="B9" s="136" t="s">
        <v>133</v>
      </c>
      <c r="C9" s="488" t="e">
        <f>(C3+D3)/C8%</f>
        <v>#DIV/0!</v>
      </c>
      <c r="D9" s="140"/>
    </row>
    <row r="10" spans="2:7" ht="15.75" thickBot="1">
      <c r="C10" s="141"/>
    </row>
    <row r="11" spans="2:7" ht="15.75" thickBot="1">
      <c r="B11" s="515" t="s">
        <v>147</v>
      </c>
      <c r="C11" s="516"/>
      <c r="D11" s="516"/>
      <c r="E11" s="516"/>
      <c r="F11" s="516"/>
      <c r="G11" s="517"/>
    </row>
    <row r="12" spans="2:7" ht="30.75" thickBot="1">
      <c r="B12" s="142" t="s">
        <v>134</v>
      </c>
      <c r="C12" s="143" t="str">
        <f>+Consolidated!C4</f>
        <v>FY 2021-22</v>
      </c>
      <c r="D12" s="143" t="str">
        <f>+Consolidated!D4</f>
        <v>FY 2020-21</v>
      </c>
      <c r="E12" s="143" t="s">
        <v>743</v>
      </c>
      <c r="F12" s="143" t="s">
        <v>146</v>
      </c>
      <c r="G12" s="143" t="s">
        <v>135</v>
      </c>
    </row>
    <row r="13" spans="2:7">
      <c r="B13" s="144" t="s">
        <v>136</v>
      </c>
      <c r="C13" s="145">
        <f>+Consolidated!C16*100000</f>
        <v>23159352.580000002</v>
      </c>
      <c r="D13" s="145">
        <f>+Consolidated!D16*100000</f>
        <v>15046194.500000002</v>
      </c>
      <c r="E13" s="159">
        <f>(C13+D13)/2</f>
        <v>19102773.540000003</v>
      </c>
      <c r="F13" s="275">
        <f>'Business Banking'!F21*100000</f>
        <v>0</v>
      </c>
      <c r="G13" s="146">
        <f>+GST!C16+GST!J16</f>
        <v>18600996</v>
      </c>
    </row>
    <row r="14" spans="2:7" ht="15.75" thickBot="1">
      <c r="B14" s="147" t="s">
        <v>137</v>
      </c>
      <c r="C14" s="148">
        <f>C15/C13</f>
        <v>8.6662868621520131E-2</v>
      </c>
      <c r="D14" s="149">
        <f>D15/D13</f>
        <v>7.3604156851754324E-2</v>
      </c>
      <c r="E14" s="149">
        <f>E15/E13</f>
        <v>8.1520057374872876E-2</v>
      </c>
      <c r="F14" s="150">
        <f>E14</f>
        <v>8.1520057374872876E-2</v>
      </c>
      <c r="G14" s="149">
        <f>E14</f>
        <v>8.1520057374872876E-2</v>
      </c>
    </row>
    <row r="15" spans="2:7" ht="15.75" thickBot="1">
      <c r="B15" s="142" t="s">
        <v>34</v>
      </c>
      <c r="C15" s="151">
        <f>(+Consolidated!C24-Consolidated!C20)*100000</f>
        <v>2007055.9300000034</v>
      </c>
      <c r="D15" s="151">
        <f>(+Consolidated!D24-Consolidated!D20)*100000</f>
        <v>1107462.4600000035</v>
      </c>
      <c r="E15" s="151">
        <f>(C15+D15)/2</f>
        <v>1557259.1950000036</v>
      </c>
      <c r="F15" s="152">
        <f>F13*F14</f>
        <v>0</v>
      </c>
      <c r="G15" s="152">
        <f>G13*G14</f>
        <v>1516354.2611497808</v>
      </c>
    </row>
    <row r="16" spans="2:7" ht="15.75" thickBot="1">
      <c r="B16" s="153" t="s">
        <v>138</v>
      </c>
      <c r="C16" s="154">
        <f>+Consolidated!C36*100000</f>
        <v>97384</v>
      </c>
      <c r="D16" s="154">
        <f>+Consolidated!D36*100000</f>
        <v>116751.99999999999</v>
      </c>
      <c r="E16" s="156">
        <f>(C16+D16)/2</f>
        <v>107068</v>
      </c>
      <c r="F16" s="155">
        <f>E16/E15*F15</f>
        <v>0</v>
      </c>
      <c r="G16" s="156">
        <f>E16/E15*G15</f>
        <v>104255.61689027905</v>
      </c>
    </row>
    <row r="17" spans="2:7" ht="15.75" thickBot="1">
      <c r="B17" s="142" t="s">
        <v>139</v>
      </c>
      <c r="C17" s="142">
        <f>C15-C16</f>
        <v>1909671.9300000034</v>
      </c>
      <c r="D17" s="157">
        <f>D15-D16</f>
        <v>990710.46000000346</v>
      </c>
      <c r="E17" s="157">
        <f>(C17+D17)/2</f>
        <v>1450191.1950000036</v>
      </c>
      <c r="F17" s="157">
        <f>F15-F16</f>
        <v>0</v>
      </c>
      <c r="G17" s="157">
        <f>G15-G16</f>
        <v>1412098.6442595017</v>
      </c>
    </row>
    <row r="18" spans="2:7" ht="30">
      <c r="B18" s="144" t="s">
        <v>140</v>
      </c>
      <c r="C18" s="158">
        <f>+'Loan Details'!O5*12</f>
        <v>274800</v>
      </c>
      <c r="D18" s="158">
        <f>+C18</f>
        <v>274800</v>
      </c>
      <c r="E18" s="146">
        <f>+C18</f>
        <v>274800</v>
      </c>
      <c r="F18" s="159">
        <f>+C18</f>
        <v>274800</v>
      </c>
      <c r="G18" s="146">
        <f>+C18</f>
        <v>274800</v>
      </c>
    </row>
    <row r="19" spans="2:7" ht="15.75" thickBot="1">
      <c r="B19" s="147" t="s">
        <v>141</v>
      </c>
      <c r="C19" s="147">
        <f>(C7+D7)*12</f>
        <v>3585234.788482002</v>
      </c>
      <c r="D19" s="147">
        <f>(C7+D7)*12</f>
        <v>3585234.788482002</v>
      </c>
      <c r="E19" s="161">
        <f>+C19</f>
        <v>3585234.788482002</v>
      </c>
      <c r="F19" s="160">
        <f>+C19</f>
        <v>3585234.788482002</v>
      </c>
      <c r="G19" s="161">
        <f>+C19</f>
        <v>3585234.788482002</v>
      </c>
    </row>
    <row r="20" spans="2:7" ht="15.75" thickBot="1">
      <c r="B20" s="142" t="s">
        <v>142</v>
      </c>
      <c r="C20" s="142">
        <f>C18+C19</f>
        <v>3860034.788482002</v>
      </c>
      <c r="D20" s="157">
        <f>D18+D19</f>
        <v>3860034.788482002</v>
      </c>
      <c r="E20" s="157">
        <f>E18+E19</f>
        <v>3860034.788482002</v>
      </c>
      <c r="F20" s="157">
        <f>F18+F19</f>
        <v>3860034.788482002</v>
      </c>
      <c r="G20" s="157">
        <f>G18+G19</f>
        <v>3860034.788482002</v>
      </c>
    </row>
    <row r="21" spans="2:7" ht="15.75" thickBot="1">
      <c r="B21" s="153" t="s">
        <v>143</v>
      </c>
      <c r="C21" s="162">
        <f>C17/C20</f>
        <v>0.49472920184509567</v>
      </c>
      <c r="D21" s="163">
        <f>D17/D20</f>
        <v>0.25665842778313674</v>
      </c>
      <c r="E21" s="163">
        <f>E17/E20</f>
        <v>0.37569381481411623</v>
      </c>
      <c r="F21" s="163">
        <f>F17/F20</f>
        <v>0</v>
      </c>
      <c r="G21" s="163">
        <f>G17/G20</f>
        <v>0.36582536729282272</v>
      </c>
    </row>
    <row r="22" spans="2:7" ht="15.75" thickBot="1">
      <c r="B22" s="142" t="s">
        <v>144</v>
      </c>
      <c r="C22" s="518">
        <f>MIN(C21:G21)</f>
        <v>0</v>
      </c>
      <c r="D22" s="519"/>
      <c r="E22" s="519"/>
      <c r="F22" s="519"/>
      <c r="G22" s="520"/>
    </row>
    <row r="23" spans="2:7" ht="15.75" thickBot="1">
      <c r="B23" s="142" t="s">
        <v>145</v>
      </c>
      <c r="C23" s="518"/>
      <c r="D23" s="519"/>
      <c r="E23" s="519"/>
      <c r="F23" s="519"/>
      <c r="G23" s="520"/>
    </row>
    <row r="26" spans="2:7">
      <c r="B26" s="522" t="s">
        <v>681</v>
      </c>
      <c r="C26" s="522"/>
      <c r="D26" s="522"/>
      <c r="E26" s="522"/>
      <c r="F26" s="522"/>
    </row>
    <row r="27" spans="2:7">
      <c r="B27" s="424" t="s">
        <v>682</v>
      </c>
      <c r="C27" s="524"/>
      <c r="D27" s="524"/>
      <c r="E27" s="524"/>
      <c r="F27" s="524"/>
    </row>
    <row r="28" spans="2:7">
      <c r="B28" s="425" t="s">
        <v>127</v>
      </c>
      <c r="C28" s="525">
        <v>0</v>
      </c>
      <c r="D28" s="525"/>
      <c r="E28" s="525"/>
      <c r="F28" s="525"/>
    </row>
    <row r="29" spans="2:7">
      <c r="B29" s="425" t="s">
        <v>128</v>
      </c>
      <c r="C29" s="525">
        <v>12</v>
      </c>
      <c r="D29" s="525"/>
      <c r="E29" s="525"/>
      <c r="F29" s="525"/>
    </row>
    <row r="30" spans="2:7">
      <c r="B30" s="425" t="s">
        <v>129</v>
      </c>
      <c r="C30" s="526">
        <v>0.11</v>
      </c>
      <c r="D30" s="526"/>
      <c r="E30" s="526"/>
      <c r="F30" s="526"/>
    </row>
    <row r="31" spans="2:7">
      <c r="B31" s="339" t="s">
        <v>130</v>
      </c>
      <c r="C31" s="523">
        <f>PMT(C30/12,C29*12,-100000,0)</f>
        <v>1253.555255017455</v>
      </c>
      <c r="D31" s="523"/>
      <c r="E31" s="523"/>
      <c r="F31" s="523"/>
    </row>
    <row r="32" spans="2:7">
      <c r="B32" s="425" t="s">
        <v>131</v>
      </c>
      <c r="C32" s="523">
        <f>C28*C31</f>
        <v>0</v>
      </c>
      <c r="D32" s="523"/>
      <c r="E32" s="523"/>
      <c r="F32" s="523"/>
    </row>
    <row r="33" spans="2:6" ht="30">
      <c r="B33" s="426" t="s">
        <v>683</v>
      </c>
      <c r="C33" s="521" t="s">
        <v>685</v>
      </c>
      <c r="D33" s="521"/>
      <c r="E33" s="521"/>
      <c r="F33" s="521"/>
    </row>
    <row r="34" spans="2:6">
      <c r="B34" s="426" t="s">
        <v>684</v>
      </c>
      <c r="C34" s="521" t="s">
        <v>685</v>
      </c>
      <c r="D34" s="521"/>
      <c r="E34" s="521"/>
      <c r="F34" s="521"/>
    </row>
    <row r="35" spans="2:6">
      <c r="B35" s="426" t="s">
        <v>686</v>
      </c>
      <c r="C35" s="521" t="s">
        <v>685</v>
      </c>
      <c r="D35" s="521"/>
      <c r="E35" s="521"/>
      <c r="F35" s="521"/>
    </row>
  </sheetData>
  <mergeCells count="13">
    <mergeCell ref="B11:G11"/>
    <mergeCell ref="C22:G22"/>
    <mergeCell ref="C23:G23"/>
    <mergeCell ref="C35:F35"/>
    <mergeCell ref="B26:F26"/>
    <mergeCell ref="C31:F31"/>
    <mergeCell ref="C32:F32"/>
    <mergeCell ref="C33:F33"/>
    <mergeCell ref="C34:F34"/>
    <mergeCell ref="C27:F27"/>
    <mergeCell ref="C28:F28"/>
    <mergeCell ref="C29:F29"/>
    <mergeCell ref="C30:F30"/>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
  <sheetViews>
    <sheetView workbookViewId="0">
      <selection activeCell="E13" sqref="E13"/>
    </sheetView>
  </sheetViews>
  <sheetFormatPr defaultRowHeight="12.75"/>
  <cols>
    <col min="1" max="1" width="6.7109375" style="350" customWidth="1"/>
    <col min="2" max="2" width="9.140625" style="350" customWidth="1"/>
    <col min="3" max="3" width="14.42578125" style="350" customWidth="1"/>
    <col min="4" max="4" width="16" style="350" customWidth="1"/>
    <col min="5" max="5" width="9.5703125" style="350" customWidth="1"/>
    <col min="6" max="6" width="9.5703125" style="350" bestFit="1" customWidth="1"/>
    <col min="7" max="7" width="19.42578125" style="350" customWidth="1"/>
    <col min="8" max="8" width="12.42578125" style="350" customWidth="1"/>
    <col min="9" max="9" width="9.7109375" style="350" customWidth="1"/>
    <col min="10" max="10" width="15.5703125" style="350" bestFit="1" customWidth="1"/>
    <col min="11" max="11" width="18.85546875" style="350" bestFit="1" customWidth="1"/>
    <col min="12" max="12" width="78.5703125" style="350" customWidth="1"/>
    <col min="13" max="254" width="8.7109375" style="347"/>
    <col min="255" max="256" width="6.7109375" style="347" customWidth="1"/>
    <col min="257" max="257" width="14.42578125" style="347" customWidth="1"/>
    <col min="258" max="258" width="12.85546875" style="347" customWidth="1"/>
    <col min="259" max="259" width="9.5703125" style="347" customWidth="1"/>
    <col min="260" max="260" width="9.5703125" style="347" bestFit="1" customWidth="1"/>
    <col min="261" max="261" width="24.42578125" style="347" bestFit="1" customWidth="1"/>
    <col min="262" max="262" width="12.42578125" style="347" customWidth="1"/>
    <col min="263" max="263" width="9.7109375" style="347" customWidth="1"/>
    <col min="264" max="264" width="12.42578125" style="347" customWidth="1"/>
    <col min="265" max="265" width="17.5703125" style="347" customWidth="1"/>
    <col min="266" max="266" width="51.7109375" style="347" customWidth="1"/>
    <col min="267" max="267" width="16.42578125" style="347" customWidth="1"/>
    <col min="268" max="268" width="14.5703125" style="347" customWidth="1"/>
    <col min="269" max="510" width="8.7109375" style="347"/>
    <col min="511" max="512" width="6.7109375" style="347" customWidth="1"/>
    <col min="513" max="513" width="14.42578125" style="347" customWidth="1"/>
    <col min="514" max="514" width="12.85546875" style="347" customWidth="1"/>
    <col min="515" max="515" width="9.5703125" style="347" customWidth="1"/>
    <col min="516" max="516" width="9.5703125" style="347" bestFit="1" customWidth="1"/>
    <col min="517" max="517" width="24.42578125" style="347" bestFit="1" customWidth="1"/>
    <col min="518" max="518" width="12.42578125" style="347" customWidth="1"/>
    <col min="519" max="519" width="9.7109375" style="347" customWidth="1"/>
    <col min="520" max="520" width="12.42578125" style="347" customWidth="1"/>
    <col min="521" max="521" width="17.5703125" style="347" customWidth="1"/>
    <col min="522" max="522" width="51.7109375" style="347" customWidth="1"/>
    <col min="523" max="523" width="16.42578125" style="347" customWidth="1"/>
    <col min="524" max="524" width="14.5703125" style="347" customWidth="1"/>
    <col min="525" max="766" width="8.7109375" style="347"/>
    <col min="767" max="768" width="6.7109375" style="347" customWidth="1"/>
    <col min="769" max="769" width="14.42578125" style="347" customWidth="1"/>
    <col min="770" max="770" width="12.85546875" style="347" customWidth="1"/>
    <col min="771" max="771" width="9.5703125" style="347" customWidth="1"/>
    <col min="772" max="772" width="9.5703125" style="347" bestFit="1" customWidth="1"/>
    <col min="773" max="773" width="24.42578125" style="347" bestFit="1" customWidth="1"/>
    <col min="774" max="774" width="12.42578125" style="347" customWidth="1"/>
    <col min="775" max="775" width="9.7109375" style="347" customWidth="1"/>
    <col min="776" max="776" width="12.42578125" style="347" customWidth="1"/>
    <col min="777" max="777" width="17.5703125" style="347" customWidth="1"/>
    <col min="778" max="778" width="51.7109375" style="347" customWidth="1"/>
    <col min="779" max="779" width="16.42578125" style="347" customWidth="1"/>
    <col min="780" max="780" width="14.5703125" style="347" customWidth="1"/>
    <col min="781" max="1022" width="8.7109375" style="347"/>
    <col min="1023" max="1024" width="6.7109375" style="347" customWidth="1"/>
    <col min="1025" max="1025" width="14.42578125" style="347" customWidth="1"/>
    <col min="1026" max="1026" width="12.85546875" style="347" customWidth="1"/>
    <col min="1027" max="1027" width="9.5703125" style="347" customWidth="1"/>
    <col min="1028" max="1028" width="9.5703125" style="347" bestFit="1" customWidth="1"/>
    <col min="1029" max="1029" width="24.42578125" style="347" bestFit="1" customWidth="1"/>
    <col min="1030" max="1030" width="12.42578125" style="347" customWidth="1"/>
    <col min="1031" max="1031" width="9.7109375" style="347" customWidth="1"/>
    <col min="1032" max="1032" width="12.42578125" style="347" customWidth="1"/>
    <col min="1033" max="1033" width="17.5703125" style="347" customWidth="1"/>
    <col min="1034" max="1034" width="51.7109375" style="347" customWidth="1"/>
    <col min="1035" max="1035" width="16.42578125" style="347" customWidth="1"/>
    <col min="1036" max="1036" width="14.5703125" style="347" customWidth="1"/>
    <col min="1037" max="1278" width="8.7109375" style="347"/>
    <col min="1279" max="1280" width="6.7109375" style="347" customWidth="1"/>
    <col min="1281" max="1281" width="14.42578125" style="347" customWidth="1"/>
    <col min="1282" max="1282" width="12.85546875" style="347" customWidth="1"/>
    <col min="1283" max="1283" width="9.5703125" style="347" customWidth="1"/>
    <col min="1284" max="1284" width="9.5703125" style="347" bestFit="1" customWidth="1"/>
    <col min="1285" max="1285" width="24.42578125" style="347" bestFit="1" customWidth="1"/>
    <col min="1286" max="1286" width="12.42578125" style="347" customWidth="1"/>
    <col min="1287" max="1287" width="9.7109375" style="347" customWidth="1"/>
    <col min="1288" max="1288" width="12.42578125" style="347" customWidth="1"/>
    <col min="1289" max="1289" width="17.5703125" style="347" customWidth="1"/>
    <col min="1290" max="1290" width="51.7109375" style="347" customWidth="1"/>
    <col min="1291" max="1291" width="16.42578125" style="347" customWidth="1"/>
    <col min="1292" max="1292" width="14.5703125" style="347" customWidth="1"/>
    <col min="1293" max="1534" width="8.7109375" style="347"/>
    <col min="1535" max="1536" width="6.7109375" style="347" customWidth="1"/>
    <col min="1537" max="1537" width="14.42578125" style="347" customWidth="1"/>
    <col min="1538" max="1538" width="12.85546875" style="347" customWidth="1"/>
    <col min="1539" max="1539" width="9.5703125" style="347" customWidth="1"/>
    <col min="1540" max="1540" width="9.5703125" style="347" bestFit="1" customWidth="1"/>
    <col min="1541" max="1541" width="24.42578125" style="347" bestFit="1" customWidth="1"/>
    <col min="1542" max="1542" width="12.42578125" style="347" customWidth="1"/>
    <col min="1543" max="1543" width="9.7109375" style="347" customWidth="1"/>
    <col min="1544" max="1544" width="12.42578125" style="347" customWidth="1"/>
    <col min="1545" max="1545" width="17.5703125" style="347" customWidth="1"/>
    <col min="1546" max="1546" width="51.7109375" style="347" customWidth="1"/>
    <col min="1547" max="1547" width="16.42578125" style="347" customWidth="1"/>
    <col min="1548" max="1548" width="14.5703125" style="347" customWidth="1"/>
    <col min="1549" max="1790" width="8.7109375" style="347"/>
    <col min="1791" max="1792" width="6.7109375" style="347" customWidth="1"/>
    <col min="1793" max="1793" width="14.42578125" style="347" customWidth="1"/>
    <col min="1794" max="1794" width="12.85546875" style="347" customWidth="1"/>
    <col min="1795" max="1795" width="9.5703125" style="347" customWidth="1"/>
    <col min="1796" max="1796" width="9.5703125" style="347" bestFit="1" customWidth="1"/>
    <col min="1797" max="1797" width="24.42578125" style="347" bestFit="1" customWidth="1"/>
    <col min="1798" max="1798" width="12.42578125" style="347" customWidth="1"/>
    <col min="1799" max="1799" width="9.7109375" style="347" customWidth="1"/>
    <col min="1800" max="1800" width="12.42578125" style="347" customWidth="1"/>
    <col min="1801" max="1801" width="17.5703125" style="347" customWidth="1"/>
    <col min="1802" max="1802" width="51.7109375" style="347" customWidth="1"/>
    <col min="1803" max="1803" width="16.42578125" style="347" customWidth="1"/>
    <col min="1804" max="1804" width="14.5703125" style="347" customWidth="1"/>
    <col min="1805" max="2046" width="8.7109375" style="347"/>
    <col min="2047" max="2048" width="6.7109375" style="347" customWidth="1"/>
    <col min="2049" max="2049" width="14.42578125" style="347" customWidth="1"/>
    <col min="2050" max="2050" width="12.85546875" style="347" customWidth="1"/>
    <col min="2051" max="2051" width="9.5703125" style="347" customWidth="1"/>
    <col min="2052" max="2052" width="9.5703125" style="347" bestFit="1" customWidth="1"/>
    <col min="2053" max="2053" width="24.42578125" style="347" bestFit="1" customWidth="1"/>
    <col min="2054" max="2054" width="12.42578125" style="347" customWidth="1"/>
    <col min="2055" max="2055" width="9.7109375" style="347" customWidth="1"/>
    <col min="2056" max="2056" width="12.42578125" style="347" customWidth="1"/>
    <col min="2057" max="2057" width="17.5703125" style="347" customWidth="1"/>
    <col min="2058" max="2058" width="51.7109375" style="347" customWidth="1"/>
    <col min="2059" max="2059" width="16.42578125" style="347" customWidth="1"/>
    <col min="2060" max="2060" width="14.5703125" style="347" customWidth="1"/>
    <col min="2061" max="2302" width="8.7109375" style="347"/>
    <col min="2303" max="2304" width="6.7109375" style="347" customWidth="1"/>
    <col min="2305" max="2305" width="14.42578125" style="347" customWidth="1"/>
    <col min="2306" max="2306" width="12.85546875" style="347" customWidth="1"/>
    <col min="2307" max="2307" width="9.5703125" style="347" customWidth="1"/>
    <col min="2308" max="2308" width="9.5703125" style="347" bestFit="1" customWidth="1"/>
    <col min="2309" max="2309" width="24.42578125" style="347" bestFit="1" customWidth="1"/>
    <col min="2310" max="2310" width="12.42578125" style="347" customWidth="1"/>
    <col min="2311" max="2311" width="9.7109375" style="347" customWidth="1"/>
    <col min="2312" max="2312" width="12.42578125" style="347" customWidth="1"/>
    <col min="2313" max="2313" width="17.5703125" style="347" customWidth="1"/>
    <col min="2314" max="2314" width="51.7109375" style="347" customWidth="1"/>
    <col min="2315" max="2315" width="16.42578125" style="347" customWidth="1"/>
    <col min="2316" max="2316" width="14.5703125" style="347" customWidth="1"/>
    <col min="2317" max="2558" width="8.7109375" style="347"/>
    <col min="2559" max="2560" width="6.7109375" style="347" customWidth="1"/>
    <col min="2561" max="2561" width="14.42578125" style="347" customWidth="1"/>
    <col min="2562" max="2562" width="12.85546875" style="347" customWidth="1"/>
    <col min="2563" max="2563" width="9.5703125" style="347" customWidth="1"/>
    <col min="2564" max="2564" width="9.5703125" style="347" bestFit="1" customWidth="1"/>
    <col min="2565" max="2565" width="24.42578125" style="347" bestFit="1" customWidth="1"/>
    <col min="2566" max="2566" width="12.42578125" style="347" customWidth="1"/>
    <col min="2567" max="2567" width="9.7109375" style="347" customWidth="1"/>
    <col min="2568" max="2568" width="12.42578125" style="347" customWidth="1"/>
    <col min="2569" max="2569" width="17.5703125" style="347" customWidth="1"/>
    <col min="2570" max="2570" width="51.7109375" style="347" customWidth="1"/>
    <col min="2571" max="2571" width="16.42578125" style="347" customWidth="1"/>
    <col min="2572" max="2572" width="14.5703125" style="347" customWidth="1"/>
    <col min="2573" max="2814" width="8.7109375" style="347"/>
    <col min="2815" max="2816" width="6.7109375" style="347" customWidth="1"/>
    <col min="2817" max="2817" width="14.42578125" style="347" customWidth="1"/>
    <col min="2818" max="2818" width="12.85546875" style="347" customWidth="1"/>
    <col min="2819" max="2819" width="9.5703125" style="347" customWidth="1"/>
    <col min="2820" max="2820" width="9.5703125" style="347" bestFit="1" customWidth="1"/>
    <col min="2821" max="2821" width="24.42578125" style="347" bestFit="1" customWidth="1"/>
    <col min="2822" max="2822" width="12.42578125" style="347" customWidth="1"/>
    <col min="2823" max="2823" width="9.7109375" style="347" customWidth="1"/>
    <col min="2824" max="2824" width="12.42578125" style="347" customWidth="1"/>
    <col min="2825" max="2825" width="17.5703125" style="347" customWidth="1"/>
    <col min="2826" max="2826" width="51.7109375" style="347" customWidth="1"/>
    <col min="2827" max="2827" width="16.42578125" style="347" customWidth="1"/>
    <col min="2828" max="2828" width="14.5703125" style="347" customWidth="1"/>
    <col min="2829" max="3070" width="8.7109375" style="347"/>
    <col min="3071" max="3072" width="6.7109375" style="347" customWidth="1"/>
    <col min="3073" max="3073" width="14.42578125" style="347" customWidth="1"/>
    <col min="3074" max="3074" width="12.85546875" style="347" customWidth="1"/>
    <col min="3075" max="3075" width="9.5703125" style="347" customWidth="1"/>
    <col min="3076" max="3076" width="9.5703125" style="347" bestFit="1" customWidth="1"/>
    <col min="3077" max="3077" width="24.42578125" style="347" bestFit="1" customWidth="1"/>
    <col min="3078" max="3078" width="12.42578125" style="347" customWidth="1"/>
    <col min="3079" max="3079" width="9.7109375" style="347" customWidth="1"/>
    <col min="3080" max="3080" width="12.42578125" style="347" customWidth="1"/>
    <col min="3081" max="3081" width="17.5703125" style="347" customWidth="1"/>
    <col min="3082" max="3082" width="51.7109375" style="347" customWidth="1"/>
    <col min="3083" max="3083" width="16.42578125" style="347" customWidth="1"/>
    <col min="3084" max="3084" width="14.5703125" style="347" customWidth="1"/>
    <col min="3085" max="3326" width="8.7109375" style="347"/>
    <col min="3327" max="3328" width="6.7109375" style="347" customWidth="1"/>
    <col min="3329" max="3329" width="14.42578125" style="347" customWidth="1"/>
    <col min="3330" max="3330" width="12.85546875" style="347" customWidth="1"/>
    <col min="3331" max="3331" width="9.5703125" style="347" customWidth="1"/>
    <col min="3332" max="3332" width="9.5703125" style="347" bestFit="1" customWidth="1"/>
    <col min="3333" max="3333" width="24.42578125" style="347" bestFit="1" customWidth="1"/>
    <col min="3334" max="3334" width="12.42578125" style="347" customWidth="1"/>
    <col min="3335" max="3335" width="9.7109375" style="347" customWidth="1"/>
    <col min="3336" max="3336" width="12.42578125" style="347" customWidth="1"/>
    <col min="3337" max="3337" width="17.5703125" style="347" customWidth="1"/>
    <col min="3338" max="3338" width="51.7109375" style="347" customWidth="1"/>
    <col min="3339" max="3339" width="16.42578125" style="347" customWidth="1"/>
    <col min="3340" max="3340" width="14.5703125" style="347" customWidth="1"/>
    <col min="3341" max="3582" width="8.7109375" style="347"/>
    <col min="3583" max="3584" width="6.7109375" style="347" customWidth="1"/>
    <col min="3585" max="3585" width="14.42578125" style="347" customWidth="1"/>
    <col min="3586" max="3586" width="12.85546875" style="347" customWidth="1"/>
    <col min="3587" max="3587" width="9.5703125" style="347" customWidth="1"/>
    <col min="3588" max="3588" width="9.5703125" style="347" bestFit="1" customWidth="1"/>
    <col min="3589" max="3589" width="24.42578125" style="347" bestFit="1" customWidth="1"/>
    <col min="3590" max="3590" width="12.42578125" style="347" customWidth="1"/>
    <col min="3591" max="3591" width="9.7109375" style="347" customWidth="1"/>
    <col min="3592" max="3592" width="12.42578125" style="347" customWidth="1"/>
    <col min="3593" max="3593" width="17.5703125" style="347" customWidth="1"/>
    <col min="3594" max="3594" width="51.7109375" style="347" customWidth="1"/>
    <col min="3595" max="3595" width="16.42578125" style="347" customWidth="1"/>
    <col min="3596" max="3596" width="14.5703125" style="347" customWidth="1"/>
    <col min="3597" max="3838" width="8.7109375" style="347"/>
    <col min="3839" max="3840" width="6.7109375" style="347" customWidth="1"/>
    <col min="3841" max="3841" width="14.42578125" style="347" customWidth="1"/>
    <col min="3842" max="3842" width="12.85546875" style="347" customWidth="1"/>
    <col min="3843" max="3843" width="9.5703125" style="347" customWidth="1"/>
    <col min="3844" max="3844" width="9.5703125" style="347" bestFit="1" customWidth="1"/>
    <col min="3845" max="3845" width="24.42578125" style="347" bestFit="1" customWidth="1"/>
    <col min="3846" max="3846" width="12.42578125" style="347" customWidth="1"/>
    <col min="3847" max="3847" width="9.7109375" style="347" customWidth="1"/>
    <col min="3848" max="3848" width="12.42578125" style="347" customWidth="1"/>
    <col min="3849" max="3849" width="17.5703125" style="347" customWidth="1"/>
    <col min="3850" max="3850" width="51.7109375" style="347" customWidth="1"/>
    <col min="3851" max="3851" width="16.42578125" style="347" customWidth="1"/>
    <col min="3852" max="3852" width="14.5703125" style="347" customWidth="1"/>
    <col min="3853" max="4094" width="8.7109375" style="347"/>
    <col min="4095" max="4096" width="6.7109375" style="347" customWidth="1"/>
    <col min="4097" max="4097" width="14.42578125" style="347" customWidth="1"/>
    <col min="4098" max="4098" width="12.85546875" style="347" customWidth="1"/>
    <col min="4099" max="4099" width="9.5703125" style="347" customWidth="1"/>
    <col min="4100" max="4100" width="9.5703125" style="347" bestFit="1" customWidth="1"/>
    <col min="4101" max="4101" width="24.42578125" style="347" bestFit="1" customWidth="1"/>
    <col min="4102" max="4102" width="12.42578125" style="347" customWidth="1"/>
    <col min="4103" max="4103" width="9.7109375" style="347" customWidth="1"/>
    <col min="4104" max="4104" width="12.42578125" style="347" customWidth="1"/>
    <col min="4105" max="4105" width="17.5703125" style="347" customWidth="1"/>
    <col min="4106" max="4106" width="51.7109375" style="347" customWidth="1"/>
    <col min="4107" max="4107" width="16.42578125" style="347" customWidth="1"/>
    <col min="4108" max="4108" width="14.5703125" style="347" customWidth="1"/>
    <col min="4109" max="4350" width="8.7109375" style="347"/>
    <col min="4351" max="4352" width="6.7109375" style="347" customWidth="1"/>
    <col min="4353" max="4353" width="14.42578125" style="347" customWidth="1"/>
    <col min="4354" max="4354" width="12.85546875" style="347" customWidth="1"/>
    <col min="4355" max="4355" width="9.5703125" style="347" customWidth="1"/>
    <col min="4356" max="4356" width="9.5703125" style="347" bestFit="1" customWidth="1"/>
    <col min="4357" max="4357" width="24.42578125" style="347" bestFit="1" customWidth="1"/>
    <col min="4358" max="4358" width="12.42578125" style="347" customWidth="1"/>
    <col min="4359" max="4359" width="9.7109375" style="347" customWidth="1"/>
    <col min="4360" max="4360" width="12.42578125" style="347" customWidth="1"/>
    <col min="4361" max="4361" width="17.5703125" style="347" customWidth="1"/>
    <col min="4362" max="4362" width="51.7109375" style="347" customWidth="1"/>
    <col min="4363" max="4363" width="16.42578125" style="347" customWidth="1"/>
    <col min="4364" max="4364" width="14.5703125" style="347" customWidth="1"/>
    <col min="4365" max="4606" width="8.7109375" style="347"/>
    <col min="4607" max="4608" width="6.7109375" style="347" customWidth="1"/>
    <col min="4609" max="4609" width="14.42578125" style="347" customWidth="1"/>
    <col min="4610" max="4610" width="12.85546875" style="347" customWidth="1"/>
    <col min="4611" max="4611" width="9.5703125" style="347" customWidth="1"/>
    <col min="4612" max="4612" width="9.5703125" style="347" bestFit="1" customWidth="1"/>
    <col min="4613" max="4613" width="24.42578125" style="347" bestFit="1" customWidth="1"/>
    <col min="4614" max="4614" width="12.42578125" style="347" customWidth="1"/>
    <col min="4615" max="4615" width="9.7109375" style="347" customWidth="1"/>
    <col min="4616" max="4616" width="12.42578125" style="347" customWidth="1"/>
    <col min="4617" max="4617" width="17.5703125" style="347" customWidth="1"/>
    <col min="4618" max="4618" width="51.7109375" style="347" customWidth="1"/>
    <col min="4619" max="4619" width="16.42578125" style="347" customWidth="1"/>
    <col min="4620" max="4620" width="14.5703125" style="347" customWidth="1"/>
    <col min="4621" max="4862" width="8.7109375" style="347"/>
    <col min="4863" max="4864" width="6.7109375" style="347" customWidth="1"/>
    <col min="4865" max="4865" width="14.42578125" style="347" customWidth="1"/>
    <col min="4866" max="4866" width="12.85546875" style="347" customWidth="1"/>
    <col min="4867" max="4867" width="9.5703125" style="347" customWidth="1"/>
    <col min="4868" max="4868" width="9.5703125" style="347" bestFit="1" customWidth="1"/>
    <col min="4869" max="4869" width="24.42578125" style="347" bestFit="1" customWidth="1"/>
    <col min="4870" max="4870" width="12.42578125" style="347" customWidth="1"/>
    <col min="4871" max="4871" width="9.7109375" style="347" customWidth="1"/>
    <col min="4872" max="4872" width="12.42578125" style="347" customWidth="1"/>
    <col min="4873" max="4873" width="17.5703125" style="347" customWidth="1"/>
    <col min="4874" max="4874" width="51.7109375" style="347" customWidth="1"/>
    <col min="4875" max="4875" width="16.42578125" style="347" customWidth="1"/>
    <col min="4876" max="4876" width="14.5703125" style="347" customWidth="1"/>
    <col min="4877" max="5118" width="8.7109375" style="347"/>
    <col min="5119" max="5120" width="6.7109375" style="347" customWidth="1"/>
    <col min="5121" max="5121" width="14.42578125" style="347" customWidth="1"/>
    <col min="5122" max="5122" width="12.85546875" style="347" customWidth="1"/>
    <col min="5123" max="5123" width="9.5703125" style="347" customWidth="1"/>
    <col min="5124" max="5124" width="9.5703125" style="347" bestFit="1" customWidth="1"/>
    <col min="5125" max="5125" width="24.42578125" style="347" bestFit="1" customWidth="1"/>
    <col min="5126" max="5126" width="12.42578125" style="347" customWidth="1"/>
    <col min="5127" max="5127" width="9.7109375" style="347" customWidth="1"/>
    <col min="5128" max="5128" width="12.42578125" style="347" customWidth="1"/>
    <col min="5129" max="5129" width="17.5703125" style="347" customWidth="1"/>
    <col min="5130" max="5130" width="51.7109375" style="347" customWidth="1"/>
    <col min="5131" max="5131" width="16.42578125" style="347" customWidth="1"/>
    <col min="5132" max="5132" width="14.5703125" style="347" customWidth="1"/>
    <col min="5133" max="5374" width="8.7109375" style="347"/>
    <col min="5375" max="5376" width="6.7109375" style="347" customWidth="1"/>
    <col min="5377" max="5377" width="14.42578125" style="347" customWidth="1"/>
    <col min="5378" max="5378" width="12.85546875" style="347" customWidth="1"/>
    <col min="5379" max="5379" width="9.5703125" style="347" customWidth="1"/>
    <col min="5380" max="5380" width="9.5703125" style="347" bestFit="1" customWidth="1"/>
    <col min="5381" max="5381" width="24.42578125" style="347" bestFit="1" customWidth="1"/>
    <col min="5382" max="5382" width="12.42578125" style="347" customWidth="1"/>
    <col min="5383" max="5383" width="9.7109375" style="347" customWidth="1"/>
    <col min="5384" max="5384" width="12.42578125" style="347" customWidth="1"/>
    <col min="5385" max="5385" width="17.5703125" style="347" customWidth="1"/>
    <col min="5386" max="5386" width="51.7109375" style="347" customWidth="1"/>
    <col min="5387" max="5387" width="16.42578125" style="347" customWidth="1"/>
    <col min="5388" max="5388" width="14.5703125" style="347" customWidth="1"/>
    <col min="5389" max="5630" width="8.7109375" style="347"/>
    <col min="5631" max="5632" width="6.7109375" style="347" customWidth="1"/>
    <col min="5633" max="5633" width="14.42578125" style="347" customWidth="1"/>
    <col min="5634" max="5634" width="12.85546875" style="347" customWidth="1"/>
    <col min="5635" max="5635" width="9.5703125" style="347" customWidth="1"/>
    <col min="5636" max="5636" width="9.5703125" style="347" bestFit="1" customWidth="1"/>
    <col min="5637" max="5637" width="24.42578125" style="347" bestFit="1" customWidth="1"/>
    <col min="5638" max="5638" width="12.42578125" style="347" customWidth="1"/>
    <col min="5639" max="5639" width="9.7109375" style="347" customWidth="1"/>
    <col min="5640" max="5640" width="12.42578125" style="347" customWidth="1"/>
    <col min="5641" max="5641" width="17.5703125" style="347" customWidth="1"/>
    <col min="5642" max="5642" width="51.7109375" style="347" customWidth="1"/>
    <col min="5643" max="5643" width="16.42578125" style="347" customWidth="1"/>
    <col min="5644" max="5644" width="14.5703125" style="347" customWidth="1"/>
    <col min="5645" max="5886" width="8.7109375" style="347"/>
    <col min="5887" max="5888" width="6.7109375" style="347" customWidth="1"/>
    <col min="5889" max="5889" width="14.42578125" style="347" customWidth="1"/>
    <col min="5890" max="5890" width="12.85546875" style="347" customWidth="1"/>
    <col min="5891" max="5891" width="9.5703125" style="347" customWidth="1"/>
    <col min="5892" max="5892" width="9.5703125" style="347" bestFit="1" customWidth="1"/>
    <col min="5893" max="5893" width="24.42578125" style="347" bestFit="1" customWidth="1"/>
    <col min="5894" max="5894" width="12.42578125" style="347" customWidth="1"/>
    <col min="5895" max="5895" width="9.7109375" style="347" customWidth="1"/>
    <col min="5896" max="5896" width="12.42578125" style="347" customWidth="1"/>
    <col min="5897" max="5897" width="17.5703125" style="347" customWidth="1"/>
    <col min="5898" max="5898" width="51.7109375" style="347" customWidth="1"/>
    <col min="5899" max="5899" width="16.42578125" style="347" customWidth="1"/>
    <col min="5900" max="5900" width="14.5703125" style="347" customWidth="1"/>
    <col min="5901" max="6142" width="8.7109375" style="347"/>
    <col min="6143" max="6144" width="6.7109375" style="347" customWidth="1"/>
    <col min="6145" max="6145" width="14.42578125" style="347" customWidth="1"/>
    <col min="6146" max="6146" width="12.85546875" style="347" customWidth="1"/>
    <col min="6147" max="6147" width="9.5703125" style="347" customWidth="1"/>
    <col min="6148" max="6148" width="9.5703125" style="347" bestFit="1" customWidth="1"/>
    <col min="6149" max="6149" width="24.42578125" style="347" bestFit="1" customWidth="1"/>
    <col min="6150" max="6150" width="12.42578125" style="347" customWidth="1"/>
    <col min="6151" max="6151" width="9.7109375" style="347" customWidth="1"/>
    <col min="6152" max="6152" width="12.42578125" style="347" customWidth="1"/>
    <col min="6153" max="6153" width="17.5703125" style="347" customWidth="1"/>
    <col min="6154" max="6154" width="51.7109375" style="347" customWidth="1"/>
    <col min="6155" max="6155" width="16.42578125" style="347" customWidth="1"/>
    <col min="6156" max="6156" width="14.5703125" style="347" customWidth="1"/>
    <col min="6157" max="6398" width="8.7109375" style="347"/>
    <col min="6399" max="6400" width="6.7109375" style="347" customWidth="1"/>
    <col min="6401" max="6401" width="14.42578125" style="347" customWidth="1"/>
    <col min="6402" max="6402" width="12.85546875" style="347" customWidth="1"/>
    <col min="6403" max="6403" width="9.5703125" style="347" customWidth="1"/>
    <col min="6404" max="6404" width="9.5703125" style="347" bestFit="1" customWidth="1"/>
    <col min="6405" max="6405" width="24.42578125" style="347" bestFit="1" customWidth="1"/>
    <col min="6406" max="6406" width="12.42578125" style="347" customWidth="1"/>
    <col min="6407" max="6407" width="9.7109375" style="347" customWidth="1"/>
    <col min="6408" max="6408" width="12.42578125" style="347" customWidth="1"/>
    <col min="6409" max="6409" width="17.5703125" style="347" customWidth="1"/>
    <col min="6410" max="6410" width="51.7109375" style="347" customWidth="1"/>
    <col min="6411" max="6411" width="16.42578125" style="347" customWidth="1"/>
    <col min="6412" max="6412" width="14.5703125" style="347" customWidth="1"/>
    <col min="6413" max="6654" width="8.7109375" style="347"/>
    <col min="6655" max="6656" width="6.7109375" style="347" customWidth="1"/>
    <col min="6657" max="6657" width="14.42578125" style="347" customWidth="1"/>
    <col min="6658" max="6658" width="12.85546875" style="347" customWidth="1"/>
    <col min="6659" max="6659" width="9.5703125" style="347" customWidth="1"/>
    <col min="6660" max="6660" width="9.5703125" style="347" bestFit="1" customWidth="1"/>
    <col min="6661" max="6661" width="24.42578125" style="347" bestFit="1" customWidth="1"/>
    <col min="6662" max="6662" width="12.42578125" style="347" customWidth="1"/>
    <col min="6663" max="6663" width="9.7109375" style="347" customWidth="1"/>
    <col min="6664" max="6664" width="12.42578125" style="347" customWidth="1"/>
    <col min="6665" max="6665" width="17.5703125" style="347" customWidth="1"/>
    <col min="6666" max="6666" width="51.7109375" style="347" customWidth="1"/>
    <col min="6667" max="6667" width="16.42578125" style="347" customWidth="1"/>
    <col min="6668" max="6668" width="14.5703125" style="347" customWidth="1"/>
    <col min="6669" max="6910" width="8.7109375" style="347"/>
    <col min="6911" max="6912" width="6.7109375" style="347" customWidth="1"/>
    <col min="6913" max="6913" width="14.42578125" style="347" customWidth="1"/>
    <col min="6914" max="6914" width="12.85546875" style="347" customWidth="1"/>
    <col min="6915" max="6915" width="9.5703125" style="347" customWidth="1"/>
    <col min="6916" max="6916" width="9.5703125" style="347" bestFit="1" customWidth="1"/>
    <col min="6917" max="6917" width="24.42578125" style="347" bestFit="1" customWidth="1"/>
    <col min="6918" max="6918" width="12.42578125" style="347" customWidth="1"/>
    <col min="6919" max="6919" width="9.7109375" style="347" customWidth="1"/>
    <col min="6920" max="6920" width="12.42578125" style="347" customWidth="1"/>
    <col min="6921" max="6921" width="17.5703125" style="347" customWidth="1"/>
    <col min="6922" max="6922" width="51.7109375" style="347" customWidth="1"/>
    <col min="6923" max="6923" width="16.42578125" style="347" customWidth="1"/>
    <col min="6924" max="6924" width="14.5703125" style="347" customWidth="1"/>
    <col min="6925" max="7166" width="8.7109375" style="347"/>
    <col min="7167" max="7168" width="6.7109375" style="347" customWidth="1"/>
    <col min="7169" max="7169" width="14.42578125" style="347" customWidth="1"/>
    <col min="7170" max="7170" width="12.85546875" style="347" customWidth="1"/>
    <col min="7171" max="7171" width="9.5703125" style="347" customWidth="1"/>
    <col min="7172" max="7172" width="9.5703125" style="347" bestFit="1" customWidth="1"/>
    <col min="7173" max="7173" width="24.42578125" style="347" bestFit="1" customWidth="1"/>
    <col min="7174" max="7174" width="12.42578125" style="347" customWidth="1"/>
    <col min="7175" max="7175" width="9.7109375" style="347" customWidth="1"/>
    <col min="7176" max="7176" width="12.42578125" style="347" customWidth="1"/>
    <col min="7177" max="7177" width="17.5703125" style="347" customWidth="1"/>
    <col min="7178" max="7178" width="51.7109375" style="347" customWidth="1"/>
    <col min="7179" max="7179" width="16.42578125" style="347" customWidth="1"/>
    <col min="7180" max="7180" width="14.5703125" style="347" customWidth="1"/>
    <col min="7181" max="7422" width="8.7109375" style="347"/>
    <col min="7423" max="7424" width="6.7109375" style="347" customWidth="1"/>
    <col min="7425" max="7425" width="14.42578125" style="347" customWidth="1"/>
    <col min="7426" max="7426" width="12.85546875" style="347" customWidth="1"/>
    <col min="7427" max="7427" width="9.5703125" style="347" customWidth="1"/>
    <col min="7428" max="7428" width="9.5703125" style="347" bestFit="1" customWidth="1"/>
    <col min="7429" max="7429" width="24.42578125" style="347" bestFit="1" customWidth="1"/>
    <col min="7430" max="7430" width="12.42578125" style="347" customWidth="1"/>
    <col min="7431" max="7431" width="9.7109375" style="347" customWidth="1"/>
    <col min="7432" max="7432" width="12.42578125" style="347" customWidth="1"/>
    <col min="7433" max="7433" width="17.5703125" style="347" customWidth="1"/>
    <col min="7434" max="7434" width="51.7109375" style="347" customWidth="1"/>
    <col min="7435" max="7435" width="16.42578125" style="347" customWidth="1"/>
    <col min="7436" max="7436" width="14.5703125" style="347" customWidth="1"/>
    <col min="7437" max="7678" width="8.7109375" style="347"/>
    <col min="7679" max="7680" width="6.7109375" style="347" customWidth="1"/>
    <col min="7681" max="7681" width="14.42578125" style="347" customWidth="1"/>
    <col min="7682" max="7682" width="12.85546875" style="347" customWidth="1"/>
    <col min="7683" max="7683" width="9.5703125" style="347" customWidth="1"/>
    <col min="7684" max="7684" width="9.5703125" style="347" bestFit="1" customWidth="1"/>
    <col min="7685" max="7685" width="24.42578125" style="347" bestFit="1" customWidth="1"/>
    <col min="7686" max="7686" width="12.42578125" style="347" customWidth="1"/>
    <col min="7687" max="7687" width="9.7109375" style="347" customWidth="1"/>
    <col min="7688" max="7688" width="12.42578125" style="347" customWidth="1"/>
    <col min="7689" max="7689" width="17.5703125" style="347" customWidth="1"/>
    <col min="7690" max="7690" width="51.7109375" style="347" customWidth="1"/>
    <col min="7691" max="7691" width="16.42578125" style="347" customWidth="1"/>
    <col min="7692" max="7692" width="14.5703125" style="347" customWidth="1"/>
    <col min="7693" max="7934" width="8.7109375" style="347"/>
    <col min="7935" max="7936" width="6.7109375" style="347" customWidth="1"/>
    <col min="7937" max="7937" width="14.42578125" style="347" customWidth="1"/>
    <col min="7938" max="7938" width="12.85546875" style="347" customWidth="1"/>
    <col min="7939" max="7939" width="9.5703125" style="347" customWidth="1"/>
    <col min="7940" max="7940" width="9.5703125" style="347" bestFit="1" customWidth="1"/>
    <col min="7941" max="7941" width="24.42578125" style="347" bestFit="1" customWidth="1"/>
    <col min="7942" max="7942" width="12.42578125" style="347" customWidth="1"/>
    <col min="7943" max="7943" width="9.7109375" style="347" customWidth="1"/>
    <col min="7944" max="7944" width="12.42578125" style="347" customWidth="1"/>
    <col min="7945" max="7945" width="17.5703125" style="347" customWidth="1"/>
    <col min="7946" max="7946" width="51.7109375" style="347" customWidth="1"/>
    <col min="7947" max="7947" width="16.42578125" style="347" customWidth="1"/>
    <col min="7948" max="7948" width="14.5703125" style="347" customWidth="1"/>
    <col min="7949" max="8190" width="8.7109375" style="347"/>
    <col min="8191" max="8192" width="6.7109375" style="347" customWidth="1"/>
    <col min="8193" max="8193" width="14.42578125" style="347" customWidth="1"/>
    <col min="8194" max="8194" width="12.85546875" style="347" customWidth="1"/>
    <col min="8195" max="8195" width="9.5703125" style="347" customWidth="1"/>
    <col min="8196" max="8196" width="9.5703125" style="347" bestFit="1" customWidth="1"/>
    <col min="8197" max="8197" width="24.42578125" style="347" bestFit="1" customWidth="1"/>
    <col min="8198" max="8198" width="12.42578125" style="347" customWidth="1"/>
    <col min="8199" max="8199" width="9.7109375" style="347" customWidth="1"/>
    <col min="8200" max="8200" width="12.42578125" style="347" customWidth="1"/>
    <col min="8201" max="8201" width="17.5703125" style="347" customWidth="1"/>
    <col min="8202" max="8202" width="51.7109375" style="347" customWidth="1"/>
    <col min="8203" max="8203" width="16.42578125" style="347" customWidth="1"/>
    <col min="8204" max="8204" width="14.5703125" style="347" customWidth="1"/>
    <col min="8205" max="8446" width="8.7109375" style="347"/>
    <col min="8447" max="8448" width="6.7109375" style="347" customWidth="1"/>
    <col min="8449" max="8449" width="14.42578125" style="347" customWidth="1"/>
    <col min="8450" max="8450" width="12.85546875" style="347" customWidth="1"/>
    <col min="8451" max="8451" width="9.5703125" style="347" customWidth="1"/>
    <col min="8452" max="8452" width="9.5703125" style="347" bestFit="1" customWidth="1"/>
    <col min="8453" max="8453" width="24.42578125" style="347" bestFit="1" customWidth="1"/>
    <col min="8454" max="8454" width="12.42578125" style="347" customWidth="1"/>
    <col min="8455" max="8455" width="9.7109375" style="347" customWidth="1"/>
    <col min="8456" max="8456" width="12.42578125" style="347" customWidth="1"/>
    <col min="8457" max="8457" width="17.5703125" style="347" customWidth="1"/>
    <col min="8458" max="8458" width="51.7109375" style="347" customWidth="1"/>
    <col min="8459" max="8459" width="16.42578125" style="347" customWidth="1"/>
    <col min="8460" max="8460" width="14.5703125" style="347" customWidth="1"/>
    <col min="8461" max="8702" width="8.7109375" style="347"/>
    <col min="8703" max="8704" width="6.7109375" style="347" customWidth="1"/>
    <col min="8705" max="8705" width="14.42578125" style="347" customWidth="1"/>
    <col min="8706" max="8706" width="12.85546875" style="347" customWidth="1"/>
    <col min="8707" max="8707" width="9.5703125" style="347" customWidth="1"/>
    <col min="8708" max="8708" width="9.5703125" style="347" bestFit="1" customWidth="1"/>
    <col min="8709" max="8709" width="24.42578125" style="347" bestFit="1" customWidth="1"/>
    <col min="8710" max="8710" width="12.42578125" style="347" customWidth="1"/>
    <col min="8711" max="8711" width="9.7109375" style="347" customWidth="1"/>
    <col min="8712" max="8712" width="12.42578125" style="347" customWidth="1"/>
    <col min="8713" max="8713" width="17.5703125" style="347" customWidth="1"/>
    <col min="8714" max="8714" width="51.7109375" style="347" customWidth="1"/>
    <col min="8715" max="8715" width="16.42578125" style="347" customWidth="1"/>
    <col min="8716" max="8716" width="14.5703125" style="347" customWidth="1"/>
    <col min="8717" max="8958" width="8.7109375" style="347"/>
    <col min="8959" max="8960" width="6.7109375" style="347" customWidth="1"/>
    <col min="8961" max="8961" width="14.42578125" style="347" customWidth="1"/>
    <col min="8962" max="8962" width="12.85546875" style="347" customWidth="1"/>
    <col min="8963" max="8963" width="9.5703125" style="347" customWidth="1"/>
    <col min="8964" max="8964" width="9.5703125" style="347" bestFit="1" customWidth="1"/>
    <col min="8965" max="8965" width="24.42578125" style="347" bestFit="1" customWidth="1"/>
    <col min="8966" max="8966" width="12.42578125" style="347" customWidth="1"/>
    <col min="8967" max="8967" width="9.7109375" style="347" customWidth="1"/>
    <col min="8968" max="8968" width="12.42578125" style="347" customWidth="1"/>
    <col min="8969" max="8969" width="17.5703125" style="347" customWidth="1"/>
    <col min="8970" max="8970" width="51.7109375" style="347" customWidth="1"/>
    <col min="8971" max="8971" width="16.42578125" style="347" customWidth="1"/>
    <col min="8972" max="8972" width="14.5703125" style="347" customWidth="1"/>
    <col min="8973" max="9214" width="8.7109375" style="347"/>
    <col min="9215" max="9216" width="6.7109375" style="347" customWidth="1"/>
    <col min="9217" max="9217" width="14.42578125" style="347" customWidth="1"/>
    <col min="9218" max="9218" width="12.85546875" style="347" customWidth="1"/>
    <col min="9219" max="9219" width="9.5703125" style="347" customWidth="1"/>
    <col min="9220" max="9220" width="9.5703125" style="347" bestFit="1" customWidth="1"/>
    <col min="9221" max="9221" width="24.42578125" style="347" bestFit="1" customWidth="1"/>
    <col min="9222" max="9222" width="12.42578125" style="347" customWidth="1"/>
    <col min="9223" max="9223" width="9.7109375" style="347" customWidth="1"/>
    <col min="9224" max="9224" width="12.42578125" style="347" customWidth="1"/>
    <col min="9225" max="9225" width="17.5703125" style="347" customWidth="1"/>
    <col min="9226" max="9226" width="51.7109375" style="347" customWidth="1"/>
    <col min="9227" max="9227" width="16.42578125" style="347" customWidth="1"/>
    <col min="9228" max="9228" width="14.5703125" style="347" customWidth="1"/>
    <col min="9229" max="9470" width="8.7109375" style="347"/>
    <col min="9471" max="9472" width="6.7109375" style="347" customWidth="1"/>
    <col min="9473" max="9473" width="14.42578125" style="347" customWidth="1"/>
    <col min="9474" max="9474" width="12.85546875" style="347" customWidth="1"/>
    <col min="9475" max="9475" width="9.5703125" style="347" customWidth="1"/>
    <col min="9476" max="9476" width="9.5703125" style="347" bestFit="1" customWidth="1"/>
    <col min="9477" max="9477" width="24.42578125" style="347" bestFit="1" customWidth="1"/>
    <col min="9478" max="9478" width="12.42578125" style="347" customWidth="1"/>
    <col min="9479" max="9479" width="9.7109375" style="347" customWidth="1"/>
    <col min="9480" max="9480" width="12.42578125" style="347" customWidth="1"/>
    <col min="9481" max="9481" width="17.5703125" style="347" customWidth="1"/>
    <col min="9482" max="9482" width="51.7109375" style="347" customWidth="1"/>
    <col min="9483" max="9483" width="16.42578125" style="347" customWidth="1"/>
    <col min="9484" max="9484" width="14.5703125" style="347" customWidth="1"/>
    <col min="9485" max="9726" width="8.7109375" style="347"/>
    <col min="9727" max="9728" width="6.7109375" style="347" customWidth="1"/>
    <col min="9729" max="9729" width="14.42578125" style="347" customWidth="1"/>
    <col min="9730" max="9730" width="12.85546875" style="347" customWidth="1"/>
    <col min="9731" max="9731" width="9.5703125" style="347" customWidth="1"/>
    <col min="9732" max="9732" width="9.5703125" style="347" bestFit="1" customWidth="1"/>
    <col min="9733" max="9733" width="24.42578125" style="347" bestFit="1" customWidth="1"/>
    <col min="9734" max="9734" width="12.42578125" style="347" customWidth="1"/>
    <col min="9735" max="9735" width="9.7109375" style="347" customWidth="1"/>
    <col min="9736" max="9736" width="12.42578125" style="347" customWidth="1"/>
    <col min="9737" max="9737" width="17.5703125" style="347" customWidth="1"/>
    <col min="9738" max="9738" width="51.7109375" style="347" customWidth="1"/>
    <col min="9739" max="9739" width="16.42578125" style="347" customWidth="1"/>
    <col min="9740" max="9740" width="14.5703125" style="347" customWidth="1"/>
    <col min="9741" max="9982" width="8.7109375" style="347"/>
    <col min="9983" max="9984" width="6.7109375" style="347" customWidth="1"/>
    <col min="9985" max="9985" width="14.42578125" style="347" customWidth="1"/>
    <col min="9986" max="9986" width="12.85546875" style="347" customWidth="1"/>
    <col min="9987" max="9987" width="9.5703125" style="347" customWidth="1"/>
    <col min="9988" max="9988" width="9.5703125" style="347" bestFit="1" customWidth="1"/>
    <col min="9989" max="9989" width="24.42578125" style="347" bestFit="1" customWidth="1"/>
    <col min="9990" max="9990" width="12.42578125" style="347" customWidth="1"/>
    <col min="9991" max="9991" width="9.7109375" style="347" customWidth="1"/>
    <col min="9992" max="9992" width="12.42578125" style="347" customWidth="1"/>
    <col min="9993" max="9993" width="17.5703125" style="347" customWidth="1"/>
    <col min="9994" max="9994" width="51.7109375" style="347" customWidth="1"/>
    <col min="9995" max="9995" width="16.42578125" style="347" customWidth="1"/>
    <col min="9996" max="9996" width="14.5703125" style="347" customWidth="1"/>
    <col min="9997" max="10238" width="8.7109375" style="347"/>
    <col min="10239" max="10240" width="6.7109375" style="347" customWidth="1"/>
    <col min="10241" max="10241" width="14.42578125" style="347" customWidth="1"/>
    <col min="10242" max="10242" width="12.85546875" style="347" customWidth="1"/>
    <col min="10243" max="10243" width="9.5703125" style="347" customWidth="1"/>
    <col min="10244" max="10244" width="9.5703125" style="347" bestFit="1" customWidth="1"/>
    <col min="10245" max="10245" width="24.42578125" style="347" bestFit="1" customWidth="1"/>
    <col min="10246" max="10246" width="12.42578125" style="347" customWidth="1"/>
    <col min="10247" max="10247" width="9.7109375" style="347" customWidth="1"/>
    <col min="10248" max="10248" width="12.42578125" style="347" customWidth="1"/>
    <col min="10249" max="10249" width="17.5703125" style="347" customWidth="1"/>
    <col min="10250" max="10250" width="51.7109375" style="347" customWidth="1"/>
    <col min="10251" max="10251" width="16.42578125" style="347" customWidth="1"/>
    <col min="10252" max="10252" width="14.5703125" style="347" customWidth="1"/>
    <col min="10253" max="10494" width="8.7109375" style="347"/>
    <col min="10495" max="10496" width="6.7109375" style="347" customWidth="1"/>
    <col min="10497" max="10497" width="14.42578125" style="347" customWidth="1"/>
    <col min="10498" max="10498" width="12.85546875" style="347" customWidth="1"/>
    <col min="10499" max="10499" width="9.5703125" style="347" customWidth="1"/>
    <col min="10500" max="10500" width="9.5703125" style="347" bestFit="1" customWidth="1"/>
    <col min="10501" max="10501" width="24.42578125" style="347" bestFit="1" customWidth="1"/>
    <col min="10502" max="10502" width="12.42578125" style="347" customWidth="1"/>
    <col min="10503" max="10503" width="9.7109375" style="347" customWidth="1"/>
    <col min="10504" max="10504" width="12.42578125" style="347" customWidth="1"/>
    <col min="10505" max="10505" width="17.5703125" style="347" customWidth="1"/>
    <col min="10506" max="10506" width="51.7109375" style="347" customWidth="1"/>
    <col min="10507" max="10507" width="16.42578125" style="347" customWidth="1"/>
    <col min="10508" max="10508" width="14.5703125" style="347" customWidth="1"/>
    <col min="10509" max="10750" width="8.7109375" style="347"/>
    <col min="10751" max="10752" width="6.7109375" style="347" customWidth="1"/>
    <col min="10753" max="10753" width="14.42578125" style="347" customWidth="1"/>
    <col min="10754" max="10754" width="12.85546875" style="347" customWidth="1"/>
    <col min="10755" max="10755" width="9.5703125" style="347" customWidth="1"/>
    <col min="10756" max="10756" width="9.5703125" style="347" bestFit="1" customWidth="1"/>
    <col min="10757" max="10757" width="24.42578125" style="347" bestFit="1" customWidth="1"/>
    <col min="10758" max="10758" width="12.42578125" style="347" customWidth="1"/>
    <col min="10759" max="10759" width="9.7109375" style="347" customWidth="1"/>
    <col min="10760" max="10760" width="12.42578125" style="347" customWidth="1"/>
    <col min="10761" max="10761" width="17.5703125" style="347" customWidth="1"/>
    <col min="10762" max="10762" width="51.7109375" style="347" customWidth="1"/>
    <col min="10763" max="10763" width="16.42578125" style="347" customWidth="1"/>
    <col min="10764" max="10764" width="14.5703125" style="347" customWidth="1"/>
    <col min="10765" max="11006" width="8.7109375" style="347"/>
    <col min="11007" max="11008" width="6.7109375" style="347" customWidth="1"/>
    <col min="11009" max="11009" width="14.42578125" style="347" customWidth="1"/>
    <col min="11010" max="11010" width="12.85546875" style="347" customWidth="1"/>
    <col min="11011" max="11011" width="9.5703125" style="347" customWidth="1"/>
    <col min="11012" max="11012" width="9.5703125" style="347" bestFit="1" customWidth="1"/>
    <col min="11013" max="11013" width="24.42578125" style="347" bestFit="1" customWidth="1"/>
    <col min="11014" max="11014" width="12.42578125" style="347" customWidth="1"/>
    <col min="11015" max="11015" width="9.7109375" style="347" customWidth="1"/>
    <col min="11016" max="11016" width="12.42578125" style="347" customWidth="1"/>
    <col min="11017" max="11017" width="17.5703125" style="347" customWidth="1"/>
    <col min="11018" max="11018" width="51.7109375" style="347" customWidth="1"/>
    <col min="11019" max="11019" width="16.42578125" style="347" customWidth="1"/>
    <col min="11020" max="11020" width="14.5703125" style="347" customWidth="1"/>
    <col min="11021" max="11262" width="8.7109375" style="347"/>
    <col min="11263" max="11264" width="6.7109375" style="347" customWidth="1"/>
    <col min="11265" max="11265" width="14.42578125" style="347" customWidth="1"/>
    <col min="11266" max="11266" width="12.85546875" style="347" customWidth="1"/>
    <col min="11267" max="11267" width="9.5703125" style="347" customWidth="1"/>
    <col min="11268" max="11268" width="9.5703125" style="347" bestFit="1" customWidth="1"/>
    <col min="11269" max="11269" width="24.42578125" style="347" bestFit="1" customWidth="1"/>
    <col min="11270" max="11270" width="12.42578125" style="347" customWidth="1"/>
    <col min="11271" max="11271" width="9.7109375" style="347" customWidth="1"/>
    <col min="11272" max="11272" width="12.42578125" style="347" customWidth="1"/>
    <col min="11273" max="11273" width="17.5703125" style="347" customWidth="1"/>
    <col min="11274" max="11274" width="51.7109375" style="347" customWidth="1"/>
    <col min="11275" max="11275" width="16.42578125" style="347" customWidth="1"/>
    <col min="11276" max="11276" width="14.5703125" style="347" customWidth="1"/>
    <col min="11277" max="11518" width="8.7109375" style="347"/>
    <col min="11519" max="11520" width="6.7109375" style="347" customWidth="1"/>
    <col min="11521" max="11521" width="14.42578125" style="347" customWidth="1"/>
    <col min="11522" max="11522" width="12.85546875" style="347" customWidth="1"/>
    <col min="11523" max="11523" width="9.5703125" style="347" customWidth="1"/>
    <col min="11524" max="11524" width="9.5703125" style="347" bestFit="1" customWidth="1"/>
    <col min="11525" max="11525" width="24.42578125" style="347" bestFit="1" customWidth="1"/>
    <col min="11526" max="11526" width="12.42578125" style="347" customWidth="1"/>
    <col min="11527" max="11527" width="9.7109375" style="347" customWidth="1"/>
    <col min="11528" max="11528" width="12.42578125" style="347" customWidth="1"/>
    <col min="11529" max="11529" width="17.5703125" style="347" customWidth="1"/>
    <col min="11530" max="11530" width="51.7109375" style="347" customWidth="1"/>
    <col min="11531" max="11531" width="16.42578125" style="347" customWidth="1"/>
    <col min="11532" max="11532" width="14.5703125" style="347" customWidth="1"/>
    <col min="11533" max="11774" width="8.7109375" style="347"/>
    <col min="11775" max="11776" width="6.7109375" style="347" customWidth="1"/>
    <col min="11777" max="11777" width="14.42578125" style="347" customWidth="1"/>
    <col min="11778" max="11778" width="12.85546875" style="347" customWidth="1"/>
    <col min="11779" max="11779" width="9.5703125" style="347" customWidth="1"/>
    <col min="11780" max="11780" width="9.5703125" style="347" bestFit="1" customWidth="1"/>
    <col min="11781" max="11781" width="24.42578125" style="347" bestFit="1" customWidth="1"/>
    <col min="11782" max="11782" width="12.42578125" style="347" customWidth="1"/>
    <col min="11783" max="11783" width="9.7109375" style="347" customWidth="1"/>
    <col min="11784" max="11784" width="12.42578125" style="347" customWidth="1"/>
    <col min="11785" max="11785" width="17.5703125" style="347" customWidth="1"/>
    <col min="11786" max="11786" width="51.7109375" style="347" customWidth="1"/>
    <col min="11787" max="11787" width="16.42578125" style="347" customWidth="1"/>
    <col min="11788" max="11788" width="14.5703125" style="347" customWidth="1"/>
    <col min="11789" max="12030" width="8.7109375" style="347"/>
    <col min="12031" max="12032" width="6.7109375" style="347" customWidth="1"/>
    <col min="12033" max="12033" width="14.42578125" style="347" customWidth="1"/>
    <col min="12034" max="12034" width="12.85546875" style="347" customWidth="1"/>
    <col min="12035" max="12035" width="9.5703125" style="347" customWidth="1"/>
    <col min="12036" max="12036" width="9.5703125" style="347" bestFit="1" customWidth="1"/>
    <col min="12037" max="12037" width="24.42578125" style="347" bestFit="1" customWidth="1"/>
    <col min="12038" max="12038" width="12.42578125" style="347" customWidth="1"/>
    <col min="12039" max="12039" width="9.7109375" style="347" customWidth="1"/>
    <col min="12040" max="12040" width="12.42578125" style="347" customWidth="1"/>
    <col min="12041" max="12041" width="17.5703125" style="347" customWidth="1"/>
    <col min="12042" max="12042" width="51.7109375" style="347" customWidth="1"/>
    <col min="12043" max="12043" width="16.42578125" style="347" customWidth="1"/>
    <col min="12044" max="12044" width="14.5703125" style="347" customWidth="1"/>
    <col min="12045" max="12286" width="8.7109375" style="347"/>
    <col min="12287" max="12288" width="6.7109375" style="347" customWidth="1"/>
    <col min="12289" max="12289" width="14.42578125" style="347" customWidth="1"/>
    <col min="12290" max="12290" width="12.85546875" style="347" customWidth="1"/>
    <col min="12291" max="12291" width="9.5703125" style="347" customWidth="1"/>
    <col min="12292" max="12292" width="9.5703125" style="347" bestFit="1" customWidth="1"/>
    <col min="12293" max="12293" width="24.42578125" style="347" bestFit="1" customWidth="1"/>
    <col min="12294" max="12294" width="12.42578125" style="347" customWidth="1"/>
    <col min="12295" max="12295" width="9.7109375" style="347" customWidth="1"/>
    <col min="12296" max="12296" width="12.42578125" style="347" customWidth="1"/>
    <col min="12297" max="12297" width="17.5703125" style="347" customWidth="1"/>
    <col min="12298" max="12298" width="51.7109375" style="347" customWidth="1"/>
    <col min="12299" max="12299" width="16.42578125" style="347" customWidth="1"/>
    <col min="12300" max="12300" width="14.5703125" style="347" customWidth="1"/>
    <col min="12301" max="12542" width="8.7109375" style="347"/>
    <col min="12543" max="12544" width="6.7109375" style="347" customWidth="1"/>
    <col min="12545" max="12545" width="14.42578125" style="347" customWidth="1"/>
    <col min="12546" max="12546" width="12.85546875" style="347" customWidth="1"/>
    <col min="12547" max="12547" width="9.5703125" style="347" customWidth="1"/>
    <col min="12548" max="12548" width="9.5703125" style="347" bestFit="1" customWidth="1"/>
    <col min="12549" max="12549" width="24.42578125" style="347" bestFit="1" customWidth="1"/>
    <col min="12550" max="12550" width="12.42578125" style="347" customWidth="1"/>
    <col min="12551" max="12551" width="9.7109375" style="347" customWidth="1"/>
    <col min="12552" max="12552" width="12.42578125" style="347" customWidth="1"/>
    <col min="12553" max="12553" width="17.5703125" style="347" customWidth="1"/>
    <col min="12554" max="12554" width="51.7109375" style="347" customWidth="1"/>
    <col min="12555" max="12555" width="16.42578125" style="347" customWidth="1"/>
    <col min="12556" max="12556" width="14.5703125" style="347" customWidth="1"/>
    <col min="12557" max="12798" width="8.7109375" style="347"/>
    <col min="12799" max="12800" width="6.7109375" style="347" customWidth="1"/>
    <col min="12801" max="12801" width="14.42578125" style="347" customWidth="1"/>
    <col min="12802" max="12802" width="12.85546875" style="347" customWidth="1"/>
    <col min="12803" max="12803" width="9.5703125" style="347" customWidth="1"/>
    <col min="12804" max="12804" width="9.5703125" style="347" bestFit="1" customWidth="1"/>
    <col min="12805" max="12805" width="24.42578125" style="347" bestFit="1" customWidth="1"/>
    <col min="12806" max="12806" width="12.42578125" style="347" customWidth="1"/>
    <col min="12807" max="12807" width="9.7109375" style="347" customWidth="1"/>
    <col min="12808" max="12808" width="12.42578125" style="347" customWidth="1"/>
    <col min="12809" max="12809" width="17.5703125" style="347" customWidth="1"/>
    <col min="12810" max="12810" width="51.7109375" style="347" customWidth="1"/>
    <col min="12811" max="12811" width="16.42578125" style="347" customWidth="1"/>
    <col min="12812" max="12812" width="14.5703125" style="347" customWidth="1"/>
    <col min="12813" max="13054" width="8.7109375" style="347"/>
    <col min="13055" max="13056" width="6.7109375" style="347" customWidth="1"/>
    <col min="13057" max="13057" width="14.42578125" style="347" customWidth="1"/>
    <col min="13058" max="13058" width="12.85546875" style="347" customWidth="1"/>
    <col min="13059" max="13059" width="9.5703125" style="347" customWidth="1"/>
    <col min="13060" max="13060" width="9.5703125" style="347" bestFit="1" customWidth="1"/>
    <col min="13061" max="13061" width="24.42578125" style="347" bestFit="1" customWidth="1"/>
    <col min="13062" max="13062" width="12.42578125" style="347" customWidth="1"/>
    <col min="13063" max="13063" width="9.7109375" style="347" customWidth="1"/>
    <col min="13064" max="13064" width="12.42578125" style="347" customWidth="1"/>
    <col min="13065" max="13065" width="17.5703125" style="347" customWidth="1"/>
    <col min="13066" max="13066" width="51.7109375" style="347" customWidth="1"/>
    <col min="13067" max="13067" width="16.42578125" style="347" customWidth="1"/>
    <col min="13068" max="13068" width="14.5703125" style="347" customWidth="1"/>
    <col min="13069" max="13310" width="8.7109375" style="347"/>
    <col min="13311" max="13312" width="6.7109375" style="347" customWidth="1"/>
    <col min="13313" max="13313" width="14.42578125" style="347" customWidth="1"/>
    <col min="13314" max="13314" width="12.85546875" style="347" customWidth="1"/>
    <col min="13315" max="13315" width="9.5703125" style="347" customWidth="1"/>
    <col min="13316" max="13316" width="9.5703125" style="347" bestFit="1" customWidth="1"/>
    <col min="13317" max="13317" width="24.42578125" style="347" bestFit="1" customWidth="1"/>
    <col min="13318" max="13318" width="12.42578125" style="347" customWidth="1"/>
    <col min="13319" max="13319" width="9.7109375" style="347" customWidth="1"/>
    <col min="13320" max="13320" width="12.42578125" style="347" customWidth="1"/>
    <col min="13321" max="13321" width="17.5703125" style="347" customWidth="1"/>
    <col min="13322" max="13322" width="51.7109375" style="347" customWidth="1"/>
    <col min="13323" max="13323" width="16.42578125" style="347" customWidth="1"/>
    <col min="13324" max="13324" width="14.5703125" style="347" customWidth="1"/>
    <col min="13325" max="13566" width="8.7109375" style="347"/>
    <col min="13567" max="13568" width="6.7109375" style="347" customWidth="1"/>
    <col min="13569" max="13569" width="14.42578125" style="347" customWidth="1"/>
    <col min="13570" max="13570" width="12.85546875" style="347" customWidth="1"/>
    <col min="13571" max="13571" width="9.5703125" style="347" customWidth="1"/>
    <col min="13572" max="13572" width="9.5703125" style="347" bestFit="1" customWidth="1"/>
    <col min="13573" max="13573" width="24.42578125" style="347" bestFit="1" customWidth="1"/>
    <col min="13574" max="13574" width="12.42578125" style="347" customWidth="1"/>
    <col min="13575" max="13575" width="9.7109375" style="347" customWidth="1"/>
    <col min="13576" max="13576" width="12.42578125" style="347" customWidth="1"/>
    <col min="13577" max="13577" width="17.5703125" style="347" customWidth="1"/>
    <col min="13578" max="13578" width="51.7109375" style="347" customWidth="1"/>
    <col min="13579" max="13579" width="16.42578125" style="347" customWidth="1"/>
    <col min="13580" max="13580" width="14.5703125" style="347" customWidth="1"/>
    <col min="13581" max="13822" width="8.7109375" style="347"/>
    <col min="13823" max="13824" width="6.7109375" style="347" customWidth="1"/>
    <col min="13825" max="13825" width="14.42578125" style="347" customWidth="1"/>
    <col min="13826" max="13826" width="12.85546875" style="347" customWidth="1"/>
    <col min="13827" max="13827" width="9.5703125" style="347" customWidth="1"/>
    <col min="13828" max="13828" width="9.5703125" style="347" bestFit="1" customWidth="1"/>
    <col min="13829" max="13829" width="24.42578125" style="347" bestFit="1" customWidth="1"/>
    <col min="13830" max="13830" width="12.42578125" style="347" customWidth="1"/>
    <col min="13831" max="13831" width="9.7109375" style="347" customWidth="1"/>
    <col min="13832" max="13832" width="12.42578125" style="347" customWidth="1"/>
    <col min="13833" max="13833" width="17.5703125" style="347" customWidth="1"/>
    <col min="13834" max="13834" width="51.7109375" style="347" customWidth="1"/>
    <col min="13835" max="13835" width="16.42578125" style="347" customWidth="1"/>
    <col min="13836" max="13836" width="14.5703125" style="347" customWidth="1"/>
    <col min="13837" max="14078" width="8.7109375" style="347"/>
    <col min="14079" max="14080" width="6.7109375" style="347" customWidth="1"/>
    <col min="14081" max="14081" width="14.42578125" style="347" customWidth="1"/>
    <col min="14082" max="14082" width="12.85546875" style="347" customWidth="1"/>
    <col min="14083" max="14083" width="9.5703125" style="347" customWidth="1"/>
    <col min="14084" max="14084" width="9.5703125" style="347" bestFit="1" customWidth="1"/>
    <col min="14085" max="14085" width="24.42578125" style="347" bestFit="1" customWidth="1"/>
    <col min="14086" max="14086" width="12.42578125" style="347" customWidth="1"/>
    <col min="14087" max="14087" width="9.7109375" style="347" customWidth="1"/>
    <col min="14088" max="14088" width="12.42578125" style="347" customWidth="1"/>
    <col min="14089" max="14089" width="17.5703125" style="347" customWidth="1"/>
    <col min="14090" max="14090" width="51.7109375" style="347" customWidth="1"/>
    <col min="14091" max="14091" width="16.42578125" style="347" customWidth="1"/>
    <col min="14092" max="14092" width="14.5703125" style="347" customWidth="1"/>
    <col min="14093" max="14334" width="8.7109375" style="347"/>
    <col min="14335" max="14336" width="6.7109375" style="347" customWidth="1"/>
    <col min="14337" max="14337" width="14.42578125" style="347" customWidth="1"/>
    <col min="14338" max="14338" width="12.85546875" style="347" customWidth="1"/>
    <col min="14339" max="14339" width="9.5703125" style="347" customWidth="1"/>
    <col min="14340" max="14340" width="9.5703125" style="347" bestFit="1" customWidth="1"/>
    <col min="14341" max="14341" width="24.42578125" style="347" bestFit="1" customWidth="1"/>
    <col min="14342" max="14342" width="12.42578125" style="347" customWidth="1"/>
    <col min="14343" max="14343" width="9.7109375" style="347" customWidth="1"/>
    <col min="14344" max="14344" width="12.42578125" style="347" customWidth="1"/>
    <col min="14345" max="14345" width="17.5703125" style="347" customWidth="1"/>
    <col min="14346" max="14346" width="51.7109375" style="347" customWidth="1"/>
    <col min="14347" max="14347" width="16.42578125" style="347" customWidth="1"/>
    <col min="14348" max="14348" width="14.5703125" style="347" customWidth="1"/>
    <col min="14349" max="14590" width="8.7109375" style="347"/>
    <col min="14591" max="14592" width="6.7109375" style="347" customWidth="1"/>
    <col min="14593" max="14593" width="14.42578125" style="347" customWidth="1"/>
    <col min="14594" max="14594" width="12.85546875" style="347" customWidth="1"/>
    <col min="14595" max="14595" width="9.5703125" style="347" customWidth="1"/>
    <col min="14596" max="14596" width="9.5703125" style="347" bestFit="1" customWidth="1"/>
    <col min="14597" max="14597" width="24.42578125" style="347" bestFit="1" customWidth="1"/>
    <col min="14598" max="14598" width="12.42578125" style="347" customWidth="1"/>
    <col min="14599" max="14599" width="9.7109375" style="347" customWidth="1"/>
    <col min="14600" max="14600" width="12.42578125" style="347" customWidth="1"/>
    <col min="14601" max="14601" width="17.5703125" style="347" customWidth="1"/>
    <col min="14602" max="14602" width="51.7109375" style="347" customWidth="1"/>
    <col min="14603" max="14603" width="16.42578125" style="347" customWidth="1"/>
    <col min="14604" max="14604" width="14.5703125" style="347" customWidth="1"/>
    <col min="14605" max="14846" width="8.7109375" style="347"/>
    <col min="14847" max="14848" width="6.7109375" style="347" customWidth="1"/>
    <col min="14849" max="14849" width="14.42578125" style="347" customWidth="1"/>
    <col min="14850" max="14850" width="12.85546875" style="347" customWidth="1"/>
    <col min="14851" max="14851" width="9.5703125" style="347" customWidth="1"/>
    <col min="14852" max="14852" width="9.5703125" style="347" bestFit="1" customWidth="1"/>
    <col min="14853" max="14853" width="24.42578125" style="347" bestFit="1" customWidth="1"/>
    <col min="14854" max="14854" width="12.42578125" style="347" customWidth="1"/>
    <col min="14855" max="14855" width="9.7109375" style="347" customWidth="1"/>
    <col min="14856" max="14856" width="12.42578125" style="347" customWidth="1"/>
    <col min="14857" max="14857" width="17.5703125" style="347" customWidth="1"/>
    <col min="14858" max="14858" width="51.7109375" style="347" customWidth="1"/>
    <col min="14859" max="14859" width="16.42578125" style="347" customWidth="1"/>
    <col min="14860" max="14860" width="14.5703125" style="347" customWidth="1"/>
    <col min="14861" max="15102" width="8.7109375" style="347"/>
    <col min="15103" max="15104" width="6.7109375" style="347" customWidth="1"/>
    <col min="15105" max="15105" width="14.42578125" style="347" customWidth="1"/>
    <col min="15106" max="15106" width="12.85546875" style="347" customWidth="1"/>
    <col min="15107" max="15107" width="9.5703125" style="347" customWidth="1"/>
    <col min="15108" max="15108" width="9.5703125" style="347" bestFit="1" customWidth="1"/>
    <col min="15109" max="15109" width="24.42578125" style="347" bestFit="1" customWidth="1"/>
    <col min="15110" max="15110" width="12.42578125" style="347" customWidth="1"/>
    <col min="15111" max="15111" width="9.7109375" style="347" customWidth="1"/>
    <col min="15112" max="15112" width="12.42578125" style="347" customWidth="1"/>
    <col min="15113" max="15113" width="17.5703125" style="347" customWidth="1"/>
    <col min="15114" max="15114" width="51.7109375" style="347" customWidth="1"/>
    <col min="15115" max="15115" width="16.42578125" style="347" customWidth="1"/>
    <col min="15116" max="15116" width="14.5703125" style="347" customWidth="1"/>
    <col min="15117" max="15358" width="8.7109375" style="347"/>
    <col min="15359" max="15360" width="6.7109375" style="347" customWidth="1"/>
    <col min="15361" max="15361" width="14.42578125" style="347" customWidth="1"/>
    <col min="15362" max="15362" width="12.85546875" style="347" customWidth="1"/>
    <col min="15363" max="15363" width="9.5703125" style="347" customWidth="1"/>
    <col min="15364" max="15364" width="9.5703125" style="347" bestFit="1" customWidth="1"/>
    <col min="15365" max="15365" width="24.42578125" style="347" bestFit="1" customWidth="1"/>
    <col min="15366" max="15366" width="12.42578125" style="347" customWidth="1"/>
    <col min="15367" max="15367" width="9.7109375" style="347" customWidth="1"/>
    <col min="15368" max="15368" width="12.42578125" style="347" customWidth="1"/>
    <col min="15369" max="15369" width="17.5703125" style="347" customWidth="1"/>
    <col min="15370" max="15370" width="51.7109375" style="347" customWidth="1"/>
    <col min="15371" max="15371" width="16.42578125" style="347" customWidth="1"/>
    <col min="15372" max="15372" width="14.5703125" style="347" customWidth="1"/>
    <col min="15373" max="15614" width="8.7109375" style="347"/>
    <col min="15615" max="15616" width="6.7109375" style="347" customWidth="1"/>
    <col min="15617" max="15617" width="14.42578125" style="347" customWidth="1"/>
    <col min="15618" max="15618" width="12.85546875" style="347" customWidth="1"/>
    <col min="15619" max="15619" width="9.5703125" style="347" customWidth="1"/>
    <col min="15620" max="15620" width="9.5703125" style="347" bestFit="1" customWidth="1"/>
    <col min="15621" max="15621" width="24.42578125" style="347" bestFit="1" customWidth="1"/>
    <col min="15622" max="15622" width="12.42578125" style="347" customWidth="1"/>
    <col min="15623" max="15623" width="9.7109375" style="347" customWidth="1"/>
    <col min="15624" max="15624" width="12.42578125" style="347" customWidth="1"/>
    <col min="15625" max="15625" width="17.5703125" style="347" customWidth="1"/>
    <col min="15626" max="15626" width="51.7109375" style="347" customWidth="1"/>
    <col min="15627" max="15627" width="16.42578125" style="347" customWidth="1"/>
    <col min="15628" max="15628" width="14.5703125" style="347" customWidth="1"/>
    <col min="15629" max="15870" width="8.7109375" style="347"/>
    <col min="15871" max="15872" width="6.7109375" style="347" customWidth="1"/>
    <col min="15873" max="15873" width="14.42578125" style="347" customWidth="1"/>
    <col min="15874" max="15874" width="12.85546875" style="347" customWidth="1"/>
    <col min="15875" max="15875" width="9.5703125" style="347" customWidth="1"/>
    <col min="15876" max="15876" width="9.5703125" style="347" bestFit="1" customWidth="1"/>
    <col min="15877" max="15877" width="24.42578125" style="347" bestFit="1" customWidth="1"/>
    <col min="15878" max="15878" width="12.42578125" style="347" customWidth="1"/>
    <col min="15879" max="15879" width="9.7109375" style="347" customWidth="1"/>
    <col min="15880" max="15880" width="12.42578125" style="347" customWidth="1"/>
    <col min="15881" max="15881" width="17.5703125" style="347" customWidth="1"/>
    <col min="15882" max="15882" width="51.7109375" style="347" customWidth="1"/>
    <col min="15883" max="15883" width="16.42578125" style="347" customWidth="1"/>
    <col min="15884" max="15884" width="14.5703125" style="347" customWidth="1"/>
    <col min="15885" max="16126" width="8.7109375" style="347"/>
    <col min="16127" max="16128" width="6.7109375" style="347" customWidth="1"/>
    <col min="16129" max="16129" width="14.42578125" style="347" customWidth="1"/>
    <col min="16130" max="16130" width="12.85546875" style="347" customWidth="1"/>
    <col min="16131" max="16131" width="9.5703125" style="347" customWidth="1"/>
    <col min="16132" max="16132" width="9.5703125" style="347" bestFit="1" customWidth="1"/>
    <col min="16133" max="16133" width="24.42578125" style="347" bestFit="1" customWidth="1"/>
    <col min="16134" max="16134" width="12.42578125" style="347" customWidth="1"/>
    <col min="16135" max="16135" width="9.7109375" style="347" customWidth="1"/>
    <col min="16136" max="16136" width="12.42578125" style="347" customWidth="1"/>
    <col min="16137" max="16137" width="17.5703125" style="347" customWidth="1"/>
    <col min="16138" max="16138" width="51.7109375" style="347" customWidth="1"/>
    <col min="16139" max="16139" width="16.42578125" style="347" customWidth="1"/>
    <col min="16140" max="16140" width="14.5703125" style="347" customWidth="1"/>
    <col min="16141" max="16384" width="8.7109375" style="347"/>
  </cols>
  <sheetData>
    <row r="1" spans="1:12">
      <c r="A1" s="626" t="s">
        <v>472</v>
      </c>
      <c r="B1" s="626"/>
      <c r="C1" s="626"/>
      <c r="D1" s="626"/>
      <c r="E1" s="626"/>
      <c r="F1" s="626"/>
      <c r="G1" s="626"/>
      <c r="H1" s="626"/>
      <c r="I1" s="626"/>
      <c r="J1" s="626"/>
      <c r="K1" s="346"/>
      <c r="L1" s="346"/>
    </row>
    <row r="2" spans="1:12">
      <c r="A2" s="348"/>
      <c r="B2" s="348"/>
      <c r="C2" s="349"/>
      <c r="D2" s="348"/>
      <c r="E2" s="348"/>
      <c r="F2" s="348"/>
      <c r="G2" s="348"/>
      <c r="H2" s="348"/>
      <c r="I2" s="348"/>
      <c r="J2" s="348"/>
    </row>
    <row r="3" spans="1:12" ht="13.5" thickBot="1">
      <c r="A3" s="351"/>
      <c r="B3" s="351"/>
      <c r="C3" s="348" t="s">
        <v>473</v>
      </c>
      <c r="D3" s="352"/>
      <c r="E3" s="353"/>
      <c r="F3" s="348"/>
      <c r="G3" s="348"/>
      <c r="H3" s="351"/>
      <c r="I3" s="354" t="s">
        <v>474</v>
      </c>
      <c r="J3" s="354" t="s">
        <v>475</v>
      </c>
      <c r="K3" s="355"/>
    </row>
    <row r="4" spans="1:12">
      <c r="A4" s="351"/>
      <c r="B4" s="351"/>
      <c r="C4" s="348" t="s">
        <v>185</v>
      </c>
      <c r="D4" s="356">
        <v>0.09</v>
      </c>
      <c r="E4" s="354"/>
      <c r="F4" s="354"/>
      <c r="G4" s="354"/>
      <c r="H4" s="351"/>
      <c r="I4" s="354"/>
      <c r="J4" s="357">
        <f>SUM(J12:J119)</f>
        <v>0</v>
      </c>
      <c r="K4" s="358" t="s">
        <v>476</v>
      </c>
      <c r="L4" s="359"/>
    </row>
    <row r="5" spans="1:12">
      <c r="A5" s="351"/>
      <c r="B5" s="351"/>
      <c r="C5" s="348" t="s">
        <v>477</v>
      </c>
      <c r="D5" s="353">
        <v>108</v>
      </c>
      <c r="E5" s="354"/>
      <c r="F5" s="354"/>
      <c r="G5" s="354"/>
      <c r="H5" s="351"/>
      <c r="I5" s="354"/>
      <c r="J5" s="360">
        <f>J4/10^5</f>
        <v>0</v>
      </c>
      <c r="K5" s="361" t="s">
        <v>478</v>
      </c>
      <c r="L5" s="362" t="s">
        <v>479</v>
      </c>
    </row>
    <row r="6" spans="1:12" ht="15">
      <c r="A6" s="351"/>
      <c r="B6" s="351"/>
      <c r="C6" s="348"/>
      <c r="D6" s="363"/>
      <c r="E6" s="354"/>
      <c r="F6" s="354"/>
      <c r="G6" s="354"/>
      <c r="H6" s="351"/>
      <c r="I6" s="364">
        <v>0.9</v>
      </c>
      <c r="J6" s="365">
        <f>J4*I6</f>
        <v>0</v>
      </c>
      <c r="K6" s="361" t="s">
        <v>480</v>
      </c>
      <c r="L6" s="366"/>
    </row>
    <row r="7" spans="1:12">
      <c r="A7" s="351"/>
      <c r="B7" s="351"/>
      <c r="C7" s="367"/>
      <c r="D7" s="354">
        <f>12*6</f>
        <v>72</v>
      </c>
      <c r="E7" s="354"/>
      <c r="F7" s="354"/>
      <c r="G7" s="354"/>
      <c r="H7" s="351"/>
      <c r="I7" s="354"/>
      <c r="J7" s="368"/>
      <c r="K7" s="361" t="s">
        <v>481</v>
      </c>
      <c r="L7" s="369"/>
    </row>
    <row r="8" spans="1:12">
      <c r="A8" s="351"/>
      <c r="B8" s="351"/>
      <c r="C8" s="367"/>
      <c r="D8" s="354"/>
      <c r="E8" s="354"/>
      <c r="F8" s="354"/>
      <c r="G8" s="354"/>
      <c r="H8" s="351"/>
      <c r="I8" s="354"/>
      <c r="J8" s="365"/>
      <c r="K8" s="361" t="s">
        <v>473</v>
      </c>
      <c r="L8" s="369"/>
    </row>
    <row r="9" spans="1:12" ht="15">
      <c r="A9" s="351"/>
      <c r="B9" s="351"/>
      <c r="C9" s="367" t="s">
        <v>482</v>
      </c>
      <c r="D9" s="354" t="s">
        <v>483</v>
      </c>
      <c r="E9" s="354" t="s">
        <v>484</v>
      </c>
      <c r="F9" s="354" t="s">
        <v>485</v>
      </c>
      <c r="G9" s="354"/>
      <c r="H9" s="351"/>
      <c r="I9" s="354"/>
      <c r="J9" s="365"/>
      <c r="K9" s="370" t="s">
        <v>486</v>
      </c>
      <c r="L9" s="371" t="s">
        <v>487</v>
      </c>
    </row>
    <row r="10" spans="1:12">
      <c r="A10" s="354" t="s">
        <v>465</v>
      </c>
      <c r="B10" s="354" t="s">
        <v>488</v>
      </c>
      <c r="C10" s="354" t="s">
        <v>489</v>
      </c>
      <c r="D10" s="372"/>
      <c r="E10" s="372">
        <v>0.1</v>
      </c>
      <c r="F10" s="372">
        <v>0.15</v>
      </c>
      <c r="G10" s="372" t="s">
        <v>490</v>
      </c>
      <c r="H10" s="354" t="s">
        <v>198</v>
      </c>
      <c r="I10" s="372">
        <v>0.1225</v>
      </c>
      <c r="J10" s="365"/>
      <c r="K10" s="361" t="s">
        <v>491</v>
      </c>
      <c r="L10" s="373" t="s">
        <v>450</v>
      </c>
    </row>
    <row r="11" spans="1:12" ht="15">
      <c r="A11" s="354"/>
      <c r="B11" s="354"/>
      <c r="C11" s="354"/>
      <c r="D11" s="372"/>
      <c r="E11" s="372"/>
      <c r="F11" s="372"/>
      <c r="G11" s="372"/>
      <c r="H11" s="354"/>
      <c r="I11" s="372"/>
      <c r="J11" s="374"/>
      <c r="K11" s="361" t="s">
        <v>492</v>
      </c>
      <c r="L11" s="366"/>
    </row>
    <row r="12" spans="1:12">
      <c r="A12" s="348">
        <v>1</v>
      </c>
      <c r="B12" s="348">
        <v>0</v>
      </c>
      <c r="C12" s="375"/>
      <c r="D12" s="375">
        <f>C12*$D$10</f>
        <v>0</v>
      </c>
      <c r="E12" s="375">
        <f>C12*10/100</f>
        <v>0</v>
      </c>
      <c r="F12" s="375">
        <f>C12*15/100</f>
        <v>0</v>
      </c>
      <c r="G12" s="375">
        <f>C12+F12-E12</f>
        <v>0</v>
      </c>
      <c r="H12" s="375">
        <f>C12-E12</f>
        <v>0</v>
      </c>
      <c r="I12" s="376">
        <f>1/(1+$I$10/12)^A12</f>
        <v>0.98989482367498449</v>
      </c>
      <c r="J12" s="377">
        <f t="shared" ref="J12:J40" si="0">H12*I12</f>
        <v>0</v>
      </c>
      <c r="K12" s="361" t="s">
        <v>493</v>
      </c>
      <c r="L12" s="373" t="s">
        <v>494</v>
      </c>
    </row>
    <row r="13" spans="1:12">
      <c r="A13" s="348">
        <v>2</v>
      </c>
      <c r="B13" s="348"/>
      <c r="C13" s="375"/>
      <c r="D13" s="375">
        <f t="shared" ref="D13:D40" si="1">C13*$D$10</f>
        <v>0</v>
      </c>
      <c r="E13" s="375">
        <f t="shared" ref="E13:E40" si="2">C13*10/100</f>
        <v>0</v>
      </c>
      <c r="F13" s="375">
        <f t="shared" ref="F13:F40" si="3">C13*15/100</f>
        <v>0</v>
      </c>
      <c r="G13" s="375">
        <f t="shared" ref="G13:G40" si="4">C13+F13-E13</f>
        <v>0</v>
      </c>
      <c r="H13" s="375">
        <f t="shared" ref="H13:H40" si="5">C13-E13</f>
        <v>0</v>
      </c>
      <c r="I13" s="376">
        <f t="shared" ref="I13:I40" si="6">1/(1+$I$10/12)^A13</f>
        <v>0.97989176193852867</v>
      </c>
      <c r="J13" s="377">
        <f t="shared" si="0"/>
        <v>0</v>
      </c>
      <c r="K13" s="361" t="s">
        <v>495</v>
      </c>
      <c r="L13" s="378"/>
    </row>
    <row r="14" spans="1:12">
      <c r="A14" s="348">
        <v>3</v>
      </c>
      <c r="B14" s="348"/>
      <c r="C14" s="375"/>
      <c r="D14" s="375">
        <f t="shared" si="1"/>
        <v>0</v>
      </c>
      <c r="E14" s="375">
        <f t="shared" si="2"/>
        <v>0</v>
      </c>
      <c r="F14" s="375">
        <f t="shared" si="3"/>
        <v>0</v>
      </c>
      <c r="G14" s="375">
        <f t="shared" si="4"/>
        <v>0</v>
      </c>
      <c r="H14" s="375">
        <f t="shared" si="5"/>
        <v>0</v>
      </c>
      <c r="I14" s="376">
        <f t="shared" si="6"/>
        <v>0.96998978290470983</v>
      </c>
      <c r="J14" s="377">
        <f t="shared" si="0"/>
        <v>0</v>
      </c>
      <c r="K14" s="361" t="s">
        <v>496</v>
      </c>
      <c r="L14" s="373"/>
    </row>
    <row r="15" spans="1:12" ht="13.5" thickBot="1">
      <c r="A15" s="348">
        <v>4</v>
      </c>
      <c r="B15" s="348"/>
      <c r="C15" s="375"/>
      <c r="D15" s="375">
        <f t="shared" si="1"/>
        <v>0</v>
      </c>
      <c r="E15" s="375">
        <f t="shared" si="2"/>
        <v>0</v>
      </c>
      <c r="F15" s="375">
        <f t="shared" si="3"/>
        <v>0</v>
      </c>
      <c r="G15" s="375">
        <f t="shared" si="4"/>
        <v>0</v>
      </c>
      <c r="H15" s="375">
        <f t="shared" si="5"/>
        <v>0</v>
      </c>
      <c r="I15" s="376">
        <f t="shared" si="6"/>
        <v>0.9601878651149941</v>
      </c>
      <c r="J15" s="377">
        <f t="shared" si="0"/>
        <v>0</v>
      </c>
      <c r="K15" s="379" t="s">
        <v>497</v>
      </c>
      <c r="L15" s="380"/>
    </row>
    <row r="16" spans="1:12">
      <c r="A16" s="348">
        <v>5</v>
      </c>
      <c r="B16" s="348"/>
      <c r="C16" s="375"/>
      <c r="D16" s="375">
        <f t="shared" si="1"/>
        <v>0</v>
      </c>
      <c r="E16" s="375">
        <f t="shared" si="2"/>
        <v>0</v>
      </c>
      <c r="F16" s="375">
        <f t="shared" si="3"/>
        <v>0</v>
      </c>
      <c r="G16" s="375">
        <f t="shared" si="4"/>
        <v>0</v>
      </c>
      <c r="H16" s="375">
        <f t="shared" si="5"/>
        <v>0</v>
      </c>
      <c r="I16" s="376">
        <f t="shared" si="6"/>
        <v>0.95048499743286696</v>
      </c>
      <c r="J16" s="377">
        <f t="shared" si="0"/>
        <v>0</v>
      </c>
      <c r="K16" s="381"/>
      <c r="L16" s="382"/>
    </row>
    <row r="17" spans="1:12">
      <c r="A17" s="348">
        <v>6</v>
      </c>
      <c r="B17" s="348"/>
      <c r="C17" s="375"/>
      <c r="D17" s="375">
        <f t="shared" si="1"/>
        <v>0</v>
      </c>
      <c r="E17" s="375">
        <f t="shared" si="2"/>
        <v>0</v>
      </c>
      <c r="F17" s="375">
        <f t="shared" si="3"/>
        <v>0</v>
      </c>
      <c r="G17" s="375">
        <f t="shared" si="4"/>
        <v>0</v>
      </c>
      <c r="H17" s="375">
        <f t="shared" si="5"/>
        <v>0</v>
      </c>
      <c r="I17" s="376">
        <f t="shared" si="6"/>
        <v>0.94088017893952591</v>
      </c>
      <c r="J17" s="377">
        <f t="shared" si="0"/>
        <v>0</v>
      </c>
      <c r="K17" s="381"/>
      <c r="L17" s="383"/>
    </row>
    <row r="18" spans="1:12">
      <c r="A18" s="348">
        <v>7</v>
      </c>
      <c r="B18" s="348"/>
      <c r="C18" s="375"/>
      <c r="D18" s="375">
        <f t="shared" si="1"/>
        <v>0</v>
      </c>
      <c r="E18" s="375">
        <f t="shared" si="2"/>
        <v>0</v>
      </c>
      <c r="F18" s="375">
        <f t="shared" si="3"/>
        <v>0</v>
      </c>
      <c r="G18" s="375">
        <f t="shared" si="4"/>
        <v>0</v>
      </c>
      <c r="H18" s="375">
        <f t="shared" si="5"/>
        <v>0</v>
      </c>
      <c r="I18" s="376">
        <f t="shared" si="6"/>
        <v>0.93137241883062982</v>
      </c>
      <c r="J18" s="377">
        <f t="shared" si="0"/>
        <v>0</v>
      </c>
      <c r="K18" s="381"/>
      <c r="L18" s="383"/>
    </row>
    <row r="19" spans="1:12">
      <c r="A19" s="348">
        <v>8</v>
      </c>
      <c r="B19" s="348"/>
      <c r="C19" s="375"/>
      <c r="D19" s="375">
        <f t="shared" si="1"/>
        <v>0</v>
      </c>
      <c r="E19" s="375">
        <f t="shared" si="2"/>
        <v>0</v>
      </c>
      <c r="F19" s="375">
        <f t="shared" si="3"/>
        <v>0</v>
      </c>
      <c r="G19" s="375">
        <f t="shared" si="4"/>
        <v>0</v>
      </c>
      <c r="H19" s="375">
        <f t="shared" si="5"/>
        <v>0</v>
      </c>
      <c r="I19" s="376">
        <f t="shared" si="6"/>
        <v>0.92196073631409015</v>
      </c>
      <c r="J19" s="377">
        <f t="shared" si="0"/>
        <v>0</v>
      </c>
      <c r="K19" s="381"/>
      <c r="L19" s="383"/>
    </row>
    <row r="20" spans="1:12">
      <c r="A20" s="348">
        <v>9</v>
      </c>
      <c r="B20" s="348"/>
      <c r="C20" s="375"/>
      <c r="D20" s="375">
        <f t="shared" si="1"/>
        <v>0</v>
      </c>
      <c r="E20" s="375">
        <f t="shared" si="2"/>
        <v>0</v>
      </c>
      <c r="F20" s="375">
        <f t="shared" si="3"/>
        <v>0</v>
      </c>
      <c r="G20" s="375">
        <f t="shared" si="4"/>
        <v>0</v>
      </c>
      <c r="H20" s="375">
        <f t="shared" si="5"/>
        <v>0</v>
      </c>
      <c r="I20" s="376">
        <f t="shared" si="6"/>
        <v>0.91264416050889519</v>
      </c>
      <c r="J20" s="377">
        <f t="shared" si="0"/>
        <v>0</v>
      </c>
      <c r="K20" s="381"/>
      <c r="L20" s="383"/>
    </row>
    <row r="21" spans="1:12">
      <c r="A21" s="348">
        <v>10</v>
      </c>
      <c r="B21" s="348"/>
      <c r="C21" s="375"/>
      <c r="D21" s="375">
        <f t="shared" si="1"/>
        <v>0</v>
      </c>
      <c r="E21" s="375">
        <f t="shared" si="2"/>
        <v>0</v>
      </c>
      <c r="F21" s="375">
        <f t="shared" si="3"/>
        <v>0</v>
      </c>
      <c r="G21" s="375">
        <f t="shared" si="4"/>
        <v>0</v>
      </c>
      <c r="H21" s="375">
        <f t="shared" si="5"/>
        <v>0</v>
      </c>
      <c r="I21" s="376">
        <f t="shared" si="6"/>
        <v>0.9034217303449571</v>
      </c>
      <c r="J21" s="377">
        <f t="shared" si="0"/>
        <v>0</v>
      </c>
      <c r="K21" s="384"/>
      <c r="L21" s="385"/>
    </row>
    <row r="22" spans="1:12">
      <c r="A22" s="348">
        <v>11</v>
      </c>
      <c r="B22" s="348"/>
      <c r="C22" s="375"/>
      <c r="D22" s="375">
        <f t="shared" si="1"/>
        <v>0</v>
      </c>
      <c r="E22" s="375">
        <f t="shared" si="2"/>
        <v>0</v>
      </c>
      <c r="F22" s="375">
        <f t="shared" si="3"/>
        <v>0</v>
      </c>
      <c r="G22" s="375">
        <f t="shared" si="4"/>
        <v>0</v>
      </c>
      <c r="H22" s="375">
        <f t="shared" si="5"/>
        <v>0</v>
      </c>
      <c r="I22" s="376">
        <f t="shared" si="6"/>
        <v>0.89429249446397074</v>
      </c>
      <c r="J22" s="377">
        <f t="shared" si="0"/>
        <v>0</v>
      </c>
      <c r="K22" s="381"/>
      <c r="L22" s="383"/>
    </row>
    <row r="23" spans="1:12">
      <c r="A23" s="348">
        <v>12</v>
      </c>
      <c r="B23" s="348"/>
      <c r="C23" s="375"/>
      <c r="D23" s="375">
        <f t="shared" si="1"/>
        <v>0</v>
      </c>
      <c r="E23" s="375">
        <f t="shared" si="2"/>
        <v>0</v>
      </c>
      <c r="F23" s="375">
        <f t="shared" si="3"/>
        <v>0</v>
      </c>
      <c r="G23" s="375">
        <f t="shared" si="4"/>
        <v>0</v>
      </c>
      <c r="H23" s="375">
        <f t="shared" si="5"/>
        <v>0</v>
      </c>
      <c r="I23" s="376">
        <f t="shared" si="6"/>
        <v>0.88525551112127432</v>
      </c>
      <c r="J23" s="377">
        <f t="shared" si="0"/>
        <v>0</v>
      </c>
      <c r="K23" s="381"/>
      <c r="L23" s="383"/>
    </row>
    <row r="24" spans="1:12">
      <c r="A24" s="348">
        <v>13</v>
      </c>
      <c r="B24" s="348"/>
      <c r="C24" s="375"/>
      <c r="D24" s="375">
        <f t="shared" si="1"/>
        <v>0</v>
      </c>
      <c r="E24" s="375">
        <f t="shared" si="2"/>
        <v>0</v>
      </c>
      <c r="F24" s="375">
        <f t="shared" si="3"/>
        <v>0</v>
      </c>
      <c r="G24" s="375">
        <f t="shared" si="4"/>
        <v>0</v>
      </c>
      <c r="H24" s="375">
        <f t="shared" si="5"/>
        <v>0</v>
      </c>
      <c r="I24" s="376">
        <f t="shared" si="6"/>
        <v>0.87630984808870216</v>
      </c>
      <c r="J24" s="377">
        <f t="shared" si="0"/>
        <v>0</v>
      </c>
      <c r="K24" s="381"/>
      <c r="L24" s="386"/>
    </row>
    <row r="25" spans="1:12">
      <c r="A25" s="348">
        <v>14</v>
      </c>
      <c r="B25" s="348"/>
      <c r="C25" s="375"/>
      <c r="D25" s="375">
        <f t="shared" si="1"/>
        <v>0</v>
      </c>
      <c r="E25" s="375">
        <f t="shared" si="2"/>
        <v>0</v>
      </c>
      <c r="F25" s="375">
        <f t="shared" si="3"/>
        <v>0</v>
      </c>
      <c r="G25" s="375">
        <f t="shared" si="4"/>
        <v>0</v>
      </c>
      <c r="H25" s="375">
        <f t="shared" si="5"/>
        <v>0</v>
      </c>
      <c r="I25" s="376">
        <f t="shared" si="6"/>
        <v>0.86745458255841812</v>
      </c>
      <c r="J25" s="377">
        <f t="shared" si="0"/>
        <v>0</v>
      </c>
      <c r="K25" s="381"/>
      <c r="L25" s="383"/>
    </row>
    <row r="26" spans="1:12">
      <c r="A26" s="348">
        <v>15</v>
      </c>
      <c r="B26" s="348"/>
      <c r="C26" s="375"/>
      <c r="D26" s="375">
        <f t="shared" si="1"/>
        <v>0</v>
      </c>
      <c r="E26" s="375">
        <f t="shared" si="2"/>
        <v>0</v>
      </c>
      <c r="F26" s="375">
        <f t="shared" si="3"/>
        <v>0</v>
      </c>
      <c r="G26" s="375">
        <f t="shared" si="4"/>
        <v>0</v>
      </c>
      <c r="H26" s="375">
        <f t="shared" si="5"/>
        <v>0</v>
      </c>
      <c r="I26" s="376">
        <f t="shared" si="6"/>
        <v>0.85868880104772261</v>
      </c>
      <c r="J26" s="377">
        <f t="shared" si="0"/>
        <v>0</v>
      </c>
      <c r="K26" s="381"/>
      <c r="L26" s="383"/>
    </row>
    <row r="27" spans="1:12">
      <c r="A27" s="348">
        <v>16</v>
      </c>
      <c r="B27" s="348"/>
      <c r="C27" s="375"/>
      <c r="D27" s="375">
        <f t="shared" si="1"/>
        <v>0</v>
      </c>
      <c r="E27" s="375">
        <f t="shared" si="2"/>
        <v>0</v>
      </c>
      <c r="F27" s="375">
        <f t="shared" si="3"/>
        <v>0</v>
      </c>
      <c r="G27" s="375">
        <f t="shared" si="4"/>
        <v>0</v>
      </c>
      <c r="H27" s="375">
        <f t="shared" si="5"/>
        <v>0</v>
      </c>
      <c r="I27" s="376">
        <f t="shared" si="6"/>
        <v>0.8500115993048194</v>
      </c>
      <c r="J27" s="377">
        <f t="shared" si="0"/>
        <v>0</v>
      </c>
      <c r="K27" s="381"/>
      <c r="L27" s="383"/>
    </row>
    <row r="28" spans="1:12">
      <c r="A28" s="348">
        <v>17</v>
      </c>
      <c r="B28" s="348"/>
      <c r="C28" s="375"/>
      <c r="D28" s="375">
        <f t="shared" si="1"/>
        <v>0</v>
      </c>
      <c r="E28" s="375">
        <f t="shared" si="2"/>
        <v>0</v>
      </c>
      <c r="F28" s="375">
        <f t="shared" si="3"/>
        <v>0</v>
      </c>
      <c r="G28" s="375">
        <f t="shared" si="4"/>
        <v>0</v>
      </c>
      <c r="H28" s="375">
        <f t="shared" si="5"/>
        <v>0</v>
      </c>
      <c r="I28" s="376">
        <f t="shared" si="6"/>
        <v>0.84142208221553572</v>
      </c>
      <c r="J28" s="377">
        <f t="shared" si="0"/>
        <v>0</v>
      </c>
      <c r="K28" s="381"/>
      <c r="L28" s="383"/>
    </row>
    <row r="29" spans="1:12">
      <c r="A29" s="348">
        <v>18</v>
      </c>
      <c r="B29" s="348"/>
      <c r="C29" s="375"/>
      <c r="D29" s="375">
        <f t="shared" si="1"/>
        <v>0</v>
      </c>
      <c r="E29" s="375">
        <f t="shared" si="2"/>
        <v>0</v>
      </c>
      <c r="F29" s="375">
        <f t="shared" si="3"/>
        <v>0</v>
      </c>
      <c r="G29" s="375">
        <f t="shared" si="4"/>
        <v>0</v>
      </c>
      <c r="H29" s="375">
        <f t="shared" si="5"/>
        <v>0</v>
      </c>
      <c r="I29" s="376">
        <f t="shared" si="6"/>
        <v>0.83291936371098607</v>
      </c>
      <c r="J29" s="377">
        <f t="shared" si="0"/>
        <v>0</v>
      </c>
      <c r="K29" s="381"/>
      <c r="L29" s="383"/>
    </row>
    <row r="30" spans="1:12">
      <c r="A30" s="348">
        <v>19</v>
      </c>
      <c r="B30" s="348"/>
      <c r="C30" s="375"/>
      <c r="D30" s="375">
        <f t="shared" si="1"/>
        <v>0</v>
      </c>
      <c r="E30" s="375">
        <f t="shared" si="2"/>
        <v>0</v>
      </c>
      <c r="F30" s="375">
        <f t="shared" si="3"/>
        <v>0</v>
      </c>
      <c r="G30" s="375">
        <f t="shared" si="4"/>
        <v>0</v>
      </c>
      <c r="H30" s="375">
        <f t="shared" si="5"/>
        <v>0</v>
      </c>
      <c r="I30" s="376">
        <f t="shared" si="6"/>
        <v>0.82450256667616684</v>
      </c>
      <c r="J30" s="377">
        <f t="shared" si="0"/>
        <v>0</v>
      </c>
      <c r="K30" s="381"/>
      <c r="L30" s="383"/>
    </row>
    <row r="31" spans="1:12">
      <c r="A31" s="348">
        <v>20</v>
      </c>
      <c r="B31" s="348"/>
      <c r="C31" s="375"/>
      <c r="D31" s="375">
        <f t="shared" si="1"/>
        <v>0</v>
      </c>
      <c r="E31" s="375">
        <f t="shared" si="2"/>
        <v>0</v>
      </c>
      <c r="F31" s="375">
        <f t="shared" si="3"/>
        <v>0</v>
      </c>
      <c r="G31" s="375">
        <f t="shared" si="4"/>
        <v>0</v>
      </c>
      <c r="H31" s="375">
        <f t="shared" si="5"/>
        <v>0</v>
      </c>
      <c r="I31" s="376">
        <f t="shared" si="6"/>
        <v>0.81617082285947629</v>
      </c>
      <c r="J31" s="377">
        <f t="shared" si="0"/>
        <v>0</v>
      </c>
      <c r="K31" s="381"/>
      <c r="L31" s="383"/>
    </row>
    <row r="32" spans="1:12">
      <c r="A32" s="348">
        <v>21</v>
      </c>
      <c r="B32" s="348"/>
      <c r="C32" s="375"/>
      <c r="D32" s="375">
        <f t="shared" si="1"/>
        <v>0</v>
      </c>
      <c r="E32" s="375">
        <f t="shared" si="2"/>
        <v>0</v>
      </c>
      <c r="F32" s="375">
        <f t="shared" si="3"/>
        <v>0</v>
      </c>
      <c r="G32" s="375">
        <f t="shared" si="4"/>
        <v>0</v>
      </c>
      <c r="H32" s="375">
        <f t="shared" si="5"/>
        <v>0</v>
      </c>
      <c r="I32" s="376">
        <f t="shared" si="6"/>
        <v>0.80792327278314835</v>
      </c>
      <c r="J32" s="377">
        <f t="shared" si="0"/>
        <v>0</v>
      </c>
      <c r="K32" s="381"/>
      <c r="L32" s="383"/>
    </row>
    <row r="33" spans="1:12">
      <c r="A33" s="348">
        <v>22</v>
      </c>
      <c r="B33" s="348"/>
      <c r="C33" s="375"/>
      <c r="D33" s="375">
        <f t="shared" si="1"/>
        <v>0</v>
      </c>
      <c r="E33" s="375">
        <f t="shared" si="2"/>
        <v>0</v>
      </c>
      <c r="F33" s="375">
        <f t="shared" si="3"/>
        <v>0</v>
      </c>
      <c r="G33" s="375">
        <f t="shared" si="4"/>
        <v>0</v>
      </c>
      <c r="H33" s="375">
        <f t="shared" si="5"/>
        <v>0</v>
      </c>
      <c r="I33" s="376">
        <f t="shared" si="6"/>
        <v>0.79975906565459098</v>
      </c>
      <c r="J33" s="377">
        <f t="shared" si="0"/>
        <v>0</v>
      </c>
      <c r="K33" s="381"/>
      <c r="L33" s="383"/>
    </row>
    <row r="34" spans="1:12">
      <c r="A34" s="348">
        <v>23</v>
      </c>
      <c r="B34" s="348"/>
      <c r="C34" s="375"/>
      <c r="D34" s="375">
        <f t="shared" si="1"/>
        <v>0</v>
      </c>
      <c r="E34" s="375">
        <f t="shared" si="2"/>
        <v>0</v>
      </c>
      <c r="F34" s="375">
        <f t="shared" si="3"/>
        <v>0</v>
      </c>
      <c r="G34" s="375">
        <f t="shared" si="4"/>
        <v>0</v>
      </c>
      <c r="H34" s="375">
        <f t="shared" si="5"/>
        <v>0</v>
      </c>
      <c r="I34" s="376">
        <f t="shared" si="6"/>
        <v>0.79167735927862171</v>
      </c>
      <c r="J34" s="377">
        <f t="shared" si="0"/>
        <v>0</v>
      </c>
      <c r="K34" s="381"/>
      <c r="L34" s="383"/>
    </row>
    <row r="35" spans="1:12">
      <c r="A35" s="348">
        <v>24</v>
      </c>
      <c r="B35" s="348"/>
      <c r="C35" s="375"/>
      <c r="D35" s="375">
        <f t="shared" si="1"/>
        <v>0</v>
      </c>
      <c r="E35" s="375">
        <f t="shared" si="2"/>
        <v>0</v>
      </c>
      <c r="F35" s="375">
        <f t="shared" si="3"/>
        <v>0</v>
      </c>
      <c r="G35" s="375">
        <f t="shared" si="4"/>
        <v>0</v>
      </c>
      <c r="H35" s="375">
        <f t="shared" si="5"/>
        <v>0</v>
      </c>
      <c r="I35" s="376">
        <f t="shared" si="6"/>
        <v>0.78367731997058854</v>
      </c>
      <c r="J35" s="377">
        <f t="shared" si="0"/>
        <v>0</v>
      </c>
      <c r="K35" s="381"/>
      <c r="L35" s="383"/>
    </row>
    <row r="36" spans="1:12">
      <c r="A36" s="348">
        <v>25</v>
      </c>
      <c r="B36" s="348"/>
      <c r="C36" s="375"/>
      <c r="D36" s="375">
        <f t="shared" si="1"/>
        <v>0</v>
      </c>
      <c r="E36" s="375">
        <f t="shared" si="2"/>
        <v>0</v>
      </c>
      <c r="F36" s="375">
        <f t="shared" si="3"/>
        <v>0</v>
      </c>
      <c r="G36" s="375">
        <f t="shared" si="4"/>
        <v>0</v>
      </c>
      <c r="H36" s="375">
        <f t="shared" si="5"/>
        <v>0</v>
      </c>
      <c r="I36" s="376">
        <f t="shared" si="6"/>
        <v>0.77575812247037013</v>
      </c>
      <c r="J36" s="377">
        <f t="shared" si="0"/>
        <v>0</v>
      </c>
      <c r="K36" s="381"/>
      <c r="L36" s="383"/>
    </row>
    <row r="37" spans="1:12">
      <c r="A37" s="348">
        <v>26</v>
      </c>
      <c r="B37" s="348"/>
      <c r="C37" s="375"/>
      <c r="D37" s="375">
        <f t="shared" si="1"/>
        <v>0</v>
      </c>
      <c r="E37" s="375">
        <f t="shared" si="2"/>
        <v>0</v>
      </c>
      <c r="F37" s="375">
        <f t="shared" si="3"/>
        <v>0</v>
      </c>
      <c r="G37" s="375">
        <f t="shared" si="4"/>
        <v>0</v>
      </c>
      <c r="H37" s="375">
        <f t="shared" si="5"/>
        <v>0</v>
      </c>
      <c r="I37" s="376">
        <f t="shared" si="6"/>
        <v>0.76791894985724418</v>
      </c>
      <c r="J37" s="377">
        <f t="shared" si="0"/>
        <v>0</v>
      </c>
      <c r="K37" s="381"/>
      <c r="L37" s="383"/>
    </row>
    <row r="38" spans="1:12">
      <c r="A38" s="348">
        <v>27</v>
      </c>
      <c r="B38" s="348"/>
      <c r="C38" s="375"/>
      <c r="D38" s="375">
        <f t="shared" si="1"/>
        <v>0</v>
      </c>
      <c r="E38" s="375">
        <f t="shared" si="2"/>
        <v>0</v>
      </c>
      <c r="F38" s="375">
        <f t="shared" si="3"/>
        <v>0</v>
      </c>
      <c r="G38" s="375">
        <f t="shared" si="4"/>
        <v>0</v>
      </c>
      <c r="H38" s="375">
        <f t="shared" si="5"/>
        <v>0</v>
      </c>
      <c r="I38" s="376">
        <f t="shared" si="6"/>
        <v>0.76015899346561611</v>
      </c>
      <c r="J38" s="377">
        <f t="shared" si="0"/>
        <v>0</v>
      </c>
      <c r="K38" s="381"/>
      <c r="L38" s="383"/>
    </row>
    <row r="39" spans="1:12">
      <c r="A39" s="348">
        <v>28</v>
      </c>
      <c r="B39" s="348"/>
      <c r="C39" s="375"/>
      <c r="D39" s="375">
        <f t="shared" si="1"/>
        <v>0</v>
      </c>
      <c r="E39" s="375">
        <f t="shared" si="2"/>
        <v>0</v>
      </c>
      <c r="F39" s="375">
        <f t="shared" si="3"/>
        <v>0</v>
      </c>
      <c r="G39" s="375">
        <f t="shared" si="4"/>
        <v>0</v>
      </c>
      <c r="H39" s="375">
        <f t="shared" si="5"/>
        <v>0</v>
      </c>
      <c r="I39" s="376">
        <f t="shared" si="6"/>
        <v>0.75247745280159972</v>
      </c>
      <c r="J39" s="377">
        <f t="shared" si="0"/>
        <v>0</v>
      </c>
      <c r="K39" s="381"/>
      <c r="L39" s="383"/>
    </row>
    <row r="40" spans="1:12">
      <c r="A40" s="348">
        <v>29</v>
      </c>
      <c r="B40" s="348"/>
      <c r="C40" s="375"/>
      <c r="D40" s="375">
        <f t="shared" si="1"/>
        <v>0</v>
      </c>
      <c r="E40" s="375">
        <f t="shared" si="2"/>
        <v>0</v>
      </c>
      <c r="F40" s="375">
        <f t="shared" si="3"/>
        <v>0</v>
      </c>
      <c r="G40" s="375">
        <f t="shared" si="4"/>
        <v>0</v>
      </c>
      <c r="H40" s="375">
        <f t="shared" si="5"/>
        <v>0</v>
      </c>
      <c r="I40" s="376">
        <f t="shared" si="6"/>
        <v>0.74487353546044099</v>
      </c>
      <c r="J40" s="377">
        <f t="shared" si="0"/>
        <v>0</v>
      </c>
      <c r="K40" s="381"/>
      <c r="L40" s="383"/>
    </row>
    <row r="41" spans="1:12">
      <c r="A41" s="348"/>
      <c r="B41" s="348"/>
      <c r="C41" s="375"/>
      <c r="D41" s="375"/>
      <c r="E41" s="375"/>
      <c r="F41" s="375"/>
      <c r="G41" s="375"/>
      <c r="H41" s="375"/>
      <c r="I41" s="376"/>
      <c r="J41" s="387"/>
      <c r="K41" s="381"/>
      <c r="L41" s="383"/>
    </row>
    <row r="42" spans="1:12">
      <c r="A42" s="348"/>
      <c r="B42" s="348"/>
      <c r="C42" s="375"/>
      <c r="D42" s="375"/>
      <c r="E42" s="375"/>
      <c r="F42" s="375"/>
      <c r="G42" s="375"/>
      <c r="H42" s="375"/>
      <c r="I42" s="376"/>
      <c r="J42" s="387"/>
      <c r="K42" s="381"/>
      <c r="L42" s="383"/>
    </row>
    <row r="43" spans="1:12">
      <c r="A43" s="348"/>
      <c r="B43" s="348"/>
      <c r="C43" s="375"/>
      <c r="D43" s="375"/>
      <c r="E43" s="375"/>
      <c r="F43" s="375"/>
      <c r="G43" s="375"/>
      <c r="H43" s="375"/>
      <c r="I43" s="376"/>
      <c r="J43" s="387"/>
      <c r="K43" s="381"/>
      <c r="L43" s="383"/>
    </row>
    <row r="44" spans="1:12">
      <c r="A44" s="348"/>
      <c r="B44" s="348"/>
      <c r="C44" s="375"/>
      <c r="D44" s="375"/>
      <c r="E44" s="375"/>
      <c r="F44" s="375"/>
      <c r="G44" s="375"/>
      <c r="H44" s="375"/>
      <c r="I44" s="376"/>
      <c r="J44" s="387"/>
      <c r="K44" s="381"/>
      <c r="L44" s="383"/>
    </row>
    <row r="45" spans="1:12">
      <c r="A45" s="348"/>
      <c r="B45" s="348"/>
      <c r="C45" s="375"/>
      <c r="D45" s="375"/>
      <c r="E45" s="375"/>
      <c r="F45" s="375"/>
      <c r="G45" s="375"/>
      <c r="H45" s="375"/>
      <c r="I45" s="376"/>
      <c r="J45" s="387"/>
      <c r="K45" s="381"/>
      <c r="L45" s="383"/>
    </row>
    <row r="46" spans="1:12">
      <c r="A46" s="348"/>
      <c r="B46" s="348"/>
      <c r="C46" s="375"/>
      <c r="D46" s="375"/>
      <c r="E46" s="375"/>
      <c r="F46" s="375"/>
      <c r="G46" s="375"/>
      <c r="H46" s="375"/>
      <c r="I46" s="376"/>
      <c r="J46" s="387"/>
      <c r="K46" s="381"/>
      <c r="L46" s="383"/>
    </row>
    <row r="47" spans="1:12">
      <c r="A47" s="348"/>
      <c r="B47" s="348"/>
      <c r="C47" s="375"/>
      <c r="D47" s="375"/>
      <c r="E47" s="375"/>
      <c r="F47" s="375"/>
      <c r="G47" s="375"/>
      <c r="H47" s="375"/>
      <c r="I47" s="376"/>
      <c r="J47" s="387"/>
      <c r="K47" s="381"/>
      <c r="L47" s="383"/>
    </row>
    <row r="48" spans="1:12">
      <c r="A48" s="348"/>
      <c r="B48" s="348"/>
      <c r="C48" s="375"/>
      <c r="D48" s="375"/>
      <c r="E48" s="375"/>
      <c r="F48" s="375"/>
      <c r="G48" s="375"/>
      <c r="H48" s="375"/>
      <c r="I48" s="376"/>
      <c r="J48" s="387"/>
      <c r="K48" s="381"/>
      <c r="L48" s="383"/>
    </row>
    <row r="49" spans="1:12">
      <c r="A49" s="348"/>
      <c r="B49" s="348"/>
      <c r="C49" s="375"/>
      <c r="D49" s="375"/>
      <c r="E49" s="375"/>
      <c r="F49" s="375"/>
      <c r="G49" s="375"/>
      <c r="H49" s="375"/>
      <c r="I49" s="376"/>
      <c r="J49" s="387"/>
      <c r="K49" s="381"/>
      <c r="L49" s="383"/>
    </row>
    <row r="50" spans="1:12">
      <c r="A50" s="348"/>
      <c r="B50" s="348"/>
      <c r="C50" s="375"/>
      <c r="D50" s="375"/>
      <c r="E50" s="375"/>
      <c r="F50" s="375"/>
      <c r="G50" s="375"/>
      <c r="H50" s="375"/>
      <c r="I50" s="376"/>
      <c r="J50" s="387"/>
      <c r="K50" s="381"/>
      <c r="L50" s="383"/>
    </row>
    <row r="51" spans="1:12">
      <c r="A51" s="348"/>
      <c r="B51" s="348"/>
      <c r="C51" s="375"/>
      <c r="D51" s="375"/>
      <c r="E51" s="375"/>
      <c r="F51" s="375"/>
      <c r="G51" s="375"/>
      <c r="H51" s="375"/>
      <c r="I51" s="376"/>
      <c r="J51" s="387"/>
      <c r="K51" s="381"/>
      <c r="L51" s="383"/>
    </row>
    <row r="52" spans="1:12">
      <c r="A52" s="348"/>
      <c r="B52" s="348"/>
      <c r="C52" s="375"/>
      <c r="D52" s="375"/>
      <c r="E52" s="375"/>
      <c r="F52" s="375"/>
      <c r="G52" s="375"/>
      <c r="H52" s="375"/>
      <c r="I52" s="376"/>
      <c r="J52" s="387"/>
      <c r="K52" s="381"/>
      <c r="L52" s="383"/>
    </row>
    <row r="53" spans="1:12">
      <c r="A53" s="348"/>
      <c r="B53" s="348"/>
      <c r="C53" s="375"/>
      <c r="D53" s="375"/>
      <c r="E53" s="375"/>
      <c r="F53" s="375"/>
      <c r="G53" s="375"/>
      <c r="H53" s="375"/>
      <c r="I53" s="376"/>
      <c r="J53" s="387"/>
      <c r="K53" s="381"/>
      <c r="L53" s="383"/>
    </row>
    <row r="54" spans="1:12">
      <c r="A54" s="348"/>
      <c r="B54" s="348"/>
      <c r="C54" s="375"/>
      <c r="D54" s="375"/>
      <c r="E54" s="375"/>
      <c r="F54" s="375"/>
      <c r="G54" s="375"/>
      <c r="H54" s="375"/>
      <c r="I54" s="376"/>
      <c r="J54" s="387"/>
      <c r="K54" s="381"/>
      <c r="L54" s="383"/>
    </row>
    <row r="55" spans="1:12">
      <c r="A55" s="348"/>
      <c r="B55" s="348"/>
      <c r="C55" s="375"/>
      <c r="D55" s="375"/>
      <c r="E55" s="375"/>
      <c r="F55" s="375"/>
      <c r="G55" s="375"/>
      <c r="H55" s="375"/>
      <c r="I55" s="376"/>
      <c r="J55" s="387"/>
      <c r="K55" s="381"/>
      <c r="L55" s="383"/>
    </row>
    <row r="56" spans="1:12">
      <c r="A56" s="348"/>
      <c r="B56" s="348"/>
      <c r="C56" s="375"/>
      <c r="D56" s="375"/>
      <c r="E56" s="375"/>
      <c r="F56" s="375"/>
      <c r="G56" s="375"/>
      <c r="H56" s="375"/>
      <c r="I56" s="376"/>
      <c r="J56" s="387"/>
      <c r="K56" s="381"/>
      <c r="L56" s="383"/>
    </row>
    <row r="57" spans="1:12">
      <c r="A57" s="348"/>
      <c r="B57" s="348"/>
      <c r="C57" s="375"/>
      <c r="D57" s="375"/>
      <c r="E57" s="375"/>
      <c r="F57" s="375"/>
      <c r="G57" s="375"/>
      <c r="H57" s="375"/>
      <c r="I57" s="376"/>
      <c r="J57" s="387"/>
      <c r="K57" s="381"/>
      <c r="L57" s="383"/>
    </row>
    <row r="58" spans="1:12">
      <c r="A58" s="348"/>
      <c r="B58" s="348"/>
      <c r="C58" s="375"/>
      <c r="D58" s="375"/>
      <c r="E58" s="375"/>
      <c r="F58" s="375"/>
      <c r="G58" s="375"/>
      <c r="H58" s="375"/>
      <c r="I58" s="376"/>
      <c r="J58" s="387"/>
      <c r="K58" s="381"/>
      <c r="L58" s="383"/>
    </row>
    <row r="59" spans="1:12">
      <c r="A59" s="348"/>
      <c r="B59" s="348"/>
      <c r="C59" s="375"/>
      <c r="D59" s="375"/>
      <c r="E59" s="375"/>
      <c r="F59" s="375"/>
      <c r="G59" s="375"/>
      <c r="H59" s="375"/>
      <c r="I59" s="376"/>
      <c r="J59" s="387"/>
      <c r="K59" s="381"/>
      <c r="L59" s="383"/>
    </row>
    <row r="60" spans="1:12">
      <c r="A60" s="348"/>
      <c r="B60" s="348"/>
      <c r="C60" s="375"/>
      <c r="D60" s="375"/>
      <c r="E60" s="375"/>
      <c r="F60" s="375"/>
      <c r="G60" s="375"/>
      <c r="H60" s="375"/>
      <c r="I60" s="376"/>
      <c r="J60" s="387"/>
      <c r="K60" s="381"/>
      <c r="L60" s="383"/>
    </row>
    <row r="61" spans="1:12">
      <c r="A61" s="348"/>
      <c r="B61" s="348"/>
      <c r="C61" s="375"/>
      <c r="D61" s="375"/>
      <c r="E61" s="375"/>
      <c r="F61" s="375"/>
      <c r="G61" s="375"/>
      <c r="H61" s="375"/>
      <c r="I61" s="376"/>
      <c r="J61" s="387"/>
      <c r="K61" s="381"/>
      <c r="L61" s="383"/>
    </row>
    <row r="62" spans="1:12">
      <c r="A62" s="348"/>
      <c r="B62" s="348"/>
      <c r="C62" s="375"/>
      <c r="D62" s="375"/>
      <c r="E62" s="375"/>
      <c r="F62" s="375"/>
      <c r="G62" s="375"/>
      <c r="H62" s="375"/>
      <c r="I62" s="376"/>
      <c r="J62" s="387"/>
      <c r="K62" s="381"/>
      <c r="L62" s="383"/>
    </row>
    <row r="63" spans="1:12">
      <c r="A63" s="348"/>
      <c r="B63" s="348"/>
      <c r="C63" s="375"/>
      <c r="D63" s="375"/>
      <c r="E63" s="375"/>
      <c r="F63" s="375"/>
      <c r="G63" s="375"/>
      <c r="H63" s="375"/>
      <c r="I63" s="376"/>
      <c r="J63" s="387"/>
      <c r="K63" s="381"/>
      <c r="L63" s="383"/>
    </row>
    <row r="64" spans="1:12">
      <c r="A64" s="348"/>
      <c r="B64" s="348"/>
      <c r="C64" s="375"/>
      <c r="D64" s="375"/>
      <c r="E64" s="375"/>
      <c r="F64" s="375"/>
      <c r="G64" s="375"/>
      <c r="H64" s="375"/>
      <c r="I64" s="376"/>
      <c r="J64" s="387"/>
      <c r="K64" s="381"/>
      <c r="L64" s="383"/>
    </row>
    <row r="65" spans="1:12">
      <c r="A65" s="348"/>
      <c r="B65" s="348"/>
      <c r="C65" s="375"/>
      <c r="D65" s="375"/>
      <c r="E65" s="375"/>
      <c r="F65" s="375"/>
      <c r="G65" s="375"/>
      <c r="H65" s="375"/>
      <c r="I65" s="376"/>
      <c r="J65" s="387"/>
      <c r="K65" s="381"/>
      <c r="L65" s="383"/>
    </row>
    <row r="66" spans="1:12">
      <c r="A66" s="348"/>
      <c r="B66" s="348"/>
      <c r="C66" s="375"/>
      <c r="D66" s="375"/>
      <c r="E66" s="375"/>
      <c r="F66" s="375"/>
      <c r="G66" s="375"/>
      <c r="H66" s="375"/>
      <c r="I66" s="376"/>
      <c r="J66" s="387"/>
      <c r="K66" s="381"/>
      <c r="L66" s="383"/>
    </row>
    <row r="67" spans="1:12">
      <c r="A67" s="348"/>
      <c r="B67" s="348"/>
      <c r="C67" s="375"/>
      <c r="D67" s="375"/>
      <c r="E67" s="375"/>
      <c r="F67" s="375"/>
      <c r="G67" s="375"/>
      <c r="H67" s="375"/>
      <c r="I67" s="376"/>
      <c r="J67" s="387"/>
      <c r="K67" s="381"/>
      <c r="L67" s="383"/>
    </row>
    <row r="68" spans="1:12">
      <c r="A68" s="348"/>
      <c r="B68" s="348"/>
      <c r="C68" s="375"/>
      <c r="D68" s="375"/>
      <c r="E68" s="375"/>
      <c r="F68" s="375"/>
      <c r="G68" s="375"/>
      <c r="H68" s="375"/>
      <c r="I68" s="376"/>
      <c r="J68" s="387"/>
      <c r="K68" s="381"/>
      <c r="L68" s="383"/>
    </row>
    <row r="69" spans="1:12">
      <c r="A69" s="348"/>
      <c r="B69" s="348"/>
      <c r="C69" s="375"/>
      <c r="D69" s="375"/>
      <c r="E69" s="375"/>
      <c r="F69" s="375"/>
      <c r="G69" s="375"/>
      <c r="H69" s="375"/>
      <c r="I69" s="376"/>
      <c r="J69" s="387"/>
      <c r="K69" s="381"/>
      <c r="L69" s="383"/>
    </row>
    <row r="70" spans="1:12">
      <c r="A70" s="348"/>
      <c r="B70" s="348"/>
      <c r="C70" s="375"/>
      <c r="D70" s="375"/>
      <c r="E70" s="375"/>
      <c r="F70" s="375"/>
      <c r="G70" s="375"/>
      <c r="H70" s="375"/>
      <c r="I70" s="376"/>
      <c r="J70" s="387"/>
      <c r="K70" s="381"/>
      <c r="L70" s="383"/>
    </row>
    <row r="71" spans="1:12">
      <c r="A71" s="348"/>
      <c r="B71" s="348"/>
      <c r="C71" s="375"/>
      <c r="D71" s="375"/>
      <c r="E71" s="375"/>
      <c r="F71" s="375"/>
      <c r="G71" s="375"/>
      <c r="H71" s="375"/>
      <c r="I71" s="376"/>
      <c r="J71" s="387"/>
      <c r="K71" s="381"/>
      <c r="L71" s="383"/>
    </row>
    <row r="72" spans="1:12">
      <c r="A72" s="348"/>
      <c r="B72" s="348"/>
      <c r="C72" s="375"/>
      <c r="D72" s="375"/>
      <c r="E72" s="375"/>
      <c r="F72" s="375"/>
      <c r="G72" s="375"/>
      <c r="H72" s="375"/>
      <c r="I72" s="376"/>
      <c r="J72" s="387"/>
      <c r="K72" s="381"/>
      <c r="L72" s="383"/>
    </row>
    <row r="73" spans="1:12">
      <c r="A73" s="348"/>
      <c r="B73" s="348"/>
      <c r="C73" s="375"/>
      <c r="D73" s="375"/>
      <c r="E73" s="375"/>
      <c r="F73" s="375"/>
      <c r="G73" s="375"/>
      <c r="H73" s="375"/>
      <c r="I73" s="376"/>
      <c r="J73" s="387"/>
      <c r="K73" s="381"/>
      <c r="L73" s="383"/>
    </row>
    <row r="74" spans="1:12">
      <c r="A74" s="348"/>
      <c r="B74" s="348"/>
      <c r="C74" s="375"/>
      <c r="D74" s="375"/>
      <c r="E74" s="375"/>
      <c r="F74" s="375"/>
      <c r="G74" s="375"/>
      <c r="H74" s="375"/>
      <c r="I74" s="376"/>
      <c r="J74" s="387"/>
      <c r="K74" s="381"/>
      <c r="L74" s="383"/>
    </row>
    <row r="75" spans="1:12">
      <c r="A75" s="348"/>
      <c r="B75" s="348"/>
      <c r="C75" s="375"/>
      <c r="D75" s="375"/>
      <c r="E75" s="375"/>
      <c r="F75" s="375"/>
      <c r="G75" s="375"/>
      <c r="H75" s="375"/>
      <c r="I75" s="376"/>
      <c r="J75" s="387"/>
      <c r="K75" s="381"/>
      <c r="L75" s="383"/>
    </row>
    <row r="76" spans="1:12">
      <c r="A76" s="348"/>
      <c r="B76" s="348"/>
      <c r="C76" s="375"/>
      <c r="D76" s="375"/>
      <c r="E76" s="375"/>
      <c r="F76" s="375"/>
      <c r="G76" s="375"/>
      <c r="H76" s="375"/>
      <c r="I76" s="376"/>
      <c r="J76" s="387"/>
      <c r="K76" s="381"/>
      <c r="L76" s="383"/>
    </row>
    <row r="77" spans="1:12">
      <c r="A77" s="348"/>
      <c r="B77" s="348"/>
      <c r="C77" s="375"/>
      <c r="D77" s="375"/>
      <c r="E77" s="375"/>
      <c r="F77" s="375"/>
      <c r="G77" s="375"/>
      <c r="H77" s="375"/>
      <c r="I77" s="376"/>
      <c r="J77" s="387"/>
      <c r="K77" s="381"/>
      <c r="L77" s="383"/>
    </row>
    <row r="78" spans="1:12">
      <c r="A78" s="348"/>
      <c r="B78" s="348"/>
      <c r="C78" s="375"/>
      <c r="D78" s="375"/>
      <c r="E78" s="375"/>
      <c r="F78" s="375"/>
      <c r="G78" s="375"/>
      <c r="H78" s="375"/>
      <c r="I78" s="376"/>
      <c r="J78" s="387"/>
      <c r="K78" s="381"/>
      <c r="L78" s="383"/>
    </row>
    <row r="79" spans="1:12">
      <c r="A79" s="348"/>
      <c r="B79" s="348"/>
      <c r="C79" s="375"/>
      <c r="D79" s="375"/>
      <c r="E79" s="375"/>
      <c r="F79" s="375"/>
      <c r="G79" s="375"/>
      <c r="H79" s="375"/>
      <c r="I79" s="376"/>
      <c r="J79" s="387"/>
      <c r="K79" s="381"/>
      <c r="L79" s="383"/>
    </row>
    <row r="80" spans="1:12">
      <c r="A80" s="348"/>
      <c r="B80" s="348"/>
      <c r="C80" s="375"/>
      <c r="D80" s="375"/>
      <c r="E80" s="375"/>
      <c r="F80" s="375"/>
      <c r="G80" s="375"/>
      <c r="H80" s="375"/>
      <c r="I80" s="376"/>
      <c r="J80" s="387"/>
      <c r="K80" s="381"/>
      <c r="L80" s="383"/>
    </row>
    <row r="81" spans="1:12">
      <c r="A81" s="348"/>
      <c r="B81" s="348"/>
      <c r="C81" s="375"/>
      <c r="D81" s="375"/>
      <c r="E81" s="375"/>
      <c r="F81" s="375"/>
      <c r="G81" s="375"/>
      <c r="H81" s="375"/>
      <c r="I81" s="376"/>
      <c r="J81" s="387"/>
      <c r="K81" s="381"/>
      <c r="L81" s="383"/>
    </row>
    <row r="82" spans="1:12">
      <c r="A82" s="348"/>
      <c r="B82" s="348"/>
      <c r="C82" s="375"/>
      <c r="D82" s="375"/>
      <c r="E82" s="375"/>
      <c r="F82" s="375"/>
      <c r="G82" s="375"/>
      <c r="H82" s="375"/>
      <c r="I82" s="376"/>
      <c r="J82" s="387"/>
      <c r="K82" s="381"/>
      <c r="L82" s="383"/>
    </row>
    <row r="83" spans="1:12">
      <c r="A83" s="348"/>
      <c r="B83" s="348"/>
      <c r="C83" s="375"/>
      <c r="D83" s="375"/>
      <c r="E83" s="375"/>
      <c r="F83" s="375"/>
      <c r="G83" s="375"/>
      <c r="H83" s="375"/>
      <c r="I83" s="376"/>
      <c r="J83" s="387"/>
    </row>
    <row r="84" spans="1:12">
      <c r="A84" s="348"/>
      <c r="B84" s="348"/>
      <c r="C84" s="375"/>
      <c r="D84" s="375"/>
      <c r="E84" s="375"/>
      <c r="F84" s="375"/>
      <c r="G84" s="375"/>
      <c r="H84" s="375"/>
      <c r="I84" s="376"/>
      <c r="J84" s="387"/>
    </row>
    <row r="85" spans="1:12">
      <c r="A85" s="348"/>
      <c r="B85" s="348"/>
      <c r="C85" s="375"/>
      <c r="D85" s="375"/>
      <c r="E85" s="375"/>
      <c r="F85" s="375"/>
      <c r="G85" s="375"/>
      <c r="H85" s="375"/>
      <c r="I85" s="376"/>
      <c r="J85" s="387"/>
    </row>
    <row r="86" spans="1:12">
      <c r="A86" s="348"/>
      <c r="B86" s="348"/>
      <c r="C86" s="375"/>
      <c r="D86" s="375"/>
      <c r="E86" s="375"/>
      <c r="F86" s="375"/>
      <c r="G86" s="375"/>
      <c r="H86" s="375"/>
      <c r="I86" s="376"/>
      <c r="J86" s="387"/>
    </row>
    <row r="87" spans="1:12">
      <c r="A87" s="348"/>
      <c r="B87" s="348"/>
      <c r="C87" s="375"/>
      <c r="D87" s="375"/>
      <c r="E87" s="375"/>
      <c r="F87" s="375"/>
      <c r="G87" s="375"/>
      <c r="H87" s="375"/>
      <c r="I87" s="376"/>
      <c r="J87" s="387"/>
    </row>
    <row r="88" spans="1:12">
      <c r="A88" s="348"/>
      <c r="B88" s="348"/>
      <c r="C88" s="375"/>
      <c r="D88" s="375"/>
      <c r="E88" s="375"/>
      <c r="F88" s="375"/>
      <c r="G88" s="375"/>
      <c r="H88" s="375"/>
      <c r="I88" s="376"/>
      <c r="J88" s="387"/>
    </row>
    <row r="89" spans="1:12">
      <c r="A89" s="348"/>
      <c r="B89" s="348"/>
      <c r="C89" s="375"/>
      <c r="D89" s="375"/>
      <c r="E89" s="375"/>
      <c r="F89" s="375"/>
      <c r="G89" s="375"/>
      <c r="H89" s="375"/>
      <c r="I89" s="376"/>
      <c r="J89" s="387"/>
    </row>
    <row r="90" spans="1:12">
      <c r="A90" s="348"/>
      <c r="B90" s="348"/>
      <c r="C90" s="375"/>
      <c r="D90" s="375"/>
      <c r="E90" s="375"/>
      <c r="F90" s="375"/>
      <c r="G90" s="375"/>
      <c r="H90" s="375"/>
      <c r="I90" s="376"/>
      <c r="J90" s="387"/>
    </row>
    <row r="91" spans="1:12">
      <c r="A91" s="348"/>
      <c r="B91" s="348"/>
      <c r="C91" s="375"/>
      <c r="D91" s="375"/>
      <c r="E91" s="375"/>
      <c r="F91" s="375"/>
      <c r="G91" s="375"/>
      <c r="H91" s="375"/>
      <c r="I91" s="376"/>
      <c r="J91" s="387"/>
    </row>
    <row r="92" spans="1:12">
      <c r="A92" s="348"/>
      <c r="B92" s="348"/>
      <c r="C92" s="375"/>
      <c r="D92" s="375"/>
      <c r="E92" s="375"/>
      <c r="F92" s="375"/>
      <c r="G92" s="375"/>
      <c r="H92" s="375"/>
      <c r="I92" s="376"/>
      <c r="J92" s="387"/>
    </row>
    <row r="93" spans="1:12">
      <c r="A93" s="348"/>
      <c r="B93" s="348"/>
      <c r="C93" s="375"/>
      <c r="D93" s="375"/>
      <c r="E93" s="375"/>
      <c r="F93" s="375"/>
      <c r="G93" s="375"/>
      <c r="H93" s="375"/>
      <c r="I93" s="376"/>
      <c r="J93" s="387"/>
    </row>
    <row r="94" spans="1:12">
      <c r="A94" s="348"/>
      <c r="B94" s="348"/>
      <c r="C94" s="375"/>
      <c r="D94" s="375"/>
      <c r="E94" s="375"/>
      <c r="F94" s="375"/>
      <c r="G94" s="375"/>
      <c r="H94" s="375"/>
      <c r="I94" s="376"/>
      <c r="J94" s="387"/>
    </row>
    <row r="95" spans="1:12">
      <c r="A95" s="348"/>
      <c r="B95" s="348"/>
      <c r="C95" s="375"/>
      <c r="D95" s="375"/>
      <c r="E95" s="375"/>
      <c r="F95" s="375"/>
      <c r="G95" s="375"/>
      <c r="H95" s="375"/>
      <c r="I95" s="376"/>
      <c r="J95" s="387"/>
    </row>
    <row r="96" spans="1:12">
      <c r="A96" s="348"/>
      <c r="B96" s="348"/>
      <c r="C96" s="375"/>
      <c r="D96" s="375"/>
      <c r="E96" s="375"/>
      <c r="F96" s="375"/>
      <c r="G96" s="375"/>
      <c r="H96" s="375"/>
      <c r="I96" s="376"/>
      <c r="J96" s="387"/>
    </row>
    <row r="97" spans="1:12">
      <c r="A97" s="348"/>
      <c r="B97" s="348"/>
      <c r="C97" s="375"/>
      <c r="D97" s="375"/>
      <c r="E97" s="375"/>
      <c r="F97" s="375"/>
      <c r="G97" s="375"/>
      <c r="H97" s="375"/>
      <c r="I97" s="376"/>
      <c r="J97" s="387"/>
    </row>
    <row r="98" spans="1:12">
      <c r="A98" s="348"/>
      <c r="B98" s="348"/>
      <c r="C98" s="375"/>
      <c r="D98" s="375"/>
      <c r="E98" s="375"/>
      <c r="F98" s="375"/>
      <c r="G98" s="375"/>
      <c r="H98" s="375"/>
      <c r="I98" s="376"/>
      <c r="J98" s="387"/>
    </row>
    <row r="99" spans="1:12">
      <c r="A99" s="348"/>
      <c r="B99" s="348"/>
      <c r="C99" s="375"/>
      <c r="D99" s="375"/>
      <c r="E99" s="375"/>
      <c r="F99" s="375"/>
      <c r="G99" s="375"/>
      <c r="H99" s="375"/>
      <c r="I99" s="376"/>
      <c r="J99" s="387"/>
    </row>
    <row r="100" spans="1:12">
      <c r="A100" s="348"/>
      <c r="B100" s="348"/>
      <c r="C100" s="375"/>
      <c r="D100" s="375"/>
      <c r="E100" s="375"/>
      <c r="F100" s="375"/>
      <c r="G100" s="375"/>
      <c r="H100" s="375"/>
      <c r="I100" s="376"/>
      <c r="J100" s="387"/>
    </row>
    <row r="101" spans="1:12">
      <c r="A101" s="348"/>
      <c r="B101" s="348"/>
      <c r="C101" s="375"/>
      <c r="D101" s="375"/>
      <c r="E101" s="375"/>
      <c r="F101" s="375"/>
      <c r="G101" s="375"/>
      <c r="H101" s="375"/>
      <c r="I101" s="376"/>
      <c r="J101" s="387"/>
    </row>
    <row r="102" spans="1:12">
      <c r="A102" s="348"/>
      <c r="B102" s="348"/>
      <c r="C102" s="375"/>
      <c r="D102" s="375"/>
      <c r="E102" s="375"/>
      <c r="F102" s="375"/>
      <c r="G102" s="375"/>
      <c r="H102" s="375"/>
      <c r="I102" s="376"/>
      <c r="J102" s="387"/>
    </row>
    <row r="103" spans="1:12">
      <c r="A103" s="348"/>
      <c r="B103" s="348"/>
      <c r="C103" s="375"/>
      <c r="D103" s="375"/>
      <c r="E103" s="375"/>
      <c r="F103" s="375"/>
      <c r="G103" s="375"/>
      <c r="H103" s="375"/>
      <c r="I103" s="376"/>
      <c r="J103" s="387"/>
    </row>
    <row r="104" spans="1:12">
      <c r="A104" s="348"/>
      <c r="B104" s="348"/>
      <c r="C104" s="375"/>
      <c r="D104" s="375"/>
      <c r="E104" s="375"/>
      <c r="F104" s="375"/>
      <c r="G104" s="375"/>
      <c r="H104" s="375"/>
      <c r="I104" s="376"/>
      <c r="J104" s="387"/>
    </row>
    <row r="105" spans="1:12">
      <c r="A105" s="348"/>
      <c r="B105" s="348"/>
      <c r="C105" s="375"/>
      <c r="D105" s="375"/>
      <c r="E105" s="375"/>
      <c r="F105" s="375"/>
      <c r="G105" s="375"/>
      <c r="H105" s="375"/>
      <c r="I105" s="376"/>
      <c r="J105" s="387"/>
    </row>
    <row r="106" spans="1:12">
      <c r="A106" s="348"/>
      <c r="B106" s="348"/>
      <c r="C106" s="375"/>
      <c r="D106" s="375"/>
      <c r="E106" s="375"/>
      <c r="F106" s="375"/>
      <c r="G106" s="375"/>
      <c r="H106" s="375"/>
      <c r="I106" s="376"/>
      <c r="J106" s="387"/>
    </row>
    <row r="107" spans="1:12">
      <c r="A107" s="348"/>
      <c r="B107" s="348"/>
      <c r="C107" s="375"/>
      <c r="D107" s="375"/>
      <c r="E107" s="375"/>
      <c r="F107" s="375"/>
      <c r="G107" s="375"/>
      <c r="H107" s="375"/>
      <c r="I107" s="376"/>
      <c r="J107" s="387"/>
    </row>
    <row r="108" spans="1:12">
      <c r="A108" s="348"/>
      <c r="B108" s="348"/>
      <c r="C108" s="375"/>
      <c r="D108" s="375"/>
      <c r="E108" s="375"/>
      <c r="F108" s="375"/>
      <c r="G108" s="375"/>
      <c r="H108" s="375"/>
      <c r="I108" s="376"/>
      <c r="J108" s="387"/>
    </row>
    <row r="109" spans="1:12">
      <c r="A109" s="348"/>
      <c r="B109" s="348"/>
      <c r="C109" s="375"/>
      <c r="D109" s="375"/>
      <c r="E109" s="375"/>
      <c r="F109" s="375"/>
      <c r="G109" s="375"/>
      <c r="H109" s="375"/>
      <c r="I109" s="376"/>
      <c r="J109" s="387"/>
      <c r="K109" s="388"/>
      <c r="L109" s="388"/>
    </row>
    <row r="110" spans="1:12">
      <c r="A110" s="348"/>
      <c r="B110" s="348"/>
      <c r="C110" s="375"/>
      <c r="D110" s="375"/>
      <c r="E110" s="375"/>
      <c r="F110" s="375"/>
      <c r="G110" s="375"/>
      <c r="H110" s="375"/>
      <c r="I110" s="376"/>
      <c r="J110" s="387"/>
    </row>
    <row r="111" spans="1:12">
      <c r="A111" s="348"/>
      <c r="B111" s="348"/>
      <c r="C111" s="375"/>
      <c r="D111" s="375"/>
      <c r="E111" s="375"/>
      <c r="F111" s="375"/>
      <c r="G111" s="375"/>
      <c r="H111" s="375"/>
      <c r="I111" s="376"/>
      <c r="J111" s="387"/>
    </row>
    <row r="112" spans="1:12">
      <c r="A112" s="348"/>
      <c r="B112" s="348"/>
      <c r="C112" s="375"/>
      <c r="D112" s="375"/>
      <c r="E112" s="375"/>
      <c r="F112" s="375"/>
      <c r="G112" s="375"/>
      <c r="H112" s="375"/>
      <c r="I112" s="376"/>
      <c r="J112" s="387"/>
    </row>
    <row r="113" spans="1:10">
      <c r="A113" s="348"/>
      <c r="B113" s="348"/>
      <c r="C113" s="375"/>
      <c r="D113" s="375"/>
      <c r="E113" s="375"/>
      <c r="F113" s="375"/>
      <c r="G113" s="375"/>
      <c r="H113" s="375"/>
      <c r="I113" s="376"/>
      <c r="J113" s="387"/>
    </row>
    <row r="114" spans="1:10">
      <c r="A114" s="348"/>
      <c r="B114" s="348"/>
      <c r="C114" s="375"/>
      <c r="D114" s="375"/>
      <c r="E114" s="375"/>
      <c r="F114" s="375"/>
      <c r="G114" s="375"/>
      <c r="H114" s="375"/>
      <c r="I114" s="376"/>
      <c r="J114" s="387"/>
    </row>
    <row r="115" spans="1:10">
      <c r="A115" s="348"/>
      <c r="B115" s="348"/>
      <c r="C115" s="375"/>
      <c r="D115" s="375"/>
      <c r="E115" s="375"/>
      <c r="F115" s="375"/>
      <c r="G115" s="375"/>
      <c r="H115" s="375"/>
      <c r="I115" s="376"/>
      <c r="J115" s="387"/>
    </row>
    <row r="116" spans="1:10">
      <c r="A116" s="348"/>
      <c r="B116" s="348"/>
      <c r="C116" s="375"/>
      <c r="D116" s="375"/>
      <c r="E116" s="375"/>
      <c r="F116" s="375"/>
      <c r="G116" s="375"/>
      <c r="H116" s="375"/>
      <c r="I116" s="376"/>
      <c r="J116" s="387"/>
    </row>
    <row r="117" spans="1:10">
      <c r="A117" s="348"/>
      <c r="B117" s="348"/>
      <c r="C117" s="375"/>
      <c r="D117" s="375"/>
      <c r="E117" s="375"/>
      <c r="F117" s="375"/>
      <c r="G117" s="375"/>
      <c r="H117" s="375"/>
      <c r="I117" s="376"/>
      <c r="J117" s="387"/>
    </row>
    <row r="118" spans="1:10">
      <c r="A118" s="348"/>
      <c r="B118" s="348"/>
      <c r="C118" s="375"/>
      <c r="D118" s="375"/>
      <c r="E118" s="375"/>
      <c r="F118" s="375"/>
      <c r="G118" s="375"/>
      <c r="H118" s="375"/>
      <c r="I118" s="376"/>
      <c r="J118" s="387"/>
    </row>
    <row r="119" spans="1:10">
      <c r="A119" s="348"/>
      <c r="B119" s="348"/>
      <c r="C119" s="375"/>
      <c r="D119" s="375"/>
      <c r="E119" s="375"/>
      <c r="F119" s="375"/>
      <c r="G119" s="375"/>
      <c r="H119" s="375"/>
      <c r="I119" s="376"/>
      <c r="J119" s="387"/>
    </row>
    <row r="138" spans="1:10">
      <c r="A138" s="388"/>
      <c r="B138" s="388"/>
      <c r="C138" s="388"/>
      <c r="D138" s="388"/>
      <c r="E138" s="388"/>
      <c r="F138" s="388"/>
      <c r="G138" s="388"/>
      <c r="H138" s="388"/>
      <c r="I138" s="388"/>
      <c r="J138" s="388"/>
    </row>
  </sheetData>
  <mergeCells count="1">
    <mergeCell ref="A1:J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workbookViewId="0">
      <selection activeCell="H17" sqref="H17"/>
    </sheetView>
  </sheetViews>
  <sheetFormatPr defaultRowHeight="15"/>
  <cols>
    <col min="1" max="1" width="3" customWidth="1"/>
    <col min="3" max="3" width="31.7109375" bestFit="1" customWidth="1"/>
    <col min="8" max="8" width="30.7109375" bestFit="1" customWidth="1"/>
  </cols>
  <sheetData>
    <row r="2" spans="2:10">
      <c r="B2" s="629"/>
      <c r="C2" s="630"/>
      <c r="D2" s="630"/>
      <c r="E2" s="631"/>
      <c r="F2" s="341"/>
      <c r="G2" s="629"/>
      <c r="H2" s="630"/>
      <c r="I2" s="630"/>
      <c r="J2" s="631"/>
    </row>
    <row r="3" spans="2:10">
      <c r="B3" s="629" t="s">
        <v>463</v>
      </c>
      <c r="C3" s="630"/>
      <c r="D3" s="344" t="s">
        <v>470</v>
      </c>
      <c r="E3" s="344" t="s">
        <v>471</v>
      </c>
      <c r="F3" s="341"/>
      <c r="G3" s="629" t="s">
        <v>464</v>
      </c>
      <c r="H3" s="630"/>
      <c r="I3" s="344" t="s">
        <v>470</v>
      </c>
      <c r="J3" s="344" t="s">
        <v>471</v>
      </c>
    </row>
    <row r="4" spans="2:10">
      <c r="B4" s="342" t="s">
        <v>465</v>
      </c>
      <c r="C4" s="342" t="s">
        <v>466</v>
      </c>
      <c r="D4" s="342" t="s">
        <v>467</v>
      </c>
      <c r="E4" s="342" t="s">
        <v>467</v>
      </c>
      <c r="F4" s="341"/>
      <c r="G4" s="342" t="s">
        <v>465</v>
      </c>
      <c r="H4" s="342" t="s">
        <v>466</v>
      </c>
      <c r="I4" s="342" t="s">
        <v>467</v>
      </c>
      <c r="J4" s="342" t="s">
        <v>467</v>
      </c>
    </row>
    <row r="5" spans="2:10">
      <c r="B5" s="343"/>
      <c r="C5" s="343"/>
      <c r="D5" s="343"/>
      <c r="E5" s="343"/>
      <c r="F5" s="341"/>
      <c r="G5" s="343"/>
      <c r="H5" s="343"/>
      <c r="I5" s="343"/>
      <c r="J5" s="343"/>
    </row>
    <row r="6" spans="2:10">
      <c r="B6" s="343">
        <v>1</v>
      </c>
      <c r="C6" s="343"/>
      <c r="D6" s="342"/>
      <c r="E6" s="343"/>
      <c r="F6" s="341"/>
      <c r="G6" s="343">
        <v>1</v>
      </c>
      <c r="H6" s="343"/>
      <c r="I6" s="342"/>
      <c r="J6" s="343"/>
    </row>
    <row r="7" spans="2:10">
      <c r="B7" s="343">
        <v>2</v>
      </c>
      <c r="C7" s="343"/>
      <c r="D7" s="342"/>
      <c r="E7" s="343"/>
      <c r="F7" s="341"/>
      <c r="G7" s="343">
        <v>2</v>
      </c>
      <c r="H7" s="343"/>
      <c r="I7" s="342"/>
      <c r="J7" s="343"/>
    </row>
    <row r="8" spans="2:10">
      <c r="B8" s="343">
        <v>3</v>
      </c>
      <c r="C8" s="343"/>
      <c r="D8" s="342"/>
      <c r="E8" s="343"/>
      <c r="F8" s="341"/>
      <c r="G8" s="343">
        <v>3</v>
      </c>
      <c r="H8" s="343"/>
      <c r="I8" s="342"/>
      <c r="J8" s="343"/>
    </row>
    <row r="9" spans="2:10">
      <c r="B9" s="343">
        <v>4</v>
      </c>
      <c r="C9" s="343"/>
      <c r="D9" s="342"/>
      <c r="E9" s="343"/>
      <c r="F9" s="341"/>
      <c r="G9" s="343">
        <v>4</v>
      </c>
      <c r="H9" s="343"/>
      <c r="I9" s="342"/>
      <c r="J9" s="343"/>
    </row>
    <row r="10" spans="2:10">
      <c r="B10" s="343">
        <v>5</v>
      </c>
      <c r="C10" s="343"/>
      <c r="D10" s="342"/>
      <c r="E10" s="343"/>
      <c r="F10" s="341"/>
      <c r="G10" s="343">
        <v>5</v>
      </c>
      <c r="H10" s="343"/>
      <c r="I10" s="342"/>
      <c r="J10" s="343"/>
    </row>
    <row r="11" spans="2:10">
      <c r="B11" s="343"/>
      <c r="C11" s="343"/>
      <c r="D11" s="343"/>
      <c r="E11" s="343"/>
      <c r="F11" s="341"/>
      <c r="G11" s="343"/>
      <c r="H11" s="343"/>
      <c r="I11" s="343"/>
      <c r="J11" s="343"/>
    </row>
    <row r="12" spans="2:10">
      <c r="B12" s="627" t="s">
        <v>449</v>
      </c>
      <c r="C12" s="628"/>
      <c r="D12" s="345">
        <f>SUM(D6:D11)</f>
        <v>0</v>
      </c>
      <c r="E12" s="345">
        <f>SUM(E6:E11)</f>
        <v>0</v>
      </c>
      <c r="F12" s="341"/>
      <c r="G12" s="627" t="s">
        <v>449</v>
      </c>
      <c r="H12" s="628"/>
      <c r="I12" s="345">
        <f>SUM(I6:I11)</f>
        <v>0</v>
      </c>
      <c r="J12" s="345">
        <f>SUM(J6:J11)</f>
        <v>0</v>
      </c>
    </row>
    <row r="13" spans="2:10">
      <c r="B13" s="627" t="s">
        <v>468</v>
      </c>
      <c r="C13" s="628"/>
      <c r="D13" s="344"/>
      <c r="E13" s="344"/>
      <c r="F13" s="341"/>
      <c r="G13" s="627" t="s">
        <v>469</v>
      </c>
      <c r="H13" s="628"/>
      <c r="I13" s="344"/>
      <c r="J13" s="344"/>
    </row>
    <row r="14" spans="2:10">
      <c r="B14" s="341"/>
      <c r="C14" s="341"/>
      <c r="D14" s="341"/>
      <c r="E14" s="341"/>
      <c r="F14" s="341"/>
      <c r="G14" s="341"/>
      <c r="H14" s="341"/>
      <c r="I14" s="341"/>
      <c r="J14" s="341"/>
    </row>
    <row r="15" spans="2:10">
      <c r="B15" s="341"/>
      <c r="C15" s="341"/>
      <c r="D15" s="341"/>
      <c r="E15" s="341"/>
      <c r="F15" s="341"/>
      <c r="G15" s="341"/>
      <c r="H15" s="341"/>
      <c r="I15" s="341"/>
      <c r="J15" s="341"/>
    </row>
  </sheetData>
  <mergeCells count="8">
    <mergeCell ref="B13:C13"/>
    <mergeCell ref="G13:H13"/>
    <mergeCell ref="B2:E2"/>
    <mergeCell ref="G2:J2"/>
    <mergeCell ref="B3:C3"/>
    <mergeCell ref="G3:H3"/>
    <mergeCell ref="B12:C12"/>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zoomScale="90" zoomScaleNormal="90" workbookViewId="0">
      <selection activeCell="A6" sqref="A6"/>
    </sheetView>
  </sheetViews>
  <sheetFormatPr defaultColWidth="8.7109375" defaultRowHeight="14.25"/>
  <cols>
    <col min="1" max="1" width="39.85546875" style="5" customWidth="1"/>
    <col min="2" max="2" width="0.5703125" style="5" hidden="1" customWidth="1"/>
    <col min="3" max="5" width="9.85546875" style="5" bestFit="1" customWidth="1"/>
    <col min="6" max="7" width="7.5703125" style="5" bestFit="1" customWidth="1"/>
    <col min="8" max="13" width="8.7109375" style="5"/>
    <col min="14" max="14" width="5.85546875" style="5" bestFit="1" customWidth="1"/>
    <col min="15" max="15" width="11" style="5" bestFit="1" customWidth="1"/>
    <col min="16" max="16" width="9.42578125" style="5" bestFit="1" customWidth="1"/>
    <col min="17" max="16384" width="8.7109375" style="5"/>
  </cols>
  <sheetData>
    <row r="1" spans="1:15" ht="15" thickBot="1">
      <c r="A1" s="527"/>
      <c r="B1" s="527"/>
      <c r="C1" s="527"/>
      <c r="D1" s="63" t="s">
        <v>101</v>
      </c>
      <c r="E1" s="63">
        <v>2022.1</v>
      </c>
      <c r="F1" s="63"/>
      <c r="G1" s="63"/>
    </row>
    <row r="2" spans="1:15" ht="15" thickBot="1">
      <c r="A2" s="528" t="s">
        <v>102</v>
      </c>
      <c r="B2" s="529"/>
      <c r="C2" s="529"/>
      <c r="D2" s="529"/>
      <c r="E2" s="530"/>
      <c r="F2" s="64"/>
      <c r="G2" s="65"/>
    </row>
    <row r="3" spans="1:15" ht="15" thickBot="1">
      <c r="A3" s="531" t="s">
        <v>103</v>
      </c>
      <c r="B3" s="532"/>
      <c r="C3" s="533"/>
      <c r="D3" s="533"/>
      <c r="E3" s="534"/>
      <c r="F3" s="535" t="s">
        <v>12</v>
      </c>
      <c r="G3" s="536"/>
    </row>
    <row r="4" spans="1:15" ht="29.25" thickBot="1">
      <c r="A4" s="66" t="s">
        <v>13</v>
      </c>
      <c r="B4" s="8" t="s">
        <v>14</v>
      </c>
      <c r="C4" s="9" t="s">
        <v>106</v>
      </c>
      <c r="D4" s="9" t="s">
        <v>107</v>
      </c>
      <c r="E4" s="9" t="s">
        <v>108</v>
      </c>
      <c r="F4" s="67" t="s">
        <v>109</v>
      </c>
      <c r="G4" s="68" t="s">
        <v>109</v>
      </c>
    </row>
    <row r="5" spans="1:15">
      <c r="A5" s="69" t="s">
        <v>15</v>
      </c>
      <c r="B5" s="70">
        <f>(SUM((IF('Sathish Diamonds'!$G$7="Y",('Sathish Diamonds'!B12),"0")+IF('Sathish Jewellers'!$G$7="Y",('Sathish Jewellers'!B12),"0")+IF('Company 3'!$G$7="Y",('Company 3'!B12),"0")+IF('Company 4'!$G$7="Y",('Company 4'!B12),"0")+IF('Company 5'!$G$7="Y",('Company 5'!B12),"0"))))/100000</f>
        <v>0</v>
      </c>
      <c r="C5" s="70">
        <f>(SUM((IF('Sathish Diamonds'!$G$7="Y",('Sathish Diamonds'!C12),"0")+IF('Sathish Jewellers'!$G$7="Y",('Sathish Jewellers'!C12),"0")+IF('Company 3'!$G$7="Y",('Company 3'!C12),"0")+IF('Company 4'!$G$7="Y",('Company 4'!C12),"0")+IF('Company 5'!$G$7="Y",('Company 5'!C12),"0"))))/100000</f>
        <v>216.09378000000001</v>
      </c>
      <c r="D5" s="70">
        <f>(SUM((IF('Sathish Diamonds'!$G$7="Y",('Sathish Diamonds'!D12),"0")+IF('Sathish Jewellers'!$G$7="Y",('Sathish Jewellers'!D12),"0")+IF('Company 3'!$G$7="Y",('Company 3'!D12),"0")+IF('Company 4'!$G$7="Y",('Company 4'!D12),"0")+IF('Company 5'!$G$7="Y",('Company 5'!D12),"0"))))/100000</f>
        <v>143.37169</v>
      </c>
      <c r="E5" s="70">
        <f>(SUM((IF('Sathish Diamonds'!$G$7="Y",('Sathish Diamonds'!E12),"0")+IF('Sathish Jewellers'!$G$7="Y",('Sathish Jewellers'!E12),"0")+IF('Company 3'!$G$7="Y",('Company 3'!E12),"0")+IF('Company 4'!$G$7="Y",('Company 4'!E12),"0")+IF('Company 5'!$G$7="Y",('Company 5'!E12),"0"))))/100000</f>
        <v>0</v>
      </c>
      <c r="F5" s="71">
        <f>IFERROR((C5-D5)/D5,"-")</f>
        <v>0.50722768211771796</v>
      </c>
      <c r="G5" s="72" t="str">
        <f>IFERROR((D5-E5)/E5,"-")</f>
        <v>-</v>
      </c>
      <c r="O5" s="73"/>
    </row>
    <row r="6" spans="1:15">
      <c r="A6" s="69" t="s">
        <v>16</v>
      </c>
      <c r="B6" s="70">
        <f>(SUM((IF('Sathish Diamonds'!$G$7="Y",('Sathish Diamonds'!B13),"0")+IF('Sathish Jewellers'!$G$7="Y",('Sathish Jewellers'!B13),"0")+IF('Company 3'!$G$7="Y",('Company 3'!B13),"0")+IF('Company 4'!$G$7="Y",('Company 4'!B13),"0")+IF('Company 5'!$G$7="Y",('Company 5'!B13),"0"))))/100000</f>
        <v>0</v>
      </c>
      <c r="C6" s="70">
        <f>(SUM((IF('Sathish Diamonds'!$G$7="Y",('Sathish Diamonds'!C13),"0")+IF('Sathish Jewellers'!$G$7="Y",('Sathish Jewellers'!C13),"0")+IF('Company 3'!$G$7="Y",('Company 3'!C13),"0")+IF('Company 4'!$G$7="Y",('Company 4'!C13),"0")+IF('Company 5'!$G$7="Y",('Company 5'!C13),"0"))))/100000</f>
        <v>0</v>
      </c>
      <c r="D6" s="70">
        <f>(SUM((IF('Sathish Diamonds'!$G$7="Y",('Sathish Diamonds'!D13),"0")+IF('Sathish Jewellers'!$G$7="Y",('Sathish Jewellers'!D13),"0")+IF('Company 3'!$G$7="Y",('Company 3'!D13),"0")+IF('Company 4'!$G$7="Y",('Company 4'!D13),"0")+IF('Company 5'!$G$7="Y",('Company 5'!D13),"0"))))/100000</f>
        <v>0</v>
      </c>
      <c r="E6" s="70">
        <f>(SUM((IF('Sathish Diamonds'!$G$7="Y",('Sathish Diamonds'!E13),"0")+IF('Sathish Jewellers'!$G$7="Y",('Sathish Jewellers'!E13),"0")+IF('Company 3'!$G$7="Y",('Company 3'!E13),"0")+IF('Company 4'!$G$7="Y",('Company 4'!E13),"0")+IF('Company 5'!$G$7="Y",('Company 5'!E13),"0"))))/100000</f>
        <v>0</v>
      </c>
      <c r="F6" s="74" t="str">
        <f t="shared" ref="F6:G69" si="0">IFERROR((C6-D6)/D6,"-")</f>
        <v>-</v>
      </c>
      <c r="G6" s="75" t="str">
        <f t="shared" si="0"/>
        <v>-</v>
      </c>
    </row>
    <row r="7" spans="1:15">
      <c r="A7" s="76" t="s">
        <v>17</v>
      </c>
      <c r="B7" s="70">
        <f>(SUM((IF('Sathish Diamonds'!$G$7="Y",('Sathish Diamonds'!B14),"0")+IF('Sathish Jewellers'!$G$7="Y",('Sathish Jewellers'!B14),"0")+IF('Company 3'!$G$7="Y",('Company 3'!B14),"0")+IF('Company 4'!$G$7="Y",('Company 4'!B14),"0")+IF('Company 5'!$G$7="Y",('Company 5'!B14),"0"))))/100000</f>
        <v>0</v>
      </c>
      <c r="C7" s="70">
        <f>(SUM((IF('Sathish Diamonds'!$G$7="Y",('Sathish Diamonds'!C14),"0")+IF('Sathish Jewellers'!$G$7="Y",('Sathish Jewellers'!C14),"0")+IF('Company 3'!$G$7="Y",('Company 3'!C14),"0")+IF('Company 4'!$G$7="Y",('Company 4'!C14),"0")+IF('Company 5'!$G$7="Y",('Company 5'!C14),"0"))))/100000</f>
        <v>0</v>
      </c>
      <c r="D7" s="70">
        <f>(SUM((IF('Sathish Diamonds'!$G$7="Y",('Sathish Diamonds'!D14),"0")+IF('Sathish Jewellers'!$G$7="Y",('Sathish Jewellers'!D14),"0")+IF('Company 3'!$G$7="Y",('Company 3'!D14),"0")+IF('Company 4'!$G$7="Y",('Company 4'!D14),"0")+IF('Company 5'!$G$7="Y",('Company 5'!D14),"0"))))/100000</f>
        <v>0</v>
      </c>
      <c r="E7" s="70">
        <f>(SUM((IF('Sathish Diamonds'!$G$7="Y",('Sathish Diamonds'!E14),"0")+IF('Sathish Jewellers'!$G$7="Y",('Sathish Jewellers'!E14),"0")+IF('Company 3'!$G$7="Y",('Company 3'!E14),"0")+IF('Company 4'!$G$7="Y",('Company 4'!E14),"0")+IF('Company 5'!$G$7="Y",('Company 5'!E14),"0"))))/100000</f>
        <v>0</v>
      </c>
      <c r="F7" s="74" t="str">
        <f t="shared" si="0"/>
        <v>-</v>
      </c>
      <c r="G7" s="75" t="str">
        <f t="shared" si="0"/>
        <v>-</v>
      </c>
    </row>
    <row r="8" spans="1:15">
      <c r="A8" s="76" t="s">
        <v>18</v>
      </c>
      <c r="B8" s="70">
        <f>(SUM((IF('Sathish Diamonds'!$G$7="Y",('Sathish Diamonds'!B15),"0")+IF('Sathish Jewellers'!$G$7="Y",('Sathish Jewellers'!B15),"0")+IF('Company 3'!$G$7="Y",('Company 3'!B15),"0")+IF('Company 4'!$G$7="Y",('Company 4'!B15),"0")+IF('Company 5'!$G$7="Y",('Company 5'!B15),"0"))))/100000</f>
        <v>0</v>
      </c>
      <c r="C8" s="70">
        <f>(SUM((IF('Sathish Diamonds'!$G$7="Y",('Sathish Diamonds'!C15),"0")+IF('Sathish Jewellers'!$G$7="Y",('Sathish Jewellers'!C15),"0")+IF('Company 3'!$G$7="Y",('Company 3'!C15),"0")+IF('Company 4'!$G$7="Y",('Company 4'!C15),"0")+IF('Company 5'!$G$7="Y",('Company 5'!C15),"0"))))/100000</f>
        <v>7.4470000000000001</v>
      </c>
      <c r="D8" s="70">
        <f>(SUM((IF('Sathish Diamonds'!$G$7="Y",('Sathish Diamonds'!D15),"0")+IF('Sathish Jewellers'!$G$7="Y",('Sathish Jewellers'!D15),"0")+IF('Company 3'!$G$7="Y",('Company 3'!D15),"0")+IF('Company 4'!$G$7="Y",('Company 4'!D15),"0")+IF('Company 5'!$G$7="Y",('Company 5'!D15),"0"))))/100000</f>
        <v>0</v>
      </c>
      <c r="E8" s="70">
        <f>(SUM((IF('Sathish Diamonds'!$G$7="Y",('Sathish Diamonds'!E15),"0")+IF('Sathish Jewellers'!$G$7="Y",('Sathish Jewellers'!E15),"0")+IF('Company 3'!$G$7="Y",('Company 3'!E15),"0")+IF('Company 4'!$G$7="Y",('Company 4'!E15),"0")+IF('Company 5'!$G$7="Y",('Company 5'!E15),"0"))))/100000</f>
        <v>0</v>
      </c>
      <c r="F8" s="74" t="str">
        <f t="shared" si="0"/>
        <v>-</v>
      </c>
      <c r="G8" s="75" t="str">
        <f t="shared" si="0"/>
        <v>-</v>
      </c>
    </row>
    <row r="9" spans="1:15">
      <c r="A9" s="76" t="s">
        <v>19</v>
      </c>
      <c r="B9" s="70">
        <f>(SUM((IF('Sathish Diamonds'!$G$7="Y",('Sathish Diamonds'!B16),"0")+IF('Sathish Jewellers'!$G$7="Y",('Sathish Jewellers'!B16),"0")+IF('Company 3'!$G$7="Y",('Company 3'!B16),"0")+IF('Company 4'!$G$7="Y",('Company 4'!B16),"0")+IF('Company 5'!$G$7="Y",('Company 5'!B16),"0"))))/100000</f>
        <v>0</v>
      </c>
      <c r="C9" s="70">
        <f>(SUM((IF('Sathish Diamonds'!$G$7="Y",('Sathish Diamonds'!C16),"0")+IF('Sathish Jewellers'!$G$7="Y",('Sathish Jewellers'!C16),"0")+IF('Company 3'!$G$7="Y",('Company 3'!C16),"0")+IF('Company 4'!$G$7="Y",('Company 4'!C16),"0")+IF('Company 5'!$G$7="Y",('Company 5'!C16),"0"))))/100000</f>
        <v>0</v>
      </c>
      <c r="D9" s="70">
        <f>(SUM((IF('Sathish Diamonds'!$G$7="Y",('Sathish Diamonds'!D16),"0")+IF('Sathish Jewellers'!$G$7="Y",('Sathish Jewellers'!D16),"0")+IF('Company 3'!$G$7="Y",('Company 3'!D16),"0")+IF('Company 4'!$G$7="Y",('Company 4'!D16),"0")+IF('Company 5'!$G$7="Y",('Company 5'!D16),"0"))))/100000</f>
        <v>0</v>
      </c>
      <c r="E9" s="70">
        <f>(SUM((IF('Sathish Diamonds'!$G$7="Y",('Sathish Diamonds'!E16),"0")+IF('Sathish Jewellers'!$G$7="Y",('Sathish Jewellers'!E16),"0")+IF('Company 3'!$G$7="Y",('Company 3'!E16),"0")+IF('Company 4'!$G$7="Y",('Company 4'!E16),"0")+IF('Company 5'!$G$7="Y",('Company 5'!E16),"0"))))/100000</f>
        <v>0</v>
      </c>
      <c r="F9" s="74" t="str">
        <f t="shared" si="0"/>
        <v>-</v>
      </c>
      <c r="G9" s="75" t="str">
        <f t="shared" si="0"/>
        <v>-</v>
      </c>
    </row>
    <row r="10" spans="1:15">
      <c r="A10" s="76" t="s">
        <v>20</v>
      </c>
      <c r="B10" s="70">
        <f>(SUM((IF('Sathish Diamonds'!$G$7="Y",('Sathish Diamonds'!B17),"0")+IF('Sathish Jewellers'!$G$7="Y",('Sathish Jewellers'!B17),"0")+IF('Company 3'!$G$7="Y",('Company 3'!B17),"0")+IF('Company 4'!$G$7="Y",('Company 4'!B17),"0")+IF('Company 5'!$G$7="Y",('Company 5'!B17),"0"))))/100000</f>
        <v>0</v>
      </c>
      <c r="C10" s="70">
        <f>(SUM((IF('Sathish Diamonds'!$G$7="Y",('Sathish Diamonds'!C17),"0")+IF('Sathish Jewellers'!$G$7="Y",('Sathish Jewellers'!C17),"0")+IF('Company 3'!$G$7="Y",('Company 3'!C17),"0")+IF('Company 4'!$G$7="Y",('Company 4'!C17),"0")+IF('Company 5'!$G$7="Y",('Company 5'!C17),"0"))))/100000</f>
        <v>8.0312900000000003</v>
      </c>
      <c r="D10" s="70">
        <f>(SUM((IF('Sathish Diamonds'!$G$7="Y",('Sathish Diamonds'!D17),"0")+IF('Sathish Jewellers'!$G$7="Y",('Sathish Jewellers'!D17),"0")+IF('Company 3'!$G$7="Y",('Company 3'!D17),"0")+IF('Company 4'!$G$7="Y",('Company 4'!D17),"0")+IF('Company 5'!$G$7="Y",('Company 5'!D17),"0"))))/100000</f>
        <v>7.0590200000000003</v>
      </c>
      <c r="E10" s="70">
        <f>(SUM((IF('Sathish Diamonds'!$G$7="Y",('Sathish Diamonds'!E17),"0")+IF('Sathish Jewellers'!$G$7="Y",('Sathish Jewellers'!E17),"0")+IF('Company 3'!$G$7="Y",('Company 3'!E17),"0")+IF('Company 4'!$G$7="Y",('Company 4'!E17),"0")+IF('Company 5'!$G$7="Y",('Company 5'!E17),"0"))))/100000</f>
        <v>0</v>
      </c>
      <c r="F10" s="74">
        <f t="shared" si="0"/>
        <v>0.13773441639207706</v>
      </c>
      <c r="G10" s="75" t="str">
        <f t="shared" si="0"/>
        <v>-</v>
      </c>
    </row>
    <row r="11" spans="1:15">
      <c r="A11" s="76" t="s">
        <v>21</v>
      </c>
      <c r="B11" s="70">
        <f>(SUM((IF('Sathish Diamonds'!$G$7="Y",('Sathish Diamonds'!B18),"0")+IF('Sathish Jewellers'!$G$7="Y",('Sathish Jewellers'!B18),"0")+IF('Company 3'!$G$7="Y",('Company 3'!B18),"0")+IF('Company 4'!$G$7="Y",('Company 4'!B18),"0")+IF('Company 5'!$G$7="Y",('Company 5'!B18),"0"))))/100000</f>
        <v>0</v>
      </c>
      <c r="C11" s="70">
        <f>(SUM((IF('Sathish Diamonds'!$G$7="Y",('Sathish Diamonds'!C18),"0")+IF('Sathish Jewellers'!$G$7="Y",('Sathish Jewellers'!C18),"0")+IF('Company 3'!$G$7="Y",('Company 3'!C18),"0")+IF('Company 4'!$G$7="Y",('Company 4'!C18),"0")+IF('Company 5'!$G$7="Y",('Company 5'!C18),"0"))))/100000</f>
        <v>0</v>
      </c>
      <c r="D11" s="70">
        <f>(SUM((IF('Sathish Diamonds'!$G$7="Y",('Sathish Diamonds'!D18),"0")+IF('Sathish Jewellers'!$G$7="Y",('Sathish Jewellers'!D18),"0")+IF('Company 3'!$G$7="Y",('Company 3'!D18),"0")+IF('Company 4'!$G$7="Y",('Company 4'!D18),"0")+IF('Company 5'!$G$7="Y",('Company 5'!D18),"0"))))/100000</f>
        <v>0</v>
      </c>
      <c r="E11" s="70">
        <f>(SUM((IF('Sathish Diamonds'!$G$7="Y",('Sathish Diamonds'!E18),"0")+IF('Sathish Jewellers'!$G$7="Y",('Sathish Jewellers'!E18),"0")+IF('Company 3'!$G$7="Y",('Company 3'!E18),"0")+IF('Company 4'!$G$7="Y",('Company 4'!E18),"0")+IF('Company 5'!$G$7="Y",('Company 5'!E18),"0"))))/100000</f>
        <v>0</v>
      </c>
      <c r="F11" s="74" t="str">
        <f t="shared" si="0"/>
        <v>-</v>
      </c>
      <c r="G11" s="75" t="str">
        <f t="shared" si="0"/>
        <v>-</v>
      </c>
    </row>
    <row r="12" spans="1:15">
      <c r="A12" s="76" t="s">
        <v>22</v>
      </c>
      <c r="B12" s="70">
        <f>(SUM((IF('Sathish Diamonds'!$G$7="Y",('Sathish Diamonds'!B19),"0")+IF('Sathish Jewellers'!$G$7="Y",('Sathish Jewellers'!B19),"0")+IF('Company 3'!$G$7="Y",('Company 3'!B19),"0")+IF('Company 4'!$G$7="Y",('Company 4'!B19),"0")+IF('Company 5'!$G$7="Y",('Company 5'!B19),"0"))))/100000</f>
        <v>0</v>
      </c>
      <c r="C12" s="70">
        <f>(SUM((IF('Sathish Diamonds'!$G$7="Y",('Sathish Diamonds'!C19),"0")+IF('Sathish Jewellers'!$G$7="Y",('Sathish Jewellers'!C19),"0")+IF('Company 3'!$G$7="Y",('Company 3'!C19),"0")+IF('Company 4'!$G$7="Y",('Company 4'!C19),"0")+IF('Company 5'!$G$7="Y",('Company 5'!C19),"0"))))/100000</f>
        <v>0</v>
      </c>
      <c r="D12" s="70">
        <f>(SUM((IF('Sathish Diamonds'!$G$7="Y",('Sathish Diamonds'!D19),"0")+IF('Sathish Jewellers'!$G$7="Y",('Sathish Jewellers'!D19),"0")+IF('Company 3'!$G$7="Y",('Company 3'!D19),"0")+IF('Company 4'!$G$7="Y",('Company 4'!D19),"0")+IF('Company 5'!$G$7="Y",('Company 5'!D19),"0"))))/100000</f>
        <v>0</v>
      </c>
      <c r="E12" s="70">
        <f>(SUM((IF('Sathish Diamonds'!$G$7="Y",('Sathish Diamonds'!E19),"0")+IF('Sathish Jewellers'!$G$7="Y",('Sathish Jewellers'!E19),"0")+IF('Company 3'!$G$7="Y",('Company 3'!E19),"0")+IF('Company 4'!$G$7="Y",('Company 4'!E19),"0")+IF('Company 5'!$G$7="Y",('Company 5'!E19),"0"))))/100000</f>
        <v>0</v>
      </c>
      <c r="F12" s="74" t="str">
        <f t="shared" si="0"/>
        <v>-</v>
      </c>
      <c r="G12" s="75" t="str">
        <f t="shared" si="0"/>
        <v>-</v>
      </c>
    </row>
    <row r="13" spans="1:15">
      <c r="A13" s="76" t="s">
        <v>23</v>
      </c>
      <c r="B13" s="70">
        <f>(SUM((IF('Sathish Diamonds'!$G$7="Y",('Sathish Diamonds'!B20),"0")+IF('Sathish Jewellers'!$G$7="Y",('Sathish Jewellers'!B20),"0")+IF('Company 3'!$G$7="Y",('Company 3'!B20),"0")+IF('Company 4'!$G$7="Y",('Company 4'!B20),"0")+IF('Company 5'!$G$7="Y",('Company 5'!B20),"0"))))/100000</f>
        <v>0</v>
      </c>
      <c r="C13" s="70">
        <f>(SUM((IF('Sathish Diamonds'!$G$7="Y",('Sathish Diamonds'!C20),"0")+IF('Sathish Jewellers'!$G$7="Y",('Sathish Jewellers'!C20),"0")+IF('Company 3'!$G$7="Y",('Company 3'!C20),"0")+IF('Company 4'!$G$7="Y",('Company 4'!C20),"0")+IF('Company 5'!$G$7="Y",('Company 5'!C20),"0"))))/100000</f>
        <v>1.4919999999999999E-2</v>
      </c>
      <c r="D13" s="70">
        <f>(SUM((IF('Sathish Diamonds'!$G$7="Y",('Sathish Diamonds'!D20),"0")+IF('Sathish Jewellers'!$G$7="Y",('Sathish Jewellers'!D20),"0")+IF('Company 3'!$G$7="Y",('Company 3'!D20),"0")+IF('Company 4'!$G$7="Y",('Company 4'!D20),"0")+IF('Company 5'!$G$7="Y",('Company 5'!D20),"0"))))/100000</f>
        <v>2.7980000000000001E-2</v>
      </c>
      <c r="E13" s="70">
        <f>(SUM((IF('Sathish Diamonds'!$G$7="Y",('Sathish Diamonds'!E20),"0")+IF('Sathish Jewellers'!$G$7="Y",('Sathish Jewellers'!E20),"0")+IF('Company 3'!$G$7="Y",('Company 3'!E20),"0")+IF('Company 4'!$G$7="Y",('Company 4'!E20),"0")+IF('Company 5'!$G$7="Y",('Company 5'!E20),"0"))))/100000</f>
        <v>0</v>
      </c>
      <c r="F13" s="74">
        <f t="shared" si="0"/>
        <v>-0.46676197283774129</v>
      </c>
      <c r="G13" s="75" t="str">
        <f t="shared" si="0"/>
        <v>-</v>
      </c>
    </row>
    <row r="14" spans="1:15">
      <c r="A14" s="76" t="s">
        <v>24</v>
      </c>
      <c r="B14" s="70">
        <f>(SUM((IF('Sathish Diamonds'!$G$7="Y",('Sathish Diamonds'!B21),"0")+IF('Sathish Jewellers'!$G$7="Y",('Sathish Jewellers'!B21),"0")+IF('Company 3'!$G$7="Y",('Company 3'!B21),"0")+IF('Company 4'!$G$7="Y",('Company 4'!B21),"0")+IF('Company 5'!$G$7="Y",('Company 5'!B21),"0"))))/100000</f>
        <v>0</v>
      </c>
      <c r="C14" s="70">
        <f>(SUM((IF('Sathish Diamonds'!$G$7="Y",('Sathish Diamonds'!C21),"0")+IF('Sathish Jewellers'!$G$7="Y",('Sathish Jewellers'!C21),"0")+IF('Company 3'!$G$7="Y",('Company 3'!C21),"0")+IF('Company 4'!$G$7="Y",('Company 4'!C21),"0")+IF('Company 5'!$G$7="Y",('Company 5'!C21),"0"))))/100000</f>
        <v>0</v>
      </c>
      <c r="D14" s="70">
        <f>(SUM((IF('Sathish Diamonds'!$G$7="Y",('Sathish Diamonds'!D21),"0")+IF('Sathish Jewellers'!$G$7="Y",('Sathish Jewellers'!D21),"0")+IF('Company 3'!$G$7="Y",('Company 3'!D21),"0")+IF('Company 4'!$G$7="Y",('Company 4'!D21),"0")+IF('Company 5'!$G$7="Y",('Company 5'!D21),"0"))))/100000</f>
        <v>0</v>
      </c>
      <c r="E14" s="70">
        <f>(SUM((IF('Sathish Diamonds'!$G$7="Y",('Sathish Diamonds'!E21),"0")+IF('Sathish Jewellers'!$G$7="Y",('Sathish Jewellers'!E21),"0")+IF('Company 3'!$G$7="Y",('Company 3'!E21),"0")+IF('Company 4'!$G$7="Y",('Company 4'!E21),"0")+IF('Company 5'!$G$7="Y",('Company 5'!E21),"0"))))/100000</f>
        <v>0</v>
      </c>
      <c r="F14" s="74" t="str">
        <f t="shared" si="0"/>
        <v>-</v>
      </c>
      <c r="G14" s="75" t="str">
        <f t="shared" si="0"/>
        <v>-</v>
      </c>
    </row>
    <row r="15" spans="1:15">
      <c r="A15" s="76" t="s">
        <v>25</v>
      </c>
      <c r="B15" s="70">
        <f>(SUM((IF('Sathish Diamonds'!$G$7="Y",('Sathish Diamonds'!B22),"0")+IF('Sathish Jewellers'!$G$7="Y",('Sathish Jewellers'!B22),"0")+IF('Company 3'!$G$7="Y",('Company 3'!B22),"0")+IF('Company 4'!$G$7="Y",('Company 4'!B22),"0")+IF('Company 5'!$G$7="Y",('Company 5'!B22),"0"))))/100000</f>
        <v>0</v>
      </c>
      <c r="C15" s="70">
        <f>(SUM((IF('Sathish Diamonds'!$G$7="Y",('Sathish Diamonds'!C22),"0")+IF('Sathish Jewellers'!$G$7="Y",('Sathish Jewellers'!C22),"0")+IF('Company 3'!$G$7="Y",('Company 3'!C22),"0")+IF('Company 4'!$G$7="Y",('Company 4'!C22),"0")+IF('Company 5'!$G$7="Y",('Company 5'!C22),"0"))))/100000</f>
        <v>6.5357999999999996E-3</v>
      </c>
      <c r="D15" s="70">
        <f>(SUM((IF('Sathish Diamonds'!$G$7="Y",('Sathish Diamonds'!D22),"0")+IF('Sathish Jewellers'!$G$7="Y",('Sathish Jewellers'!D22),"0")+IF('Company 3'!$G$7="Y",('Company 3'!D22),"0")+IF('Company 4'!$G$7="Y",('Company 4'!D22),"0")+IF('Company 5'!$G$7="Y",('Company 5'!D22),"0"))))/100000</f>
        <v>3.2550000000000001E-3</v>
      </c>
      <c r="E15" s="70">
        <f>(SUM((IF('Sathish Diamonds'!$G$7="Y",('Sathish Diamonds'!E22),"0")+IF('Sathish Jewellers'!$G$7="Y",('Sathish Jewellers'!E22),"0")+IF('Company 3'!$G$7="Y",('Company 3'!E22),"0")+IF('Company 4'!$G$7="Y",('Company 4'!E22),"0")+IF('Company 5'!$G$7="Y",('Company 5'!E22),"0"))))/100000</f>
        <v>0</v>
      </c>
      <c r="F15" s="74">
        <f t="shared" si="0"/>
        <v>1.0079262672811058</v>
      </c>
      <c r="G15" s="75" t="str">
        <f t="shared" si="0"/>
        <v>-</v>
      </c>
    </row>
    <row r="16" spans="1:15">
      <c r="A16" s="20" t="s">
        <v>26</v>
      </c>
      <c r="B16" s="20">
        <f>SUM(B5:B15)</f>
        <v>0</v>
      </c>
      <c r="C16" s="20">
        <f>SUM(C5:C15)</f>
        <v>231.59352580000001</v>
      </c>
      <c r="D16" s="20">
        <f>SUM(D5:D15)</f>
        <v>150.46194500000001</v>
      </c>
      <c r="E16" s="77">
        <f>SUM(E5:E15)</f>
        <v>0</v>
      </c>
      <c r="F16" s="78">
        <f t="shared" si="0"/>
        <v>0.53921661586921521</v>
      </c>
      <c r="G16" s="79" t="str">
        <f t="shared" si="0"/>
        <v>-</v>
      </c>
    </row>
    <row r="17" spans="1:7">
      <c r="A17" s="80" t="s">
        <v>27</v>
      </c>
      <c r="B17" s="70">
        <f>(SUM((IF('Sathish Diamonds'!$G$7="Y",('Sathish Diamonds'!B24),"0")+IF('Sathish Jewellers'!$G$7="Y",('Sathish Jewellers'!B24),"0")+IF('Company 3'!$G$7="Y",('Company 3'!B24),"0")+IF('Company 4'!$G$7="Y",('Company 4'!B24),"0")+IF('Company 5'!$G$7="Y",('Company 5'!B24),"0"))))/100000</f>
        <v>0</v>
      </c>
      <c r="C17" s="70">
        <f>(SUM((IF('Sathish Diamonds'!$G$7="Y",('Sathish Diamonds'!C24),"0")+IF('Sathish Jewellers'!$G$7="Y",('Sathish Jewellers'!C24),"0")+IF('Company 3'!$G$7="Y",('Company 3'!C24),"0")+IF('Company 4'!$G$7="Y",('Company 4'!C24),"0")+IF('Company 5'!$G$7="Y",('Company 5'!C24),"0"))))/100000</f>
        <v>185.43360979999997</v>
      </c>
      <c r="D17" s="70">
        <f>(SUM((IF('Sathish Diamonds'!$G$7="Y",('Sathish Diamonds'!D24),"0")+IF('Sathish Jewellers'!$G$7="Y",('Sathish Jewellers'!D24),"0")+IF('Company 3'!$G$7="Y",('Company 3'!D24),"0")+IF('Company 4'!$G$7="Y",('Company 4'!D24),"0")+IF('Company 5'!$G$7="Y",('Company 5'!D24),"0"))))/100000</f>
        <v>121.82502599999998</v>
      </c>
      <c r="E17" s="70">
        <f>(SUM((IF('Sathish Diamonds'!$G$7="Y",('Sathish Diamonds'!E24),"0")+IF('Sathish Jewellers'!$G$7="Y",('Sathish Jewellers'!E24),"0")+IF('Company 3'!$G$7="Y",('Company 3'!E24),"0")+IF('Company 4'!$G$7="Y",('Company 4'!E24),"0")+IF('Company 5'!$G$7="Y",('Company 5'!E24),"0"))))/100000</f>
        <v>0</v>
      </c>
      <c r="F17" s="74">
        <f t="shared" si="0"/>
        <v>0.52213068109667382</v>
      </c>
      <c r="G17" s="75" t="str">
        <f t="shared" si="0"/>
        <v>-</v>
      </c>
    </row>
    <row r="18" spans="1:7">
      <c r="A18" s="80" t="s">
        <v>28</v>
      </c>
      <c r="B18" s="70">
        <f>(SUM((IF('Sathish Diamonds'!$G$7="Y",('Sathish Diamonds'!B25),"0")+IF('Sathish Jewellers'!$G$7="Y",('Sathish Jewellers'!B25),"0")+IF('Company 3'!$G$7="Y",('Company 3'!B25),"0")+IF('Company 4'!$G$7="Y",('Company 4'!B25),"0")+IF('Company 5'!$G$7="Y",('Company 5'!B25),"0"))))/100000</f>
        <v>0</v>
      </c>
      <c r="C18" s="70">
        <f>(SUM((IF('Sathish Diamonds'!$G$7="Y",('Sathish Diamonds'!C25),"0")+IF('Sathish Jewellers'!$G$7="Y",('Sathish Jewellers'!C25),"0")+IF('Company 3'!$G$7="Y",('Company 3'!C25),"0")+IF('Company 4'!$G$7="Y",('Company 4'!C25),"0")+IF('Company 5'!$G$7="Y",('Company 5'!C25),"0"))))/100000</f>
        <v>4.0214999999999996</v>
      </c>
      <c r="D18" s="70">
        <f>(SUM((IF('Sathish Diamonds'!$G$7="Y",('Sathish Diamonds'!D25),"0")+IF('Sathish Jewellers'!$G$7="Y",('Sathish Jewellers'!D25),"0")+IF('Company 3'!$G$7="Y",('Company 3'!D25),"0")+IF('Company 4'!$G$7="Y",('Company 4'!D25),"0")+IF('Company 5'!$G$7="Y",('Company 5'!D25),"0"))))/100000</f>
        <v>1.3151900000000001</v>
      </c>
      <c r="E18" s="70">
        <f>(SUM((IF('Sathish Diamonds'!$G$7="Y",('Sathish Diamonds'!E25),"0")+IF('Sathish Jewellers'!$G$7="Y",('Sathish Jewellers'!E25),"0")+IF('Company 3'!$G$7="Y",('Company 3'!E25),"0")+IF('Company 4'!$G$7="Y",('Company 4'!E25),"0")+IF('Company 5'!$G$7="Y",('Company 5'!E25),"0"))))/100000</f>
        <v>0</v>
      </c>
      <c r="F18" s="74">
        <f t="shared" si="0"/>
        <v>2.057733103201818</v>
      </c>
      <c r="G18" s="75" t="str">
        <f t="shared" si="0"/>
        <v>-</v>
      </c>
    </row>
    <row r="19" spans="1:7">
      <c r="A19" s="66" t="s">
        <v>29</v>
      </c>
      <c r="B19" s="20">
        <f>+B16-B17-B18</f>
        <v>0</v>
      </c>
      <c r="C19" s="20">
        <f>+C16-C17-C18</f>
        <v>42.138416000000035</v>
      </c>
      <c r="D19" s="20">
        <f>+D16-D17-D18</f>
        <v>27.321729000000033</v>
      </c>
      <c r="E19" s="77">
        <f>+E16-E17-E18</f>
        <v>0</v>
      </c>
      <c r="F19" s="78">
        <f t="shared" si="0"/>
        <v>0.54230414919934178</v>
      </c>
      <c r="G19" s="79" t="str">
        <f t="shared" si="0"/>
        <v>-</v>
      </c>
    </row>
    <row r="20" spans="1:7">
      <c r="A20" s="80" t="s">
        <v>30</v>
      </c>
      <c r="B20" s="70">
        <f>(SUM((IF('Sathish Diamonds'!$G$7="Y",('Sathish Diamonds'!B27),"0")+IF('Sathish Jewellers'!$G$7="Y",('Sathish Jewellers'!B27),"0")+IF('Company 3'!$G$7="Y",('Company 3'!B27),"0")+IF('Company 4'!$G$7="Y",('Company 4'!B27),"0")+IF('Company 5'!$G$7="Y",('Company 5'!B27),"0"))))/100000</f>
        <v>0</v>
      </c>
      <c r="C20" s="70">
        <f>(SUM((IF('Sathish Diamonds'!$G$7="Y",('Sathish Diamonds'!C27),"0")+IF('Sathish Jewellers'!$G$7="Y",('Sathish Jewellers'!C27),"0")+IF('Company 3'!$G$7="Y",('Company 3'!C27),"0")+IF('Company 4'!$G$7="Y",('Company 4'!C27),"0")+IF('Company 5'!$G$7="Y",('Company 5'!C27),"0"))))/100000</f>
        <v>0</v>
      </c>
      <c r="D20" s="70">
        <f>(SUM((IF('Sathish Diamonds'!$G$7="Y",('Sathish Diamonds'!D27),"0")+IF('Sathish Jewellers'!$G$7="Y",('Sathish Jewellers'!D27),"0")+IF('Company 3'!$G$7="Y",('Company 3'!D27),"0")+IF('Company 4'!$G$7="Y",('Company 4'!D27),"0")+IF('Company 5'!$G$7="Y",('Company 5'!D27),"0"))))/100000</f>
        <v>0</v>
      </c>
      <c r="E20" s="70">
        <f>(SUM((IF('Sathish Diamonds'!$G$7="Y",('Sathish Diamonds'!E27),"0")+IF('Sathish Jewellers'!$G$7="Y",('Sathish Jewellers'!E27),"0")+IF('Company 3'!$G$7="Y",('Company 3'!E27),"0")+IF('Company 4'!$G$7="Y",('Company 4'!E27),"0")+IF('Company 5'!$G$7="Y",('Company 5'!E27),"0"))))/100000</f>
        <v>0</v>
      </c>
      <c r="F20" s="74" t="str">
        <f t="shared" si="0"/>
        <v>-</v>
      </c>
      <c r="G20" s="75" t="str">
        <f t="shared" si="0"/>
        <v>-</v>
      </c>
    </row>
    <row r="21" spans="1:7">
      <c r="A21" s="80" t="s">
        <v>31</v>
      </c>
      <c r="B21" s="70">
        <f>(SUM((IF('Sathish Diamonds'!$G$7="Y",('Sathish Diamonds'!B28),"0")+IF('Sathish Jewellers'!$G$7="Y",('Sathish Jewellers'!B28),"0")+IF('Company 3'!$G$7="Y",('Company 3'!B28),"0")+IF('Company 4'!$G$7="Y",('Company 4'!B28),"0")+IF('Company 5'!$G$7="Y",('Company 5'!B28),"0"))))/100000</f>
        <v>0</v>
      </c>
      <c r="C21" s="70">
        <f>(SUM((IF('Sathish Diamonds'!$G$7="Y",('Sathish Diamonds'!C28),"0")+IF('Sathish Jewellers'!$G$7="Y",('Sathish Jewellers'!C28),"0")+IF('Company 3'!$G$7="Y",('Company 3'!C28),"0")+IF('Company 4'!$G$7="Y",('Company 4'!C28),"0")+IF('Company 5'!$G$7="Y",('Company 5'!C28),"0"))))/100000</f>
        <v>10.355</v>
      </c>
      <c r="D21" s="70">
        <f>(SUM((IF('Sathish Diamonds'!$G$7="Y",('Sathish Diamonds'!D28),"0")+IF('Sathish Jewellers'!$G$7="Y",('Sathish Jewellers'!D28),"0")+IF('Company 3'!$G$7="Y",('Company 3'!D28),"0")+IF('Company 4'!$G$7="Y",('Company 4'!D28),"0")+IF('Company 5'!$G$7="Y",('Company 5'!D28),"0"))))/100000</f>
        <v>4.8499999999999996</v>
      </c>
      <c r="E21" s="70">
        <f>(SUM((IF('Sathish Diamonds'!$G$7="Y",('Sathish Diamonds'!E28),"0")+IF('Sathish Jewellers'!$G$7="Y",('Sathish Jewellers'!E28),"0")+IF('Company 3'!$G$7="Y",('Company 3'!E28),"0")+IF('Company 4'!$G$7="Y",('Company 4'!E28),"0")+IF('Company 5'!$G$7="Y",('Company 5'!E28),"0"))))/100000</f>
        <v>0</v>
      </c>
      <c r="F21" s="74">
        <f t="shared" si="0"/>
        <v>1.1350515463917528</v>
      </c>
      <c r="G21" s="75" t="str">
        <f t="shared" si="0"/>
        <v>-</v>
      </c>
    </row>
    <row r="22" spans="1:7">
      <c r="A22" s="80" t="s">
        <v>32</v>
      </c>
      <c r="B22" s="70">
        <f>(SUM((IF('Sathish Diamonds'!$G$7="Y",('Sathish Diamonds'!B29),"0")+IF('Sathish Jewellers'!$G$7="Y",('Sathish Jewellers'!B29),"0")+IF('Company 3'!$G$7="Y",('Company 3'!B29),"0")+IF('Company 4'!$G$7="Y",('Company 4'!B29),"0")+IF('Company 5'!$G$7="Y",('Company 5'!B29),"0"))))/100000</f>
        <v>0</v>
      </c>
      <c r="C22" s="70">
        <f>(SUM((IF('Sathish Diamonds'!$G$7="Y",('Sathish Diamonds'!C29),"0")+IF('Sathish Jewellers'!$G$7="Y",('Sathish Jewellers'!C29),"0")+IF('Company 3'!$G$7="Y",('Company 3'!C29),"0")+IF('Company 4'!$G$7="Y",('Company 4'!C29),"0")+IF('Company 5'!$G$7="Y",('Company 5'!C29),"0"))))/100000</f>
        <v>11.7128567</v>
      </c>
      <c r="D22" s="70">
        <f>(SUM((IF('Sathish Diamonds'!$G$7="Y",('Sathish Diamonds'!D29),"0")+IF('Sathish Jewellers'!$G$7="Y",('Sathish Jewellers'!D29),"0")+IF('Company 3'!$G$7="Y",('Company 3'!D29),"0")+IF('Company 4'!$G$7="Y",('Company 4'!D29),"0")+IF('Company 5'!$G$7="Y",('Company 5'!D29),"0"))))/100000</f>
        <v>11.3971044</v>
      </c>
      <c r="E22" s="70">
        <f>(SUM((IF('Sathish Diamonds'!$G$7="Y",('Sathish Diamonds'!E29),"0")+IF('Sathish Jewellers'!$G$7="Y",('Sathish Jewellers'!E29),"0")+IF('Company 3'!$G$7="Y",('Company 3'!E29),"0")+IF('Company 4'!$G$7="Y",('Company 4'!E29),"0")+IF('Company 5'!$G$7="Y",('Company 5'!E29),"0"))))/100000</f>
        <v>0</v>
      </c>
      <c r="F22" s="74">
        <f t="shared" si="0"/>
        <v>2.7704607145653572E-2</v>
      </c>
      <c r="G22" s="75" t="str">
        <f t="shared" si="0"/>
        <v>-</v>
      </c>
    </row>
    <row r="23" spans="1:7">
      <c r="A23" s="80" t="s">
        <v>33</v>
      </c>
      <c r="B23" s="70">
        <f>(SUM((IF('Sathish Diamonds'!$G$7="Y",('Sathish Diamonds'!B30),"0")+IF('Sathish Jewellers'!$G$7="Y",('Sathish Jewellers'!B30),"0")+IF('Company 3'!$G$7="Y",('Company 3'!B30),"0")+IF('Company 4'!$G$7="Y",('Company 4'!B30),"0")+IF('Company 5'!$G$7="Y",('Company 5'!B30),"0"))))/100000</f>
        <v>0</v>
      </c>
      <c r="C23" s="70">
        <f>(SUM((IF('Sathish Diamonds'!$G$7="Y",('Sathish Diamonds'!C30),"0")+IF('Sathish Jewellers'!$G$7="Y",('Sathish Jewellers'!C30),"0")+IF('Company 3'!$G$7="Y",('Company 3'!C30),"0")+IF('Company 4'!$G$7="Y",('Company 4'!C30),"0")+IF('Company 5'!$G$7="Y",('Company 5'!C30),"0"))))/100000</f>
        <v>0</v>
      </c>
      <c r="D23" s="70">
        <f>(SUM((IF('Sathish Diamonds'!$G$7="Y",('Sathish Diamonds'!D30),"0")+IF('Sathish Jewellers'!$G$7="Y",('Sathish Jewellers'!D30),"0")+IF('Company 3'!$G$7="Y",('Company 3'!D30),"0")+IF('Company 4'!$G$7="Y",('Company 4'!D30),"0")+IF('Company 5'!$G$7="Y",('Company 5'!D30),"0"))))/100000</f>
        <v>0</v>
      </c>
      <c r="E23" s="70">
        <f>(SUM((IF('Sathish Diamonds'!$G$7="Y",('Sathish Diamonds'!E30),"0")+IF('Sathish Jewellers'!$G$7="Y",('Sathish Jewellers'!E30),"0")+IF('Company 3'!$G$7="Y",('Company 3'!E30),"0")+IF('Company 4'!$G$7="Y",('Company 4'!E30),"0")+IF('Company 5'!$G$7="Y",('Company 5'!E30),"0"))))/100000</f>
        <v>0</v>
      </c>
      <c r="F23" s="74" t="str">
        <f t="shared" si="0"/>
        <v>-</v>
      </c>
      <c r="G23" s="75" t="str">
        <f t="shared" si="0"/>
        <v>-</v>
      </c>
    </row>
    <row r="24" spans="1:7">
      <c r="A24" s="20" t="s">
        <v>34</v>
      </c>
      <c r="B24" s="20">
        <f>B19+B20-SUM(B21:B23)</f>
        <v>0</v>
      </c>
      <c r="C24" s="20">
        <f>C19+C20-SUM(C21:C23)</f>
        <v>20.070559300000035</v>
      </c>
      <c r="D24" s="20">
        <f>D19+D20-SUM(D21:D23)</f>
        <v>11.074624600000035</v>
      </c>
      <c r="E24" s="77">
        <f>E19+E20-SUM(E21:E23)</f>
        <v>0</v>
      </c>
      <c r="F24" s="78">
        <f t="shared" si="0"/>
        <v>0.81230154744928962</v>
      </c>
      <c r="G24" s="79" t="str">
        <f t="shared" si="0"/>
        <v>-</v>
      </c>
    </row>
    <row r="25" spans="1:7">
      <c r="A25" s="81" t="s">
        <v>35</v>
      </c>
      <c r="B25" s="70">
        <f>(SUM((IF('Sathish Diamonds'!$G$7="Y",('Sathish Diamonds'!B32),"0")+IF('Sathish Jewellers'!$G$7="Y",('Sathish Jewellers'!B32),"0")+IF('Company 3'!$G$7="Y",('Company 3'!B32),"0")+IF('Company 4'!$G$7="Y",('Company 4'!B32),"0")+IF('Company 5'!$G$7="Y",('Company 5'!B32),"0"))))/100000</f>
        <v>0</v>
      </c>
      <c r="C25" s="70">
        <f>(SUM((IF('Sathish Diamonds'!$G$7="Y",('Sathish Diamonds'!C32),"0")+IF('Sathish Jewellers'!$G$7="Y",('Sathish Jewellers'!C32),"0")+IF('Company 3'!$G$7="Y",('Company 3'!C32),"0")+IF('Company 4'!$G$7="Y",('Company 4'!C32),"0")+IF('Company 5'!$G$7="Y",('Company 5'!C32),"0"))))/100000</f>
        <v>2.6137248999999998</v>
      </c>
      <c r="D25" s="70">
        <f>(SUM((IF('Sathish Diamonds'!$G$7="Y",('Sathish Diamonds'!D32),"0")+IF('Sathish Jewellers'!$G$7="Y",('Sathish Jewellers'!D32),"0")+IF('Company 3'!$G$7="Y",('Company 3'!D32),"0")+IF('Company 4'!$G$7="Y",('Company 4'!D32),"0")+IF('Company 5'!$G$7="Y",('Company 5'!D32),"0"))))/100000</f>
        <v>1.9275578</v>
      </c>
      <c r="E25" s="70">
        <f>(SUM((IF('Sathish Diamonds'!$G$7="Y",('Sathish Diamonds'!E32),"0")+IF('Sathish Jewellers'!$G$7="Y",('Sathish Jewellers'!E32),"0")+IF('Company 3'!$G$7="Y",('Company 3'!E32),"0")+IF('Company 4'!$G$7="Y",('Company 4'!E32),"0")+IF('Company 5'!$G$7="Y",('Company 5'!E32),"0"))))/100000</f>
        <v>0</v>
      </c>
      <c r="F25" s="74">
        <f t="shared" si="0"/>
        <v>0.35597744461930003</v>
      </c>
      <c r="G25" s="75" t="str">
        <f t="shared" si="0"/>
        <v>-</v>
      </c>
    </row>
    <row r="26" spans="1:7">
      <c r="A26" s="80" t="s">
        <v>36</v>
      </c>
      <c r="B26" s="70">
        <f>(SUM((IF('Sathish Diamonds'!$G$7="Y",('Sathish Diamonds'!B33),"0")+IF('Sathish Jewellers'!$G$7="Y",('Sathish Jewellers'!B33),"0")+IF('Company 3'!$G$7="Y",('Company 3'!B33),"0")+IF('Company 4'!$G$7="Y",('Company 4'!B33),"0")+IF('Company 5'!$G$7="Y",('Company 5'!B33),"0"))))/100000</f>
        <v>0</v>
      </c>
      <c r="C26" s="70">
        <f>(SUM((IF('Sathish Diamonds'!$G$7="Y",('Sathish Diamonds'!C33),"0")+IF('Sathish Jewellers'!$G$7="Y",('Sathish Jewellers'!C33),"0")+IF('Company 3'!$G$7="Y",('Company 3'!C33),"0")+IF('Company 4'!$G$7="Y",('Company 4'!C33),"0")+IF('Company 5'!$G$7="Y",('Company 5'!C33),"0"))))/100000</f>
        <v>0</v>
      </c>
      <c r="D26" s="70" t="e">
        <f>(SUM((IF('Sathish Diamonds'!$G$7="Y",('Sathish Diamonds'!D33),"0")+IF('Sathish Jewellers'!$G$7="Y",('Sathish Jewellers'!D33),"0")+IF('Company 3'!$G$7="Y",('Company 3'!D33),"0")+IF('Company 4'!$G$7="Y",('Company 4'!D33),"0")+IF('Company 5'!$G$7="Y",('Company 5'!D33),"0"))))/100000</f>
        <v>#VALUE!</v>
      </c>
      <c r="E26" s="70">
        <f>(SUM((IF('Sathish Diamonds'!$G$7="Y",('Sathish Diamonds'!E33),"0")+IF('Sathish Jewellers'!$G$7="Y",('Sathish Jewellers'!E33),"0")+IF('Company 3'!$G$7="Y",('Company 3'!E33),"0")+IF('Company 4'!$G$7="Y",('Company 4'!E33),"0")+IF('Company 5'!$G$7="Y",('Company 5'!E33),"0"))))/100000</f>
        <v>0</v>
      </c>
      <c r="F26" s="74" t="str">
        <f t="shared" si="0"/>
        <v>-</v>
      </c>
      <c r="G26" s="75" t="str">
        <f t="shared" si="0"/>
        <v>-</v>
      </c>
    </row>
    <row r="27" spans="1:7">
      <c r="A27" s="81" t="s">
        <v>37</v>
      </c>
      <c r="B27" s="70">
        <f>(SUM((IF('Sathish Diamonds'!$G$7="Y",('Sathish Diamonds'!B34),"0")+IF('Sathish Jewellers'!$G$7="Y",('Sathish Jewellers'!B34),"0")+IF('Company 3'!$G$7="Y",('Company 3'!B34),"0")+IF('Company 4'!$G$7="Y",('Company 4'!B34),"0")+IF('Company 5'!$G$7="Y",('Company 5'!B34),"0"))))/100000</f>
        <v>0</v>
      </c>
      <c r="C27" s="70">
        <f>(SUM((IF('Sathish Diamonds'!$G$7="Y",('Sathish Diamonds'!C34),"0")+IF('Sathish Jewellers'!$G$7="Y",('Sathish Jewellers'!C34),"0")+IF('Company 3'!$G$7="Y",('Company 3'!C34),"0")+IF('Company 4'!$G$7="Y",('Company 4'!C34),"0")+IF('Company 5'!$G$7="Y",('Company 5'!C34),"0"))))/100000</f>
        <v>0</v>
      </c>
      <c r="D27" s="70">
        <f>(SUM((IF('Sathish Diamonds'!$G$7="Y",('Sathish Diamonds'!D34),"0")+IF('Sathish Jewellers'!$G$7="Y",('Sathish Jewellers'!D34),"0")+IF('Company 3'!$G$7="Y",('Company 3'!D34),"0")+IF('Company 4'!$G$7="Y",('Company 4'!D34),"0")+IF('Company 5'!$G$7="Y",('Company 5'!D34),"0"))))/100000</f>
        <v>0</v>
      </c>
      <c r="E27" s="70">
        <f>(SUM((IF('Sathish Diamonds'!$G$7="Y",('Sathish Diamonds'!E34),"0")+IF('Sathish Jewellers'!$G$7="Y",('Sathish Jewellers'!E34),"0")+IF('Company 3'!$G$7="Y",('Company 3'!E34),"0")+IF('Company 4'!$G$7="Y",('Company 4'!E34),"0")+IF('Company 5'!$G$7="Y",('Company 5'!E34),"0"))))/100000</f>
        <v>0</v>
      </c>
      <c r="F27" s="74" t="str">
        <f t="shared" si="0"/>
        <v>-</v>
      </c>
      <c r="G27" s="75" t="str">
        <f t="shared" si="0"/>
        <v>-</v>
      </c>
    </row>
    <row r="28" spans="1:7">
      <c r="A28" s="81" t="s">
        <v>104</v>
      </c>
      <c r="B28" s="70">
        <f>(SUM((IF('Sathish Diamonds'!$G$7="Y",('Sathish Diamonds'!B35),"0")+IF('Sathish Jewellers'!$G$7="Y",('Sathish Jewellers'!B35),"0")+IF('Company 3'!$G$7="Y",('Company 3'!B35),"0")+IF('Company 4'!$G$7="Y",('Company 4'!B35),"0")+IF('Company 5'!$G$7="Y",('Company 5'!B35),"0"))))/100000</f>
        <v>0</v>
      </c>
      <c r="C28" s="70">
        <f>(SUM((IF('Sathish Diamonds'!$G$7="Y",('Sathish Diamonds'!C35),"0")+IF('Sathish Jewellers'!$G$7="Y",('Sathish Jewellers'!C35),"0")+IF('Company 3'!$G$7="Y",('Company 3'!C35),"0")+IF('Company 4'!$G$7="Y",('Company 4'!C35),"0")+IF('Company 5'!$G$7="Y",('Company 5'!C35),"0"))))/100000</f>
        <v>0</v>
      </c>
      <c r="D28" s="70">
        <f>(SUM((IF('Sathish Diamonds'!$G$7="Y",('Sathish Diamonds'!D35),"0")+IF('Sathish Jewellers'!$G$7="Y",('Sathish Jewellers'!D35),"0")+IF('Company 3'!$G$7="Y",('Company 3'!D35),"0")+IF('Company 4'!$G$7="Y",('Company 4'!D35),"0")+IF('Company 5'!$G$7="Y",('Company 5'!D35),"0"))))/100000</f>
        <v>0</v>
      </c>
      <c r="E28" s="70">
        <f>(SUM((IF('Sathish Diamonds'!$G$7="Y",('Sathish Diamonds'!E35),"0")+IF('Sathish Jewellers'!$G$7="Y",('Sathish Jewellers'!E35),"0")+IF('Company 3'!$G$7="Y",('Company 3'!E35),"0")+IF('Company 4'!$G$7="Y",('Company 4'!E35),"0")+IF('Company 5'!$G$7="Y",('Company 5'!E35),"0"))))/100000</f>
        <v>0</v>
      </c>
      <c r="F28" s="74" t="str">
        <f t="shared" si="0"/>
        <v>-</v>
      </c>
      <c r="G28" s="75" t="str">
        <f t="shared" si="0"/>
        <v>-</v>
      </c>
    </row>
    <row r="29" spans="1:7">
      <c r="A29" s="66" t="s">
        <v>39</v>
      </c>
      <c r="B29" s="20">
        <f>+B24-SUM(B25:B28)</f>
        <v>0</v>
      </c>
      <c r="C29" s="20">
        <f>+C24-SUM(C25:C28)</f>
        <v>17.456834400000034</v>
      </c>
      <c r="D29" s="20" t="e">
        <f>+D24-SUM(D25:D28)</f>
        <v>#VALUE!</v>
      </c>
      <c r="E29" s="82">
        <f>+E24-SUM(E25:E28)</f>
        <v>0</v>
      </c>
      <c r="F29" s="78" t="str">
        <f t="shared" si="0"/>
        <v>-</v>
      </c>
      <c r="G29" s="79" t="str">
        <f t="shared" si="0"/>
        <v>-</v>
      </c>
    </row>
    <row r="30" spans="1:7">
      <c r="A30" s="81" t="s">
        <v>40</v>
      </c>
      <c r="B30" s="70">
        <f>(SUM((IF('Sathish Diamonds'!$G$7="Y",('Sathish Diamonds'!B37),"0")+IF('Sathish Jewellers'!$G$7="Y",('Sathish Jewellers'!B37),"0")+IF('Company 3'!$G$7="Y",('Company 3'!B37),"0")+IF('Company 4'!$G$7="Y",('Company 4'!B37),"0")+IF('Company 5'!$G$7="Y",('Company 5'!B37),"0"))))/100000</f>
        <v>0</v>
      </c>
      <c r="C30" s="70">
        <f>(SUM((IF('Sathish Diamonds'!$G$7="Y",('Sathish Diamonds'!C37),"0")+IF('Sathish Jewellers'!$G$7="Y",('Sathish Jewellers'!C37),"0")+IF('Company 3'!$G$7="Y",('Company 3'!C37),"0")+IF('Company 4'!$G$7="Y",('Company 4'!C37),"0")+IF('Company 5'!$G$7="Y",('Company 5'!C37),"0"))))/100000</f>
        <v>0</v>
      </c>
      <c r="D30" s="70">
        <f>(SUM((IF('Sathish Diamonds'!$G$7="Y",('Sathish Diamonds'!D37),"0")+IF('Sathish Jewellers'!$G$7="Y",('Sathish Jewellers'!D37),"0")+IF('Company 3'!$G$7="Y",('Company 3'!D37),"0")+IF('Company 4'!$G$7="Y",('Company 4'!D37),"0")+IF('Company 5'!$G$7="Y",('Company 5'!D37),"0"))))/100000</f>
        <v>0.09</v>
      </c>
      <c r="E30" s="70">
        <f>(SUM((IF('Sathish Diamonds'!$G$7="Y",('Sathish Diamonds'!E37),"0")+IF('Sathish Jewellers'!$G$7="Y",('Sathish Jewellers'!E37),"0")+IF('Company 3'!$G$7="Y",('Company 3'!E37),"0")+IF('Company 4'!$G$7="Y",('Company 4'!E37),"0")+IF('Company 5'!$G$7="Y",('Company 5'!E37),"0"))))/100000</f>
        <v>0</v>
      </c>
      <c r="F30" s="74">
        <f t="shared" si="0"/>
        <v>-1</v>
      </c>
      <c r="G30" s="75" t="str">
        <f t="shared" si="0"/>
        <v>-</v>
      </c>
    </row>
    <row r="31" spans="1:7">
      <c r="A31" s="81" t="s">
        <v>41</v>
      </c>
      <c r="B31" s="70">
        <f>(SUM((IF('Sathish Diamonds'!$G$7="Y",('Sathish Diamonds'!B38),"0")+IF('Sathish Jewellers'!$G$7="Y",('Sathish Jewellers'!B38),"0")+IF('Company 3'!$G$7="Y",('Company 3'!B38),"0")+IF('Company 4'!$G$7="Y",('Company 4'!B38),"0")+IF('Company 5'!$G$7="Y",('Company 5'!B38),"0"))))/100000</f>
        <v>0</v>
      </c>
      <c r="C31" s="70">
        <f>(SUM((IF('Sathish Diamonds'!$G$7="Y",('Sathish Diamonds'!C38),"0")+IF('Sathish Jewellers'!$G$7="Y",('Sathish Jewellers'!C38),"0")+IF('Company 3'!$G$7="Y",('Company 3'!C38),"0")+IF('Company 4'!$G$7="Y",('Company 4'!C38),"0")+IF('Company 5'!$G$7="Y",('Company 5'!C38),"0"))))/100000</f>
        <v>0</v>
      </c>
      <c r="D31" s="70">
        <f>(SUM((IF('Sathish Diamonds'!$G$7="Y",('Sathish Diamonds'!D38),"0")+IF('Sathish Jewellers'!$G$7="Y",('Sathish Jewellers'!D38),"0")+IF('Company 3'!$G$7="Y",('Company 3'!D38),"0")+IF('Company 4'!$G$7="Y",('Company 4'!D38),"0")+IF('Company 5'!$G$7="Y",('Company 5'!D38),"0"))))/100000</f>
        <v>0.15440999999999999</v>
      </c>
      <c r="E31" s="70">
        <f>(SUM((IF('Sathish Diamonds'!$G$7="Y",('Sathish Diamonds'!E38),"0")+IF('Sathish Jewellers'!$G$7="Y",('Sathish Jewellers'!E38),"0")+IF('Company 3'!$G$7="Y",('Company 3'!E38),"0")+IF('Company 4'!$G$7="Y",('Company 4'!E38),"0")+IF('Company 5'!$G$7="Y",('Company 5'!E38),"0"))))/100000</f>
        <v>0</v>
      </c>
      <c r="F31" s="74">
        <f t="shared" si="0"/>
        <v>-1</v>
      </c>
      <c r="G31" s="75" t="str">
        <f t="shared" si="0"/>
        <v>-</v>
      </c>
    </row>
    <row r="32" spans="1:7">
      <c r="A32" s="81" t="s">
        <v>42</v>
      </c>
      <c r="B32" s="70">
        <f>(SUM((IF('Sathish Diamonds'!$G$7="Y",('Sathish Diamonds'!B39),"0")+IF('Sathish Jewellers'!$G$7="Y",('Sathish Jewellers'!B39),"0")+IF('Company 3'!$G$7="Y",('Company 3'!B39),"0")+IF('Company 4'!$G$7="Y",('Company 4'!B39),"0")+IF('Company 5'!$G$7="Y",('Company 5'!B39),"0"))))/100000</f>
        <v>0</v>
      </c>
      <c r="C32" s="70">
        <f>(SUM((IF('Sathish Diamonds'!$G$7="Y",('Sathish Diamonds'!C39),"0")+IF('Sathish Jewellers'!$G$7="Y",('Sathish Jewellers'!C39),"0")+IF('Company 3'!$G$7="Y",('Company 3'!C39),"0")+IF('Company 4'!$G$7="Y",('Company 4'!C39),"0")+IF('Company 5'!$G$7="Y",('Company 5'!C39),"0"))))/100000</f>
        <v>0</v>
      </c>
      <c r="D32" s="70">
        <f>(SUM((IF('Sathish Diamonds'!$G$7="Y",('Sathish Diamonds'!D39),"0")+IF('Sathish Jewellers'!$G$7="Y",('Sathish Jewellers'!D39),"0")+IF('Company 3'!$G$7="Y",('Company 3'!D39),"0")+IF('Company 4'!$G$7="Y",('Company 4'!D39),"0")+IF('Company 5'!$G$7="Y",('Company 5'!D39),"0"))))/100000</f>
        <v>0</v>
      </c>
      <c r="E32" s="70">
        <f>(SUM((IF('Sathish Diamonds'!$G$7="Y",('Sathish Diamonds'!E39),"0")+IF('Sathish Jewellers'!$G$7="Y",('Sathish Jewellers'!E39),"0")+IF('Company 3'!$G$7="Y",('Company 3'!E39),"0")+IF('Company 4'!$G$7="Y",('Company 4'!E39),"0")+IF('Company 5'!$G$7="Y",('Company 5'!E39),"0"))))/100000</f>
        <v>0</v>
      </c>
      <c r="F32" s="74" t="str">
        <f t="shared" si="0"/>
        <v>-</v>
      </c>
      <c r="G32" s="75" t="str">
        <f t="shared" si="0"/>
        <v>-</v>
      </c>
    </row>
    <row r="33" spans="1:7">
      <c r="A33" s="81" t="s">
        <v>43</v>
      </c>
      <c r="B33" s="70">
        <f>(SUM((IF('Sathish Diamonds'!$G$7="Y",('Sathish Diamonds'!B40),"0")+IF('Sathish Jewellers'!$G$7="Y",('Sathish Jewellers'!B40),"0")+IF('Company 3'!$G$7="Y",('Company 3'!B40),"0")+IF('Company 4'!$G$7="Y",('Company 4'!B40),"0")+IF('Company 5'!$G$7="Y",('Company 5'!B40),"0"))))/100000</f>
        <v>0</v>
      </c>
      <c r="C33" s="70">
        <f>(SUM((IF('Sathish Diamonds'!$G$7="Y",('Sathish Diamonds'!C40),"0")+IF('Sathish Jewellers'!$G$7="Y",('Sathish Jewellers'!C40),"0")+IF('Company 3'!$G$7="Y",('Company 3'!C40),"0")+IF('Company 4'!$G$7="Y",('Company 4'!C40),"0")+IF('Company 5'!$G$7="Y",('Company 5'!C40),"0"))))/100000</f>
        <v>0</v>
      </c>
      <c r="D33" s="70">
        <f>(SUM((IF('Sathish Diamonds'!$G$7="Y",('Sathish Diamonds'!D40),"0")+IF('Sathish Jewellers'!$G$7="Y",('Sathish Jewellers'!D40),"0")+IF('Company 3'!$G$7="Y",('Company 3'!D40),"0")+IF('Company 4'!$G$7="Y",('Company 4'!D40),"0")+IF('Company 5'!$G$7="Y",('Company 5'!D40),"0"))))/100000</f>
        <v>0</v>
      </c>
      <c r="E33" s="70">
        <f>(SUM((IF('Sathish Diamonds'!$G$7="Y",('Sathish Diamonds'!E40),"0")+IF('Sathish Jewellers'!$G$7="Y",('Sathish Jewellers'!E40),"0")+IF('Company 3'!$G$7="Y",('Company 3'!E40),"0")+IF('Company 4'!$G$7="Y",('Company 4'!E40),"0")+IF('Company 5'!$G$7="Y",('Company 5'!E40),"0"))))/100000</f>
        <v>0</v>
      </c>
      <c r="F33" s="74" t="str">
        <f t="shared" si="0"/>
        <v>-</v>
      </c>
      <c r="G33" s="75" t="str">
        <f t="shared" si="0"/>
        <v>-</v>
      </c>
    </row>
    <row r="34" spans="1:7">
      <c r="A34" s="81" t="s">
        <v>44</v>
      </c>
      <c r="B34" s="70">
        <f>(SUM((IF('Sathish Diamonds'!$G$7="Y",('Sathish Diamonds'!B41),"0")+IF('Sathish Jewellers'!$G$7="Y",('Sathish Jewellers'!B41),"0")+IF('Company 3'!$G$7="Y",('Company 3'!B41),"0")+IF('Company 4'!$G$7="Y",('Company 4'!B41),"0")+IF('Company 5'!$G$7="Y",('Company 5'!B41),"0"))))/100000</f>
        <v>0</v>
      </c>
      <c r="C34" s="70">
        <f>(SUM((IF('Sathish Diamonds'!$G$7="Y",('Sathish Diamonds'!C41),"0")+IF('Sathish Jewellers'!$G$7="Y",('Sathish Jewellers'!C41),"0")+IF('Company 3'!$G$7="Y",('Company 3'!C41),"0")+IF('Company 4'!$G$7="Y",('Company 4'!C41),"0")+IF('Company 5'!$G$7="Y",('Company 5'!C41),"0"))))/100000</f>
        <v>0</v>
      </c>
      <c r="D34" s="70">
        <f>(SUM((IF('Sathish Diamonds'!$G$7="Y",('Sathish Diamonds'!D41),"0")+IF('Sathish Jewellers'!$G$7="Y",('Sathish Jewellers'!D41),"0")+IF('Company 3'!$G$7="Y",('Company 3'!D41),"0")+IF('Company 4'!$G$7="Y",('Company 4'!D41),"0")+IF('Company 5'!$G$7="Y",('Company 5'!D41),"0"))))/100000</f>
        <v>0</v>
      </c>
      <c r="E34" s="70">
        <f>(SUM((IF('Sathish Diamonds'!$G$7="Y",('Sathish Diamonds'!E41),"0")+IF('Sathish Jewellers'!$G$7="Y",('Sathish Jewellers'!E41),"0")+IF('Company 3'!$G$7="Y",('Company 3'!E41),"0")+IF('Company 4'!$G$7="Y",('Company 4'!E41),"0")+IF('Company 5'!$G$7="Y",('Company 5'!E41),"0"))))/100000</f>
        <v>0</v>
      </c>
      <c r="F34" s="74" t="str">
        <f t="shared" si="0"/>
        <v>-</v>
      </c>
      <c r="G34" s="75" t="str">
        <f t="shared" si="0"/>
        <v>-</v>
      </c>
    </row>
    <row r="35" spans="1:7">
      <c r="A35" s="66" t="s">
        <v>45</v>
      </c>
      <c r="B35" s="20">
        <f>+B29-SUM(B30:B34)</f>
        <v>0</v>
      </c>
      <c r="C35" s="20">
        <f>+C29-SUM(C30:C34)</f>
        <v>17.456834400000034</v>
      </c>
      <c r="D35" s="20" t="e">
        <f>+D29-SUM(D30:D34)</f>
        <v>#VALUE!</v>
      </c>
      <c r="E35" s="77">
        <f>+E29-SUM(E30:E34)</f>
        <v>0</v>
      </c>
      <c r="F35" s="83" t="str">
        <f t="shared" si="0"/>
        <v>-</v>
      </c>
      <c r="G35" s="84" t="str">
        <f t="shared" si="0"/>
        <v>-</v>
      </c>
    </row>
    <row r="36" spans="1:7">
      <c r="A36" s="69" t="s">
        <v>46</v>
      </c>
      <c r="B36" s="70">
        <f>(SUM((IF('Sathish Diamonds'!$G$7="Y",('Sathish Diamonds'!B43),"0")+IF('Sathish Jewellers'!$G$7="Y",('Sathish Jewellers'!B43),"0")+IF('Company 3'!$G$7="Y",('Company 3'!B43),"0")+IF('Company 4'!$G$7="Y",('Company 4'!B43),"0")+IF('Company 5'!$G$7="Y",('Company 5'!B43),"0"))))/100000</f>
        <v>0</v>
      </c>
      <c r="C36" s="70">
        <f>(SUM((IF('Sathish Diamonds'!$G$7="Y",('Sathish Diamonds'!C43),"0")+IF('Sathish Jewellers'!$G$7="Y",('Sathish Jewellers'!C43),"0")+IF('Company 3'!$G$7="Y",('Company 3'!C43),"0")+IF('Company 4'!$G$7="Y",('Company 4'!C43),"0")+IF('Company 5'!$G$7="Y",('Company 5'!C43),"0"))))/100000</f>
        <v>0.97384000000000004</v>
      </c>
      <c r="D36" s="70">
        <f>(SUM((IF('Sathish Diamonds'!$G$7="Y",('Sathish Diamonds'!D43),"0")+IF('Sathish Jewellers'!$G$7="Y",('Sathish Jewellers'!D43),"0")+IF('Company 3'!$G$7="Y",('Company 3'!D43),"0")+IF('Company 4'!$G$7="Y",('Company 4'!D43),"0")+IF('Company 5'!$G$7="Y",('Company 5'!D43),"0"))))/100000</f>
        <v>1.1675199999999999</v>
      </c>
      <c r="E36" s="70">
        <f>(SUM((IF('Sathish Diamonds'!$G$7="Y",('Sathish Diamonds'!E43),"0")+IF('Sathish Jewellers'!$G$7="Y",('Sathish Jewellers'!E43),"0")+IF('Company 3'!$G$7="Y",('Company 3'!E43),"0")+IF('Company 4'!$G$7="Y",('Company 4'!E43),"0")+IF('Company 5'!$G$7="Y",('Company 5'!E43),"0"))))/100000</f>
        <v>0</v>
      </c>
      <c r="F36" s="74">
        <f t="shared" si="0"/>
        <v>-0.16589009181855546</v>
      </c>
      <c r="G36" s="75" t="str">
        <f t="shared" si="0"/>
        <v>-</v>
      </c>
    </row>
    <row r="37" spans="1:7">
      <c r="A37" s="20" t="s">
        <v>47</v>
      </c>
      <c r="B37" s="20">
        <f>+B35-B36</f>
        <v>0</v>
      </c>
      <c r="C37" s="20">
        <f>+C35-C36</f>
        <v>16.482994400000035</v>
      </c>
      <c r="D37" s="20" t="e">
        <f>+D35-D36</f>
        <v>#VALUE!</v>
      </c>
      <c r="E37" s="77">
        <f>+E35-E36</f>
        <v>0</v>
      </c>
      <c r="F37" s="83" t="str">
        <f t="shared" si="0"/>
        <v>-</v>
      </c>
      <c r="G37" s="84" t="str">
        <f t="shared" si="0"/>
        <v>-</v>
      </c>
    </row>
    <row r="38" spans="1:7">
      <c r="A38" s="69" t="s">
        <v>48</v>
      </c>
      <c r="B38" s="70">
        <f>(SUM((IF('Sathish Diamonds'!$G$7="Y",('Sathish Diamonds'!B45),"0")+IF('Sathish Jewellers'!$G$7="Y",('Sathish Jewellers'!B45),"0")+IF('Company 3'!$G$7="Y",('Company 3'!B45),"0")+IF('Company 4'!$G$7="Y",('Company 4'!B45),"0")+IF('Company 5'!$G$7="Y",('Company 5'!B45),"0"))))/100000</f>
        <v>0</v>
      </c>
      <c r="C38" s="70">
        <f>(SUM((IF('Sathish Diamonds'!$G$7="Y",('Sathish Diamonds'!C45),"0")+IF('Sathish Jewellers'!$G$7="Y",('Sathish Jewellers'!C45),"0")+IF('Company 3'!$G$7="Y",('Company 3'!C45),"0")+IF('Company 4'!$G$7="Y",('Company 4'!C45),"0")+IF('Company 5'!$G$7="Y",('Company 5'!C45),"0"))))/100000</f>
        <v>0</v>
      </c>
      <c r="D38" s="70">
        <f>(SUM((IF('Sathish Diamonds'!$G$7="Y",('Sathish Diamonds'!D45),"0")+IF('Sathish Jewellers'!$G$7="Y",('Sathish Jewellers'!D45),"0")+IF('Company 3'!$G$7="Y",('Company 3'!D45),"0")+IF('Company 4'!$G$7="Y",('Company 4'!D45),"0")+IF('Company 5'!$G$7="Y",('Company 5'!D45),"0"))))/100000</f>
        <v>0</v>
      </c>
      <c r="E38" s="70">
        <f>(SUM((IF('Sathish Diamonds'!$G$7="Y",('Sathish Diamonds'!E45),"0")+IF('Sathish Jewellers'!$G$7="Y",('Sathish Jewellers'!E45),"0")+IF('Company 3'!$G$7="Y",('Company 3'!E45),"0")+IF('Company 4'!$G$7="Y",('Company 4'!E45),"0")+IF('Company 5'!$G$7="Y",('Company 5'!E45),"0"))))/100000</f>
        <v>0</v>
      </c>
      <c r="F38" s="74" t="str">
        <f t="shared" si="0"/>
        <v>-</v>
      </c>
      <c r="G38" s="75" t="str">
        <f t="shared" si="0"/>
        <v>-</v>
      </c>
    </row>
    <row r="39" spans="1:7">
      <c r="A39" s="69" t="s">
        <v>49</v>
      </c>
      <c r="B39" s="70">
        <f>(SUM((IF('Sathish Diamonds'!$G$7="Y",('Sathish Diamonds'!B46),"0")+IF('Sathish Jewellers'!$G$7="Y",('Sathish Jewellers'!B46),"0")+IF('Company 3'!$G$7="Y",('Company 3'!B46),"0")+IF('Company 4'!$G$7="Y",('Company 4'!B46),"0")+IF('Company 5'!$G$7="Y",('Company 5'!B46),"0"))))/100000</f>
        <v>0</v>
      </c>
      <c r="C39" s="70">
        <f>(SUM((IF('Sathish Diamonds'!$G$7="Y",('Sathish Diamonds'!C46),"0")+IF('Sathish Jewellers'!$G$7="Y",('Sathish Jewellers'!C46),"0")+IF('Company 3'!$G$7="Y",('Company 3'!C46),"0")+IF('Company 4'!$G$7="Y",('Company 4'!C46),"0")+IF('Company 5'!$G$7="Y",('Company 5'!C46),"0"))))/100000</f>
        <v>0</v>
      </c>
      <c r="D39" s="70">
        <f>(SUM((IF('Sathish Diamonds'!$G$7="Y",('Sathish Diamonds'!D46),"0")+IF('Sathish Jewellers'!$G$7="Y",('Sathish Jewellers'!D46),"0")+IF('Company 3'!$G$7="Y",('Company 3'!D46),"0")+IF('Company 4'!$G$7="Y",('Company 4'!D46),"0")+IF('Company 5'!$G$7="Y",('Company 5'!D46),"0"))))/100000</f>
        <v>0</v>
      </c>
      <c r="E39" s="70">
        <f>(SUM((IF('Sathish Diamonds'!$G$7="Y",('Sathish Diamonds'!E46),"0")+IF('Sathish Jewellers'!$G$7="Y",('Sathish Jewellers'!E46),"0")+IF('Company 3'!$G$7="Y",('Company 3'!E46),"0")+IF('Company 4'!$G$7="Y",('Company 4'!E46),"0")+IF('Company 5'!$G$7="Y",('Company 5'!E46),"0"))))/100000</f>
        <v>0</v>
      </c>
      <c r="F39" s="74" t="str">
        <f t="shared" si="0"/>
        <v>-</v>
      </c>
      <c r="G39" s="75" t="str">
        <f t="shared" si="0"/>
        <v>-</v>
      </c>
    </row>
    <row r="40" spans="1:7">
      <c r="A40" s="66" t="s">
        <v>50</v>
      </c>
      <c r="B40" s="20">
        <f>+B37-SUM(B38:B39)</f>
        <v>0</v>
      </c>
      <c r="C40" s="20">
        <f>+C37-SUM(C38:C39)</f>
        <v>16.482994400000035</v>
      </c>
      <c r="D40" s="20" t="e">
        <f>+D37-SUM(D38:D39)</f>
        <v>#VALUE!</v>
      </c>
      <c r="E40" s="77">
        <f>+E37-SUM(E38:E39)</f>
        <v>0</v>
      </c>
      <c r="F40" s="83" t="str">
        <f t="shared" si="0"/>
        <v>-</v>
      </c>
      <c r="G40" s="84" t="str">
        <f t="shared" si="0"/>
        <v>-</v>
      </c>
    </row>
    <row r="41" spans="1:7" ht="15" thickBot="1">
      <c r="A41" s="85" t="s">
        <v>51</v>
      </c>
      <c r="B41" s="85">
        <f>+B37+B34+B32+B25+B33</f>
        <v>0</v>
      </c>
      <c r="C41" s="85">
        <f>+C37+C34+C32+C25+C33</f>
        <v>19.096719300000036</v>
      </c>
      <c r="D41" s="85" t="e">
        <f>+D37+D34+D32+D25+D33</f>
        <v>#VALUE!</v>
      </c>
      <c r="E41" s="86">
        <f>+E37+E34+E32+E25+E33</f>
        <v>0</v>
      </c>
      <c r="F41" s="87" t="str">
        <f t="shared" si="0"/>
        <v>-</v>
      </c>
      <c r="G41" s="88" t="str">
        <f t="shared" si="0"/>
        <v>-</v>
      </c>
    </row>
    <row r="42" spans="1:7" ht="15" thickBot="1">
      <c r="A42" s="537" t="s">
        <v>103</v>
      </c>
      <c r="B42" s="538"/>
      <c r="C42" s="539"/>
      <c r="D42" s="539"/>
      <c r="E42" s="540"/>
      <c r="F42" s="541" t="s">
        <v>12</v>
      </c>
      <c r="G42" s="542"/>
    </row>
    <row r="43" spans="1:7" ht="29.25" thickBot="1">
      <c r="A43" s="66" t="s">
        <v>52</v>
      </c>
      <c r="B43" s="8" t="s">
        <v>14</v>
      </c>
      <c r="C43" s="9" t="s">
        <v>106</v>
      </c>
      <c r="D43" s="9" t="s">
        <v>107</v>
      </c>
      <c r="E43" s="9" t="s">
        <v>108</v>
      </c>
      <c r="F43" s="89" t="s">
        <v>109</v>
      </c>
      <c r="G43" s="90" t="s">
        <v>109</v>
      </c>
    </row>
    <row r="44" spans="1:7">
      <c r="A44" s="80" t="s">
        <v>53</v>
      </c>
      <c r="B44" s="70">
        <f>(SUM((IF('Sathish Diamonds'!$G$7="Y",('Sathish Diamonds'!B51),"0")+IF('Sathish Jewellers'!$G$7="Y",('Sathish Jewellers'!B51),"0")+IF('Company 3'!$G$7="Y",('Company 3'!B51),"0")+IF('Company 4'!$G$7="Y",('Company 4'!B51),"0")+IF('Company 5'!$G$7="Y",('Company 5'!B51),"0"))))/100000</f>
        <v>0</v>
      </c>
      <c r="C44" s="70">
        <f>(SUM((IF('Sathish Diamonds'!$G$7="Y",('Sathish Diamonds'!C51),"0")+IF('Sathish Jewellers'!$G$7="Y",('Sathish Jewellers'!C51),"0")+IF('Company 3'!$G$7="Y",('Company 3'!C51),"0")+IF('Company 4'!$G$7="Y",('Company 4'!C51),"0")+IF('Company 5'!$G$7="Y",('Company 5'!C51),"0"))))/100000</f>
        <v>155.78786630000002</v>
      </c>
      <c r="D44" s="70">
        <f>(SUM((IF('Sathish Diamonds'!$G$7="Y",('Sathish Diamonds'!D51),"0")+IF('Sathish Jewellers'!$G$7="Y",('Sathish Jewellers'!D51),"0")+IF('Company 3'!$G$7="Y",('Company 3'!D51),"0")+IF('Company 4'!$G$7="Y",('Company 4'!D51),"0")+IF('Company 5'!$G$7="Y",('Company 5'!D51),"0"))))/100000</f>
        <v>172.9363936</v>
      </c>
      <c r="E44" s="70">
        <f>(SUM((IF('Sathish Diamonds'!$G$7="Y",('Sathish Diamonds'!E51),"0")+IF('Sathish Jewellers'!$G$7="Y",('Sathish Jewellers'!E51),"0")+IF('Company 3'!$G$7="Y",('Company 3'!E51),"0")+IF('Company 4'!$G$7="Y",('Company 4'!E51),"0")+IF('Company 5'!$G$7="Y",('Company 5'!E51),"0"))))/100000</f>
        <v>0</v>
      </c>
      <c r="F44" s="74">
        <f t="shared" si="0"/>
        <v>-9.9160893453487539E-2</v>
      </c>
      <c r="G44" s="75" t="str">
        <f t="shared" si="0"/>
        <v>-</v>
      </c>
    </row>
    <row r="45" spans="1:7">
      <c r="A45" s="80" t="s">
        <v>54</v>
      </c>
      <c r="B45" s="70">
        <f>(SUM((IF('Sathish Diamonds'!$G$7="Y",('Sathish Diamonds'!B52),"0")+IF('Sathish Jewellers'!$G$7="Y",('Sathish Jewellers'!B52),"0")+IF('Company 3'!$G$7="Y",('Company 3'!B52),"0")+IF('Company 4'!$G$7="Y",('Company 4'!B52),"0")+IF('Company 5'!$G$7="Y",('Company 5'!B52),"0"))))/100000</f>
        <v>0</v>
      </c>
      <c r="C45" s="70">
        <f>(SUM((IF('Sathish Diamonds'!$G$7="Y",('Sathish Diamonds'!C52),"0")+IF('Sathish Jewellers'!$G$7="Y",('Sathish Jewellers'!C52),"0")+IF('Company 3'!$G$7="Y",('Company 3'!C52),"0")+IF('Company 4'!$G$7="Y",('Company 4'!C52),"0")+IF('Company 5'!$G$7="Y",('Company 5'!C52),"0"))))/100000</f>
        <v>0</v>
      </c>
      <c r="D45" s="70">
        <f>(SUM((IF('Sathish Diamonds'!$G$7="Y",('Sathish Diamonds'!D52),"0")+IF('Sathish Jewellers'!$G$7="Y",('Sathish Jewellers'!D52),"0")+IF('Company 3'!$G$7="Y",('Company 3'!D52),"0")+IF('Company 4'!$G$7="Y",('Company 4'!D52),"0")+IF('Company 5'!$G$7="Y",('Company 5'!D52),"0"))))/100000</f>
        <v>0</v>
      </c>
      <c r="E45" s="70">
        <f>(SUM((IF('Sathish Diamonds'!$G$7="Y",('Sathish Diamonds'!E52),"0")+IF('Sathish Jewellers'!$G$7="Y",('Sathish Jewellers'!E52),"0")+IF('Company 3'!$G$7="Y",('Company 3'!E52),"0")+IF('Company 4'!$G$7="Y",('Company 4'!E52),"0")+IF('Company 5'!$G$7="Y",('Company 5'!E52),"0"))))/100000</f>
        <v>0</v>
      </c>
      <c r="F45" s="74" t="str">
        <f t="shared" si="0"/>
        <v>-</v>
      </c>
      <c r="G45" s="75" t="str">
        <f t="shared" si="0"/>
        <v>-</v>
      </c>
    </row>
    <row r="46" spans="1:7">
      <c r="A46" s="80" t="s">
        <v>55</v>
      </c>
      <c r="B46" s="70">
        <f>(SUM((IF('Sathish Diamonds'!$G$7="Y",('Sathish Diamonds'!B53),"0")+IF('Sathish Jewellers'!$G$7="Y",('Sathish Jewellers'!B53),"0")+IF('Company 3'!$G$7="Y",('Company 3'!B53),"0")+IF('Company 4'!$G$7="Y",('Company 4'!B53),"0")+IF('Company 5'!$G$7="Y",('Company 5'!B53),"0"))))/100000</f>
        <v>0</v>
      </c>
      <c r="C46" s="70">
        <f>(SUM((IF('Sathish Diamonds'!$G$7="Y",('Sathish Diamonds'!C53),"0")+IF('Sathish Jewellers'!$G$7="Y",('Sathish Jewellers'!C53),"0")+IF('Company 3'!$G$7="Y",('Company 3'!C53),"0")+IF('Company 4'!$G$7="Y",('Company 4'!C53),"0")+IF('Company 5'!$G$7="Y",('Company 5'!C53),"0"))))/100000</f>
        <v>0</v>
      </c>
      <c r="D46" s="70">
        <f>(SUM((IF('Sathish Diamonds'!$G$7="Y",('Sathish Diamonds'!D53),"0")+IF('Sathish Jewellers'!$G$7="Y",('Sathish Jewellers'!D53),"0")+IF('Company 3'!$G$7="Y",('Company 3'!D53),"0")+IF('Company 4'!$G$7="Y",('Company 4'!D53),"0")+IF('Company 5'!$G$7="Y",('Company 5'!D53),"0"))))/100000</f>
        <v>0</v>
      </c>
      <c r="E46" s="70">
        <f>(SUM((IF('Sathish Diamonds'!$G$7="Y",('Sathish Diamonds'!E53),"0")+IF('Sathish Jewellers'!$G$7="Y",('Sathish Jewellers'!E53),"0")+IF('Company 3'!$G$7="Y",('Company 3'!E53),"0")+IF('Company 4'!$G$7="Y",('Company 4'!E53),"0")+IF('Company 5'!$G$7="Y",('Company 5'!E53),"0"))))/100000</f>
        <v>0</v>
      </c>
      <c r="F46" s="74" t="str">
        <f t="shared" si="0"/>
        <v>-</v>
      </c>
      <c r="G46" s="75" t="str">
        <f t="shared" si="0"/>
        <v>-</v>
      </c>
    </row>
    <row r="47" spans="1:7">
      <c r="A47" s="80" t="s">
        <v>56</v>
      </c>
      <c r="B47" s="70">
        <f>(SUM((IF('Sathish Diamonds'!$G$7="Y",('Sathish Diamonds'!B54),"0")+IF('Sathish Jewellers'!$G$7="Y",('Sathish Jewellers'!B54),"0")+IF('Company 3'!$G$7="Y",('Company 3'!B54),"0")+IF('Company 4'!$G$7="Y",('Company 4'!B54),"0")+IF('Company 5'!$G$7="Y",('Company 5'!B54),"0"))))/100000</f>
        <v>0</v>
      </c>
      <c r="C47" s="70">
        <f>(SUM((IF('Sathish Diamonds'!$G$7="Y",('Sathish Diamonds'!C54),"0")+IF('Sathish Jewellers'!$G$7="Y",('Sathish Jewellers'!C54),"0")+IF('Company 3'!$G$7="Y",('Company 3'!C54),"0")+IF('Company 4'!$G$7="Y",('Company 4'!C54),"0")+IF('Company 5'!$G$7="Y",('Company 5'!C54),"0"))))/100000</f>
        <v>0</v>
      </c>
      <c r="D47" s="70">
        <f>(SUM((IF('Sathish Diamonds'!$G$7="Y",('Sathish Diamonds'!D54),"0")+IF('Sathish Jewellers'!$G$7="Y",('Sathish Jewellers'!D54),"0")+IF('Company 3'!$G$7="Y",('Company 3'!D54),"0")+IF('Company 4'!$G$7="Y",('Company 4'!D54),"0")+IF('Company 5'!$G$7="Y",('Company 5'!D54),"0"))))/100000</f>
        <v>0</v>
      </c>
      <c r="E47" s="70">
        <f>(SUM((IF('Sathish Diamonds'!$G$7="Y",('Sathish Diamonds'!E54),"0")+IF('Sathish Jewellers'!$G$7="Y",('Sathish Jewellers'!E54),"0")+IF('Company 3'!$G$7="Y",('Company 3'!E54),"0")+IF('Company 4'!$G$7="Y",('Company 4'!E54),"0")+IF('Company 5'!$G$7="Y",('Company 5'!E54),"0"))))/100000</f>
        <v>0</v>
      </c>
      <c r="F47" s="74" t="str">
        <f t="shared" si="0"/>
        <v>-</v>
      </c>
      <c r="G47" s="75" t="str">
        <f t="shared" si="0"/>
        <v>-</v>
      </c>
    </row>
    <row r="48" spans="1:7">
      <c r="A48" s="91" t="s">
        <v>57</v>
      </c>
      <c r="B48" s="92">
        <f>SUM(B44:B46)+B47</f>
        <v>0</v>
      </c>
      <c r="C48" s="92">
        <f>SUM(C44:C46)+C47</f>
        <v>155.78786630000002</v>
      </c>
      <c r="D48" s="92">
        <f>SUM(D44:D46)+D47</f>
        <v>172.9363936</v>
      </c>
      <c r="E48" s="93">
        <f>SUM(E44:E46)+E47</f>
        <v>0</v>
      </c>
      <c r="F48" s="83">
        <f t="shared" si="0"/>
        <v>-9.9160893453487539E-2</v>
      </c>
      <c r="G48" s="84" t="str">
        <f t="shared" si="0"/>
        <v>-</v>
      </c>
    </row>
    <row r="49" spans="1:7">
      <c r="A49" s="80" t="s">
        <v>58</v>
      </c>
      <c r="B49" s="70">
        <f>(SUM((IF('Sathish Diamonds'!$G$7="Y",('Sathish Diamonds'!B56),"0")+IF('Sathish Jewellers'!$G$7="Y",('Sathish Jewellers'!B56),"0")+IF('Company 3'!$G$7="Y",('Company 3'!B56),"0")+IF('Company 4'!$G$7="Y",('Company 4'!B56),"0")+IF('Company 5'!$G$7="Y",('Company 5'!B56),"0"))))/100000</f>
        <v>0</v>
      </c>
      <c r="C49" s="70">
        <f>(SUM((IF('Sathish Diamonds'!$G$7="Y",('Sathish Diamonds'!C56),"0")+IF('Sathish Jewellers'!$G$7="Y",('Sathish Jewellers'!C56),"0")+IF('Company 3'!$G$7="Y",('Company 3'!C56),"0")+IF('Company 4'!$G$7="Y",('Company 4'!C56),"0")+IF('Company 5'!$G$7="Y",('Company 5'!C56),"0"))))/100000</f>
        <v>0</v>
      </c>
      <c r="D49" s="70">
        <f>(SUM((IF('Sathish Diamonds'!$G$7="Y",('Sathish Diamonds'!D56),"0")+IF('Sathish Jewellers'!$G$7="Y",('Sathish Jewellers'!D56),"0")+IF('Company 3'!$G$7="Y",('Company 3'!D56),"0")+IF('Company 4'!$G$7="Y",('Company 4'!D56),"0")+IF('Company 5'!$G$7="Y",('Company 5'!D56),"0"))))/100000</f>
        <v>0</v>
      </c>
      <c r="E49" s="70">
        <f>(SUM((IF('Sathish Diamonds'!$G$7="Y",('Sathish Diamonds'!E56),"0")+IF('Sathish Jewellers'!$G$7="Y",('Sathish Jewellers'!E56),"0")+IF('Company 3'!$G$7="Y",('Company 3'!E56),"0")+IF('Company 4'!$G$7="Y",('Company 4'!E56),"0")+IF('Company 5'!$G$7="Y",('Company 5'!E56),"0"))))/100000</f>
        <v>0</v>
      </c>
      <c r="F49" s="74" t="str">
        <f t="shared" si="0"/>
        <v>-</v>
      </c>
      <c r="G49" s="75" t="str">
        <f t="shared" si="0"/>
        <v>-</v>
      </c>
    </row>
    <row r="50" spans="1:7">
      <c r="A50" s="80" t="s">
        <v>59</v>
      </c>
      <c r="B50" s="70">
        <f>(SUM((IF('Sathish Diamonds'!$G$7="Y",('Sathish Diamonds'!B57),"0")+IF('Sathish Jewellers'!$G$7="Y",('Sathish Jewellers'!B57),"0")+IF('Company 3'!$G$7="Y",('Company 3'!B57),"0")+IF('Company 4'!$G$7="Y",('Company 4'!B57),"0")+IF('Company 5'!$G$7="Y",('Company 5'!B57),"0"))))/100000</f>
        <v>0</v>
      </c>
      <c r="C50" s="70">
        <f>(SUM((IF('Sathish Diamonds'!$G$7="Y",('Sathish Diamonds'!C57),"0")+IF('Sathish Jewellers'!$G$7="Y",('Sathish Jewellers'!C57),"0")+IF('Company 3'!$G$7="Y",('Company 3'!C57),"0")+IF('Company 4'!$G$7="Y",('Company 4'!C57),"0")+IF('Company 5'!$G$7="Y",('Company 5'!C57),"0"))))/100000</f>
        <v>0</v>
      </c>
      <c r="D50" s="70">
        <f>(SUM((IF('Sathish Diamonds'!$G$7="Y",('Sathish Diamonds'!D57),"0")+IF('Sathish Jewellers'!$G$7="Y",('Sathish Jewellers'!D57),"0")+IF('Company 3'!$G$7="Y",('Company 3'!D57),"0")+IF('Company 4'!$G$7="Y",('Company 4'!D57),"0")+IF('Company 5'!$G$7="Y",('Company 5'!D57),"0"))))/100000</f>
        <v>0</v>
      </c>
      <c r="E50" s="70">
        <f>(SUM((IF('Sathish Diamonds'!$G$7="Y",('Sathish Diamonds'!E57),"0")+IF('Sathish Jewellers'!$G$7="Y",('Sathish Jewellers'!E57),"0")+IF('Company 3'!$G$7="Y",('Company 3'!E57),"0")+IF('Company 4'!$G$7="Y",('Company 4'!E57),"0")+IF('Company 5'!$G$7="Y",('Company 5'!E57),"0"))))/100000</f>
        <v>0</v>
      </c>
      <c r="F50" s="74" t="str">
        <f t="shared" si="0"/>
        <v>-</v>
      </c>
      <c r="G50" s="75" t="str">
        <f t="shared" si="0"/>
        <v>-</v>
      </c>
    </row>
    <row r="51" spans="1:7">
      <c r="A51" s="94" t="s">
        <v>60</v>
      </c>
      <c r="B51" s="92">
        <f>+SUM(B48:B49)-B50</f>
        <v>0</v>
      </c>
      <c r="C51" s="92">
        <f>+SUM(C48:C49)-C50</f>
        <v>155.78786630000002</v>
      </c>
      <c r="D51" s="92">
        <f>+SUM(D48:D49)-D50</f>
        <v>172.9363936</v>
      </c>
      <c r="E51" s="95">
        <f>+SUM(E48:E49)-E50</f>
        <v>0</v>
      </c>
      <c r="F51" s="83">
        <f t="shared" si="0"/>
        <v>-9.9160893453487539E-2</v>
      </c>
      <c r="G51" s="84" t="str">
        <f t="shared" si="0"/>
        <v>-</v>
      </c>
    </row>
    <row r="52" spans="1:7">
      <c r="A52" s="81" t="s">
        <v>61</v>
      </c>
      <c r="B52" s="70">
        <f>(SUM((IF('Sathish Diamonds'!$G$7="Y",('Sathish Diamonds'!B59),"0")+IF('Sathish Jewellers'!$G$7="Y",('Sathish Jewellers'!B59),"0")+IF('Company 3'!$G$7="Y",('Company 3'!B59),"0")+IF('Company 4'!$G$7="Y",('Company 4'!B59),"0")+IF('Company 5'!$G$7="Y",('Company 5'!B59),"0"))))/100000</f>
        <v>0</v>
      </c>
      <c r="C52" s="70">
        <f>(SUM((IF('Sathish Diamonds'!$G$7="Y",('Sathish Diamonds'!C59),"0")+IF('Sathish Jewellers'!$G$7="Y",('Sathish Jewellers'!C59),"0")+IF('Company 3'!$G$7="Y",('Company 3'!C59),"0")+IF('Company 4'!$G$7="Y",('Company 4'!C59),"0")+IF('Company 5'!$G$7="Y",('Company 5'!C59),"0"))))/100000</f>
        <v>12.551410000000001</v>
      </c>
      <c r="D52" s="70">
        <f>(SUM((IF('Sathish Diamonds'!$G$7="Y",('Sathish Diamonds'!D59),"0")+IF('Sathish Jewellers'!$G$7="Y",('Sathish Jewellers'!D59),"0")+IF('Company 3'!$G$7="Y",('Company 3'!D59),"0")+IF('Company 4'!$G$7="Y",('Company 4'!D59),"0")+IF('Company 5'!$G$7="Y",('Company 5'!D59),"0"))))/100000</f>
        <v>13.467409999999999</v>
      </c>
      <c r="E52" s="70">
        <f>(SUM((IF('Sathish Diamonds'!$G$7="Y",('Sathish Diamonds'!E59),"0")+IF('Sathish Jewellers'!$G$7="Y",('Sathish Jewellers'!E59),"0")+IF('Company 3'!$G$7="Y",('Company 3'!E59),"0")+IF('Company 4'!$G$7="Y",('Company 4'!E59),"0")+IF('Company 5'!$G$7="Y",('Company 5'!E59),"0"))))/100000</f>
        <v>0</v>
      </c>
      <c r="F52" s="74">
        <f t="shared" si="0"/>
        <v>-6.8016047629054041E-2</v>
      </c>
      <c r="G52" s="75" t="str">
        <f t="shared" si="0"/>
        <v>-</v>
      </c>
    </row>
    <row r="53" spans="1:7">
      <c r="A53" s="81" t="s">
        <v>62</v>
      </c>
      <c r="B53" s="70">
        <f>(SUM((IF('Sathish Diamonds'!$G$7="Y",('Sathish Diamonds'!B60),"0")+IF('Sathish Jewellers'!$G$7="Y",('Sathish Jewellers'!B60),"0")+IF('Company 3'!$G$7="Y",('Company 3'!B60),"0")+IF('Company 4'!$G$7="Y",('Company 4'!B60),"0")+IF('Company 5'!$G$7="Y",('Company 5'!B60),"0"))))/100000</f>
        <v>0</v>
      </c>
      <c r="C53" s="70">
        <f>(SUM((IF('Sathish Diamonds'!$G$7="Y",('Sathish Diamonds'!C60),"0")+IF('Sathish Jewellers'!$G$7="Y",('Sathish Jewellers'!C60),"0")+IF('Company 3'!$G$7="Y",('Company 3'!C60),"0")+IF('Company 4'!$G$7="Y",('Company 4'!C60),"0")+IF('Company 5'!$G$7="Y",('Company 5'!C60),"0"))))/100000</f>
        <v>2.75</v>
      </c>
      <c r="D53" s="70">
        <f>(SUM((IF('Sathish Diamonds'!$G$7="Y",('Sathish Diamonds'!D60),"0")+IF('Sathish Jewellers'!$G$7="Y",('Sathish Jewellers'!D60),"0")+IF('Company 3'!$G$7="Y",('Company 3'!D60),"0")+IF('Company 4'!$G$7="Y",('Company 4'!D60),"0")+IF('Company 5'!$G$7="Y",('Company 5'!D60),"0"))))/100000</f>
        <v>3.0874999999999999</v>
      </c>
      <c r="E53" s="70">
        <f>(SUM((IF('Sathish Diamonds'!$G$7="Y",('Sathish Diamonds'!E60),"0")+IF('Sathish Jewellers'!$G$7="Y",('Sathish Jewellers'!E60),"0")+IF('Company 3'!$G$7="Y",('Company 3'!E60),"0")+IF('Company 4'!$G$7="Y",('Company 4'!E60),"0")+IF('Company 5'!$G$7="Y",('Company 5'!E60),"0"))))/100000</f>
        <v>0</v>
      </c>
      <c r="F53" s="74">
        <f t="shared" si="0"/>
        <v>-0.10931174089068824</v>
      </c>
      <c r="G53" s="75" t="str">
        <f t="shared" si="0"/>
        <v>-</v>
      </c>
    </row>
    <row r="54" spans="1:7">
      <c r="A54" s="66" t="s">
        <v>63</v>
      </c>
      <c r="B54" s="20">
        <f>+SUM(B51:B53)</f>
        <v>0</v>
      </c>
      <c r="C54" s="20">
        <f>+SUM(C51:C53)</f>
        <v>171.08927630000002</v>
      </c>
      <c r="D54" s="20">
        <f>+SUM(D51:D53)</f>
        <v>189.49130360000001</v>
      </c>
      <c r="E54" s="77">
        <f>+SUM(E51:E53)</f>
        <v>0</v>
      </c>
      <c r="F54" s="83">
        <f t="shared" si="0"/>
        <v>-9.7112780113883732E-2</v>
      </c>
      <c r="G54" s="84" t="str">
        <f t="shared" si="0"/>
        <v>-</v>
      </c>
    </row>
    <row r="55" spans="1:7">
      <c r="A55" s="69"/>
      <c r="B55" s="96"/>
      <c r="C55" s="97"/>
      <c r="D55" s="97"/>
      <c r="E55" s="98"/>
      <c r="F55" s="74" t="str">
        <f t="shared" si="0"/>
        <v>-</v>
      </c>
      <c r="G55" s="75" t="str">
        <f t="shared" si="0"/>
        <v>-</v>
      </c>
    </row>
    <row r="56" spans="1:7">
      <c r="A56" s="99" t="s">
        <v>64</v>
      </c>
      <c r="B56" s="70">
        <f>(SUM((IF('Sathish Diamonds'!$G$7="Y",('Sathish Diamonds'!B63),"0")+IF('Sathish Jewellers'!$G$7="Y",('Sathish Jewellers'!B63),"0")+IF('Company 3'!$G$7="Y",('Company 3'!B63),"0")+IF('Company 4'!$G$7="Y",('Company 4'!B63),"0")+IF('Company 5'!$G$7="Y",('Company 5'!B63),"0"))))/100000</f>
        <v>0</v>
      </c>
      <c r="C56" s="70">
        <f>(SUM((IF('Sathish Diamonds'!$G$7="Y",('Sathish Diamonds'!C63),"0")+IF('Sathish Jewellers'!$G$7="Y",('Sathish Jewellers'!C63),"0")+IF('Company 3'!$G$7="Y",('Company 3'!C63),"0")+IF('Company 4'!$G$7="Y",('Company 4'!C63),"0")+IF('Company 5'!$G$7="Y",('Company 5'!C63),"0"))))/100000</f>
        <v>15.1164606</v>
      </c>
      <c r="D56" s="70">
        <f>(SUM((IF('Sathish Diamonds'!$G$7="Y",('Sathish Diamonds'!D63),"0")+IF('Sathish Jewellers'!$G$7="Y",('Sathish Jewellers'!D63),"0")+IF('Company 3'!$G$7="Y",('Company 3'!D63),"0")+IF('Company 4'!$G$7="Y",('Company 4'!D63),"0")+IF('Company 5'!$G$7="Y",('Company 5'!D63),"0"))))/100000</f>
        <v>16.997025499999999</v>
      </c>
      <c r="E56" s="70">
        <f>(SUM((IF('Sathish Diamonds'!$G$7="Y",('Sathish Diamonds'!E63),"0")+IF('Sathish Jewellers'!$G$7="Y",('Sathish Jewellers'!E63),"0")+IF('Company 3'!$G$7="Y",('Company 3'!E63),"0")+IF('Company 4'!$G$7="Y",('Company 4'!E63),"0")+IF('Company 5'!$G$7="Y",('Company 5'!E63),"0"))))/100000</f>
        <v>0</v>
      </c>
      <c r="F56" s="74">
        <f t="shared" si="0"/>
        <v>-0.11064082359586974</v>
      </c>
      <c r="G56" s="75" t="str">
        <f t="shared" si="0"/>
        <v>-</v>
      </c>
    </row>
    <row r="57" spans="1:7">
      <c r="A57" s="99" t="s">
        <v>65</v>
      </c>
      <c r="B57" s="70">
        <f>(SUM((IF('Sathish Diamonds'!$G$7="Y",('Sathish Diamonds'!B64),"0")+IF('Sathish Jewellers'!$G$7="Y",('Sathish Jewellers'!B64),"0")+IF('Company 3'!$G$7="Y",('Company 3'!B64),"0")+IF('Company 4'!$G$7="Y",('Company 4'!B64),"0")+IF('Company 5'!$G$7="Y",('Company 5'!B64),"0"))))/100000</f>
        <v>0</v>
      </c>
      <c r="C57" s="70">
        <f>(SUM((IF('Sathish Diamonds'!$G$7="Y",('Sathish Diamonds'!C64),"0")+IF('Sathish Jewellers'!$G$7="Y",('Sathish Jewellers'!C64),"0")+IF('Company 3'!$G$7="Y",('Company 3'!C64),"0")+IF('Company 4'!$G$7="Y",('Company 4'!C64),"0")+IF('Company 5'!$G$7="Y",('Company 5'!C64),"0"))))/100000</f>
        <v>2.1669999999999998</v>
      </c>
      <c r="D57" s="70">
        <f>(SUM((IF('Sathish Diamonds'!$G$7="Y",('Sathish Diamonds'!D64),"0")+IF('Sathish Jewellers'!$G$7="Y",('Sathish Jewellers'!D64),"0")+IF('Company 3'!$G$7="Y",('Company 3'!D64),"0")+IF('Company 4'!$G$7="Y",('Company 4'!D64),"0")+IF('Company 5'!$G$7="Y",('Company 5'!D64),"0"))))/100000</f>
        <v>1.867</v>
      </c>
      <c r="E57" s="70">
        <f>(SUM((IF('Sathish Diamonds'!$G$7="Y",('Sathish Diamonds'!E64),"0")+IF('Sathish Jewellers'!$G$7="Y",('Sathish Jewellers'!E64),"0")+IF('Company 3'!$G$7="Y",('Company 3'!E64),"0")+IF('Company 4'!$G$7="Y",('Company 4'!E64),"0")+IF('Company 5'!$G$7="Y",('Company 5'!E64),"0"))))/100000</f>
        <v>0</v>
      </c>
      <c r="F57" s="74">
        <f t="shared" si="0"/>
        <v>0.16068559185859657</v>
      </c>
      <c r="G57" s="75" t="str">
        <f t="shared" si="0"/>
        <v>-</v>
      </c>
    </row>
    <row r="58" spans="1:7">
      <c r="A58" s="20" t="s">
        <v>66</v>
      </c>
      <c r="B58" s="20">
        <f>SUM(B59:B63)</f>
        <v>0</v>
      </c>
      <c r="C58" s="20">
        <f>SUM(C59:C63)</f>
        <v>247.8370443</v>
      </c>
      <c r="D58" s="20">
        <f>SUM(D59:D63)</f>
        <v>223.35625809999999</v>
      </c>
      <c r="E58" s="100">
        <f>SUM(E59:E63)</f>
        <v>0</v>
      </c>
      <c r="F58" s="83">
        <f t="shared" si="0"/>
        <v>0.10960420992117262</v>
      </c>
      <c r="G58" s="84" t="str">
        <f t="shared" si="0"/>
        <v>-</v>
      </c>
    </row>
    <row r="59" spans="1:7">
      <c r="A59" s="99" t="s">
        <v>67</v>
      </c>
      <c r="B59" s="70">
        <f>(SUM((IF('Sathish Diamonds'!$G$7="Y",('Sathish Diamonds'!B66),"0")+IF('Sathish Jewellers'!$G$7="Y",('Sathish Jewellers'!B66),"0")+IF('Company 3'!$G$7="Y",('Company 3'!B66),"0")+IF('Company 4'!$G$7="Y",('Company 4'!B66),"0")+IF('Company 5'!$G$7="Y",('Company 5'!B66),"0"))))/100000</f>
        <v>0</v>
      </c>
      <c r="C59" s="70">
        <f>(SUM((IF('Sathish Diamonds'!$G$7="Y",('Sathish Diamonds'!C66),"0")+IF('Sathish Jewellers'!$G$7="Y",('Sathish Jewellers'!C66),"0")+IF('Company 3'!$G$7="Y",('Company 3'!C66),"0")+IF('Company 4'!$G$7="Y",('Company 4'!C66),"0")+IF('Company 5'!$G$7="Y",('Company 5'!C66),"0"))))/100000</f>
        <v>226.43877140000001</v>
      </c>
      <c r="D59" s="70">
        <f>(SUM((IF('Sathish Diamonds'!$G$7="Y",('Sathish Diamonds'!D66),"0")+IF('Sathish Jewellers'!$G$7="Y",('Sathish Jewellers'!D66),"0")+IF('Company 3'!$G$7="Y",('Company 3'!D66),"0")+IF('Company 4'!$G$7="Y",('Company 4'!D66),"0")+IF('Company 5'!$G$7="Y",('Company 5'!D66),"0"))))/100000</f>
        <v>213.80978119999997</v>
      </c>
      <c r="E59" s="70">
        <f>(SUM((IF('Sathish Diamonds'!$G$7="Y",('Sathish Diamonds'!E66),"0")+IF('Sathish Jewellers'!$G$7="Y",('Sathish Jewellers'!E66),"0")+IF('Company 3'!$G$7="Y",('Company 3'!E66),"0")+IF('Company 4'!$G$7="Y",('Company 4'!E66),"0")+IF('Company 5'!$G$7="Y",('Company 5'!E66),"0"))))/100000</f>
        <v>0</v>
      </c>
      <c r="F59" s="74">
        <f t="shared" si="0"/>
        <v>5.9066475486389179E-2</v>
      </c>
      <c r="G59" s="75" t="str">
        <f t="shared" si="0"/>
        <v>-</v>
      </c>
    </row>
    <row r="60" spans="1:7">
      <c r="A60" s="99" t="s">
        <v>68</v>
      </c>
      <c r="B60" s="70">
        <f>(SUM((IF('Sathish Diamonds'!$G$7="Y",('Sathish Diamonds'!B67),"0")+IF('Sathish Jewellers'!$G$7="Y",('Sathish Jewellers'!B67),"0")+IF('Company 3'!$G$7="Y",('Company 3'!B67),"0")+IF('Company 4'!$G$7="Y",('Company 4'!B67),"0")+IF('Company 5'!$G$7="Y",('Company 5'!B67),"0"))))/100000</f>
        <v>0</v>
      </c>
      <c r="C60" s="70">
        <f>(SUM((IF('Sathish Diamonds'!$G$7="Y",('Sathish Diamonds'!C67),"0")+IF('Sathish Jewellers'!$G$7="Y",('Sathish Jewellers'!C67),"0")+IF('Company 3'!$G$7="Y",('Company 3'!C67),"0")+IF('Company 4'!$G$7="Y",('Company 4'!C67),"0")+IF('Company 5'!$G$7="Y",('Company 5'!C67),"0"))))/100000</f>
        <v>1.7477499999999999</v>
      </c>
      <c r="D60" s="70">
        <f>(SUM((IF('Sathish Diamonds'!$G$7="Y",('Sathish Diamonds'!D67),"0")+IF('Sathish Jewellers'!$G$7="Y",('Sathish Jewellers'!D67),"0")+IF('Company 3'!$G$7="Y",('Company 3'!D67),"0")+IF('Company 4'!$G$7="Y",('Company 4'!D67),"0")+IF('Company 5'!$G$7="Y",('Company 5'!D67),"0"))))/100000</f>
        <v>2.8430399999999998</v>
      </c>
      <c r="E60" s="70">
        <f>(SUM((IF('Sathish Diamonds'!$G$7="Y",('Sathish Diamonds'!E67),"0")+IF('Sathish Jewellers'!$G$7="Y",('Sathish Jewellers'!E67),"0")+IF('Company 3'!$G$7="Y",('Company 3'!E67),"0")+IF('Company 4'!$G$7="Y",('Company 4'!E67),"0")+IF('Company 5'!$G$7="Y",('Company 5'!E67),"0"))))/100000</f>
        <v>0</v>
      </c>
      <c r="F60" s="74">
        <f t="shared" si="0"/>
        <v>-0.38525310934774043</v>
      </c>
      <c r="G60" s="75" t="str">
        <f t="shared" si="0"/>
        <v>-</v>
      </c>
    </row>
    <row r="61" spans="1:7">
      <c r="A61" s="99" t="s">
        <v>69</v>
      </c>
      <c r="B61" s="70">
        <f>(SUM((IF('Sathish Diamonds'!$G$7="Y",('Sathish Diamonds'!B68),"0")+IF('Sathish Jewellers'!$G$7="Y",('Sathish Jewellers'!B68),"0")+IF('Company 3'!$G$7="Y",('Company 3'!B68),"0")+IF('Company 4'!$G$7="Y",('Company 4'!B68),"0")+IF('Company 5'!$G$7="Y",('Company 5'!B68),"0"))))/100000</f>
        <v>0</v>
      </c>
      <c r="C61" s="70">
        <f>(SUM((IF('Sathish Diamonds'!$G$7="Y",('Sathish Diamonds'!C68),"0")+IF('Sathish Jewellers'!$G$7="Y",('Sathish Jewellers'!C68),"0")+IF('Company 3'!$G$7="Y",('Company 3'!C68),"0")+IF('Company 4'!$G$7="Y",('Company 4'!C68),"0")+IF('Company 5'!$G$7="Y",('Company 5'!C68),"0"))))/100000</f>
        <v>9.8833199999999994</v>
      </c>
      <c r="D61" s="70">
        <f>(SUM((IF('Sathish Diamonds'!$G$7="Y",('Sathish Diamonds'!D68),"0")+IF('Sathish Jewellers'!$G$7="Y",('Sathish Jewellers'!D68),"0")+IF('Company 3'!$G$7="Y",('Company 3'!D68),"0")+IF('Company 4'!$G$7="Y",('Company 4'!D68),"0")+IF('Company 5'!$G$7="Y",('Company 5'!D68),"0"))))/100000</f>
        <v>2.6038999999999999</v>
      </c>
      <c r="E61" s="70">
        <f>(SUM((IF('Sathish Diamonds'!$G$7="Y",('Sathish Diamonds'!E68),"0")+IF('Sathish Jewellers'!$G$7="Y",('Sathish Jewellers'!E68),"0")+IF('Company 3'!$G$7="Y",('Company 3'!E68),"0")+IF('Company 4'!$G$7="Y",('Company 4'!E68),"0")+IF('Company 5'!$G$7="Y",('Company 5'!E68),"0"))))/100000</f>
        <v>0</v>
      </c>
      <c r="F61" s="74">
        <f t="shared" si="0"/>
        <v>2.7955835477552902</v>
      </c>
      <c r="G61" s="75" t="str">
        <f t="shared" si="0"/>
        <v>-</v>
      </c>
    </row>
    <row r="62" spans="1:7">
      <c r="A62" s="80" t="s">
        <v>70</v>
      </c>
      <c r="B62" s="70">
        <f>(SUM((IF('Sathish Diamonds'!$G$7="Y",('Sathish Diamonds'!B69),"0")+IF('Sathish Jewellers'!$G$7="Y",('Sathish Jewellers'!B69),"0")+IF('Company 3'!$G$7="Y",('Company 3'!B69),"0")+IF('Company 4'!$G$7="Y",('Company 4'!B69),"0")+IF('Company 5'!$G$7="Y",('Company 5'!B69),"0"))))/100000</f>
        <v>0</v>
      </c>
      <c r="C62" s="70">
        <f>(SUM((IF('Sathish Diamonds'!$G$7="Y",('Sathish Diamonds'!C69),"0")+IF('Sathish Jewellers'!$G$7="Y",('Sathish Jewellers'!C69),"0")+IF('Company 3'!$G$7="Y",('Company 3'!C69),"0")+IF('Company 4'!$G$7="Y",('Company 4'!C69),"0")+IF('Company 5'!$G$7="Y",('Company 5'!C69),"0"))))/100000</f>
        <v>9.7672029000000009</v>
      </c>
      <c r="D62" s="70">
        <f>(SUM((IF('Sathish Diamonds'!$G$7="Y",('Sathish Diamonds'!D69),"0")+IF('Sathish Jewellers'!$G$7="Y",('Sathish Jewellers'!D69),"0")+IF('Company 3'!$G$7="Y",('Company 3'!D69),"0")+IF('Company 4'!$G$7="Y",('Company 4'!D69),"0")+IF('Company 5'!$G$7="Y",('Company 5'!D69),"0"))))/100000</f>
        <v>4.0995369000000004</v>
      </c>
      <c r="E62" s="70">
        <f>(SUM((IF('Sathish Diamonds'!$G$7="Y",('Sathish Diamonds'!E69),"0")+IF('Sathish Jewellers'!$G$7="Y",('Sathish Jewellers'!E69),"0")+IF('Company 3'!$G$7="Y",('Company 3'!E69),"0")+IF('Company 4'!$G$7="Y",('Company 4'!E69),"0")+IF('Company 5'!$G$7="Y",('Company 5'!E69),"0"))))/100000</f>
        <v>0</v>
      </c>
      <c r="F62" s="74">
        <f t="shared" si="0"/>
        <v>1.3825137175860034</v>
      </c>
      <c r="G62" s="75" t="str">
        <f t="shared" si="0"/>
        <v>-</v>
      </c>
    </row>
    <row r="63" spans="1:7">
      <c r="A63" s="99" t="s">
        <v>71</v>
      </c>
      <c r="B63" s="70">
        <f>(SUM((IF('Sathish Diamonds'!$G$7="Y",('Sathish Diamonds'!B70),"0")+IF('Sathish Jewellers'!$G$7="Y",('Sathish Jewellers'!B70),"0")+IF('Company 3'!$G$7="Y",('Company 3'!B70),"0")+IF('Company 4'!$G$7="Y",('Company 4'!B70),"0")+IF('Company 5'!$G$7="Y",('Company 5'!B70),"0"))))/100000</f>
        <v>0</v>
      </c>
      <c r="C63" s="70">
        <f>(SUM((IF('Sathish Diamonds'!$G$7="Y",('Sathish Diamonds'!C70),"0")+IF('Sathish Jewellers'!$G$7="Y",('Sathish Jewellers'!C70),"0")+IF('Company 3'!$G$7="Y",('Company 3'!C70),"0")+IF('Company 4'!$G$7="Y",('Company 4'!C70),"0")+IF('Company 5'!$G$7="Y",('Company 5'!C70),"0"))))/100000</f>
        <v>0</v>
      </c>
      <c r="D63" s="70">
        <f>(SUM((IF('Sathish Diamonds'!$G$7="Y",('Sathish Diamonds'!D70),"0")+IF('Sathish Jewellers'!$G$7="Y",('Sathish Jewellers'!D70),"0")+IF('Company 3'!$G$7="Y",('Company 3'!D70),"0")+IF('Company 4'!$G$7="Y",('Company 4'!D70),"0")+IF('Company 5'!$G$7="Y",('Company 5'!D70),"0"))))/100000</f>
        <v>0</v>
      </c>
      <c r="E63" s="70">
        <f>(SUM((IF('Sathish Diamonds'!$G$7="Y",('Sathish Diamonds'!E70),"0")+IF('Sathish Jewellers'!$G$7="Y",('Sathish Jewellers'!E70),"0")+IF('Company 3'!$G$7="Y",('Company 3'!E70),"0")+IF('Company 4'!$G$7="Y",('Company 4'!E70),"0")+IF('Company 5'!$G$7="Y",('Company 5'!E70),"0"))))/100000</f>
        <v>0</v>
      </c>
      <c r="F63" s="74" t="str">
        <f t="shared" si="0"/>
        <v>-</v>
      </c>
      <c r="G63" s="75" t="str">
        <f t="shared" si="0"/>
        <v>-</v>
      </c>
    </row>
    <row r="64" spans="1:7">
      <c r="A64" s="20" t="s">
        <v>72</v>
      </c>
      <c r="B64" s="20">
        <f>SUM(B65:B68)</f>
        <v>0</v>
      </c>
      <c r="C64" s="20">
        <f>SUM(C65:C68)</f>
        <v>94.03122860000002</v>
      </c>
      <c r="D64" s="20">
        <f>SUM(D65:D68)</f>
        <v>52.728979999999993</v>
      </c>
      <c r="E64" s="100">
        <f>SUM(E65:E68)</f>
        <v>0</v>
      </c>
      <c r="F64" s="83">
        <f t="shared" si="0"/>
        <v>0.78329314543918793</v>
      </c>
      <c r="G64" s="84" t="str">
        <f t="shared" si="0"/>
        <v>-</v>
      </c>
    </row>
    <row r="65" spans="1:7">
      <c r="A65" s="80" t="s">
        <v>73</v>
      </c>
      <c r="B65" s="70">
        <f>(SUM((IF('Sathish Diamonds'!$G$7="Y",('Sathish Diamonds'!B72),"0")+IF('Sathish Jewellers'!$G$7="Y",('Sathish Jewellers'!B72),"0")+IF('Company 3'!$G$7="Y",('Company 3'!B72),"0")+IF('Company 4'!$G$7="Y",('Company 4'!B72),"0")+IF('Company 5'!$G$7="Y",('Company 5'!B72),"0"))))/100000</f>
        <v>0</v>
      </c>
      <c r="C65" s="70">
        <f>(SUM((IF('Sathish Diamonds'!$G$7="Y",('Sathish Diamonds'!C72),"0")+IF('Sathish Jewellers'!$G$7="Y",('Sathish Jewellers'!C72),"0")+IF('Company 3'!$G$7="Y",('Company 3'!C72),"0")+IF('Company 4'!$G$7="Y",('Company 4'!C72),"0")+IF('Company 5'!$G$7="Y",('Company 5'!C72),"0"))))/100000</f>
        <v>7.68635</v>
      </c>
      <c r="D65" s="70">
        <f>(SUM((IF('Sathish Diamonds'!$G$7="Y",('Sathish Diamonds'!D72),"0")+IF('Sathish Jewellers'!$G$7="Y",('Sathish Jewellers'!D72),"0")+IF('Company 3'!$G$7="Y",('Company 3'!D72),"0")+IF('Company 4'!$G$7="Y",('Company 4'!D72),"0")+IF('Company 5'!$G$7="Y",('Company 5'!D72),"0"))))/100000</f>
        <v>1.8333299999999999</v>
      </c>
      <c r="E65" s="70">
        <f>(SUM((IF('Sathish Diamonds'!$G$7="Y",('Sathish Diamonds'!E72),"0")+IF('Sathish Jewellers'!$G$7="Y",('Sathish Jewellers'!E72),"0")+IF('Company 3'!$G$7="Y",('Company 3'!E72),"0")+IF('Company 4'!$G$7="Y",('Company 4'!E72),"0")+IF('Company 5'!$G$7="Y",('Company 5'!E72),"0"))))/100000</f>
        <v>0</v>
      </c>
      <c r="F65" s="74">
        <f t="shared" si="0"/>
        <v>3.1925621682948515</v>
      </c>
      <c r="G65" s="75" t="str">
        <f t="shared" si="0"/>
        <v>-</v>
      </c>
    </row>
    <row r="66" spans="1:7">
      <c r="A66" s="80" t="s">
        <v>74</v>
      </c>
      <c r="B66" s="70">
        <f>(SUM((IF('Sathish Diamonds'!$G$7="Y",('Sathish Diamonds'!B73),"0")+IF('Sathish Jewellers'!$G$7="Y",('Sathish Jewellers'!B73),"0")+IF('Company 3'!$G$7="Y",('Company 3'!B73),"0")+IF('Company 4'!$G$7="Y",('Company 4'!B73),"0")+IF('Company 5'!$G$7="Y",('Company 5'!B73),"0"))))/100000</f>
        <v>0</v>
      </c>
      <c r="C66" s="70">
        <f>(SUM((IF('Sathish Diamonds'!$G$7="Y",('Sathish Diamonds'!C73),"0")+IF('Sathish Jewellers'!$G$7="Y",('Sathish Jewellers'!C73),"0")+IF('Company 3'!$G$7="Y",('Company 3'!C73),"0")+IF('Company 4'!$G$7="Y",('Company 4'!C73),"0")+IF('Company 5'!$G$7="Y",('Company 5'!C73),"0"))))/100000</f>
        <v>0</v>
      </c>
      <c r="D66" s="70">
        <f>(SUM((IF('Sathish Diamonds'!$G$7="Y",('Sathish Diamonds'!D73),"0")+IF('Sathish Jewellers'!$G$7="Y",('Sathish Jewellers'!D73),"0")+IF('Company 3'!$G$7="Y",('Company 3'!D73),"0")+IF('Company 4'!$G$7="Y",('Company 4'!D73),"0")+IF('Company 5'!$G$7="Y",('Company 5'!D73),"0"))))/100000</f>
        <v>0</v>
      </c>
      <c r="E66" s="70">
        <f>(SUM((IF('Sathish Diamonds'!$G$7="Y",('Sathish Diamonds'!E73),"0")+IF('Sathish Jewellers'!$G$7="Y",('Sathish Jewellers'!E73),"0")+IF('Company 3'!$G$7="Y",('Company 3'!E73),"0")+IF('Company 4'!$G$7="Y",('Company 4'!E73),"0")+IF('Company 5'!$G$7="Y",('Company 5'!E73),"0"))))/100000</f>
        <v>0</v>
      </c>
      <c r="F66" s="74" t="str">
        <f t="shared" si="0"/>
        <v>-</v>
      </c>
      <c r="G66" s="75" t="str">
        <f t="shared" si="0"/>
        <v>-</v>
      </c>
    </row>
    <row r="67" spans="1:7">
      <c r="A67" s="80" t="s">
        <v>75</v>
      </c>
      <c r="B67" s="70">
        <f>(SUM((IF('Sathish Diamonds'!$G$7="Y",('Sathish Diamonds'!B74),"0")+IF('Sathish Jewellers'!$G$7="Y",('Sathish Jewellers'!B74),"0")+IF('Company 3'!$G$7="Y",('Company 3'!B74),"0")+IF('Company 4'!$G$7="Y",('Company 4'!B74),"0")+IF('Company 5'!$G$7="Y",('Company 5'!B74),"0"))))/100000</f>
        <v>0</v>
      </c>
      <c r="C67" s="70">
        <f>(SUM((IF('Sathish Diamonds'!$G$7="Y",('Sathish Diamonds'!C74),"0")+IF('Sathish Jewellers'!$G$7="Y",('Sathish Jewellers'!C74),"0")+IF('Company 3'!$G$7="Y",('Company 3'!C74),"0")+IF('Company 4'!$G$7="Y",('Company 4'!C74),"0")+IF('Company 5'!$G$7="Y",('Company 5'!C74),"0"))))/100000</f>
        <v>79.242198600000009</v>
      </c>
      <c r="D67" s="70">
        <f>(SUM((IF('Sathish Diamonds'!$G$7="Y",('Sathish Diamonds'!D74),"0")+IF('Sathish Jewellers'!$G$7="Y",('Sathish Jewellers'!D74),"0")+IF('Company 3'!$G$7="Y",('Company 3'!D74),"0")+IF('Company 4'!$G$7="Y",('Company 4'!D74),"0")+IF('Company 5'!$G$7="Y",('Company 5'!D74),"0"))))/100000</f>
        <v>50.760269999999998</v>
      </c>
      <c r="E67" s="70">
        <f>(SUM((IF('Sathish Diamonds'!$G$7="Y",('Sathish Diamonds'!E74),"0")+IF('Sathish Jewellers'!$G$7="Y",('Sathish Jewellers'!E74),"0")+IF('Company 3'!$G$7="Y",('Company 3'!E74),"0")+IF('Company 4'!$G$7="Y",('Company 4'!E74),"0")+IF('Company 5'!$G$7="Y",('Company 5'!E74),"0"))))/100000</f>
        <v>0</v>
      </c>
      <c r="F67" s="74">
        <f t="shared" si="0"/>
        <v>0.56110671988151384</v>
      </c>
      <c r="G67" s="75" t="str">
        <f t="shared" si="0"/>
        <v>-</v>
      </c>
    </row>
    <row r="68" spans="1:7">
      <c r="A68" s="80" t="s">
        <v>76</v>
      </c>
      <c r="B68" s="70">
        <f>(SUM((IF('Sathish Diamonds'!$G$7="Y",('Sathish Diamonds'!B75),"0")+IF('Sathish Jewellers'!$G$7="Y",('Sathish Jewellers'!B75),"0")+IF('Company 3'!$G$7="Y",('Company 3'!B75),"0")+IF('Company 4'!$G$7="Y",('Company 4'!B75),"0")+IF('Company 5'!$G$7="Y",('Company 5'!B75),"0"))))/100000</f>
        <v>0</v>
      </c>
      <c r="C68" s="70">
        <f>(SUM((IF('Sathish Diamonds'!$G$7="Y",('Sathish Diamonds'!C75),"0")+IF('Sathish Jewellers'!$G$7="Y",('Sathish Jewellers'!C75),"0")+IF('Company 3'!$G$7="Y",('Company 3'!C75),"0")+IF('Company 4'!$G$7="Y",('Company 4'!C75),"0")+IF('Company 5'!$G$7="Y",('Company 5'!C75),"0"))))/100000</f>
        <v>7.1026800000000003</v>
      </c>
      <c r="D68" s="70">
        <f>(SUM((IF('Sathish Diamonds'!$G$7="Y",('Sathish Diamonds'!D75),"0")+IF('Sathish Jewellers'!$G$7="Y",('Sathish Jewellers'!D75),"0")+IF('Company 3'!$G$7="Y",('Company 3'!D75),"0")+IF('Company 4'!$G$7="Y",('Company 4'!D75),"0")+IF('Company 5'!$G$7="Y",('Company 5'!D75),"0"))))/100000</f>
        <v>0.13538</v>
      </c>
      <c r="E68" s="70">
        <f>(SUM((IF('Sathish Diamonds'!$G$7="Y",('Sathish Diamonds'!E75),"0")+IF('Sathish Jewellers'!$G$7="Y",('Sathish Jewellers'!E75),"0")+IF('Company 3'!$G$7="Y",('Company 3'!E75),"0")+IF('Company 4'!$G$7="Y",('Company 4'!E75),"0")+IF('Company 5'!$G$7="Y",('Company 5'!E75),"0"))))/100000</f>
        <v>0</v>
      </c>
      <c r="F68" s="74">
        <f t="shared" si="0"/>
        <v>51.464765844290149</v>
      </c>
      <c r="G68" s="75" t="str">
        <f t="shared" si="0"/>
        <v>-</v>
      </c>
    </row>
    <row r="69" spans="1:7">
      <c r="A69" s="94" t="s">
        <v>77</v>
      </c>
      <c r="B69" s="20">
        <f>+B58-B64</f>
        <v>0</v>
      </c>
      <c r="C69" s="20">
        <f>+C58-C64</f>
        <v>153.80581569999998</v>
      </c>
      <c r="D69" s="20">
        <f>+D58-D64</f>
        <v>170.62727810000001</v>
      </c>
      <c r="E69" s="100">
        <f>+E58-E64</f>
        <v>0</v>
      </c>
      <c r="F69" s="83">
        <f t="shared" si="0"/>
        <v>-9.8586009149963863E-2</v>
      </c>
      <c r="G69" s="84" t="str">
        <f t="shared" si="0"/>
        <v>-</v>
      </c>
    </row>
    <row r="70" spans="1:7">
      <c r="A70" s="81" t="s">
        <v>78</v>
      </c>
      <c r="B70" s="70">
        <f>(SUM((IF('Sathish Diamonds'!$G$7="Y",('Sathish Diamonds'!B77),"0")+IF('Sathish Jewellers'!$G$7="Y",('Sathish Jewellers'!B77),"0")+IF('Company 3'!$G$7="Y",('Company 3'!B77),"0")+IF('Company 4'!$G$7="Y",('Company 4'!B77),"0")+IF('Company 5'!$G$7="Y",('Company 5'!B77),"0"))))/100000</f>
        <v>0</v>
      </c>
      <c r="C70" s="70">
        <f>(SUM((IF('Sathish Diamonds'!$G$7="Y",('Sathish Diamonds'!C77),"0")+IF('Sathish Jewellers'!$G$7="Y",('Sathish Jewellers'!C77),"0")+IF('Company 3'!$G$7="Y",('Company 3'!C77),"0")+IF('Company 4'!$G$7="Y",('Company 4'!C77),"0")+IF('Company 5'!$G$7="Y",('Company 5'!C77),"0"))))/100000</f>
        <v>0</v>
      </c>
      <c r="D70" s="70">
        <f>(SUM((IF('Sathish Diamonds'!$G$7="Y",('Sathish Diamonds'!D77),"0")+IF('Sathish Jewellers'!$G$7="Y",('Sathish Jewellers'!D77),"0")+IF('Company 3'!$G$7="Y",('Company 3'!D77),"0")+IF('Company 4'!$G$7="Y",('Company 4'!D77),"0")+IF('Company 5'!$G$7="Y",('Company 5'!D77),"0"))))/100000</f>
        <v>0</v>
      </c>
      <c r="E70" s="70">
        <f>(SUM((IF('Sathish Diamonds'!$G$7="Y",('Sathish Diamonds'!E77),"0")+IF('Sathish Jewellers'!$G$7="Y",('Sathish Jewellers'!E77),"0")+IF('Company 3'!$G$7="Y",('Company 3'!E77),"0")+IF('Company 4'!$G$7="Y",('Company 4'!E77),"0")+IF('Company 5'!$G$7="Y",('Company 5'!E77),"0"))))/100000</f>
        <v>0</v>
      </c>
      <c r="F70" s="74" t="str">
        <f t="shared" ref="F70:G76" si="1">IFERROR((C70-D70)/D70,"-")</f>
        <v>-</v>
      </c>
      <c r="G70" s="75" t="str">
        <f t="shared" si="1"/>
        <v>-</v>
      </c>
    </row>
    <row r="71" spans="1:7">
      <c r="A71" s="81" t="s">
        <v>79</v>
      </c>
      <c r="B71" s="70">
        <f>(SUM((IF('Sathish Diamonds'!$G$7="Y",('Sathish Diamonds'!B78),"0")+IF('Sathish Jewellers'!$G$7="Y",('Sathish Jewellers'!B78),"0")+IF('Company 3'!$G$7="Y",('Company 3'!B78),"0")+IF('Company 4'!$G$7="Y",('Company 4'!B78),"0")+IF('Company 5'!$G$7="Y",('Company 5'!B78),"0"))))/100000</f>
        <v>0</v>
      </c>
      <c r="C71" s="70">
        <f>(SUM((IF('Sathish Diamonds'!$G$7="Y",('Sathish Diamonds'!C78),"0")+IF('Sathish Jewellers'!$G$7="Y",('Sathish Jewellers'!C78),"0")+IF('Company 3'!$G$7="Y",('Company 3'!C78),"0")+IF('Company 4'!$G$7="Y",('Company 4'!C78),"0")+IF('Company 5'!$G$7="Y",('Company 5'!C78),"0"))))/100000</f>
        <v>0</v>
      </c>
      <c r="D71" s="70">
        <f>(SUM((IF('Sathish Diamonds'!$G$7="Y",('Sathish Diamonds'!D78),"0")+IF('Sathish Jewellers'!$G$7="Y",('Sathish Jewellers'!D78),"0")+IF('Company 3'!$G$7="Y",('Company 3'!D78),"0")+IF('Company 4'!$G$7="Y",('Company 4'!D78),"0")+IF('Company 5'!$G$7="Y",('Company 5'!D78),"0"))))/100000</f>
        <v>0</v>
      </c>
      <c r="E71" s="70">
        <f>(SUM((IF('Sathish Diamonds'!$G$7="Y",('Sathish Diamonds'!E78),"0")+IF('Sathish Jewellers'!$G$7="Y",('Sathish Jewellers'!E78),"0")+IF('Company 3'!$G$7="Y",('Company 3'!E78),"0")+IF('Company 4'!$G$7="Y",('Company 4'!E78),"0")+IF('Company 5'!$G$7="Y",('Company 5'!E78),"0"))))/100000</f>
        <v>0</v>
      </c>
      <c r="F71" s="74" t="str">
        <f t="shared" si="1"/>
        <v>-</v>
      </c>
      <c r="G71" s="75" t="str">
        <f t="shared" si="1"/>
        <v>-</v>
      </c>
    </row>
    <row r="72" spans="1:7">
      <c r="A72" s="81" t="s">
        <v>80</v>
      </c>
      <c r="B72" s="70">
        <f>(SUM((IF('Sathish Diamonds'!$G$7="Y",('Sathish Diamonds'!B79),"0")+IF('Sathish Jewellers'!$G$7="Y",('Sathish Jewellers'!B79),"0")+IF('Company 3'!$G$7="Y",('Company 3'!B79),"0")+IF('Company 4'!$G$7="Y",('Company 4'!B79),"0")+IF('Company 5'!$G$7="Y",('Company 5'!B79),"0"))))/100000</f>
        <v>0</v>
      </c>
      <c r="C72" s="70">
        <f>(SUM((IF('Sathish Diamonds'!$G$7="Y",('Sathish Diamonds'!C79),"0")+IF('Sathish Jewellers'!$G$7="Y",('Sathish Jewellers'!C79),"0")+IF('Company 3'!$G$7="Y",('Company 3'!C79),"0")+IF('Company 4'!$G$7="Y",('Company 4'!C79),"0")+IF('Company 5'!$G$7="Y",('Company 5'!C79),"0"))))/100000</f>
        <v>0</v>
      </c>
      <c r="D72" s="70">
        <f>(SUM((IF('Sathish Diamonds'!$G$7="Y",('Sathish Diamonds'!D79),"0")+IF('Sathish Jewellers'!$G$7="Y",('Sathish Jewellers'!D79),"0")+IF('Company 3'!$G$7="Y",('Company 3'!D79),"0")+IF('Company 4'!$G$7="Y",('Company 4'!D79),"0")+IF('Company 5'!$G$7="Y",('Company 5'!D79),"0"))))/100000</f>
        <v>0</v>
      </c>
      <c r="E72" s="70">
        <f>(SUM((IF('Sathish Diamonds'!$G$7="Y",('Sathish Diamonds'!E79),"0")+IF('Sathish Jewellers'!$G$7="Y",('Sathish Jewellers'!E79),"0")+IF('Company 3'!$G$7="Y",('Company 3'!E79),"0")+IF('Company 4'!$G$7="Y",('Company 4'!E79),"0")+IF('Company 5'!$G$7="Y",('Company 5'!E79),"0"))))/100000</f>
        <v>0</v>
      </c>
      <c r="F72" s="74" t="str">
        <f t="shared" si="1"/>
        <v>-</v>
      </c>
      <c r="G72" s="75" t="str">
        <f t="shared" si="1"/>
        <v>-</v>
      </c>
    </row>
    <row r="73" spans="1:7">
      <c r="A73" s="81" t="s">
        <v>81</v>
      </c>
      <c r="B73" s="70">
        <f>(SUM((IF('Sathish Diamonds'!$G$7="Y",('Sathish Diamonds'!B80),"0")+IF('Sathish Jewellers'!$G$7="Y",('Sathish Jewellers'!B80),"0")+IF('Company 3'!$G$7="Y",('Company 3'!B80),"0")+IF('Company 4'!$G$7="Y",('Company 4'!B80),"0")+IF('Company 5'!$G$7="Y",('Company 5'!B80),"0"))))/100000</f>
        <v>0</v>
      </c>
      <c r="C73" s="70">
        <f>(SUM((IF('Sathish Diamonds'!$G$7="Y",('Sathish Diamonds'!C80),"0")+IF('Sathish Jewellers'!$G$7="Y",('Sathish Jewellers'!C80),"0")+IF('Company 3'!$G$7="Y",('Company 3'!C80),"0")+IF('Company 4'!$G$7="Y",('Company 4'!C80),"0")+IF('Company 5'!$G$7="Y",('Company 5'!C80),"0"))))/100000</f>
        <v>0</v>
      </c>
      <c r="D73" s="70">
        <f>(SUM((IF('Sathish Diamonds'!$G$7="Y",('Sathish Diamonds'!D80),"0")+IF('Sathish Jewellers'!$G$7="Y",('Sathish Jewellers'!D80),"0")+IF('Company 3'!$G$7="Y",('Company 3'!D80),"0")+IF('Company 4'!$G$7="Y",('Company 4'!D80),"0")+IF('Company 5'!$G$7="Y",('Company 5'!D80),"0"))))/100000</f>
        <v>0</v>
      </c>
      <c r="E73" s="70">
        <f>(SUM((IF('Sathish Diamonds'!$G$7="Y",('Sathish Diamonds'!E80),"0")+IF('Sathish Jewellers'!$G$7="Y",('Sathish Jewellers'!E80),"0")+IF('Company 3'!$G$7="Y",('Company 3'!E80),"0")+IF('Company 4'!$G$7="Y",('Company 4'!E80),"0")+IF('Company 5'!$G$7="Y",('Company 5'!E80),"0"))))/100000</f>
        <v>0</v>
      </c>
      <c r="F73" s="74" t="str">
        <f t="shared" si="1"/>
        <v>-</v>
      </c>
      <c r="G73" s="75" t="str">
        <f t="shared" si="1"/>
        <v>-</v>
      </c>
    </row>
    <row r="74" spans="1:7">
      <c r="A74" s="66" t="s">
        <v>82</v>
      </c>
      <c r="B74" s="20">
        <f>+B69-SUM(B71:B73)</f>
        <v>0</v>
      </c>
      <c r="C74" s="20">
        <f>+C69-SUM(C71:C73)</f>
        <v>153.80581569999998</v>
      </c>
      <c r="D74" s="20">
        <f>+D69-SUM(D71:D73)</f>
        <v>170.62727810000001</v>
      </c>
      <c r="E74" s="100">
        <f>+E69-SUM(E71:E73)</f>
        <v>0</v>
      </c>
      <c r="F74" s="83">
        <f t="shared" si="1"/>
        <v>-9.8586009149963863E-2</v>
      </c>
      <c r="G74" s="84" t="str">
        <f t="shared" si="1"/>
        <v>-</v>
      </c>
    </row>
    <row r="75" spans="1:7">
      <c r="A75" s="80" t="s">
        <v>83</v>
      </c>
      <c r="B75" s="70">
        <f>(SUM((IF('Sathish Diamonds'!$G$7="Y",('Sathish Diamonds'!B82),"0")+IF('Sathish Jewellers'!$G$7="Y",('Sathish Jewellers'!B82),"0")+IF('Company 3'!$G$7="Y",('Company 3'!B82),"0")+IF('Company 4'!$G$7="Y",('Company 4'!B82),"0")+IF('Company 5'!$G$7="Y",('Company 5'!B82),"0"))))/100000</f>
        <v>0</v>
      </c>
      <c r="C75" s="70">
        <f>(SUM((IF('Sathish Diamonds'!$G$7="Y",('Sathish Diamonds'!C82),"0")+IF('Sathish Jewellers'!$G$7="Y",('Sathish Jewellers'!C82),"0")+IF('Company 3'!$G$7="Y",('Company 3'!C82),"0")+IF('Company 4'!$G$7="Y",('Company 4'!C82),"0")+IF('Company 5'!$G$7="Y",('Company 5'!C82),"0"))))/100000</f>
        <v>0</v>
      </c>
      <c r="D75" s="70">
        <f>(SUM((IF('Sathish Diamonds'!$G$7="Y",('Sathish Diamonds'!D82),"0")+IF('Sathish Jewellers'!$G$7="Y",('Sathish Jewellers'!D82),"0")+IF('Company 3'!$G$7="Y",('Company 3'!D82),"0")+IF('Company 4'!$G$7="Y",('Company 4'!D82),"0")+IF('Company 5'!$G$7="Y",('Company 5'!D82),"0"))))/100000</f>
        <v>0</v>
      </c>
      <c r="E75" s="70">
        <f>(SUM((IF('Sathish Diamonds'!$G$7="Y",('Sathish Diamonds'!E82),"0")+IF('Sathish Jewellers'!$G$7="Y",('Sathish Jewellers'!E82),"0")+IF('Company 3'!$G$7="Y",('Company 3'!E82),"0")+IF('Company 4'!$G$7="Y",('Company 4'!E82),"0")+IF('Company 5'!$G$7="Y",('Company 5'!E82),"0"))))/100000</f>
        <v>0</v>
      </c>
      <c r="F75" s="74" t="str">
        <f t="shared" si="1"/>
        <v>-</v>
      </c>
      <c r="G75" s="75" t="str">
        <f t="shared" si="1"/>
        <v>-</v>
      </c>
    </row>
    <row r="76" spans="1:7" ht="15" thickBot="1">
      <c r="A76" s="101" t="s">
        <v>84</v>
      </c>
      <c r="B76" s="85">
        <f>SUM(B56:B57)+B74+B75</f>
        <v>0</v>
      </c>
      <c r="C76" s="85">
        <f>SUM(C56:C57)+C74+C75</f>
        <v>171.08927629999999</v>
      </c>
      <c r="D76" s="85">
        <f>SUM(D56:D57)+D74+D75</f>
        <v>189.49130360000001</v>
      </c>
      <c r="E76" s="102">
        <f>SUM(E56:E57)+E74+E75</f>
        <v>0</v>
      </c>
      <c r="F76" s="87">
        <f t="shared" si="1"/>
        <v>-9.7112780113883884E-2</v>
      </c>
      <c r="G76" s="88" t="str">
        <f t="shared" si="1"/>
        <v>-</v>
      </c>
    </row>
    <row r="77" spans="1:7">
      <c r="A77" s="103"/>
      <c r="B77" s="104">
        <f>B54-B76</f>
        <v>0</v>
      </c>
      <c r="C77" s="104">
        <f>C54-C76</f>
        <v>0</v>
      </c>
      <c r="D77" s="104">
        <f>D54-D76</f>
        <v>0</v>
      </c>
      <c r="E77" s="104">
        <f>E54-E76</f>
        <v>0</v>
      </c>
      <c r="F77" s="105"/>
      <c r="G77" s="105"/>
    </row>
    <row r="78" spans="1:7">
      <c r="A78" s="20" t="s">
        <v>85</v>
      </c>
      <c r="B78" s="92" t="str">
        <f>B43</f>
        <v>Provisionals</v>
      </c>
      <c r="C78" s="53" t="str">
        <f>C43</f>
        <v>FY 2021-22</v>
      </c>
      <c r="D78" s="53" t="str">
        <f>D43</f>
        <v>FY 2020-21</v>
      </c>
      <c r="E78" s="53" t="str">
        <f>E43</f>
        <v>FY 2019-20</v>
      </c>
      <c r="F78" s="105"/>
      <c r="G78" s="105"/>
    </row>
    <row r="79" spans="1:7">
      <c r="A79" s="20" t="s">
        <v>29</v>
      </c>
      <c r="B79" s="55" t="e">
        <f>B19/B16</f>
        <v>#DIV/0!</v>
      </c>
      <c r="C79" s="55">
        <f>C19/C16</f>
        <v>0.1819498876509614</v>
      </c>
      <c r="D79" s="55">
        <f>D19/D16</f>
        <v>0.18158564280157372</v>
      </c>
      <c r="E79" s="55" t="e">
        <f>E19/E16</f>
        <v>#DIV/0!</v>
      </c>
      <c r="F79" s="63"/>
      <c r="G79" s="63"/>
    </row>
    <row r="80" spans="1:7">
      <c r="A80" s="20" t="s">
        <v>86</v>
      </c>
      <c r="B80" s="55" t="e">
        <f>(B35-B20)/B16</f>
        <v>#DIV/0!</v>
      </c>
      <c r="C80" s="55">
        <f>(C35-C20)/C16</f>
        <v>7.5377039749701127E-2</v>
      </c>
      <c r="D80" s="55" t="e">
        <f>(D35-D20)/D16</f>
        <v>#VALUE!</v>
      </c>
      <c r="E80" s="55" t="e">
        <f>(E35-E20)/E16</f>
        <v>#DIV/0!</v>
      </c>
      <c r="F80" s="63"/>
      <c r="G80" s="63"/>
    </row>
    <row r="81" spans="1:7">
      <c r="A81" s="20" t="s">
        <v>87</v>
      </c>
      <c r="B81" s="55" t="e">
        <f>(B37-B20)/B16</f>
        <v>#DIV/0!</v>
      </c>
      <c r="C81" s="55">
        <f>(C37-C20)/C16</f>
        <v>7.1172086279451749E-2</v>
      </c>
      <c r="D81" s="55" t="e">
        <f>(D37-D20)/D16</f>
        <v>#VALUE!</v>
      </c>
      <c r="E81" s="55" t="e">
        <f>(E37-E20)/E16</f>
        <v>#DIV/0!</v>
      </c>
      <c r="F81" s="63"/>
      <c r="G81" s="63"/>
    </row>
    <row r="82" spans="1:7">
      <c r="A82" s="20" t="s">
        <v>88</v>
      </c>
      <c r="B82" s="55" t="e">
        <f>(B41-B20)/B16</f>
        <v>#DIV/0!</v>
      </c>
      <c r="C82" s="55">
        <f>(C41-C20)/C16</f>
        <v>8.2457915151270753E-2</v>
      </c>
      <c r="D82" s="55" t="e">
        <f>(D41-D20)/D16</f>
        <v>#VALUE!</v>
      </c>
      <c r="E82" s="55" t="e">
        <f>(E41-E20)/E16</f>
        <v>#DIV/0!</v>
      </c>
      <c r="F82" s="63"/>
      <c r="G82" s="63"/>
    </row>
    <row r="83" spans="1:7">
      <c r="A83" s="20" t="s">
        <v>89</v>
      </c>
      <c r="B83" s="21" t="e">
        <f>B24/(B30+B31)</f>
        <v>#DIV/0!</v>
      </c>
      <c r="C83" s="21" t="e">
        <f>C24/(C30+C31)</f>
        <v>#DIV/0!</v>
      </c>
      <c r="D83" s="21">
        <f>D24/(D30+D31)</f>
        <v>45.311667280389656</v>
      </c>
      <c r="E83" s="21" t="e">
        <f>E24/(E30+E31)</f>
        <v>#DIV/0!</v>
      </c>
      <c r="F83" s="63"/>
      <c r="G83" s="63"/>
    </row>
    <row r="84" spans="1:7">
      <c r="A84" s="106" t="s">
        <v>90</v>
      </c>
      <c r="B84" s="21" t="e">
        <f>B60/B16*365</f>
        <v>#DIV/0!</v>
      </c>
      <c r="C84" s="21">
        <f>C60/C16*365</f>
        <v>2.7545189261935747</v>
      </c>
      <c r="D84" s="21">
        <f>D60/D16*365</f>
        <v>6.8968243099609001</v>
      </c>
      <c r="E84" s="21" t="e">
        <f>E60/E16*365</f>
        <v>#DIV/0!</v>
      </c>
      <c r="F84" s="63"/>
      <c r="G84" s="63"/>
    </row>
    <row r="85" spans="1:7">
      <c r="A85" s="106" t="s">
        <v>91</v>
      </c>
      <c r="B85" s="21" t="e">
        <f>B65/(B17+B18)*365</f>
        <v>#DIV/0!</v>
      </c>
      <c r="C85" s="21">
        <f>C65/(C17+C18)*365</f>
        <v>14.808350922609955</v>
      </c>
      <c r="D85" s="21">
        <f>D65/(D17+D18)*365</f>
        <v>5.4341747297243659</v>
      </c>
      <c r="E85" s="21" t="e">
        <f>E65/(E17+E18)*365</f>
        <v>#DIV/0!</v>
      </c>
      <c r="F85" s="63"/>
      <c r="G85" s="63"/>
    </row>
    <row r="86" spans="1:7">
      <c r="A86" s="106" t="s">
        <v>92</v>
      </c>
      <c r="B86" s="21" t="e">
        <f>B59/B16*365</f>
        <v>#DIV/0!</v>
      </c>
      <c r="C86" s="21">
        <f>C59/C16*365</f>
        <v>356.87591557449315</v>
      </c>
      <c r="D86" s="21">
        <f>D59/D16*365</f>
        <v>518.67314448181548</v>
      </c>
      <c r="E86" s="21" t="e">
        <f>E59/E16*365</f>
        <v>#DIV/0!</v>
      </c>
      <c r="F86" s="63"/>
      <c r="G86" s="63"/>
    </row>
    <row r="87" spans="1:7">
      <c r="A87" s="20" t="s">
        <v>93</v>
      </c>
      <c r="B87" s="21">
        <f>B51</f>
        <v>0</v>
      </c>
      <c r="C87" s="21">
        <f>C51</f>
        <v>155.78786630000002</v>
      </c>
      <c r="D87" s="21">
        <f>D51</f>
        <v>172.9363936</v>
      </c>
      <c r="E87" s="21">
        <f>E51</f>
        <v>0</v>
      </c>
      <c r="F87" s="63"/>
      <c r="G87" s="63"/>
    </row>
    <row r="88" spans="1:7">
      <c r="A88" s="106" t="s">
        <v>105</v>
      </c>
      <c r="B88" s="21">
        <f>B52+B53+B69</f>
        <v>0</v>
      </c>
      <c r="C88" s="21">
        <f>C52+C53+C71+C72+C73</f>
        <v>15.301410000000001</v>
      </c>
      <c r="D88" s="21">
        <f>D52+D53+D71+D72+D73</f>
        <v>16.55491</v>
      </c>
      <c r="E88" s="21">
        <f>E52+E53+E71+E72+E73</f>
        <v>0</v>
      </c>
      <c r="F88" s="63"/>
      <c r="G88" s="63"/>
    </row>
    <row r="89" spans="1:7">
      <c r="A89" s="20" t="s">
        <v>94</v>
      </c>
      <c r="B89" s="21">
        <f>B56+B57+B58</f>
        <v>0</v>
      </c>
      <c r="C89" s="21">
        <f>C56+C57+C58</f>
        <v>265.12050490000001</v>
      </c>
      <c r="D89" s="21">
        <f>D56+D57+D58</f>
        <v>242.22028359999999</v>
      </c>
      <c r="E89" s="21">
        <f>E56+E57+E58</f>
        <v>0</v>
      </c>
      <c r="F89" s="63"/>
      <c r="G89" s="63"/>
    </row>
    <row r="90" spans="1:7">
      <c r="A90" s="106" t="s">
        <v>95</v>
      </c>
      <c r="B90" s="21">
        <f>B52+B53+B71+B72+B64+B73</f>
        <v>0</v>
      </c>
      <c r="C90" s="21">
        <f>C52+C53+C71+C72+C64+C73</f>
        <v>109.33263860000002</v>
      </c>
      <c r="D90" s="21">
        <f>D52+D53+D71+D72+D64+D73</f>
        <v>69.283889999999985</v>
      </c>
      <c r="E90" s="21">
        <f>E52+E53+E71+E72+E64+E73</f>
        <v>0</v>
      </c>
      <c r="F90" s="63"/>
      <c r="G90" s="63"/>
    </row>
    <row r="91" spans="1:7">
      <c r="A91" s="20" t="s">
        <v>96</v>
      </c>
      <c r="B91" s="21" t="e">
        <f>B88/B87</f>
        <v>#DIV/0!</v>
      </c>
      <c r="C91" s="21">
        <f>C88/C87</f>
        <v>9.8219523531660302E-2</v>
      </c>
      <c r="D91" s="21">
        <f>D88/D87</f>
        <v>9.5728317535586679E-2</v>
      </c>
      <c r="E91" s="21" t="e">
        <f>E88/E87</f>
        <v>#DIV/0!</v>
      </c>
      <c r="F91" s="63"/>
      <c r="G91" s="63"/>
    </row>
    <row r="92" spans="1:7">
      <c r="A92" s="20" t="s">
        <v>97</v>
      </c>
      <c r="B92" s="21" t="e">
        <f>B90/B89</f>
        <v>#DIV/0!</v>
      </c>
      <c r="C92" s="21">
        <f>C90/C89</f>
        <v>0.41238846705289306</v>
      </c>
      <c r="D92" s="21">
        <f>D90/D89</f>
        <v>0.28603669754765321</v>
      </c>
      <c r="E92" s="21" t="e">
        <f>E90/E89</f>
        <v>#DIV/0!</v>
      </c>
      <c r="F92" s="63"/>
      <c r="G92" s="63"/>
    </row>
    <row r="93" spans="1:7">
      <c r="A93" s="20" t="s">
        <v>98</v>
      </c>
      <c r="B93" s="21" t="e">
        <f>B90/B87</f>
        <v>#DIV/0!</v>
      </c>
      <c r="C93" s="21">
        <f>C90/C87</f>
        <v>0.70180458335220175</v>
      </c>
      <c r="D93" s="21">
        <f>D90/D87</f>
        <v>0.40063221255933479</v>
      </c>
      <c r="E93" s="21" t="e">
        <f>E90/E87</f>
        <v>#DIV/0!</v>
      </c>
      <c r="F93" s="63"/>
      <c r="G93" s="63"/>
    </row>
  </sheetData>
  <mergeCells count="6">
    <mergeCell ref="A1:C1"/>
    <mergeCell ref="A2:E2"/>
    <mergeCell ref="A3:E3"/>
    <mergeCell ref="F3:G3"/>
    <mergeCell ref="A42:E42"/>
    <mergeCell ref="F42:G42"/>
  </mergeCells>
  <conditionalFormatting sqref="F4:G5">
    <cfRule type="cellIs" dxfId="86" priority="12" stopIfTrue="1" operator="lessThan">
      <formula>-0.2</formula>
    </cfRule>
    <cfRule type="cellIs" dxfId="85" priority="13" stopIfTrue="1" operator="lessThan">
      <formula>0</formula>
    </cfRule>
    <cfRule type="cellIs" dxfId="84" priority="14" stopIfTrue="1" operator="greaterThan">
      <formula>0.4</formula>
    </cfRule>
  </conditionalFormatting>
  <conditionalFormatting sqref="F6:G41 F44:G76">
    <cfRule type="cellIs" dxfId="83" priority="7" stopIfTrue="1" operator="lessThan">
      <formula>-0.2</formula>
    </cfRule>
    <cfRule type="cellIs" dxfId="82" priority="8" stopIfTrue="1" operator="lessThan">
      <formula>0</formula>
    </cfRule>
    <cfRule type="cellIs" dxfId="81" priority="9" stopIfTrue="1" operator="greaterThan">
      <formula>0.4</formula>
    </cfRule>
  </conditionalFormatting>
  <conditionalFormatting sqref="F43:G43">
    <cfRule type="cellIs" dxfId="80" priority="4" stopIfTrue="1" operator="lessThan">
      <formula>-0.2</formula>
    </cfRule>
    <cfRule type="cellIs" dxfId="79" priority="5" stopIfTrue="1" operator="lessThan">
      <formula>0</formula>
    </cfRule>
    <cfRule type="cellIs" dxfId="78" priority="6" stopIfTrue="1" operator="greaterThan">
      <formula>0.4</formula>
    </cfRule>
  </conditionalFormatting>
  <conditionalFormatting sqref="B84">
    <cfRule type="cellIs" dxfId="77" priority="3" stopIfTrue="1" operator="greaterThan">
      <formula>90</formula>
    </cfRule>
  </conditionalFormatting>
  <conditionalFormatting sqref="B85">
    <cfRule type="cellIs" dxfId="76" priority="2" stopIfTrue="1" operator="greaterThan">
      <formula>90</formula>
    </cfRule>
  </conditionalFormatting>
  <conditionalFormatting sqref="B91">
    <cfRule type="cellIs" dxfId="75" priority="1" stopIfTrue="1" operator="greaterThan">
      <formula>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8" zoomScale="90" zoomScaleNormal="90" workbookViewId="0">
      <selection activeCell="D63" sqref="D63"/>
    </sheetView>
  </sheetViews>
  <sheetFormatPr defaultColWidth="8.7109375" defaultRowHeight="14.25"/>
  <cols>
    <col min="1" max="1" width="45.85546875" style="5" customWidth="1"/>
    <col min="2" max="2" width="1" style="5" hidden="1" customWidth="1"/>
    <col min="3" max="3" width="20.5703125" style="5" customWidth="1"/>
    <col min="4" max="4" width="19.140625" style="5" customWidth="1"/>
    <col min="5" max="5" width="21.85546875" style="5" customWidth="1"/>
    <col min="6" max="6" width="8.28515625" style="5" bestFit="1" customWidth="1"/>
    <col min="7" max="7" width="13.42578125" style="5" customWidth="1"/>
    <col min="8" max="8" width="17.42578125" style="5" bestFit="1" customWidth="1"/>
    <col min="9" max="16384" width="8.7109375" style="5"/>
  </cols>
  <sheetData>
    <row r="1" spans="1:8">
      <c r="A1" s="1"/>
      <c r="B1" s="2"/>
      <c r="C1" s="2"/>
      <c r="D1" s="2"/>
      <c r="E1" s="2"/>
      <c r="F1" s="3"/>
      <c r="G1" s="3"/>
      <c r="H1" s="4" t="s">
        <v>0</v>
      </c>
    </row>
    <row r="2" spans="1:8">
      <c r="A2" s="552" t="s">
        <v>1</v>
      </c>
      <c r="B2" s="552"/>
      <c r="C2" s="552"/>
      <c r="D2" s="552"/>
      <c r="E2" s="552"/>
      <c r="F2" s="3"/>
      <c r="G2" s="3"/>
      <c r="H2" s="4" t="s">
        <v>2</v>
      </c>
    </row>
    <row r="3" spans="1:8">
      <c r="A3" s="6" t="s">
        <v>3</v>
      </c>
      <c r="B3" s="543" t="s">
        <v>774</v>
      </c>
      <c r="C3" s="544"/>
      <c r="D3" s="544"/>
      <c r="E3" s="545"/>
      <c r="F3" s="3"/>
      <c r="G3" s="3"/>
      <c r="H3" s="7"/>
    </row>
    <row r="4" spans="1:8">
      <c r="A4" s="6" t="s">
        <v>4</v>
      </c>
      <c r="B4" s="553">
        <v>28731</v>
      </c>
      <c r="C4" s="554"/>
      <c r="D4" s="554"/>
      <c r="E4" s="555"/>
      <c r="F4" s="3"/>
      <c r="G4" s="3"/>
      <c r="H4" s="7"/>
    </row>
    <row r="5" spans="1:8">
      <c r="A5" s="6" t="s">
        <v>5</v>
      </c>
      <c r="B5" s="543" t="s">
        <v>786</v>
      </c>
      <c r="C5" s="544"/>
      <c r="D5" s="544"/>
      <c r="E5" s="545"/>
      <c r="F5" s="3"/>
      <c r="G5" s="61" t="s">
        <v>6</v>
      </c>
      <c r="H5" s="7"/>
    </row>
    <row r="6" spans="1:8">
      <c r="A6" s="6" t="s">
        <v>7</v>
      </c>
      <c r="B6" s="543"/>
      <c r="C6" s="544"/>
      <c r="D6" s="544"/>
      <c r="E6" s="545"/>
      <c r="F6" s="3"/>
      <c r="G6" s="3"/>
      <c r="H6" s="7"/>
    </row>
    <row r="7" spans="1:8">
      <c r="A7" s="6" t="s">
        <v>8</v>
      </c>
      <c r="B7" s="543"/>
      <c r="C7" s="544"/>
      <c r="D7" s="544"/>
      <c r="E7" s="545"/>
      <c r="F7" s="3"/>
      <c r="G7" s="3" t="s">
        <v>0</v>
      </c>
      <c r="H7" s="7"/>
    </row>
    <row r="8" spans="1:8">
      <c r="A8" s="61" t="s">
        <v>9</v>
      </c>
      <c r="B8" s="543" t="s">
        <v>787</v>
      </c>
      <c r="C8" s="544"/>
      <c r="D8" s="544"/>
      <c r="E8" s="545"/>
      <c r="F8" s="3"/>
      <c r="G8" s="3"/>
      <c r="H8" s="62" t="s">
        <v>10</v>
      </c>
    </row>
    <row r="9" spans="1:8" ht="15" thickBot="1">
      <c r="A9" s="546" t="s">
        <v>11</v>
      </c>
      <c r="B9" s="546"/>
      <c r="C9" s="546"/>
      <c r="D9" s="546"/>
      <c r="E9" s="546"/>
      <c r="F9" s="3"/>
      <c r="G9" s="3"/>
      <c r="H9" s="7"/>
    </row>
    <row r="10" spans="1:8" ht="15" thickBot="1">
      <c r="A10" s="547"/>
      <c r="B10" s="547"/>
      <c r="C10" s="547"/>
      <c r="D10" s="547"/>
      <c r="E10" s="548"/>
      <c r="F10" s="549" t="s">
        <v>12</v>
      </c>
      <c r="G10" s="550"/>
      <c r="H10" s="3"/>
    </row>
    <row r="11" spans="1:8" ht="15" thickBot="1">
      <c r="A11" s="8" t="s">
        <v>13</v>
      </c>
      <c r="B11" s="8" t="s">
        <v>14</v>
      </c>
      <c r="C11" s="9" t="s">
        <v>106</v>
      </c>
      <c r="D11" s="9" t="s">
        <v>107</v>
      </c>
      <c r="E11" s="9" t="s">
        <v>108</v>
      </c>
      <c r="F11" s="10" t="s">
        <v>109</v>
      </c>
      <c r="G11" s="11" t="s">
        <v>109</v>
      </c>
      <c r="H11" s="3"/>
    </row>
    <row r="12" spans="1:8">
      <c r="A12" s="12" t="s">
        <v>15</v>
      </c>
      <c r="B12" s="13">
        <v>0</v>
      </c>
      <c r="C12" s="13">
        <v>7774982</v>
      </c>
      <c r="D12" s="13">
        <v>5369072</v>
      </c>
      <c r="E12" s="14"/>
      <c r="F12" s="15">
        <f>IFERROR((C12-D12)/D12,"-")</f>
        <v>0.44810537090953523</v>
      </c>
      <c r="G12" s="16" t="str">
        <f>IFERROR((D12-E12)/E12,"-")</f>
        <v>-</v>
      </c>
      <c r="H12" s="3"/>
    </row>
    <row r="13" spans="1:8">
      <c r="A13" s="12" t="s">
        <v>16</v>
      </c>
      <c r="B13" s="13">
        <v>0</v>
      </c>
      <c r="C13" s="13"/>
      <c r="D13" s="13"/>
      <c r="E13" s="14">
        <v>0</v>
      </c>
      <c r="F13" s="15" t="str">
        <f t="shared" ref="F13:G22" si="0">IFERROR((C13-D13)/D13,"-")</f>
        <v>-</v>
      </c>
      <c r="G13" s="16" t="str">
        <f t="shared" si="0"/>
        <v>-</v>
      </c>
      <c r="H13" s="17"/>
    </row>
    <row r="14" spans="1:8">
      <c r="A14" s="12" t="s">
        <v>17</v>
      </c>
      <c r="B14" s="13">
        <v>0</v>
      </c>
      <c r="C14" s="13"/>
      <c r="D14" s="13"/>
      <c r="E14" s="14">
        <v>0</v>
      </c>
      <c r="F14" s="15" t="str">
        <f t="shared" si="0"/>
        <v>-</v>
      </c>
      <c r="G14" s="16" t="str">
        <f t="shared" si="0"/>
        <v>-</v>
      </c>
      <c r="H14" s="3"/>
    </row>
    <row r="15" spans="1:8">
      <c r="A15" s="12" t="s">
        <v>18</v>
      </c>
      <c r="B15" s="13">
        <v>0</v>
      </c>
      <c r="C15" s="13">
        <v>363600</v>
      </c>
      <c r="D15" s="13"/>
      <c r="E15" s="14">
        <v>0</v>
      </c>
      <c r="F15" s="15" t="str">
        <f t="shared" si="0"/>
        <v>-</v>
      </c>
      <c r="G15" s="16" t="str">
        <f t="shared" si="0"/>
        <v>-</v>
      </c>
      <c r="H15" s="18"/>
    </row>
    <row r="16" spans="1:8">
      <c r="A16" s="12" t="s">
        <v>19</v>
      </c>
      <c r="B16" s="13">
        <v>0</v>
      </c>
      <c r="C16" s="13"/>
      <c r="D16" s="13"/>
      <c r="E16" s="14">
        <v>0</v>
      </c>
      <c r="F16" s="15" t="str">
        <f t="shared" si="0"/>
        <v>-</v>
      </c>
      <c r="G16" s="16" t="str">
        <f t="shared" si="0"/>
        <v>-</v>
      </c>
      <c r="H16" s="18"/>
    </row>
    <row r="17" spans="1:8">
      <c r="A17" s="12" t="s">
        <v>20</v>
      </c>
      <c r="B17" s="13">
        <v>0</v>
      </c>
      <c r="C17" s="13">
        <v>361000</v>
      </c>
      <c r="D17" s="13">
        <v>347400</v>
      </c>
      <c r="E17" s="14">
        <v>0</v>
      </c>
      <c r="F17" s="15">
        <f t="shared" si="0"/>
        <v>3.9147956246401841E-2</v>
      </c>
      <c r="G17" s="16" t="str">
        <f t="shared" si="0"/>
        <v>-</v>
      </c>
      <c r="H17" s="3"/>
    </row>
    <row r="18" spans="1:8">
      <c r="A18" s="12" t="s">
        <v>21</v>
      </c>
      <c r="B18" s="13">
        <v>0</v>
      </c>
      <c r="C18" s="13"/>
      <c r="D18" s="13"/>
      <c r="E18" s="14">
        <v>0</v>
      </c>
      <c r="F18" s="15" t="str">
        <f t="shared" si="0"/>
        <v>-</v>
      </c>
      <c r="G18" s="16" t="str">
        <f t="shared" si="0"/>
        <v>-</v>
      </c>
      <c r="H18" s="3"/>
    </row>
    <row r="19" spans="1:8">
      <c r="A19" s="12" t="s">
        <v>22</v>
      </c>
      <c r="B19" s="13">
        <v>0</v>
      </c>
      <c r="C19" s="13"/>
      <c r="D19" s="13"/>
      <c r="E19" s="14">
        <v>0</v>
      </c>
      <c r="F19" s="15" t="str">
        <f t="shared" si="0"/>
        <v>-</v>
      </c>
      <c r="G19" s="16" t="str">
        <f t="shared" si="0"/>
        <v>-</v>
      </c>
      <c r="H19" s="18"/>
    </row>
    <row r="20" spans="1:8">
      <c r="A20" s="12" t="s">
        <v>23</v>
      </c>
      <c r="B20" s="13">
        <v>0</v>
      </c>
      <c r="C20" s="13">
        <v>1149</v>
      </c>
      <c r="D20" s="13">
        <v>2798</v>
      </c>
      <c r="E20" s="14">
        <v>0</v>
      </c>
      <c r="F20" s="15">
        <f t="shared" si="0"/>
        <v>-0.58934953538241597</v>
      </c>
      <c r="G20" s="16" t="str">
        <f t="shared" si="0"/>
        <v>-</v>
      </c>
      <c r="H20" s="3"/>
    </row>
    <row r="21" spans="1:8">
      <c r="A21" s="12" t="s">
        <v>24</v>
      </c>
      <c r="B21" s="13">
        <v>0</v>
      </c>
      <c r="C21" s="13">
        <v>0</v>
      </c>
      <c r="D21" s="13">
        <v>0</v>
      </c>
      <c r="E21" s="14">
        <v>0</v>
      </c>
      <c r="F21" s="15" t="str">
        <f t="shared" si="0"/>
        <v>-</v>
      </c>
      <c r="G21" s="16" t="str">
        <f t="shared" si="0"/>
        <v>-</v>
      </c>
      <c r="H21" s="18"/>
    </row>
    <row r="22" spans="1:8">
      <c r="A22" s="12" t="s">
        <v>25</v>
      </c>
      <c r="B22" s="13">
        <v>0</v>
      </c>
      <c r="C22" s="13">
        <v>328.08</v>
      </c>
      <c r="D22" s="13"/>
      <c r="E22" s="14">
        <v>0</v>
      </c>
      <c r="F22" s="15" t="str">
        <f t="shared" si="0"/>
        <v>-</v>
      </c>
      <c r="G22" s="16" t="str">
        <f t="shared" si="0"/>
        <v>-</v>
      </c>
      <c r="H22" s="19"/>
    </row>
    <row r="23" spans="1:8">
      <c r="A23" s="20" t="s">
        <v>26</v>
      </c>
      <c r="B23" s="21">
        <f>SUM(B12:B22)</f>
        <v>0</v>
      </c>
      <c r="C23" s="21">
        <f>SUM(C12:C22)</f>
        <v>8501059.0800000001</v>
      </c>
      <c r="D23" s="21">
        <f>SUM(D12:D22)</f>
        <v>5719270</v>
      </c>
      <c r="E23" s="22">
        <f>SUM(E12:E22)</f>
        <v>0</v>
      </c>
      <c r="F23" s="23">
        <f>IFERROR((C23/D23)-1,"-")</f>
        <v>0.48638883633750463</v>
      </c>
      <c r="G23" s="24" t="str">
        <f>IFERROR((D23/E23)-1,"-")</f>
        <v>-</v>
      </c>
      <c r="H23" s="2"/>
    </row>
    <row r="24" spans="1:8">
      <c r="A24" s="25" t="s">
        <v>27</v>
      </c>
      <c r="B24" s="13">
        <v>0</v>
      </c>
      <c r="C24" s="13">
        <f>4001920.06+6828828-3862297.7</f>
        <v>6968450.3600000003</v>
      </c>
      <c r="D24" s="13">
        <f>2494318.78+6152041-4001920.06</f>
        <v>4644439.7199999988</v>
      </c>
      <c r="E24" s="14">
        <v>0</v>
      </c>
      <c r="F24" s="15">
        <f>IFERROR((C24-D24)/D24,"-")</f>
        <v>0.50038557503336534</v>
      </c>
      <c r="G24" s="16" t="str">
        <f>IFERROR((D24-E24)/E24,"-")</f>
        <v>-</v>
      </c>
      <c r="H24" s="2"/>
    </row>
    <row r="25" spans="1:8">
      <c r="A25" s="25" t="s">
        <v>28</v>
      </c>
      <c r="B25" s="13">
        <v>0</v>
      </c>
      <c r="C25" s="13">
        <f>56100+1682</f>
        <v>57782</v>
      </c>
      <c r="D25" s="13">
        <v>48500</v>
      </c>
      <c r="E25" s="14">
        <v>0</v>
      </c>
      <c r="F25" s="15">
        <f>IFERROR((C25-D25)/D25,"-")</f>
        <v>0.19138144329896908</v>
      </c>
      <c r="G25" s="16" t="str">
        <f>IFERROR((D25-E25)/E25,"-")</f>
        <v>-</v>
      </c>
      <c r="H25" s="2"/>
    </row>
    <row r="26" spans="1:8">
      <c r="A26" s="20" t="s">
        <v>29</v>
      </c>
      <c r="B26" s="21">
        <f>+B23-B24-B25</f>
        <v>0</v>
      </c>
      <c r="C26" s="21">
        <f>+C23-C24-C25</f>
        <v>1474826.7199999997</v>
      </c>
      <c r="D26" s="21">
        <f>+D23-D24-D25</f>
        <v>1026330.2800000012</v>
      </c>
      <c r="E26" s="22">
        <f>+E23-E24-E25</f>
        <v>0</v>
      </c>
      <c r="F26" s="23">
        <f>IFERROR((C26/D26)-1,"-")</f>
        <v>0.43699036142634129</v>
      </c>
      <c r="G26" s="24" t="str">
        <f>IFERROR((D26/E26)-1,"-")</f>
        <v>-</v>
      </c>
      <c r="H26" s="2"/>
    </row>
    <row r="27" spans="1:8">
      <c r="A27" s="25" t="s">
        <v>30</v>
      </c>
      <c r="B27" s="13">
        <v>0</v>
      </c>
      <c r="C27" s="13">
        <v>0</v>
      </c>
      <c r="D27" s="13">
        <v>0</v>
      </c>
      <c r="E27" s="14">
        <v>0</v>
      </c>
      <c r="F27" s="15" t="str">
        <f t="shared" ref="F27:G30" si="1">IFERROR((C27-D27)/D27,"-")</f>
        <v>-</v>
      </c>
      <c r="G27" s="16" t="str">
        <f t="shared" si="1"/>
        <v>-</v>
      </c>
      <c r="H27" s="19"/>
    </row>
    <row r="28" spans="1:8">
      <c r="A28" s="25" t="s">
        <v>31</v>
      </c>
      <c r="B28" s="13">
        <v>0</v>
      </c>
      <c r="C28" s="13">
        <v>119000</v>
      </c>
      <c r="D28" s="13">
        <v>118500</v>
      </c>
      <c r="E28" s="14">
        <v>0</v>
      </c>
      <c r="F28" s="15">
        <f t="shared" si="1"/>
        <v>4.2194092827004216E-3</v>
      </c>
      <c r="G28" s="16" t="str">
        <f t="shared" si="1"/>
        <v>-</v>
      </c>
      <c r="H28" s="2"/>
    </row>
    <row r="29" spans="1:8">
      <c r="A29" s="25" t="s">
        <v>32</v>
      </c>
      <c r="B29" s="13">
        <v>0</v>
      </c>
      <c r="C29" s="13">
        <f>6241.06+47334+150+207650+14560.79+22000+6000+5772+76421.08+1974+6190</f>
        <v>394292.93</v>
      </c>
      <c r="D29" s="13">
        <f>13041.88+80154+3900+500+178500+24000+8130.75</f>
        <v>308226.63</v>
      </c>
      <c r="E29" s="14">
        <v>0</v>
      </c>
      <c r="F29" s="15">
        <f t="shared" si="1"/>
        <v>0.2792305778381316</v>
      </c>
      <c r="G29" s="16" t="str">
        <f t="shared" si="1"/>
        <v>-</v>
      </c>
      <c r="H29" s="2"/>
    </row>
    <row r="30" spans="1:8">
      <c r="A30" s="25" t="s">
        <v>33</v>
      </c>
      <c r="B30" s="13">
        <v>0</v>
      </c>
      <c r="C30" s="13"/>
      <c r="D30" s="13"/>
      <c r="E30" s="14">
        <v>0</v>
      </c>
      <c r="F30" s="15" t="str">
        <f t="shared" si="1"/>
        <v>-</v>
      </c>
      <c r="G30" s="16" t="str">
        <f t="shared" si="1"/>
        <v>-</v>
      </c>
      <c r="H30" s="2"/>
    </row>
    <row r="31" spans="1:8">
      <c r="A31" s="20" t="s">
        <v>34</v>
      </c>
      <c r="B31" s="21">
        <f>B26+B27-SUM(B28:B30)</f>
        <v>0</v>
      </c>
      <c r="C31" s="21">
        <f>C26+C27-SUM(C28:C30)</f>
        <v>961533.7899999998</v>
      </c>
      <c r="D31" s="21">
        <f>D26+D27-SUM(D28:D30)</f>
        <v>599603.65000000119</v>
      </c>
      <c r="E31" s="22">
        <f>E26+E27-SUM(E28:E30)</f>
        <v>0</v>
      </c>
      <c r="F31" s="23">
        <f>IFERROR((C31/D31)-1,"-")</f>
        <v>0.60361563843048294</v>
      </c>
      <c r="G31" s="24" t="str">
        <f>IFERROR((D31/E31)-1,"-")</f>
        <v>-</v>
      </c>
      <c r="H31" s="19"/>
    </row>
    <row r="32" spans="1:8">
      <c r="A32" s="25" t="s">
        <v>35</v>
      </c>
      <c r="B32" s="13">
        <v>0</v>
      </c>
      <c r="C32" s="13">
        <v>200038</v>
      </c>
      <c r="D32" s="13">
        <v>126844</v>
      </c>
      <c r="E32" s="14">
        <v>0</v>
      </c>
      <c r="F32" s="15">
        <f t="shared" ref="F32:G35" si="2">IFERROR((C32-D32)/D32,"-")</f>
        <v>0.57703951310270885</v>
      </c>
      <c r="G32" s="16" t="str">
        <f t="shared" si="2"/>
        <v>-</v>
      </c>
      <c r="H32" s="19"/>
    </row>
    <row r="33" spans="1:8">
      <c r="A33" s="25" t="s">
        <v>36</v>
      </c>
      <c r="B33" s="13">
        <v>0</v>
      </c>
      <c r="C33" s="13">
        <v>0</v>
      </c>
      <c r="D33" s="13">
        <v>0</v>
      </c>
      <c r="E33" s="14">
        <v>0</v>
      </c>
      <c r="F33" s="15" t="str">
        <f t="shared" si="2"/>
        <v>-</v>
      </c>
      <c r="G33" s="16" t="str">
        <f t="shared" si="2"/>
        <v>-</v>
      </c>
      <c r="H33" s="19"/>
    </row>
    <row r="34" spans="1:8">
      <c r="A34" s="26" t="s">
        <v>37</v>
      </c>
      <c r="B34" s="13">
        <v>0</v>
      </c>
      <c r="C34" s="13">
        <v>0</v>
      </c>
      <c r="D34" s="13">
        <v>0</v>
      </c>
      <c r="E34" s="14">
        <v>0</v>
      </c>
      <c r="F34" s="15" t="str">
        <f t="shared" si="2"/>
        <v>-</v>
      </c>
      <c r="G34" s="16" t="str">
        <f t="shared" si="2"/>
        <v>-</v>
      </c>
      <c r="H34" s="19"/>
    </row>
    <row r="35" spans="1:8" ht="15" thickBot="1">
      <c r="A35" s="26" t="s">
        <v>38</v>
      </c>
      <c r="B35" s="13">
        <v>0</v>
      </c>
      <c r="C35" s="13">
        <v>0</v>
      </c>
      <c r="D35" s="13">
        <v>0</v>
      </c>
      <c r="E35" s="14">
        <v>0</v>
      </c>
      <c r="F35" s="15" t="str">
        <f t="shared" si="2"/>
        <v>-</v>
      </c>
      <c r="G35" s="27" t="str">
        <f t="shared" si="2"/>
        <v>-</v>
      </c>
      <c r="H35" s="19"/>
    </row>
    <row r="36" spans="1:8" ht="15" thickBot="1">
      <c r="A36" s="20" t="s">
        <v>39</v>
      </c>
      <c r="B36" s="21">
        <f>+B31-SUM(B32:B35)</f>
        <v>0</v>
      </c>
      <c r="C36" s="21">
        <f>+C31-SUM(C32:C35)</f>
        <v>761495.7899999998</v>
      </c>
      <c r="D36" s="21">
        <f>+D31-SUM(D32:D35)</f>
        <v>472759.65000000119</v>
      </c>
      <c r="E36" s="22">
        <f>+E31-SUM(E32:E35)</f>
        <v>0</v>
      </c>
      <c r="F36" s="28">
        <f>IFERROR((C36/D36)-1,"-")</f>
        <v>0.61074615822225509</v>
      </c>
      <c r="G36" s="29" t="str">
        <f>IFERROR((D36/E36)-1,"-")</f>
        <v>-</v>
      </c>
      <c r="H36" s="19"/>
    </row>
    <row r="37" spans="1:8">
      <c r="A37" s="25" t="s">
        <v>40</v>
      </c>
      <c r="B37" s="13">
        <v>0</v>
      </c>
      <c r="C37" s="13"/>
      <c r="D37" s="13"/>
      <c r="E37" s="14">
        <v>0</v>
      </c>
      <c r="F37" s="15" t="str">
        <f>IFERROR((C37-D37)/D37,"-")</f>
        <v>-</v>
      </c>
      <c r="G37" s="16" t="str">
        <f>IFERROR((D37-E37)/E37,"-")</f>
        <v>-</v>
      </c>
      <c r="H37" s="19"/>
    </row>
    <row r="38" spans="1:8">
      <c r="A38" s="25" t="s">
        <v>41</v>
      </c>
      <c r="B38" s="13">
        <v>0</v>
      </c>
      <c r="C38" s="13">
        <v>0</v>
      </c>
      <c r="D38" s="13">
        <v>15441</v>
      </c>
      <c r="E38" s="14">
        <v>0</v>
      </c>
      <c r="F38" s="15">
        <f>IFERROR((C38-D38)/D38,"-")</f>
        <v>-1</v>
      </c>
      <c r="G38" s="16" t="str">
        <f>IFERROR((D38-E38)/E38,"-")</f>
        <v>-</v>
      </c>
      <c r="H38" s="19"/>
    </row>
    <row r="39" spans="1:8">
      <c r="A39" s="25" t="s">
        <v>42</v>
      </c>
      <c r="B39" s="13">
        <v>0</v>
      </c>
      <c r="C39" s="13">
        <v>0</v>
      </c>
      <c r="D39" s="13">
        <v>0</v>
      </c>
      <c r="E39" s="14">
        <v>0</v>
      </c>
      <c r="F39" s="15" t="str">
        <f t="shared" ref="F39:G48" si="3">IFERROR((C39-D39)/D39,"-")</f>
        <v>-</v>
      </c>
      <c r="G39" s="16" t="str">
        <f t="shared" si="3"/>
        <v>-</v>
      </c>
      <c r="H39" s="19"/>
    </row>
    <row r="40" spans="1:8" ht="15" thickBot="1">
      <c r="A40" s="25" t="s">
        <v>43</v>
      </c>
      <c r="B40" s="13">
        <v>0</v>
      </c>
      <c r="C40" s="13">
        <v>0</v>
      </c>
      <c r="D40" s="13">
        <v>0</v>
      </c>
      <c r="E40" s="14">
        <v>0</v>
      </c>
      <c r="F40" s="15" t="str">
        <f t="shared" si="3"/>
        <v>-</v>
      </c>
      <c r="G40" s="27" t="str">
        <f t="shared" si="3"/>
        <v>-</v>
      </c>
      <c r="H40" s="19"/>
    </row>
    <row r="41" spans="1:8" ht="15" thickBot="1">
      <c r="A41" s="25" t="s">
        <v>44</v>
      </c>
      <c r="B41" s="13">
        <v>0</v>
      </c>
      <c r="C41" s="13">
        <v>0</v>
      </c>
      <c r="D41" s="13">
        <v>0</v>
      </c>
      <c r="E41" s="14">
        <v>0</v>
      </c>
      <c r="F41" s="30" t="str">
        <f t="shared" si="3"/>
        <v>-</v>
      </c>
      <c r="G41" s="31" t="str">
        <f t="shared" si="3"/>
        <v>-</v>
      </c>
      <c r="H41" s="19"/>
    </row>
    <row r="42" spans="1:8">
      <c r="A42" s="20" t="s">
        <v>45</v>
      </c>
      <c r="B42" s="21">
        <f>+B36-SUM(B37:B41)</f>
        <v>0</v>
      </c>
      <c r="C42" s="21">
        <f>+C36-SUM(C37:C41)</f>
        <v>761495.7899999998</v>
      </c>
      <c r="D42" s="21">
        <f>+D36-SUM(D37:D41)</f>
        <v>457318.65000000119</v>
      </c>
      <c r="E42" s="22">
        <f>+E36-SUM(E37:E41)</f>
        <v>0</v>
      </c>
      <c r="F42" s="32">
        <f t="shared" si="3"/>
        <v>0.66513171942582672</v>
      </c>
      <c r="G42" s="33" t="str">
        <f t="shared" si="3"/>
        <v>-</v>
      </c>
      <c r="H42" s="19"/>
    </row>
    <row r="43" spans="1:8">
      <c r="A43" s="34" t="s">
        <v>46</v>
      </c>
      <c r="B43" s="13">
        <v>0</v>
      </c>
      <c r="C43" s="13">
        <v>39394</v>
      </c>
      <c r="D43" s="13">
        <v>54304</v>
      </c>
      <c r="E43" s="14">
        <v>0</v>
      </c>
      <c r="F43" s="15">
        <f t="shared" si="3"/>
        <v>-0.27456540954625808</v>
      </c>
      <c r="G43" s="16" t="str">
        <f t="shared" si="3"/>
        <v>-</v>
      </c>
      <c r="H43" s="2"/>
    </row>
    <row r="44" spans="1:8">
      <c r="A44" s="20" t="s">
        <v>47</v>
      </c>
      <c r="B44" s="21">
        <f>+B42-B43</f>
        <v>0</v>
      </c>
      <c r="C44" s="21">
        <f>+C42-C43</f>
        <v>722101.7899999998</v>
      </c>
      <c r="D44" s="21">
        <f>+D42-D43</f>
        <v>403014.65000000119</v>
      </c>
      <c r="E44" s="22">
        <f>+E42-E43</f>
        <v>0</v>
      </c>
      <c r="F44" s="32">
        <f t="shared" si="3"/>
        <v>0.79175072171693428</v>
      </c>
      <c r="G44" s="33" t="str">
        <f t="shared" si="3"/>
        <v>-</v>
      </c>
      <c r="H44" s="2"/>
    </row>
    <row r="45" spans="1:8">
      <c r="A45" s="34" t="s">
        <v>48</v>
      </c>
      <c r="B45" s="13"/>
      <c r="C45" s="13"/>
      <c r="D45" s="13"/>
      <c r="E45" s="14"/>
      <c r="F45" s="15" t="str">
        <f t="shared" si="3"/>
        <v>-</v>
      </c>
      <c r="G45" s="16" t="str">
        <f t="shared" si="3"/>
        <v>-</v>
      </c>
      <c r="H45" s="2"/>
    </row>
    <row r="46" spans="1:8">
      <c r="A46" s="34" t="s">
        <v>49</v>
      </c>
      <c r="B46" s="13"/>
      <c r="C46" s="13"/>
      <c r="D46" s="13"/>
      <c r="E46" s="14"/>
      <c r="F46" s="15" t="str">
        <f t="shared" si="3"/>
        <v>-</v>
      </c>
      <c r="G46" s="16" t="str">
        <f t="shared" si="3"/>
        <v>-</v>
      </c>
      <c r="H46" s="2"/>
    </row>
    <row r="47" spans="1:8">
      <c r="A47" s="20" t="s">
        <v>50</v>
      </c>
      <c r="B47" s="21">
        <f>+B44-SUM(B45:B46)</f>
        <v>0</v>
      </c>
      <c r="C47" s="21">
        <f>+C44-SUM(C45:C46)</f>
        <v>722101.7899999998</v>
      </c>
      <c r="D47" s="21">
        <f>+D44-SUM(D45:D46)</f>
        <v>403014.65000000119</v>
      </c>
      <c r="E47" s="22">
        <f>+E44-SUM(E45:E46)</f>
        <v>0</v>
      </c>
      <c r="F47" s="32">
        <f t="shared" si="3"/>
        <v>0.79175072171693428</v>
      </c>
      <c r="G47" s="33" t="str">
        <f t="shared" si="3"/>
        <v>-</v>
      </c>
      <c r="H47" s="2"/>
    </row>
    <row r="48" spans="1:8" ht="15" thickBot="1">
      <c r="A48" s="20" t="s">
        <v>51</v>
      </c>
      <c r="B48" s="21">
        <f>+B44+B41+B39+B32+B40</f>
        <v>0</v>
      </c>
      <c r="C48" s="21">
        <f>+C44+C41+C39+C32+C40</f>
        <v>922139.7899999998</v>
      </c>
      <c r="D48" s="21">
        <f>+D44+D41+D39+D32+D40</f>
        <v>529858.65000000119</v>
      </c>
      <c r="E48" s="22">
        <f>+E44+E41+E39+E32+E40</f>
        <v>0</v>
      </c>
      <c r="F48" s="35">
        <f t="shared" si="3"/>
        <v>0.7403505444329308</v>
      </c>
      <c r="G48" s="36" t="str">
        <f t="shared" si="3"/>
        <v>-</v>
      </c>
      <c r="H48" s="2"/>
    </row>
    <row r="49" spans="1:10" ht="15" thickBot="1">
      <c r="A49" s="551"/>
      <c r="B49" s="551"/>
      <c r="C49" s="551"/>
      <c r="D49" s="551"/>
      <c r="E49" s="551"/>
      <c r="F49" s="37"/>
      <c r="G49" s="38"/>
      <c r="H49" s="39"/>
    </row>
    <row r="50" spans="1:10" ht="15" thickBot="1">
      <c r="A50" s="8" t="s">
        <v>52</v>
      </c>
      <c r="B50" s="8" t="s">
        <v>14</v>
      </c>
      <c r="C50" s="9" t="s">
        <v>106</v>
      </c>
      <c r="D50" s="9" t="s">
        <v>107</v>
      </c>
      <c r="E50" s="9" t="s">
        <v>108</v>
      </c>
      <c r="F50" s="40" t="s">
        <v>109</v>
      </c>
      <c r="G50" s="41" t="s">
        <v>109</v>
      </c>
      <c r="H50" s="2"/>
    </row>
    <row r="51" spans="1:10">
      <c r="A51" s="25" t="s">
        <v>53</v>
      </c>
      <c r="B51" s="13">
        <v>0</v>
      </c>
      <c r="C51" s="14">
        <v>3881304.33</v>
      </c>
      <c r="D51" s="13">
        <v>4521929.1500000004</v>
      </c>
      <c r="E51" s="14">
        <v>0</v>
      </c>
      <c r="F51" s="15">
        <f t="shared" ref="F51:G83" si="4">IFERROR((C51-D51)/D51,"-")</f>
        <v>-0.14167068937822705</v>
      </c>
      <c r="G51" s="16" t="str">
        <f t="shared" si="4"/>
        <v>-</v>
      </c>
      <c r="H51" s="2"/>
    </row>
    <row r="52" spans="1:10">
      <c r="A52" s="25" t="s">
        <v>54</v>
      </c>
      <c r="B52" s="13">
        <v>0</v>
      </c>
      <c r="C52" s="14">
        <v>0</v>
      </c>
      <c r="D52" s="13"/>
      <c r="E52" s="14">
        <v>0</v>
      </c>
      <c r="F52" s="15" t="str">
        <f t="shared" si="4"/>
        <v>-</v>
      </c>
      <c r="G52" s="16" t="str">
        <f t="shared" si="4"/>
        <v>-</v>
      </c>
      <c r="H52" s="2"/>
    </row>
    <row r="53" spans="1:10">
      <c r="A53" s="25" t="s">
        <v>55</v>
      </c>
      <c r="B53" s="13">
        <v>0</v>
      </c>
      <c r="C53" s="14">
        <v>0</v>
      </c>
      <c r="D53" s="13"/>
      <c r="E53" s="14">
        <v>0</v>
      </c>
      <c r="F53" s="15" t="str">
        <f t="shared" si="4"/>
        <v>-</v>
      </c>
      <c r="G53" s="16" t="str">
        <f t="shared" si="4"/>
        <v>-</v>
      </c>
      <c r="H53" s="2"/>
    </row>
    <row r="54" spans="1:10">
      <c r="A54" s="25" t="s">
        <v>56</v>
      </c>
      <c r="B54" s="13">
        <v>0</v>
      </c>
      <c r="C54" s="14">
        <v>0</v>
      </c>
      <c r="D54" s="13">
        <v>0</v>
      </c>
      <c r="E54" s="14">
        <v>0</v>
      </c>
      <c r="F54" s="15" t="str">
        <f t="shared" si="4"/>
        <v>-</v>
      </c>
      <c r="G54" s="16" t="str">
        <f t="shared" si="4"/>
        <v>-</v>
      </c>
      <c r="H54" s="2"/>
    </row>
    <row r="55" spans="1:10">
      <c r="A55" s="20" t="s">
        <v>57</v>
      </c>
      <c r="B55" s="21">
        <f>SUM(B51:B53)+B54</f>
        <v>0</v>
      </c>
      <c r="C55" s="22">
        <f>SUM(C51:C53)+C54</f>
        <v>3881304.33</v>
      </c>
      <c r="D55" s="21">
        <f>SUM(D51:D53)+D54</f>
        <v>4521929.1500000004</v>
      </c>
      <c r="E55" s="22">
        <f>SUM(E51:E53)+E54</f>
        <v>0</v>
      </c>
      <c r="F55" s="32">
        <f t="shared" si="4"/>
        <v>-0.14167068937822705</v>
      </c>
      <c r="G55" s="33" t="str">
        <f t="shared" si="4"/>
        <v>-</v>
      </c>
      <c r="H55" s="2"/>
    </row>
    <row r="56" spans="1:10">
      <c r="A56" s="25" t="s">
        <v>58</v>
      </c>
      <c r="B56" s="13">
        <v>0</v>
      </c>
      <c r="C56" s="14">
        <v>0</v>
      </c>
      <c r="D56" s="13"/>
      <c r="E56" s="14">
        <v>0</v>
      </c>
      <c r="F56" s="15" t="str">
        <f t="shared" si="4"/>
        <v>-</v>
      </c>
      <c r="G56" s="16" t="str">
        <f t="shared" si="4"/>
        <v>-</v>
      </c>
      <c r="H56" s="19"/>
    </row>
    <row r="57" spans="1:10">
      <c r="A57" s="25" t="s">
        <v>59</v>
      </c>
      <c r="B57" s="13">
        <v>0</v>
      </c>
      <c r="C57" s="14">
        <v>0</v>
      </c>
      <c r="D57" s="13"/>
      <c r="E57" s="14">
        <v>0</v>
      </c>
      <c r="F57" s="15" t="str">
        <f t="shared" si="4"/>
        <v>-</v>
      </c>
      <c r="G57" s="16" t="str">
        <f t="shared" si="4"/>
        <v>-</v>
      </c>
      <c r="H57" s="2"/>
    </row>
    <row r="58" spans="1:10">
      <c r="A58" s="42" t="s">
        <v>60</v>
      </c>
      <c r="B58" s="21">
        <f>+SUM(B55:B56)-B57</f>
        <v>0</v>
      </c>
      <c r="C58" s="22">
        <f>+SUM(C55:C56)-C57</f>
        <v>3881304.33</v>
      </c>
      <c r="D58" s="21">
        <f>+SUM(D55:D56)-D57</f>
        <v>4521929.1500000004</v>
      </c>
      <c r="E58" s="22">
        <f>+SUM(E55:E56)-E57</f>
        <v>0</v>
      </c>
      <c r="F58" s="32">
        <f t="shared" si="4"/>
        <v>-0.14167068937822705</v>
      </c>
      <c r="G58" s="33" t="str">
        <f t="shared" si="4"/>
        <v>-</v>
      </c>
      <c r="H58" s="2"/>
    </row>
    <row r="59" spans="1:10">
      <c r="A59" s="25" t="s">
        <v>61</v>
      </c>
      <c r="B59" s="13">
        <v>0</v>
      </c>
      <c r="C59" s="14">
        <v>1255141</v>
      </c>
      <c r="D59" s="13">
        <v>1346741</v>
      </c>
      <c r="E59" s="14">
        <v>0</v>
      </c>
      <c r="F59" s="15">
        <f t="shared" si="4"/>
        <v>-6.8016047629054138E-2</v>
      </c>
      <c r="G59" s="16" t="str">
        <f t="shared" si="4"/>
        <v>-</v>
      </c>
      <c r="H59" s="19" t="s">
        <v>788</v>
      </c>
      <c r="I59" s="501" t="s">
        <v>106</v>
      </c>
      <c r="J59" s="501" t="s">
        <v>107</v>
      </c>
    </row>
    <row r="60" spans="1:10">
      <c r="A60" s="25" t="s">
        <v>62</v>
      </c>
      <c r="B60" s="13">
        <v>0</v>
      </c>
      <c r="C60" s="14">
        <v>0</v>
      </c>
      <c r="D60" s="13">
        <v>15000</v>
      </c>
      <c r="E60" s="14">
        <v>0</v>
      </c>
      <c r="F60" s="15">
        <f t="shared" si="4"/>
        <v>-1</v>
      </c>
      <c r="G60" s="16" t="str">
        <f t="shared" si="4"/>
        <v>-</v>
      </c>
      <c r="H60" s="2" t="s">
        <v>789</v>
      </c>
      <c r="I60" s="5">
        <v>1255141</v>
      </c>
      <c r="J60" s="5">
        <v>1346741</v>
      </c>
    </row>
    <row r="61" spans="1:10">
      <c r="A61" s="20" t="s">
        <v>63</v>
      </c>
      <c r="B61" s="21">
        <f>+SUM(B58:B60)</f>
        <v>0</v>
      </c>
      <c r="C61" s="22">
        <f>+SUM(C58:C60)</f>
        <v>5136445.33</v>
      </c>
      <c r="D61" s="21">
        <f>+SUM(D58:D60)</f>
        <v>5883670.1500000004</v>
      </c>
      <c r="E61" s="22">
        <f>+SUM(E58:E60)</f>
        <v>0</v>
      </c>
      <c r="F61" s="32">
        <f t="shared" si="4"/>
        <v>-0.12699978091055975</v>
      </c>
      <c r="G61" s="33" t="str">
        <f t="shared" si="4"/>
        <v>-</v>
      </c>
      <c r="H61" s="2"/>
    </row>
    <row r="62" spans="1:10">
      <c r="A62" s="34"/>
      <c r="B62" s="34"/>
      <c r="C62" s="44"/>
      <c r="D62" s="43"/>
      <c r="E62" s="44"/>
      <c r="F62" s="15" t="str">
        <f t="shared" si="4"/>
        <v>-</v>
      </c>
      <c r="G62" s="16" t="str">
        <f t="shared" si="4"/>
        <v>-</v>
      </c>
      <c r="H62" s="2"/>
    </row>
    <row r="63" spans="1:10">
      <c r="A63" s="43" t="s">
        <v>64</v>
      </c>
      <c r="B63" s="13">
        <v>0</v>
      </c>
      <c r="C63" s="14">
        <v>1131258.58</v>
      </c>
      <c r="D63" s="13">
        <v>1301814.58</v>
      </c>
      <c r="E63" s="14">
        <v>0</v>
      </c>
      <c r="F63" s="15">
        <f t="shared" si="4"/>
        <v>-0.13101404963524069</v>
      </c>
      <c r="G63" s="16" t="str">
        <f t="shared" si="4"/>
        <v>-</v>
      </c>
      <c r="H63" s="2"/>
    </row>
    <row r="64" spans="1:10">
      <c r="A64" s="43" t="s">
        <v>65</v>
      </c>
      <c r="B64" s="13">
        <v>0</v>
      </c>
      <c r="C64" s="14">
        <v>50000</v>
      </c>
      <c r="D64" s="13">
        <v>50000</v>
      </c>
      <c r="E64" s="14">
        <v>0</v>
      </c>
      <c r="F64" s="15">
        <f t="shared" si="4"/>
        <v>0</v>
      </c>
      <c r="G64" s="16" t="str">
        <f t="shared" si="4"/>
        <v>-</v>
      </c>
      <c r="H64" s="2"/>
    </row>
    <row r="65" spans="1:8">
      <c r="A65" s="20" t="s">
        <v>66</v>
      </c>
      <c r="B65" s="21">
        <f>SUM(B66:B70)</f>
        <v>0</v>
      </c>
      <c r="C65" s="22">
        <f>SUM(C66:C70)</f>
        <v>5434089.75</v>
      </c>
      <c r="D65" s="21">
        <f>SUM(D66:D70)</f>
        <v>4728726.57</v>
      </c>
      <c r="E65" s="22">
        <f>SUM(E66:E70)</f>
        <v>0</v>
      </c>
      <c r="F65" s="32">
        <f t="shared" si="4"/>
        <v>0.14916556699957376</v>
      </c>
      <c r="G65" s="33" t="str">
        <f t="shared" si="4"/>
        <v>-</v>
      </c>
      <c r="H65" s="2"/>
    </row>
    <row r="66" spans="1:8">
      <c r="A66" s="43" t="s">
        <v>67</v>
      </c>
      <c r="B66" s="13">
        <v>0</v>
      </c>
      <c r="C66" s="14">
        <v>3862297.7</v>
      </c>
      <c r="D66" s="13">
        <v>4001920.06</v>
      </c>
      <c r="E66" s="14">
        <v>0</v>
      </c>
      <c r="F66" s="15">
        <f t="shared" si="4"/>
        <v>-3.4888842832107914E-2</v>
      </c>
      <c r="G66" s="16" t="str">
        <f t="shared" si="4"/>
        <v>-</v>
      </c>
      <c r="H66" s="2"/>
    </row>
    <row r="67" spans="1:8">
      <c r="A67" s="43" t="s">
        <v>68</v>
      </c>
      <c r="B67" s="13">
        <v>0</v>
      </c>
      <c r="C67" s="14">
        <v>146007</v>
      </c>
      <c r="D67" s="13">
        <v>281820</v>
      </c>
      <c r="E67" s="14">
        <v>0</v>
      </c>
      <c r="F67" s="15">
        <f t="shared" si="4"/>
        <v>-0.48191398765169258</v>
      </c>
      <c r="G67" s="16" t="str">
        <f t="shared" si="4"/>
        <v>-</v>
      </c>
      <c r="H67" s="19"/>
    </row>
    <row r="68" spans="1:8">
      <c r="A68" s="43" t="s">
        <v>69</v>
      </c>
      <c r="B68" s="13">
        <v>0</v>
      </c>
      <c r="C68" s="14">
        <v>932832</v>
      </c>
      <c r="D68" s="13">
        <v>207203</v>
      </c>
      <c r="E68" s="14">
        <v>0</v>
      </c>
      <c r="F68" s="15">
        <f t="shared" si="4"/>
        <v>3.5020197584011816</v>
      </c>
      <c r="G68" s="16" t="str">
        <f t="shared" si="4"/>
        <v>-</v>
      </c>
      <c r="H68" s="2"/>
    </row>
    <row r="69" spans="1:8">
      <c r="A69" s="25" t="s">
        <v>70</v>
      </c>
      <c r="B69" s="13">
        <v>0</v>
      </c>
      <c r="C69" s="14">
        <f>145185.05+347768</f>
        <v>492953.05</v>
      </c>
      <c r="D69" s="13">
        <f>159860.51+77923</f>
        <v>237783.51</v>
      </c>
      <c r="E69" s="14">
        <v>0</v>
      </c>
      <c r="F69" s="15">
        <f t="shared" si="4"/>
        <v>1.0731170550893121</v>
      </c>
      <c r="G69" s="16" t="str">
        <f t="shared" si="4"/>
        <v>-</v>
      </c>
      <c r="H69" s="2"/>
    </row>
    <row r="70" spans="1:8">
      <c r="A70" s="43" t="s">
        <v>71</v>
      </c>
      <c r="B70" s="13">
        <v>0</v>
      </c>
      <c r="C70" s="14">
        <v>0</v>
      </c>
      <c r="D70" s="13"/>
      <c r="E70" s="14">
        <v>0</v>
      </c>
      <c r="F70" s="15" t="str">
        <f t="shared" si="4"/>
        <v>-</v>
      </c>
      <c r="G70" s="16" t="str">
        <f t="shared" si="4"/>
        <v>-</v>
      </c>
      <c r="H70" s="2"/>
    </row>
    <row r="71" spans="1:8">
      <c r="A71" s="20" t="s">
        <v>680</v>
      </c>
      <c r="B71" s="21">
        <f>SUM(B72:B75)</f>
        <v>0</v>
      </c>
      <c r="C71" s="22">
        <f>SUM(C72:C75)</f>
        <v>1478903</v>
      </c>
      <c r="D71" s="21">
        <f>SUM(D72:D75)</f>
        <v>196871</v>
      </c>
      <c r="E71" s="22">
        <f>SUM(E72:E75)</f>
        <v>0</v>
      </c>
      <c r="F71" s="32">
        <f t="shared" si="4"/>
        <v>6.5120408795607272</v>
      </c>
      <c r="G71" s="33" t="str">
        <f t="shared" si="4"/>
        <v>-</v>
      </c>
      <c r="H71" s="2"/>
    </row>
    <row r="72" spans="1:8">
      <c r="A72" s="25" t="s">
        <v>73</v>
      </c>
      <c r="B72" s="13">
        <v>0</v>
      </c>
      <c r="C72" s="14">
        <v>768635</v>
      </c>
      <c r="D72" s="13">
        <v>183333</v>
      </c>
      <c r="E72" s="14">
        <v>0</v>
      </c>
      <c r="F72" s="15">
        <f t="shared" si="4"/>
        <v>3.1925621682948515</v>
      </c>
      <c r="G72" s="16" t="str">
        <f t="shared" si="4"/>
        <v>-</v>
      </c>
      <c r="H72" s="19"/>
    </row>
    <row r="73" spans="1:8">
      <c r="A73" s="25" t="s">
        <v>74</v>
      </c>
      <c r="B73" s="13">
        <v>0</v>
      </c>
      <c r="C73" s="14">
        <v>0</v>
      </c>
      <c r="D73" s="13">
        <v>0</v>
      </c>
      <c r="E73" s="14">
        <v>0</v>
      </c>
      <c r="F73" s="15" t="str">
        <f t="shared" si="4"/>
        <v>-</v>
      </c>
      <c r="G73" s="16" t="str">
        <f t="shared" si="4"/>
        <v>-</v>
      </c>
      <c r="H73" s="2"/>
    </row>
    <row r="74" spans="1:8">
      <c r="A74" s="25" t="s">
        <v>75</v>
      </c>
      <c r="B74" s="13">
        <v>0</v>
      </c>
      <c r="C74" s="14">
        <v>0</v>
      </c>
      <c r="D74" s="13">
        <v>0</v>
      </c>
      <c r="E74" s="14">
        <v>0</v>
      </c>
      <c r="F74" s="15" t="str">
        <f t="shared" si="4"/>
        <v>-</v>
      </c>
      <c r="G74" s="16" t="str">
        <f t="shared" si="4"/>
        <v>-</v>
      </c>
      <c r="H74" s="2"/>
    </row>
    <row r="75" spans="1:8">
      <c r="A75" s="25" t="s">
        <v>76</v>
      </c>
      <c r="B75" s="13">
        <v>0</v>
      </c>
      <c r="C75" s="14">
        <v>710268</v>
      </c>
      <c r="D75" s="13">
        <v>13538</v>
      </c>
      <c r="E75" s="14">
        <v>0</v>
      </c>
      <c r="F75" s="15">
        <f t="shared" si="4"/>
        <v>51.464765844290149</v>
      </c>
      <c r="G75" s="16" t="str">
        <f t="shared" si="4"/>
        <v>-</v>
      </c>
      <c r="H75" s="19"/>
    </row>
    <row r="76" spans="1:8">
      <c r="A76" s="42" t="s">
        <v>77</v>
      </c>
      <c r="B76" s="21">
        <f>+B65-B71</f>
        <v>0</v>
      </c>
      <c r="C76" s="22">
        <f>+C65-C71</f>
        <v>3955186.75</v>
      </c>
      <c r="D76" s="21">
        <f>+D65-D71</f>
        <v>4531855.57</v>
      </c>
      <c r="E76" s="22">
        <f>+E65-E71</f>
        <v>0</v>
      </c>
      <c r="F76" s="32">
        <f t="shared" si="4"/>
        <v>-0.1272478372473817</v>
      </c>
      <c r="G76" s="33" t="str">
        <f t="shared" si="4"/>
        <v>-</v>
      </c>
      <c r="H76" s="2"/>
    </row>
    <row r="77" spans="1:8">
      <c r="A77" s="25" t="s">
        <v>78</v>
      </c>
      <c r="B77" s="25"/>
      <c r="C77" s="46"/>
      <c r="D77" s="45"/>
      <c r="E77" s="46"/>
      <c r="F77" s="15" t="str">
        <f t="shared" si="4"/>
        <v>-</v>
      </c>
      <c r="G77" s="16" t="str">
        <f t="shared" si="4"/>
        <v>-</v>
      </c>
      <c r="H77" s="2"/>
    </row>
    <row r="78" spans="1:8">
      <c r="A78" s="25" t="s">
        <v>79</v>
      </c>
      <c r="B78" s="13">
        <v>0</v>
      </c>
      <c r="C78" s="14">
        <v>0</v>
      </c>
      <c r="D78" s="13">
        <v>0</v>
      </c>
      <c r="E78" s="14">
        <v>0</v>
      </c>
      <c r="F78" s="15"/>
      <c r="G78" s="16" t="str">
        <f t="shared" si="4"/>
        <v>-</v>
      </c>
      <c r="H78" s="19"/>
    </row>
    <row r="79" spans="1:8">
      <c r="A79" s="25" t="s">
        <v>80</v>
      </c>
      <c r="B79" s="13">
        <v>0</v>
      </c>
      <c r="C79" s="14">
        <v>0</v>
      </c>
      <c r="D79" s="13">
        <v>0</v>
      </c>
      <c r="E79" s="14">
        <v>0</v>
      </c>
      <c r="F79" s="15" t="str">
        <f t="shared" si="4"/>
        <v>-</v>
      </c>
      <c r="G79" s="16" t="str">
        <f t="shared" si="4"/>
        <v>-</v>
      </c>
      <c r="H79" s="2"/>
    </row>
    <row r="80" spans="1:8">
      <c r="A80" s="25" t="s">
        <v>81</v>
      </c>
      <c r="B80" s="13">
        <v>0</v>
      </c>
      <c r="C80" s="14">
        <v>0</v>
      </c>
      <c r="D80" s="13">
        <v>0</v>
      </c>
      <c r="E80" s="14">
        <v>0</v>
      </c>
      <c r="F80" s="15" t="str">
        <f t="shared" si="4"/>
        <v>-</v>
      </c>
      <c r="G80" s="16" t="str">
        <f t="shared" si="4"/>
        <v>-</v>
      </c>
      <c r="H80" s="2"/>
    </row>
    <row r="81" spans="1:8">
      <c r="A81" s="20" t="s">
        <v>82</v>
      </c>
      <c r="B81" s="21">
        <f>+B76-SUM(B78:B80)</f>
        <v>0</v>
      </c>
      <c r="C81" s="22">
        <f>+C76-SUM(C78:C80)</f>
        <v>3955186.75</v>
      </c>
      <c r="D81" s="21">
        <f>+D76-SUM(D78:D80)</f>
        <v>4531855.57</v>
      </c>
      <c r="E81" s="22">
        <f>+E76-SUM(E78:E80)</f>
        <v>0</v>
      </c>
      <c r="F81" s="32">
        <f t="shared" si="4"/>
        <v>-0.1272478372473817</v>
      </c>
      <c r="G81" s="33" t="str">
        <f t="shared" si="4"/>
        <v>-</v>
      </c>
      <c r="H81" s="2"/>
    </row>
    <row r="82" spans="1:8">
      <c r="A82" s="25" t="s">
        <v>83</v>
      </c>
      <c r="B82" s="13"/>
      <c r="C82" s="14">
        <v>0</v>
      </c>
      <c r="D82" s="13">
        <v>0</v>
      </c>
      <c r="E82" s="14">
        <v>0</v>
      </c>
      <c r="F82" s="15" t="str">
        <f t="shared" si="4"/>
        <v>-</v>
      </c>
      <c r="G82" s="16" t="str">
        <f t="shared" si="4"/>
        <v>-</v>
      </c>
      <c r="H82" s="2"/>
    </row>
    <row r="83" spans="1:8" ht="15" thickBot="1">
      <c r="A83" s="20" t="s">
        <v>84</v>
      </c>
      <c r="B83" s="21">
        <f>SUM(B63:B64)+B81+B82</f>
        <v>0</v>
      </c>
      <c r="C83" s="22">
        <f>SUM(C63:C64)+C81+C82</f>
        <v>5136445.33</v>
      </c>
      <c r="D83" s="21">
        <f>SUM(D63:D64)+D81+D82</f>
        <v>5883670.1500000004</v>
      </c>
      <c r="E83" s="22">
        <f>SUM(E63:E64)+E81+E82</f>
        <v>0</v>
      </c>
      <c r="F83" s="35">
        <f t="shared" si="4"/>
        <v>-0.12699978091055975</v>
      </c>
      <c r="G83" s="36" t="str">
        <f t="shared" si="4"/>
        <v>-</v>
      </c>
      <c r="H83" s="2"/>
    </row>
    <row r="84" spans="1:8">
      <c r="A84" s="47"/>
      <c r="B84" s="336">
        <f>B61-B83</f>
        <v>0</v>
      </c>
      <c r="C84" s="336">
        <f>C61-C83</f>
        <v>0</v>
      </c>
      <c r="D84" s="336">
        <f>D61-D83</f>
        <v>0</v>
      </c>
      <c r="E84" s="337">
        <f>E61-E83</f>
        <v>0</v>
      </c>
      <c r="F84" s="50"/>
      <c r="G84" s="51"/>
      <c r="H84" s="39"/>
    </row>
    <row r="85" spans="1:8">
      <c r="A85" s="52" t="s">
        <v>85</v>
      </c>
      <c r="B85" s="52" t="s">
        <v>14</v>
      </c>
      <c r="C85" s="53" t="str">
        <f>C50</f>
        <v>FY 2021-22</v>
      </c>
      <c r="D85" s="53" t="str">
        <f>D50</f>
        <v>FY 2020-21</v>
      </c>
      <c r="E85" s="54" t="str">
        <f>E50</f>
        <v>FY 2019-20</v>
      </c>
      <c r="F85" s="50"/>
      <c r="G85" s="51"/>
      <c r="H85" s="39"/>
    </row>
    <row r="86" spans="1:8">
      <c r="A86" s="52" t="s">
        <v>29</v>
      </c>
      <c r="B86" s="55" t="e">
        <f>B26/B23</f>
        <v>#DIV/0!</v>
      </c>
      <c r="C86" s="55">
        <f>C26/C23</f>
        <v>0.17348740975930257</v>
      </c>
      <c r="D86" s="55">
        <f>D26/D23</f>
        <v>0.17945127262745092</v>
      </c>
      <c r="E86" s="55" t="e">
        <f>E26/E23</f>
        <v>#DIV/0!</v>
      </c>
      <c r="F86" s="56"/>
      <c r="G86" s="57"/>
      <c r="H86" s="2"/>
    </row>
    <row r="87" spans="1:8">
      <c r="A87" s="52" t="s">
        <v>86</v>
      </c>
      <c r="B87" s="55" t="e">
        <f>(B42-B27)/B23</f>
        <v>#DIV/0!</v>
      </c>
      <c r="C87" s="55">
        <f>(C42-C27)/C23</f>
        <v>8.9576578969028861E-2</v>
      </c>
      <c r="D87" s="55">
        <f>(D42-D27)/D23</f>
        <v>7.9961017752265801E-2</v>
      </c>
      <c r="E87" s="55" t="e">
        <f>(E42-E27)/E23</f>
        <v>#DIV/0!</v>
      </c>
      <c r="F87" s="56"/>
      <c r="G87" s="57"/>
      <c r="H87" s="2"/>
    </row>
    <row r="88" spans="1:8">
      <c r="A88" s="52" t="s">
        <v>87</v>
      </c>
      <c r="B88" s="55" t="e">
        <f>(B44-B27)/B23</f>
        <v>#DIV/0!</v>
      </c>
      <c r="C88" s="55">
        <f>(C44-C27)/C23</f>
        <v>8.4942568120582901E-2</v>
      </c>
      <c r="D88" s="55">
        <f>(D44-D27)/D23</f>
        <v>7.0466099694541651E-2</v>
      </c>
      <c r="E88" s="55" t="e">
        <f>(E44-E27)/E23</f>
        <v>#DIV/0!</v>
      </c>
      <c r="F88" s="56"/>
      <c r="G88" s="57"/>
      <c r="H88" s="2"/>
    </row>
    <row r="89" spans="1:8">
      <c r="A89" s="52" t="s">
        <v>88</v>
      </c>
      <c r="B89" s="55" t="e">
        <f>(B48-B27)/B23</f>
        <v>#DIV/0!</v>
      </c>
      <c r="C89" s="55">
        <f>(C48-C27)/C23</f>
        <v>0.10847351857246472</v>
      </c>
      <c r="D89" s="55">
        <f>(D48-D27)/D23</f>
        <v>9.2644454624454031E-2</v>
      </c>
      <c r="E89" s="55" t="e">
        <f>(E48-E27)/E23</f>
        <v>#DIV/0!</v>
      </c>
      <c r="F89" s="56"/>
      <c r="G89" s="57"/>
      <c r="H89" s="3"/>
    </row>
    <row r="90" spans="1:8">
      <c r="A90" s="52" t="s">
        <v>89</v>
      </c>
      <c r="B90" s="21" t="e">
        <f>B31/(B37+B38)</f>
        <v>#DIV/0!</v>
      </c>
      <c r="C90" s="21" t="e">
        <f>C31/(C37+C38)</f>
        <v>#DIV/0!</v>
      </c>
      <c r="D90" s="21">
        <f>D31/(D37+D38)</f>
        <v>38.831918269542207</v>
      </c>
      <c r="E90" s="21" t="e">
        <f>E31/(E37+E38)</f>
        <v>#DIV/0!</v>
      </c>
      <c r="F90" s="56"/>
      <c r="G90" s="57"/>
      <c r="H90" s="3"/>
    </row>
    <row r="91" spans="1:8">
      <c r="A91" s="52" t="s">
        <v>90</v>
      </c>
      <c r="B91" s="21" t="e">
        <f>B67/B23*365</f>
        <v>#DIV/0!</v>
      </c>
      <c r="C91" s="21">
        <f>C67/C23*365</f>
        <v>6.2689312588567487</v>
      </c>
      <c r="D91" s="21">
        <f>D67/D23*365</f>
        <v>17.985564591285254</v>
      </c>
      <c r="E91" s="21" t="e">
        <f>E67/E23*365</f>
        <v>#DIV/0!</v>
      </c>
      <c r="F91" s="56"/>
      <c r="G91" s="57"/>
      <c r="H91" s="3"/>
    </row>
    <row r="92" spans="1:8">
      <c r="A92" s="52" t="s">
        <v>91</v>
      </c>
      <c r="B92" s="21" t="e">
        <f>B72/(B24+B25)*365</f>
        <v>#DIV/0!</v>
      </c>
      <c r="C92" s="21">
        <f>C72/(C24+C25)*365</f>
        <v>39.929191154731463</v>
      </c>
      <c r="D92" s="21">
        <f>D72/(D24+D25)*365</f>
        <v>14.258982427330224</v>
      </c>
      <c r="E92" s="21" t="e">
        <f>E72/(E24+E25)*365</f>
        <v>#DIV/0!</v>
      </c>
      <c r="F92" s="56"/>
      <c r="G92" s="57"/>
      <c r="H92" s="3"/>
    </row>
    <row r="93" spans="1:8">
      <c r="A93" s="52" t="s">
        <v>92</v>
      </c>
      <c r="B93" s="21" t="e">
        <f>B66/B23*365</f>
        <v>#DIV/0!</v>
      </c>
      <c r="C93" s="21">
        <f>C66/C23*365</f>
        <v>165.83094497209402</v>
      </c>
      <c r="D93" s="21">
        <f>D66/D23*365</f>
        <v>255.39987129476316</v>
      </c>
      <c r="E93" s="21" t="e">
        <f>E66/E23*365</f>
        <v>#DIV/0!</v>
      </c>
      <c r="F93" s="56"/>
      <c r="G93" s="57"/>
      <c r="H93" s="3"/>
    </row>
    <row r="94" spans="1:8">
      <c r="A94" s="52" t="s">
        <v>93</v>
      </c>
      <c r="B94" s="21">
        <f>B58</f>
        <v>0</v>
      </c>
      <c r="C94" s="21">
        <f>C58</f>
        <v>3881304.33</v>
      </c>
      <c r="D94" s="21">
        <f>D58</f>
        <v>4521929.1500000004</v>
      </c>
      <c r="E94" s="21">
        <f>E58</f>
        <v>0</v>
      </c>
      <c r="F94" s="56"/>
      <c r="G94" s="57"/>
      <c r="H94" s="3"/>
    </row>
    <row r="95" spans="1:8">
      <c r="A95" s="52" t="s">
        <v>105</v>
      </c>
      <c r="B95" s="21">
        <f>B59+B60+B76</f>
        <v>0</v>
      </c>
      <c r="C95" s="21">
        <f>C59+C60+C78+C79+C80</f>
        <v>1255141</v>
      </c>
      <c r="D95" s="21">
        <f>D59+D60+D78+D79+D80</f>
        <v>1361741</v>
      </c>
      <c r="E95" s="21">
        <f>E59+E60+E78+E79+E80</f>
        <v>0</v>
      </c>
      <c r="F95" s="56"/>
      <c r="G95" s="57"/>
      <c r="H95" s="3"/>
    </row>
    <row r="96" spans="1:8">
      <c r="A96" s="52" t="s">
        <v>94</v>
      </c>
      <c r="B96" s="21">
        <f>B63+B64+B65</f>
        <v>0</v>
      </c>
      <c r="C96" s="21">
        <f>C63+C64+C65</f>
        <v>6615348.3300000001</v>
      </c>
      <c r="D96" s="21">
        <f>D63+D64+D65</f>
        <v>6080541.1500000004</v>
      </c>
      <c r="E96" s="21">
        <f>E63+E64+E65</f>
        <v>0</v>
      </c>
      <c r="F96" s="56"/>
      <c r="G96" s="57"/>
      <c r="H96" s="3"/>
    </row>
    <row r="97" spans="1:8">
      <c r="A97" s="52" t="s">
        <v>95</v>
      </c>
      <c r="B97" s="21">
        <f>B59+B60+B78+B79+B71+B80</f>
        <v>0</v>
      </c>
      <c r="C97" s="21">
        <f>C59+C60+C78+C79+C71+C80</f>
        <v>2734044</v>
      </c>
      <c r="D97" s="21">
        <f>D59+D60+D78+D79+D71+D80</f>
        <v>1558612</v>
      </c>
      <c r="E97" s="21">
        <f>E59+E60+E78+E79+E71+E80</f>
        <v>0</v>
      </c>
      <c r="F97" s="56"/>
      <c r="G97" s="57"/>
      <c r="H97" s="3"/>
    </row>
    <row r="98" spans="1:8">
      <c r="A98" s="52" t="s">
        <v>96</v>
      </c>
      <c r="B98" s="21" t="e">
        <f>B95/B94</f>
        <v>#DIV/0!</v>
      </c>
      <c r="C98" s="21">
        <f>C95/C94</f>
        <v>0.32338123818288683</v>
      </c>
      <c r="D98" s="21">
        <f>D95/D94</f>
        <v>0.30114160457379124</v>
      </c>
      <c r="E98" s="21" t="e">
        <f>E95/E94</f>
        <v>#DIV/0!</v>
      </c>
      <c r="F98" s="56"/>
      <c r="G98" s="57"/>
      <c r="H98" s="3"/>
    </row>
    <row r="99" spans="1:8">
      <c r="A99" s="52" t="s">
        <v>97</v>
      </c>
      <c r="B99" s="21" t="e">
        <f>B97/B96</f>
        <v>#DIV/0!</v>
      </c>
      <c r="C99" s="21">
        <f>C97/C96</f>
        <v>0.41328798781484571</v>
      </c>
      <c r="D99" s="21">
        <f>D97/D96</f>
        <v>0.25632784345189408</v>
      </c>
      <c r="E99" s="21" t="e">
        <f>E97/E96</f>
        <v>#DIV/0!</v>
      </c>
      <c r="F99" s="56"/>
      <c r="G99" s="57"/>
      <c r="H99" s="3"/>
    </row>
    <row r="100" spans="1:8">
      <c r="A100" s="52" t="s">
        <v>98</v>
      </c>
      <c r="B100" s="21" t="e">
        <f>B97/B94</f>
        <v>#DIV/0!</v>
      </c>
      <c r="C100" s="21">
        <f>C97/C94</f>
        <v>0.70441371444841072</v>
      </c>
      <c r="D100" s="21">
        <f>D97/D94</f>
        <v>0.34467855384244572</v>
      </c>
      <c r="E100" s="21" t="e">
        <f>E97/E94</f>
        <v>#DIV/0!</v>
      </c>
      <c r="F100" s="56"/>
      <c r="G100" s="57"/>
      <c r="H100" s="3"/>
    </row>
    <row r="101" spans="1:8">
      <c r="A101" s="3"/>
      <c r="B101" s="3"/>
      <c r="C101" s="3"/>
      <c r="D101" s="60"/>
      <c r="E101" s="60"/>
      <c r="F101" s="3"/>
      <c r="G101" s="3"/>
      <c r="H101" s="7"/>
    </row>
  </sheetData>
  <mergeCells count="11">
    <mergeCell ref="B7:E7"/>
    <mergeCell ref="A2:E2"/>
    <mergeCell ref="B3:E3"/>
    <mergeCell ref="B4:E4"/>
    <mergeCell ref="B5:E5"/>
    <mergeCell ref="B6:E6"/>
    <mergeCell ref="B8:E8"/>
    <mergeCell ref="A9:E9"/>
    <mergeCell ref="A10:E10"/>
    <mergeCell ref="F10:G10"/>
    <mergeCell ref="A49:E49"/>
  </mergeCells>
  <conditionalFormatting sqref="F11:G43 F45:G49">
    <cfRule type="cellIs" dxfId="74" priority="13" stopIfTrue="1" operator="lessThan">
      <formula>-0.2</formula>
    </cfRule>
    <cfRule type="cellIs" dxfId="73" priority="14" stopIfTrue="1" operator="lessThan">
      <formula>0</formula>
    </cfRule>
    <cfRule type="cellIs" dxfId="72" priority="15" stopIfTrue="1" operator="greaterThan">
      <formula>0.4</formula>
    </cfRule>
  </conditionalFormatting>
  <conditionalFormatting sqref="F51:G83">
    <cfRule type="cellIs" dxfId="71" priority="10" stopIfTrue="1" operator="lessThan">
      <formula>-0.2</formula>
    </cfRule>
    <cfRule type="cellIs" dxfId="70" priority="11" stopIfTrue="1" operator="lessThan">
      <formula>0</formula>
    </cfRule>
    <cfRule type="cellIs" dxfId="69" priority="12" stopIfTrue="1" operator="greaterThan">
      <formula>0.4</formula>
    </cfRule>
  </conditionalFormatting>
  <conditionalFormatting sqref="F50:G50">
    <cfRule type="cellIs" dxfId="68" priority="7" stopIfTrue="1" operator="lessThan">
      <formula>-0.2</formula>
    </cfRule>
    <cfRule type="cellIs" dxfId="67" priority="8" stopIfTrue="1" operator="lessThan">
      <formula>0</formula>
    </cfRule>
    <cfRule type="cellIs" dxfId="66" priority="9" stopIfTrue="1" operator="greaterThan">
      <formula>0.4</formula>
    </cfRule>
  </conditionalFormatting>
  <conditionalFormatting sqref="F44">
    <cfRule type="cellIs" dxfId="65" priority="4" stopIfTrue="1" operator="lessThan">
      <formula>-0.2</formula>
    </cfRule>
    <cfRule type="cellIs" dxfId="64" priority="5" stopIfTrue="1" operator="lessThan">
      <formula>0</formula>
    </cfRule>
    <cfRule type="cellIs" dxfId="63" priority="6" stopIfTrue="1" operator="greaterThan">
      <formula>0.4</formula>
    </cfRule>
  </conditionalFormatting>
  <conditionalFormatting sqref="G44">
    <cfRule type="cellIs" dxfId="62" priority="1" stopIfTrue="1" operator="lessThan">
      <formula>-0.2</formula>
    </cfRule>
    <cfRule type="cellIs" dxfId="61" priority="2" stopIfTrue="1" operator="lessThan">
      <formula>0</formula>
    </cfRule>
    <cfRule type="cellIs" dxfId="60" priority="3" stopIfTrue="1" operator="greaterThan">
      <formula>0.4</formula>
    </cfRule>
  </conditionalFormatting>
  <dataValidations disablePrompts="1" count="1">
    <dataValidation type="list" allowBlank="1" showInputMessage="1" showErrorMessage="1" sqref="G7">
      <formula1>$H$1:$H$2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A2" zoomScale="85" zoomScaleNormal="85" workbookViewId="0">
      <selection activeCell="H96" sqref="H96"/>
    </sheetView>
  </sheetViews>
  <sheetFormatPr defaultColWidth="8.7109375" defaultRowHeight="14.25"/>
  <cols>
    <col min="1" max="1" width="45.140625" style="5" customWidth="1"/>
    <col min="2" max="2" width="1" style="5" hidden="1" customWidth="1"/>
    <col min="3" max="3" width="15.5703125" style="5" bestFit="1" customWidth="1"/>
    <col min="4" max="4" width="14.5703125" style="5" bestFit="1" customWidth="1"/>
    <col min="5" max="5" width="11.7109375" style="5" bestFit="1" customWidth="1"/>
    <col min="6" max="6" width="8.28515625" style="5" bestFit="1" customWidth="1"/>
    <col min="7" max="7" width="19.5703125" style="5" bestFit="1" customWidth="1"/>
    <col min="8" max="8" width="12.28515625" style="5" bestFit="1" customWidth="1"/>
    <col min="9" max="16384" width="8.7109375" style="5"/>
  </cols>
  <sheetData>
    <row r="1" spans="1:8">
      <c r="A1" s="1"/>
      <c r="B1" s="2"/>
      <c r="C1" s="2"/>
      <c r="D1" s="2"/>
      <c r="E1" s="2"/>
      <c r="F1" s="3"/>
      <c r="G1" s="3"/>
      <c r="H1" s="4" t="s">
        <v>0</v>
      </c>
    </row>
    <row r="2" spans="1:8">
      <c r="A2" s="552" t="s">
        <v>1</v>
      </c>
      <c r="B2" s="552"/>
      <c r="C2" s="552"/>
      <c r="D2" s="552"/>
      <c r="E2" s="552"/>
      <c r="F2" s="3"/>
      <c r="G2" s="3"/>
      <c r="H2" s="4" t="s">
        <v>2</v>
      </c>
    </row>
    <row r="3" spans="1:8">
      <c r="A3" s="6" t="s">
        <v>3</v>
      </c>
      <c r="B3" s="543" t="s">
        <v>782</v>
      </c>
      <c r="C3" s="544"/>
      <c r="D3" s="544"/>
      <c r="E3" s="545"/>
      <c r="F3" s="3"/>
      <c r="G3" s="3"/>
      <c r="H3" s="7"/>
    </row>
    <row r="4" spans="1:8">
      <c r="A4" s="6" t="s">
        <v>4</v>
      </c>
      <c r="B4" s="553">
        <v>18513</v>
      </c>
      <c r="C4" s="554"/>
      <c r="D4" s="554"/>
      <c r="E4" s="555"/>
      <c r="F4" s="3"/>
      <c r="G4" s="3"/>
      <c r="H4" s="7"/>
    </row>
    <row r="5" spans="1:8">
      <c r="A5" s="6" t="s">
        <v>5</v>
      </c>
      <c r="B5" s="543" t="s">
        <v>786</v>
      </c>
      <c r="C5" s="544"/>
      <c r="D5" s="544"/>
      <c r="E5" s="545"/>
      <c r="F5" s="3"/>
      <c r="G5" s="61" t="s">
        <v>6</v>
      </c>
      <c r="H5" s="7"/>
    </row>
    <row r="6" spans="1:8">
      <c r="A6" s="6" t="s">
        <v>7</v>
      </c>
      <c r="B6" s="543"/>
      <c r="C6" s="544"/>
      <c r="D6" s="544"/>
      <c r="E6" s="545"/>
      <c r="F6" s="3"/>
      <c r="G6" s="3"/>
      <c r="H6" s="7"/>
    </row>
    <row r="7" spans="1:8">
      <c r="A7" s="6" t="s">
        <v>8</v>
      </c>
      <c r="B7" s="543"/>
      <c r="C7" s="544"/>
      <c r="D7" s="544"/>
      <c r="E7" s="545"/>
      <c r="F7" s="3"/>
      <c r="G7" s="3" t="s">
        <v>0</v>
      </c>
      <c r="H7" s="7"/>
    </row>
    <row r="8" spans="1:8">
      <c r="A8" s="61" t="s">
        <v>9</v>
      </c>
      <c r="B8" s="543" t="s">
        <v>790</v>
      </c>
      <c r="C8" s="544"/>
      <c r="D8" s="544"/>
      <c r="E8" s="545"/>
      <c r="F8" s="3"/>
      <c r="G8" s="3"/>
      <c r="H8" s="62" t="s">
        <v>10</v>
      </c>
    </row>
    <row r="9" spans="1:8" ht="15" thickBot="1">
      <c r="A9" s="546" t="s">
        <v>11</v>
      </c>
      <c r="B9" s="546"/>
      <c r="C9" s="546"/>
      <c r="D9" s="546"/>
      <c r="E9" s="546"/>
      <c r="F9" s="3"/>
      <c r="G9" s="3"/>
      <c r="H9" s="7"/>
    </row>
    <row r="10" spans="1:8" ht="15" thickBot="1">
      <c r="A10" s="547"/>
      <c r="B10" s="547"/>
      <c r="C10" s="547"/>
      <c r="D10" s="547"/>
      <c r="E10" s="548"/>
      <c r="F10" s="549" t="s">
        <v>12</v>
      </c>
      <c r="G10" s="550"/>
      <c r="H10" s="3"/>
    </row>
    <row r="11" spans="1:8" ht="15" thickBot="1">
      <c r="A11" s="8" t="s">
        <v>13</v>
      </c>
      <c r="B11" s="8" t="s">
        <v>14</v>
      </c>
      <c r="C11" s="9" t="s">
        <v>106</v>
      </c>
      <c r="D11" s="9" t="s">
        <v>107</v>
      </c>
      <c r="E11" s="9" t="s">
        <v>108</v>
      </c>
      <c r="F11" s="10" t="s">
        <v>109</v>
      </c>
      <c r="G11" s="11" t="s">
        <v>109</v>
      </c>
      <c r="H11" s="3"/>
    </row>
    <row r="12" spans="1:8">
      <c r="A12" s="12" t="s">
        <v>15</v>
      </c>
      <c r="B12" s="13">
        <v>0</v>
      </c>
      <c r="C12" s="13">
        <v>13834396</v>
      </c>
      <c r="D12" s="13">
        <v>8968097</v>
      </c>
      <c r="E12" s="14"/>
      <c r="F12" s="15">
        <f>IFERROR((C12-D12)/D12,"-")</f>
        <v>0.54262336814599577</v>
      </c>
      <c r="G12" s="16" t="str">
        <f>IFERROR((D12-E12)/E12,"-")</f>
        <v>-</v>
      </c>
      <c r="H12" s="3"/>
    </row>
    <row r="13" spans="1:8">
      <c r="A13" s="12" t="s">
        <v>16</v>
      </c>
      <c r="B13" s="13">
        <v>0</v>
      </c>
      <c r="C13" s="13">
        <v>0</v>
      </c>
      <c r="D13" s="13">
        <v>0</v>
      </c>
      <c r="E13" s="14">
        <v>0</v>
      </c>
      <c r="F13" s="15" t="str">
        <f t="shared" ref="F13:G22" si="0">IFERROR((C13-D13)/D13,"-")</f>
        <v>-</v>
      </c>
      <c r="G13" s="16" t="str">
        <f t="shared" si="0"/>
        <v>-</v>
      </c>
      <c r="H13" s="17"/>
    </row>
    <row r="14" spans="1:8">
      <c r="A14" s="12" t="s">
        <v>17</v>
      </c>
      <c r="B14" s="13">
        <v>0</v>
      </c>
      <c r="C14" s="13">
        <v>0</v>
      </c>
      <c r="D14" s="13">
        <v>0</v>
      </c>
      <c r="E14" s="14">
        <v>0</v>
      </c>
      <c r="F14" s="15" t="str">
        <f t="shared" si="0"/>
        <v>-</v>
      </c>
      <c r="G14" s="16" t="str">
        <f t="shared" si="0"/>
        <v>-</v>
      </c>
      <c r="H14" s="3"/>
    </row>
    <row r="15" spans="1:8">
      <c r="A15" s="12" t="s">
        <v>18</v>
      </c>
      <c r="B15" s="13">
        <v>0</v>
      </c>
      <c r="C15" s="13">
        <v>381100</v>
      </c>
      <c r="D15" s="13">
        <v>0</v>
      </c>
      <c r="E15" s="14">
        <v>0</v>
      </c>
      <c r="F15" s="15" t="str">
        <f t="shared" si="0"/>
        <v>-</v>
      </c>
      <c r="G15" s="16" t="str">
        <f t="shared" si="0"/>
        <v>-</v>
      </c>
      <c r="H15" s="18"/>
    </row>
    <row r="16" spans="1:8">
      <c r="A16" s="12" t="s">
        <v>19</v>
      </c>
      <c r="B16" s="13">
        <v>0</v>
      </c>
      <c r="C16" s="13">
        <v>0</v>
      </c>
      <c r="D16" s="13">
        <v>0</v>
      </c>
      <c r="E16" s="14">
        <v>0</v>
      </c>
      <c r="F16" s="15" t="str">
        <f t="shared" si="0"/>
        <v>-</v>
      </c>
      <c r="G16" s="16" t="str">
        <f t="shared" si="0"/>
        <v>-</v>
      </c>
      <c r="H16" s="18"/>
    </row>
    <row r="17" spans="1:8">
      <c r="A17" s="12" t="s">
        <v>20</v>
      </c>
      <c r="B17" s="13">
        <v>0</v>
      </c>
      <c r="C17" s="13">
        <v>442129</v>
      </c>
      <c r="D17" s="13">
        <v>358502</v>
      </c>
      <c r="E17" s="14">
        <v>0</v>
      </c>
      <c r="F17" s="15">
        <f t="shared" si="0"/>
        <v>0.23326787577196223</v>
      </c>
      <c r="G17" s="16" t="str">
        <f t="shared" si="0"/>
        <v>-</v>
      </c>
      <c r="H17" s="3"/>
    </row>
    <row r="18" spans="1:8">
      <c r="A18" s="12" t="s">
        <v>21</v>
      </c>
      <c r="B18" s="13">
        <v>0</v>
      </c>
      <c r="C18" s="13"/>
      <c r="D18" s="13"/>
      <c r="E18" s="13"/>
      <c r="F18" s="15" t="str">
        <f t="shared" si="0"/>
        <v>-</v>
      </c>
      <c r="G18" s="16" t="str">
        <f t="shared" si="0"/>
        <v>-</v>
      </c>
      <c r="H18" s="3"/>
    </row>
    <row r="19" spans="1:8">
      <c r="A19" s="12" t="s">
        <v>22</v>
      </c>
      <c r="B19" s="13">
        <v>0</v>
      </c>
      <c r="C19" s="13">
        <v>0</v>
      </c>
      <c r="D19" s="13"/>
      <c r="E19" s="14">
        <v>0</v>
      </c>
      <c r="F19" s="15" t="str">
        <f t="shared" si="0"/>
        <v>-</v>
      </c>
      <c r="G19" s="16" t="str">
        <f t="shared" si="0"/>
        <v>-</v>
      </c>
      <c r="H19" s="18"/>
    </row>
    <row r="20" spans="1:8">
      <c r="A20" s="12" t="s">
        <v>23</v>
      </c>
      <c r="B20" s="13">
        <v>0</v>
      </c>
      <c r="C20" s="13">
        <v>343</v>
      </c>
      <c r="D20" s="13">
        <v>0</v>
      </c>
      <c r="E20" s="14">
        <v>0</v>
      </c>
      <c r="F20" s="15" t="str">
        <f t="shared" si="0"/>
        <v>-</v>
      </c>
      <c r="G20" s="16" t="str">
        <f t="shared" si="0"/>
        <v>-</v>
      </c>
      <c r="H20" s="3"/>
    </row>
    <row r="21" spans="1:8">
      <c r="A21" s="12" t="s">
        <v>24</v>
      </c>
      <c r="B21" s="13">
        <v>0</v>
      </c>
      <c r="C21" s="13">
        <v>0</v>
      </c>
      <c r="D21" s="13">
        <v>0</v>
      </c>
      <c r="E21" s="14">
        <v>0</v>
      </c>
      <c r="F21" s="15" t="str">
        <f t="shared" si="0"/>
        <v>-</v>
      </c>
      <c r="G21" s="16" t="str">
        <f t="shared" si="0"/>
        <v>-</v>
      </c>
      <c r="H21" s="18"/>
    </row>
    <row r="22" spans="1:8">
      <c r="A22" s="12" t="s">
        <v>25</v>
      </c>
      <c r="B22" s="13">
        <v>0</v>
      </c>
      <c r="C22" s="13">
        <v>325.5</v>
      </c>
      <c r="D22" s="13">
        <v>325.5</v>
      </c>
      <c r="E22" s="14">
        <v>0</v>
      </c>
      <c r="F22" s="15">
        <f t="shared" si="0"/>
        <v>0</v>
      </c>
      <c r="G22" s="16" t="str">
        <f t="shared" si="0"/>
        <v>-</v>
      </c>
      <c r="H22" s="19"/>
    </row>
    <row r="23" spans="1:8">
      <c r="A23" s="20" t="s">
        <v>26</v>
      </c>
      <c r="B23" s="21">
        <f>SUM(B12:B22)</f>
        <v>0</v>
      </c>
      <c r="C23" s="21">
        <f>SUM(C12:C22)</f>
        <v>14658293.5</v>
      </c>
      <c r="D23" s="21">
        <f>SUM(D12:D22)</f>
        <v>9326924.5</v>
      </c>
      <c r="E23" s="22">
        <f>SUM(E12:E22)</f>
        <v>0</v>
      </c>
      <c r="F23" s="23">
        <f>IFERROR((C23/D23)-1,"-")</f>
        <v>0.57161060969240185</v>
      </c>
      <c r="G23" s="24" t="str">
        <f>IFERROR((D23/E23)-1,"-")</f>
        <v>-</v>
      </c>
      <c r="H23" s="2"/>
    </row>
    <row r="24" spans="1:8">
      <c r="A24" s="25" t="s">
        <v>27</v>
      </c>
      <c r="B24" s="13">
        <v>0</v>
      </c>
      <c r="C24" s="13">
        <f>17379058.06+12977432-18781579.44</f>
        <v>11574910.619999997</v>
      </c>
      <c r="D24" s="13">
        <f>14171303.94+10745817-17379058.06</f>
        <v>7538062.879999999</v>
      </c>
      <c r="E24" s="14">
        <v>0</v>
      </c>
      <c r="F24" s="15">
        <f>IFERROR((C24-D24)/D24,"-")</f>
        <v>0.53552853090554198</v>
      </c>
      <c r="G24" s="16" t="str">
        <f>IFERROR((D24-E24)/E24,"-")</f>
        <v>-</v>
      </c>
      <c r="H24" s="2"/>
    </row>
    <row r="25" spans="1:8">
      <c r="A25" s="25" t="s">
        <v>28</v>
      </c>
      <c r="B25" s="13">
        <v>0</v>
      </c>
      <c r="C25" s="13">
        <f>116100+12508+215760</f>
        <v>344368</v>
      </c>
      <c r="D25" s="13">
        <f>77300+4169+1550</f>
        <v>83019</v>
      </c>
      <c r="E25" s="14">
        <v>0</v>
      </c>
      <c r="F25" s="15">
        <f>IFERROR((C25-D25)/D25,"-")</f>
        <v>3.148062491718763</v>
      </c>
      <c r="G25" s="16" t="str">
        <f>IFERROR((D25-E25)/E25,"-")</f>
        <v>-</v>
      </c>
      <c r="H25" s="2"/>
    </row>
    <row r="26" spans="1:8">
      <c r="A26" s="20" t="s">
        <v>29</v>
      </c>
      <c r="B26" s="21">
        <f>+B23-B24-B25</f>
        <v>0</v>
      </c>
      <c r="C26" s="21">
        <f>+C23-C24-C25</f>
        <v>2739014.8800000027</v>
      </c>
      <c r="D26" s="21">
        <f>+D23-D24-D25</f>
        <v>1705842.620000001</v>
      </c>
      <c r="E26" s="22">
        <f>+E23-E24-E25</f>
        <v>0</v>
      </c>
      <c r="F26" s="23">
        <f>IFERROR((C26/D26)-1,"-")</f>
        <v>0.60566681116221677</v>
      </c>
      <c r="G26" s="24" t="str">
        <f>IFERROR((D26/E26)-1,"-")</f>
        <v>-</v>
      </c>
      <c r="H26" s="2"/>
    </row>
    <row r="27" spans="1:8">
      <c r="A27" s="25" t="s">
        <v>30</v>
      </c>
      <c r="B27" s="13">
        <v>0</v>
      </c>
      <c r="C27" s="13">
        <v>0</v>
      </c>
      <c r="D27" s="13">
        <v>0</v>
      </c>
      <c r="E27" s="14">
        <v>0</v>
      </c>
      <c r="F27" s="15" t="str">
        <f t="shared" ref="F27:G30" si="1">IFERROR((C27-D27)/D27,"-")</f>
        <v>-</v>
      </c>
      <c r="G27" s="16" t="str">
        <f t="shared" si="1"/>
        <v>-</v>
      </c>
      <c r="H27" s="19"/>
    </row>
    <row r="28" spans="1:8">
      <c r="A28" s="25" t="s">
        <v>31</v>
      </c>
      <c r="B28" s="13">
        <v>0</v>
      </c>
      <c r="C28" s="13">
        <v>916500</v>
      </c>
      <c r="D28" s="13">
        <v>366500</v>
      </c>
      <c r="E28" s="14">
        <v>0</v>
      </c>
      <c r="F28" s="15">
        <f t="shared" si="1"/>
        <v>1.500682128240109</v>
      </c>
      <c r="G28" s="16" t="str">
        <f t="shared" si="1"/>
        <v>-</v>
      </c>
      <c r="H28" s="2"/>
    </row>
    <row r="29" spans="1:8">
      <c r="A29" s="25" t="s">
        <v>32</v>
      </c>
      <c r="B29" s="13">
        <v>0</v>
      </c>
      <c r="C29" s="13">
        <f>24000+15000+5243.08+72434.8+187500.18+48444+28465+18689+34721.43+37852+6360+138+1000+7000+3588+140766+87811+250+450+38980.25+18300</f>
        <v>776992.74</v>
      </c>
      <c r="D29" s="13">
        <f>24000+15000+6883.53+60175.41+120879.6+30977+183500+19400+11685+18895.78+36104+7632+700.96+1000+7000+34850.35+5100+24053+142259.18+64184+17204</f>
        <v>831483.81</v>
      </c>
      <c r="E29" s="14">
        <v>0</v>
      </c>
      <c r="F29" s="15">
        <f t="shared" si="1"/>
        <v>-6.5534733622774996E-2</v>
      </c>
      <c r="G29" s="16" t="str">
        <f t="shared" si="1"/>
        <v>-</v>
      </c>
      <c r="H29" s="2"/>
    </row>
    <row r="30" spans="1:8">
      <c r="A30" s="25" t="s">
        <v>33</v>
      </c>
      <c r="B30" s="13">
        <v>0</v>
      </c>
      <c r="C30" s="13">
        <v>0</v>
      </c>
      <c r="D30" s="13">
        <v>0</v>
      </c>
      <c r="E30" s="14">
        <v>0</v>
      </c>
      <c r="F30" s="15" t="str">
        <f t="shared" si="1"/>
        <v>-</v>
      </c>
      <c r="G30" s="16" t="str">
        <f t="shared" si="1"/>
        <v>-</v>
      </c>
      <c r="H30" s="2"/>
    </row>
    <row r="31" spans="1:8">
      <c r="A31" s="20" t="s">
        <v>34</v>
      </c>
      <c r="B31" s="21">
        <f>B26+B27-SUM(B28:B30)</f>
        <v>0</v>
      </c>
      <c r="C31" s="21">
        <f>C26+C27-SUM(C28:C30)</f>
        <v>1045522.1400000027</v>
      </c>
      <c r="D31" s="21">
        <f>D26+D27-SUM(D28:D30)</f>
        <v>507858.81000000099</v>
      </c>
      <c r="E31" s="22">
        <f>E26+E27-SUM(E28:E30)</f>
        <v>0</v>
      </c>
      <c r="F31" s="23">
        <f>IFERROR((C31/D31)-1,"-")</f>
        <v>1.0586866259147905</v>
      </c>
      <c r="G31" s="24" t="str">
        <f>IFERROR((D31/E31)-1,"-")</f>
        <v>-</v>
      </c>
      <c r="H31" s="19"/>
    </row>
    <row r="32" spans="1:8">
      <c r="A32" s="25" t="s">
        <v>35</v>
      </c>
      <c r="B32" s="13">
        <v>0</v>
      </c>
      <c r="C32" s="13">
        <v>61334.49</v>
      </c>
      <c r="D32" s="13">
        <v>65911.78</v>
      </c>
      <c r="E32" s="14">
        <v>0</v>
      </c>
      <c r="F32" s="15">
        <f t="shared" ref="F32:G35" si="2">IFERROR((C32-D32)/D32,"-")</f>
        <v>-6.9445704546289011E-2</v>
      </c>
      <c r="G32" s="16" t="str">
        <f t="shared" si="2"/>
        <v>-</v>
      </c>
      <c r="H32" s="19"/>
    </row>
    <row r="33" spans="1:8">
      <c r="A33" s="25" t="s">
        <v>36</v>
      </c>
      <c r="B33" s="13">
        <v>0</v>
      </c>
      <c r="C33" s="13">
        <v>0</v>
      </c>
      <c r="D33" s="13" t="s">
        <v>791</v>
      </c>
      <c r="E33" s="14">
        <v>0</v>
      </c>
      <c r="F33" s="15" t="str">
        <f t="shared" si="2"/>
        <v>-</v>
      </c>
      <c r="G33" s="16" t="str">
        <f t="shared" si="2"/>
        <v>-</v>
      </c>
      <c r="H33" s="19"/>
    </row>
    <row r="34" spans="1:8">
      <c r="A34" s="26" t="s">
        <v>37</v>
      </c>
      <c r="B34" s="13">
        <v>0</v>
      </c>
      <c r="C34" s="13">
        <v>0</v>
      </c>
      <c r="D34" s="13">
        <v>0</v>
      </c>
      <c r="E34" s="14">
        <v>0</v>
      </c>
      <c r="F34" s="15" t="str">
        <f t="shared" si="2"/>
        <v>-</v>
      </c>
      <c r="G34" s="16" t="str">
        <f t="shared" si="2"/>
        <v>-</v>
      </c>
      <c r="H34" s="19"/>
    </row>
    <row r="35" spans="1:8" ht="15" thickBot="1">
      <c r="A35" s="26" t="s">
        <v>38</v>
      </c>
      <c r="B35" s="13">
        <v>0</v>
      </c>
      <c r="C35" s="13">
        <v>0</v>
      </c>
      <c r="D35" s="13">
        <v>0</v>
      </c>
      <c r="E35" s="14">
        <v>0</v>
      </c>
      <c r="F35" s="15" t="str">
        <f t="shared" si="2"/>
        <v>-</v>
      </c>
      <c r="G35" s="27" t="str">
        <f t="shared" si="2"/>
        <v>-</v>
      </c>
      <c r="H35" s="19"/>
    </row>
    <row r="36" spans="1:8" ht="15" thickBot="1">
      <c r="A36" s="20" t="s">
        <v>39</v>
      </c>
      <c r="B36" s="21">
        <f>+B31-SUM(B32:B35)</f>
        <v>0</v>
      </c>
      <c r="C36" s="21">
        <f>+C31-SUM(C32:C35)</f>
        <v>984187.6500000027</v>
      </c>
      <c r="D36" s="21">
        <f>+D31-SUM(D32:D35)</f>
        <v>441947.03000000096</v>
      </c>
      <c r="E36" s="22">
        <f>+E31-SUM(E32:E35)</f>
        <v>0</v>
      </c>
      <c r="F36" s="28">
        <f>IFERROR((C36/D36)-1,"-")</f>
        <v>1.2269357710131019</v>
      </c>
      <c r="G36" s="29" t="str">
        <f>IFERROR((D36/E36)-1,"-")</f>
        <v>-</v>
      </c>
      <c r="H36" s="19"/>
    </row>
    <row r="37" spans="1:8">
      <c r="A37" s="25" t="s">
        <v>40</v>
      </c>
      <c r="B37" s="13">
        <v>0</v>
      </c>
      <c r="C37" s="13">
        <v>0</v>
      </c>
      <c r="D37" s="13">
        <v>9000</v>
      </c>
      <c r="E37" s="14">
        <v>0</v>
      </c>
      <c r="F37" s="15">
        <f>IFERROR((C37-D37)/D37,"-")</f>
        <v>-1</v>
      </c>
      <c r="G37" s="16" t="str">
        <f>IFERROR((D37-E37)/E37,"-")</f>
        <v>-</v>
      </c>
      <c r="H37" s="19"/>
    </row>
    <row r="38" spans="1:8">
      <c r="A38" s="25" t="s">
        <v>41</v>
      </c>
      <c r="B38" s="13">
        <v>0</v>
      </c>
      <c r="C38" s="13">
        <v>0</v>
      </c>
      <c r="D38" s="13">
        <v>0</v>
      </c>
      <c r="E38" s="14">
        <v>0</v>
      </c>
      <c r="F38" s="15" t="str">
        <f>IFERROR((C38-D38)/D38,"-")</f>
        <v>-</v>
      </c>
      <c r="G38" s="16" t="str">
        <f>IFERROR((D38-E38)/E38,"-")</f>
        <v>-</v>
      </c>
      <c r="H38" s="19"/>
    </row>
    <row r="39" spans="1:8">
      <c r="A39" s="25" t="s">
        <v>42</v>
      </c>
      <c r="B39" s="13">
        <v>0</v>
      </c>
      <c r="C39" s="13">
        <v>0</v>
      </c>
      <c r="D39" s="13">
        <v>0</v>
      </c>
      <c r="E39" s="14">
        <v>0</v>
      </c>
      <c r="F39" s="15" t="str">
        <f t="shared" ref="F39:G48" si="3">IFERROR((C39-D39)/D39,"-")</f>
        <v>-</v>
      </c>
      <c r="G39" s="16" t="str">
        <f t="shared" si="3"/>
        <v>-</v>
      </c>
      <c r="H39" s="19"/>
    </row>
    <row r="40" spans="1:8" ht="15" thickBot="1">
      <c r="A40" s="25" t="s">
        <v>43</v>
      </c>
      <c r="B40" s="13">
        <v>0</v>
      </c>
      <c r="C40" s="13">
        <v>0</v>
      </c>
      <c r="D40" s="13">
        <v>0</v>
      </c>
      <c r="E40" s="14">
        <v>0</v>
      </c>
      <c r="F40" s="15" t="str">
        <f t="shared" si="3"/>
        <v>-</v>
      </c>
      <c r="G40" s="27" t="str">
        <f t="shared" si="3"/>
        <v>-</v>
      </c>
      <c r="H40" s="19"/>
    </row>
    <row r="41" spans="1:8" ht="15" thickBot="1">
      <c r="A41" s="25" t="s">
        <v>44</v>
      </c>
      <c r="B41" s="13">
        <v>0</v>
      </c>
      <c r="C41" s="13">
        <v>0</v>
      </c>
      <c r="D41" s="13">
        <v>0</v>
      </c>
      <c r="E41" s="14">
        <v>0</v>
      </c>
      <c r="F41" s="30" t="str">
        <f t="shared" si="3"/>
        <v>-</v>
      </c>
      <c r="G41" s="31" t="str">
        <f t="shared" si="3"/>
        <v>-</v>
      </c>
      <c r="H41" s="19"/>
    </row>
    <row r="42" spans="1:8">
      <c r="A42" s="20" t="s">
        <v>45</v>
      </c>
      <c r="B42" s="21">
        <f>+B36-SUM(B37:B41)</f>
        <v>0</v>
      </c>
      <c r="C42" s="21">
        <f>+C36-SUM(C37:C41)</f>
        <v>984187.6500000027</v>
      </c>
      <c r="D42" s="21">
        <f>+D36-SUM(D37:D41)</f>
        <v>432947.03000000096</v>
      </c>
      <c r="E42" s="22">
        <f>+E36-SUM(E37:E41)</f>
        <v>0</v>
      </c>
      <c r="F42" s="32">
        <f t="shared" si="3"/>
        <v>1.2732287827450868</v>
      </c>
      <c r="G42" s="33" t="str">
        <f t="shared" si="3"/>
        <v>-</v>
      </c>
      <c r="H42" s="19"/>
    </row>
    <row r="43" spans="1:8">
      <c r="A43" s="34" t="s">
        <v>46</v>
      </c>
      <c r="B43" s="13">
        <v>0</v>
      </c>
      <c r="C43" s="13">
        <v>57990</v>
      </c>
      <c r="D43" s="13">
        <v>62448</v>
      </c>
      <c r="E43" s="14">
        <v>0</v>
      </c>
      <c r="F43" s="15">
        <f t="shared" si="3"/>
        <v>-7.1387394312067642E-2</v>
      </c>
      <c r="G43" s="16" t="str">
        <f t="shared" si="3"/>
        <v>-</v>
      </c>
      <c r="H43" s="2"/>
    </row>
    <row r="44" spans="1:8">
      <c r="A44" s="20" t="s">
        <v>47</v>
      </c>
      <c r="B44" s="21">
        <f>+B42-B43</f>
        <v>0</v>
      </c>
      <c r="C44" s="21">
        <f>+C42-C43</f>
        <v>926197.6500000027</v>
      </c>
      <c r="D44" s="21">
        <f>+D42-D43</f>
        <v>370499.03000000096</v>
      </c>
      <c r="E44" s="22">
        <f>+E42-E43</f>
        <v>0</v>
      </c>
      <c r="F44" s="32">
        <f t="shared" si="3"/>
        <v>1.4998652493098303</v>
      </c>
      <c r="G44" s="33" t="str">
        <f t="shared" si="3"/>
        <v>-</v>
      </c>
      <c r="H44" s="2"/>
    </row>
    <row r="45" spans="1:8">
      <c r="A45" s="34" t="s">
        <v>48</v>
      </c>
      <c r="B45" s="13"/>
      <c r="C45" s="13"/>
      <c r="D45" s="13"/>
      <c r="E45" s="14"/>
      <c r="F45" s="15" t="str">
        <f t="shared" si="3"/>
        <v>-</v>
      </c>
      <c r="G45" s="16" t="str">
        <f t="shared" si="3"/>
        <v>-</v>
      </c>
      <c r="H45" s="2"/>
    </row>
    <row r="46" spans="1:8">
      <c r="A46" s="34" t="s">
        <v>49</v>
      </c>
      <c r="B46" s="13"/>
      <c r="C46" s="13"/>
      <c r="D46" s="13"/>
      <c r="E46" s="14"/>
      <c r="F46" s="15" t="str">
        <f t="shared" si="3"/>
        <v>-</v>
      </c>
      <c r="G46" s="16" t="str">
        <f t="shared" si="3"/>
        <v>-</v>
      </c>
      <c r="H46" s="2"/>
    </row>
    <row r="47" spans="1:8">
      <c r="A47" s="20" t="s">
        <v>50</v>
      </c>
      <c r="B47" s="21">
        <f>+B44-SUM(B45:B46)</f>
        <v>0</v>
      </c>
      <c r="C47" s="21">
        <f>+C44-SUM(C45:C46)</f>
        <v>926197.6500000027</v>
      </c>
      <c r="D47" s="21">
        <f>+D44-SUM(D45:D46)</f>
        <v>370499.03000000096</v>
      </c>
      <c r="E47" s="22">
        <f>+E44-SUM(E45:E46)</f>
        <v>0</v>
      </c>
      <c r="F47" s="32">
        <f t="shared" si="3"/>
        <v>1.4998652493098303</v>
      </c>
      <c r="G47" s="33" t="str">
        <f t="shared" si="3"/>
        <v>-</v>
      </c>
      <c r="H47" s="2"/>
    </row>
    <row r="48" spans="1:8" ht="15" thickBot="1">
      <c r="A48" s="20" t="s">
        <v>51</v>
      </c>
      <c r="B48" s="21">
        <f>+B44+B41+B39+B32+B40</f>
        <v>0</v>
      </c>
      <c r="C48" s="21">
        <f>+C44+C41+C39+C32+C40</f>
        <v>987532.14000000269</v>
      </c>
      <c r="D48" s="21">
        <f>+D44+D41+D39+D32+D40</f>
        <v>436410.81000000099</v>
      </c>
      <c r="E48" s="22">
        <f>+E44+E41+E39+E32+E40</f>
        <v>0</v>
      </c>
      <c r="F48" s="35">
        <f t="shared" si="3"/>
        <v>1.2628498592874005</v>
      </c>
      <c r="G48" s="36" t="str">
        <f t="shared" si="3"/>
        <v>-</v>
      </c>
      <c r="H48" s="2"/>
    </row>
    <row r="49" spans="1:8" ht="15" thickBot="1">
      <c r="A49" s="551"/>
      <c r="B49" s="551"/>
      <c r="C49" s="551"/>
      <c r="D49" s="551"/>
      <c r="E49" s="551"/>
      <c r="F49" s="37"/>
      <c r="G49" s="38"/>
      <c r="H49" s="39"/>
    </row>
    <row r="50" spans="1:8" ht="15" thickBot="1">
      <c r="A50" s="8" t="s">
        <v>52</v>
      </c>
      <c r="B50" s="8" t="s">
        <v>14</v>
      </c>
      <c r="C50" s="9" t="s">
        <v>106</v>
      </c>
      <c r="D50" s="9" t="s">
        <v>107</v>
      </c>
      <c r="E50" s="9" t="s">
        <v>108</v>
      </c>
      <c r="F50" s="40" t="s">
        <v>109</v>
      </c>
      <c r="G50" s="41" t="s">
        <v>109</v>
      </c>
      <c r="H50" s="2"/>
    </row>
    <row r="51" spans="1:8">
      <c r="A51" s="25" t="s">
        <v>53</v>
      </c>
      <c r="B51" s="13">
        <v>0</v>
      </c>
      <c r="C51" s="13">
        <v>11697482.300000001</v>
      </c>
      <c r="D51" s="13">
        <v>12771710.210000001</v>
      </c>
      <c r="E51" s="14">
        <v>0</v>
      </c>
      <c r="F51" s="15">
        <f t="shared" ref="F51:G83" si="4">IFERROR((C51-D51)/D51,"-")</f>
        <v>-8.4109950220989244E-2</v>
      </c>
      <c r="G51" s="16" t="str">
        <f t="shared" si="4"/>
        <v>-</v>
      </c>
      <c r="H51" s="2"/>
    </row>
    <row r="52" spans="1:8">
      <c r="A52" s="25" t="s">
        <v>54</v>
      </c>
      <c r="B52" s="13">
        <v>0</v>
      </c>
      <c r="C52" s="13">
        <v>0</v>
      </c>
      <c r="D52" s="13">
        <v>0</v>
      </c>
      <c r="E52" s="14">
        <v>0</v>
      </c>
      <c r="F52" s="15" t="str">
        <f t="shared" si="4"/>
        <v>-</v>
      </c>
      <c r="G52" s="16" t="str">
        <f t="shared" si="4"/>
        <v>-</v>
      </c>
      <c r="H52" s="2"/>
    </row>
    <row r="53" spans="1:8">
      <c r="A53" s="25" t="s">
        <v>55</v>
      </c>
      <c r="B53" s="13">
        <v>0</v>
      </c>
      <c r="C53" s="13">
        <v>0</v>
      </c>
      <c r="D53" s="13">
        <v>0</v>
      </c>
      <c r="E53" s="14">
        <v>0</v>
      </c>
      <c r="F53" s="15" t="str">
        <f t="shared" si="4"/>
        <v>-</v>
      </c>
      <c r="G53" s="16" t="str">
        <f t="shared" si="4"/>
        <v>-</v>
      </c>
      <c r="H53" s="2"/>
    </row>
    <row r="54" spans="1:8">
      <c r="A54" s="25" t="s">
        <v>56</v>
      </c>
      <c r="B54" s="13">
        <v>0</v>
      </c>
      <c r="C54" s="13">
        <v>0</v>
      </c>
      <c r="D54" s="13">
        <v>0</v>
      </c>
      <c r="E54" s="14">
        <v>0</v>
      </c>
      <c r="F54" s="15" t="str">
        <f t="shared" si="4"/>
        <v>-</v>
      </c>
      <c r="G54" s="16" t="str">
        <f t="shared" si="4"/>
        <v>-</v>
      </c>
      <c r="H54" s="2"/>
    </row>
    <row r="55" spans="1:8">
      <c r="A55" s="20" t="s">
        <v>57</v>
      </c>
      <c r="B55" s="21">
        <f>SUM(B51:B53)+B54</f>
        <v>0</v>
      </c>
      <c r="C55" s="21">
        <f>SUM(C51:C53)+C54</f>
        <v>11697482.300000001</v>
      </c>
      <c r="D55" s="21">
        <f>SUM(D51:D53)+D54</f>
        <v>12771710.210000001</v>
      </c>
      <c r="E55" s="22">
        <f>SUM(E51:E53)+E54</f>
        <v>0</v>
      </c>
      <c r="F55" s="32">
        <f t="shared" si="4"/>
        <v>-8.4109950220989244E-2</v>
      </c>
      <c r="G55" s="33" t="str">
        <f t="shared" si="4"/>
        <v>-</v>
      </c>
      <c r="H55" s="2"/>
    </row>
    <row r="56" spans="1:8">
      <c r="A56" s="25" t="s">
        <v>58</v>
      </c>
      <c r="B56" s="13">
        <v>0</v>
      </c>
      <c r="C56" s="13">
        <v>0</v>
      </c>
      <c r="D56" s="13">
        <v>0</v>
      </c>
      <c r="E56" s="14">
        <v>0</v>
      </c>
      <c r="F56" s="15" t="str">
        <f t="shared" si="4"/>
        <v>-</v>
      </c>
      <c r="G56" s="16" t="str">
        <f t="shared" si="4"/>
        <v>-</v>
      </c>
      <c r="H56" s="19"/>
    </row>
    <row r="57" spans="1:8">
      <c r="A57" s="25" t="s">
        <v>59</v>
      </c>
      <c r="B57" s="13">
        <v>0</v>
      </c>
      <c r="C57" s="13">
        <v>0</v>
      </c>
      <c r="D57" s="13">
        <v>0</v>
      </c>
      <c r="E57" s="14">
        <v>0</v>
      </c>
      <c r="F57" s="15" t="str">
        <f t="shared" si="4"/>
        <v>-</v>
      </c>
      <c r="G57" s="16" t="str">
        <f t="shared" si="4"/>
        <v>-</v>
      </c>
      <c r="H57" s="2"/>
    </row>
    <row r="58" spans="1:8">
      <c r="A58" s="42" t="s">
        <v>60</v>
      </c>
      <c r="B58" s="21">
        <f>+SUM(B55:B56)-B57</f>
        <v>0</v>
      </c>
      <c r="C58" s="21">
        <f>+SUM(C55:C56)-C57</f>
        <v>11697482.300000001</v>
      </c>
      <c r="D58" s="21">
        <f>+SUM(D55:D56)-D57</f>
        <v>12771710.210000001</v>
      </c>
      <c r="E58" s="22">
        <f>+SUM(E55:E56)-E57</f>
        <v>0</v>
      </c>
      <c r="F58" s="32">
        <f t="shared" si="4"/>
        <v>-8.4109950220989244E-2</v>
      </c>
      <c r="G58" s="33" t="str">
        <f t="shared" si="4"/>
        <v>-</v>
      </c>
      <c r="H58" s="2"/>
    </row>
    <row r="59" spans="1:8">
      <c r="A59" s="25" t="s">
        <v>61</v>
      </c>
      <c r="B59" s="13">
        <v>0</v>
      </c>
      <c r="C59" s="13">
        <v>0</v>
      </c>
      <c r="D59" s="13">
        <v>0</v>
      </c>
      <c r="E59" s="14">
        <v>0</v>
      </c>
      <c r="F59" s="15" t="str">
        <f t="shared" si="4"/>
        <v>-</v>
      </c>
      <c r="G59" s="16" t="str">
        <f t="shared" si="4"/>
        <v>-</v>
      </c>
      <c r="H59" s="2"/>
    </row>
    <row r="60" spans="1:8">
      <c r="A60" s="25" t="s">
        <v>62</v>
      </c>
      <c r="B60" s="13">
        <v>0</v>
      </c>
      <c r="C60" s="13">
        <v>275000</v>
      </c>
      <c r="D60" s="13">
        <v>293750</v>
      </c>
      <c r="E60" s="14">
        <v>0</v>
      </c>
      <c r="F60" s="15">
        <f t="shared" si="4"/>
        <v>-6.3829787234042548E-2</v>
      </c>
      <c r="G60" s="16" t="str">
        <f t="shared" si="4"/>
        <v>-</v>
      </c>
      <c r="H60" s="2"/>
    </row>
    <row r="61" spans="1:8">
      <c r="A61" s="20" t="s">
        <v>63</v>
      </c>
      <c r="B61" s="21">
        <f>+SUM(B58:B60)</f>
        <v>0</v>
      </c>
      <c r="C61" s="21">
        <f>+SUM(C58:C60)</f>
        <v>11972482.300000001</v>
      </c>
      <c r="D61" s="21">
        <f>+SUM(D58:D60)</f>
        <v>13065460.210000001</v>
      </c>
      <c r="E61" s="22">
        <f>+SUM(E58:E60)</f>
        <v>0</v>
      </c>
      <c r="F61" s="32">
        <f t="shared" si="4"/>
        <v>-8.36539924681306E-2</v>
      </c>
      <c r="G61" s="33" t="str">
        <f t="shared" si="4"/>
        <v>-</v>
      </c>
      <c r="H61" s="2"/>
    </row>
    <row r="62" spans="1:8">
      <c r="A62" s="34"/>
      <c r="B62" s="34"/>
      <c r="C62" s="43"/>
      <c r="D62" s="43"/>
      <c r="E62" s="44"/>
      <c r="F62" s="15" t="str">
        <f t="shared" si="4"/>
        <v>-</v>
      </c>
      <c r="G62" s="16" t="str">
        <f t="shared" si="4"/>
        <v>-</v>
      </c>
      <c r="H62" s="2"/>
    </row>
    <row r="63" spans="1:8">
      <c r="A63" s="43" t="s">
        <v>64</v>
      </c>
      <c r="B63" s="13">
        <v>0</v>
      </c>
      <c r="C63" s="13">
        <v>380387.48</v>
      </c>
      <c r="D63" s="13">
        <v>397887.97</v>
      </c>
      <c r="E63" s="14">
        <v>0</v>
      </c>
      <c r="F63" s="15">
        <f t="shared" si="4"/>
        <v>-4.3983460972695385E-2</v>
      </c>
      <c r="G63" s="16" t="str">
        <f t="shared" si="4"/>
        <v>-</v>
      </c>
      <c r="H63" s="2"/>
    </row>
    <row r="64" spans="1:8">
      <c r="A64" s="43" t="s">
        <v>65</v>
      </c>
      <c r="B64" s="13">
        <v>0</v>
      </c>
      <c r="C64" s="13">
        <f>106910+59790</f>
        <v>166700</v>
      </c>
      <c r="D64" s="13">
        <f>76910+59790</f>
        <v>136700</v>
      </c>
      <c r="E64" s="14">
        <v>0</v>
      </c>
      <c r="F64" s="15">
        <f t="shared" si="4"/>
        <v>0.2194586686174104</v>
      </c>
      <c r="G64" s="16" t="str">
        <f t="shared" si="4"/>
        <v>-</v>
      </c>
      <c r="H64" s="2"/>
    </row>
    <row r="65" spans="1:8">
      <c r="A65" s="20" t="s">
        <v>66</v>
      </c>
      <c r="B65" s="21">
        <f>SUM(B66:B70)</f>
        <v>0</v>
      </c>
      <c r="C65" s="21">
        <f>SUM(C66:C70)</f>
        <v>19349614.68</v>
      </c>
      <c r="D65" s="21">
        <f>SUM(D66:D70)</f>
        <v>17606899.239999998</v>
      </c>
      <c r="E65" s="22">
        <f>SUM(E66:E70)</f>
        <v>0</v>
      </c>
      <c r="F65" s="32">
        <f t="shared" si="4"/>
        <v>9.8979122686227258E-2</v>
      </c>
      <c r="G65" s="33" t="str">
        <f t="shared" si="4"/>
        <v>-</v>
      </c>
      <c r="H65" s="2"/>
    </row>
    <row r="66" spans="1:8">
      <c r="A66" s="43" t="s">
        <v>67</v>
      </c>
      <c r="B66" s="13">
        <v>0</v>
      </c>
      <c r="C66" s="13">
        <v>18781579.440000001</v>
      </c>
      <c r="D66" s="13">
        <v>17379058.059999999</v>
      </c>
      <c r="E66" s="14">
        <v>0</v>
      </c>
      <c r="F66" s="15">
        <f t="shared" si="4"/>
        <v>8.0701806459124212E-2</v>
      </c>
      <c r="G66" s="16" t="str">
        <f t="shared" si="4"/>
        <v>-</v>
      </c>
      <c r="H66" s="2"/>
    </row>
    <row r="67" spans="1:8">
      <c r="A67" s="43" t="s">
        <v>68</v>
      </c>
      <c r="B67" s="13">
        <v>0</v>
      </c>
      <c r="C67" s="13">
        <v>28768</v>
      </c>
      <c r="D67" s="13">
        <v>2484</v>
      </c>
      <c r="E67" s="14">
        <v>0</v>
      </c>
      <c r="F67" s="15">
        <f t="shared" si="4"/>
        <v>10.581320450885668</v>
      </c>
      <c r="G67" s="16" t="str">
        <f t="shared" si="4"/>
        <v>-</v>
      </c>
      <c r="H67" s="19"/>
    </row>
    <row r="68" spans="1:8">
      <c r="A68" s="43" t="s">
        <v>69</v>
      </c>
      <c r="B68" s="13">
        <v>0</v>
      </c>
      <c r="C68" s="13">
        <v>55500</v>
      </c>
      <c r="D68" s="13">
        <v>53187</v>
      </c>
      <c r="E68" s="14">
        <v>0</v>
      </c>
      <c r="F68" s="15">
        <f t="shared" si="4"/>
        <v>4.3488070393141183E-2</v>
      </c>
      <c r="G68" s="16" t="str">
        <f t="shared" si="4"/>
        <v>-</v>
      </c>
      <c r="H68" s="2"/>
    </row>
    <row r="69" spans="1:8">
      <c r="A69" s="25" t="s">
        <v>70</v>
      </c>
      <c r="B69" s="13">
        <v>0</v>
      </c>
      <c r="C69" s="13">
        <f>131818.24+351949</f>
        <v>483767.24</v>
      </c>
      <c r="D69" s="13">
        <f>117447.18+54723</f>
        <v>172170.18</v>
      </c>
      <c r="E69" s="14">
        <v>0</v>
      </c>
      <c r="F69" s="15">
        <f t="shared" si="4"/>
        <v>1.8098201442317132</v>
      </c>
      <c r="G69" s="16" t="str">
        <f t="shared" si="4"/>
        <v>-</v>
      </c>
      <c r="H69" s="2"/>
    </row>
    <row r="70" spans="1:8">
      <c r="A70" s="43" t="s">
        <v>71</v>
      </c>
      <c r="B70" s="13">
        <v>0</v>
      </c>
      <c r="C70" s="13">
        <v>0</v>
      </c>
      <c r="D70" s="13">
        <v>0</v>
      </c>
      <c r="E70" s="14">
        <v>0</v>
      </c>
      <c r="F70" s="15" t="str">
        <f t="shared" si="4"/>
        <v>-</v>
      </c>
      <c r="G70" s="16" t="str">
        <f t="shared" si="4"/>
        <v>-</v>
      </c>
      <c r="H70" s="2"/>
    </row>
    <row r="71" spans="1:8">
      <c r="A71" s="20" t="s">
        <v>72</v>
      </c>
      <c r="B71" s="21">
        <f>SUM(B72:B75)</f>
        <v>0</v>
      </c>
      <c r="C71" s="21">
        <f>SUM(C72:C75)</f>
        <v>7924219.8600000003</v>
      </c>
      <c r="D71" s="21">
        <f>SUM(D72:D75)</f>
        <v>5076027</v>
      </c>
      <c r="E71" s="22">
        <f>SUM(E72:E75)</f>
        <v>0</v>
      </c>
      <c r="F71" s="32">
        <f t="shared" si="4"/>
        <v>0.56110671988151373</v>
      </c>
      <c r="G71" s="33" t="str">
        <f t="shared" si="4"/>
        <v>-</v>
      </c>
      <c r="H71" s="2"/>
    </row>
    <row r="72" spans="1:8">
      <c r="A72" s="25" t="s">
        <v>73</v>
      </c>
      <c r="B72" s="13">
        <v>0</v>
      </c>
      <c r="C72" s="13"/>
      <c r="D72" s="13"/>
      <c r="E72" s="13"/>
      <c r="F72" s="15" t="str">
        <f t="shared" si="4"/>
        <v>-</v>
      </c>
      <c r="G72" s="16" t="str">
        <f t="shared" si="4"/>
        <v>-</v>
      </c>
      <c r="H72" s="19"/>
    </row>
    <row r="73" spans="1:8">
      <c r="A73" s="25" t="s">
        <v>74</v>
      </c>
      <c r="B73" s="13">
        <v>0</v>
      </c>
      <c r="C73" s="13">
        <v>0</v>
      </c>
      <c r="D73" s="13">
        <v>0</v>
      </c>
      <c r="E73" s="14">
        <v>0</v>
      </c>
      <c r="F73" s="15" t="str">
        <f t="shared" si="4"/>
        <v>-</v>
      </c>
      <c r="G73" s="16" t="str">
        <f t="shared" si="4"/>
        <v>-</v>
      </c>
      <c r="H73" s="2"/>
    </row>
    <row r="74" spans="1:8">
      <c r="A74" s="25" t="s">
        <v>75</v>
      </c>
      <c r="B74" s="13">
        <v>0</v>
      </c>
      <c r="C74" s="13">
        <v>7924219.8600000003</v>
      </c>
      <c r="D74" s="13">
        <v>5076027</v>
      </c>
      <c r="E74" s="14">
        <v>0</v>
      </c>
      <c r="F74" s="15">
        <f t="shared" si="4"/>
        <v>0.56110671988151373</v>
      </c>
      <c r="G74" s="16" t="str">
        <f t="shared" si="4"/>
        <v>-</v>
      </c>
      <c r="H74" s="2"/>
    </row>
    <row r="75" spans="1:8">
      <c r="A75" s="25" t="s">
        <v>76</v>
      </c>
      <c r="B75" s="13">
        <v>0</v>
      </c>
      <c r="C75" s="13">
        <v>0</v>
      </c>
      <c r="D75" s="13">
        <v>0</v>
      </c>
      <c r="E75" s="14">
        <v>0</v>
      </c>
      <c r="F75" s="15" t="str">
        <f t="shared" si="4"/>
        <v>-</v>
      </c>
      <c r="G75" s="16" t="str">
        <f t="shared" si="4"/>
        <v>-</v>
      </c>
      <c r="H75" s="19"/>
    </row>
    <row r="76" spans="1:8">
      <c r="A76" s="42" t="s">
        <v>77</v>
      </c>
      <c r="B76" s="21">
        <f>+B65-B71</f>
        <v>0</v>
      </c>
      <c r="C76" s="21">
        <f>+C65-C71</f>
        <v>11425394.82</v>
      </c>
      <c r="D76" s="21">
        <f>+D65-D71</f>
        <v>12530872.239999998</v>
      </c>
      <c r="E76" s="22">
        <f>+E65-E71</f>
        <v>0</v>
      </c>
      <c r="F76" s="32">
        <f t="shared" si="4"/>
        <v>-8.8220308916021492E-2</v>
      </c>
      <c r="G76" s="33" t="str">
        <f t="shared" si="4"/>
        <v>-</v>
      </c>
      <c r="H76" s="2"/>
    </row>
    <row r="77" spans="1:8">
      <c r="A77" s="25" t="s">
        <v>78</v>
      </c>
      <c r="B77" s="25"/>
      <c r="C77" s="45"/>
      <c r="D77" s="45"/>
      <c r="E77" s="46"/>
      <c r="F77" s="15" t="str">
        <f t="shared" si="4"/>
        <v>-</v>
      </c>
      <c r="G77" s="16" t="str">
        <f t="shared" si="4"/>
        <v>-</v>
      </c>
      <c r="H77" s="2"/>
    </row>
    <row r="78" spans="1:8">
      <c r="A78" s="25" t="s">
        <v>79</v>
      </c>
      <c r="B78" s="13">
        <v>0</v>
      </c>
      <c r="C78" s="13">
        <v>0</v>
      </c>
      <c r="D78" s="13">
        <v>0</v>
      </c>
      <c r="E78" s="14">
        <v>0</v>
      </c>
      <c r="F78" s="15"/>
      <c r="G78" s="16" t="str">
        <f t="shared" si="4"/>
        <v>-</v>
      </c>
      <c r="H78" s="19"/>
    </row>
    <row r="79" spans="1:8">
      <c r="A79" s="25" t="s">
        <v>80</v>
      </c>
      <c r="B79" s="13">
        <v>0</v>
      </c>
      <c r="C79" s="13">
        <v>0</v>
      </c>
      <c r="D79" s="13">
        <v>0</v>
      </c>
      <c r="E79" s="14">
        <v>0</v>
      </c>
      <c r="F79" s="15" t="str">
        <f t="shared" si="4"/>
        <v>-</v>
      </c>
      <c r="G79" s="16" t="str">
        <f t="shared" si="4"/>
        <v>-</v>
      </c>
      <c r="H79" s="2"/>
    </row>
    <row r="80" spans="1:8">
      <c r="A80" s="25" t="s">
        <v>81</v>
      </c>
      <c r="B80" s="13">
        <v>0</v>
      </c>
      <c r="C80" s="13">
        <v>0</v>
      </c>
      <c r="D80" s="13"/>
      <c r="E80" s="14">
        <v>0</v>
      </c>
      <c r="F80" s="15" t="str">
        <f t="shared" si="4"/>
        <v>-</v>
      </c>
      <c r="G80" s="16" t="str">
        <f t="shared" si="4"/>
        <v>-</v>
      </c>
      <c r="H80" s="2"/>
    </row>
    <row r="81" spans="1:8">
      <c r="A81" s="20" t="s">
        <v>82</v>
      </c>
      <c r="B81" s="21">
        <f>+B76-SUM(B78:B80)</f>
        <v>0</v>
      </c>
      <c r="C81" s="21">
        <f>+C76-SUM(C78:C80)</f>
        <v>11425394.82</v>
      </c>
      <c r="D81" s="21">
        <f>+D76-SUM(D78:D80)</f>
        <v>12530872.239999998</v>
      </c>
      <c r="E81" s="22">
        <f>+E76-SUM(E78:E80)</f>
        <v>0</v>
      </c>
      <c r="F81" s="32">
        <f t="shared" si="4"/>
        <v>-8.8220308916021492E-2</v>
      </c>
      <c r="G81" s="33" t="str">
        <f t="shared" si="4"/>
        <v>-</v>
      </c>
      <c r="H81" s="2"/>
    </row>
    <row r="82" spans="1:8">
      <c r="A82" s="25" t="s">
        <v>83</v>
      </c>
      <c r="B82" s="13"/>
      <c r="C82" s="13">
        <v>0</v>
      </c>
      <c r="D82" s="13">
        <v>0</v>
      </c>
      <c r="E82" s="14">
        <v>0</v>
      </c>
      <c r="F82" s="15" t="str">
        <f t="shared" si="4"/>
        <v>-</v>
      </c>
      <c r="G82" s="16" t="str">
        <f t="shared" si="4"/>
        <v>-</v>
      </c>
      <c r="H82" s="2"/>
    </row>
    <row r="83" spans="1:8" ht="15" thickBot="1">
      <c r="A83" s="20" t="s">
        <v>84</v>
      </c>
      <c r="B83" s="21">
        <f>SUM(B63:B64)+B81+B82</f>
        <v>0</v>
      </c>
      <c r="C83" s="21">
        <f>SUM(C63:C64)+C81+C82</f>
        <v>11972482.300000001</v>
      </c>
      <c r="D83" s="21">
        <f>SUM(D63:D64)+D81+D82</f>
        <v>13065460.209999999</v>
      </c>
      <c r="E83" s="22">
        <f>SUM(E63:E64)+E81+E82</f>
        <v>0</v>
      </c>
      <c r="F83" s="35">
        <f t="shared" si="4"/>
        <v>-8.3653992468130475E-2</v>
      </c>
      <c r="G83" s="36" t="str">
        <f t="shared" si="4"/>
        <v>-</v>
      </c>
      <c r="H83" s="2"/>
    </row>
    <row r="84" spans="1:8">
      <c r="A84" s="47"/>
      <c r="B84" s="48">
        <f>B61-B83</f>
        <v>0</v>
      </c>
      <c r="C84" s="48">
        <f>C61-C83</f>
        <v>0</v>
      </c>
      <c r="D84" s="48">
        <f>D61-D83</f>
        <v>0</v>
      </c>
      <c r="E84" s="49">
        <f>E61-E83</f>
        <v>0</v>
      </c>
      <c r="F84" s="50"/>
      <c r="G84" s="51"/>
      <c r="H84" s="39"/>
    </row>
    <row r="85" spans="1:8">
      <c r="A85" s="52" t="s">
        <v>85</v>
      </c>
      <c r="B85" s="52" t="s">
        <v>14</v>
      </c>
      <c r="C85" s="53" t="str">
        <f>C50</f>
        <v>FY 2021-22</v>
      </c>
      <c r="D85" s="53" t="str">
        <f>D50</f>
        <v>FY 2020-21</v>
      </c>
      <c r="E85" s="54" t="str">
        <f>E50</f>
        <v>FY 2019-20</v>
      </c>
      <c r="F85" s="50"/>
      <c r="G85" s="51"/>
      <c r="H85" s="39"/>
    </row>
    <row r="86" spans="1:8">
      <c r="A86" s="52" t="s">
        <v>29</v>
      </c>
      <c r="B86" s="55" t="e">
        <f>B26/B23</f>
        <v>#DIV/0!</v>
      </c>
      <c r="C86" s="55">
        <f>C26/C23</f>
        <v>0.18685769117667092</v>
      </c>
      <c r="D86" s="55">
        <f>D26/D23</f>
        <v>0.1828944385686837</v>
      </c>
      <c r="E86" s="55" t="e">
        <f>E26/E23</f>
        <v>#DIV/0!</v>
      </c>
      <c r="F86" s="56"/>
      <c r="G86" s="57"/>
      <c r="H86" s="2"/>
    </row>
    <row r="87" spans="1:8">
      <c r="A87" s="52" t="s">
        <v>86</v>
      </c>
      <c r="B87" s="55" t="e">
        <f>(B42-B27)/B23</f>
        <v>#DIV/0!</v>
      </c>
      <c r="C87" s="55">
        <f>(C42-C27)/C23</f>
        <v>6.7142034644073867E-2</v>
      </c>
      <c r="D87" s="55">
        <f>(D42-D27)/D23</f>
        <v>4.641905592781425E-2</v>
      </c>
      <c r="E87" s="55" t="e">
        <f>(E42-E27)/E23</f>
        <v>#DIV/0!</v>
      </c>
      <c r="F87" s="56"/>
      <c r="G87" s="57"/>
      <c r="H87" s="2"/>
    </row>
    <row r="88" spans="1:8">
      <c r="A88" s="52" t="s">
        <v>87</v>
      </c>
      <c r="B88" s="55" t="e">
        <f>(B44-B27)/B23</f>
        <v>#DIV/0!</v>
      </c>
      <c r="C88" s="55">
        <f>(C44-C27)/C23</f>
        <v>6.3185912466550267E-2</v>
      </c>
      <c r="D88" s="55">
        <f>(D44-D27)/D23</f>
        <v>3.9723601279285682E-2</v>
      </c>
      <c r="E88" s="55" t="e">
        <f>(E44-E27)/E23</f>
        <v>#DIV/0!</v>
      </c>
      <c r="F88" s="56"/>
      <c r="G88" s="57"/>
      <c r="H88" s="2"/>
    </row>
    <row r="89" spans="1:8">
      <c r="A89" s="52" t="s">
        <v>88</v>
      </c>
      <c r="B89" s="55" t="e">
        <f>(B48-B27)/B23</f>
        <v>#DIV/0!</v>
      </c>
      <c r="C89" s="55">
        <f>(C48-C27)/C23</f>
        <v>6.7370198311283824E-2</v>
      </c>
      <c r="D89" s="55">
        <f>(D48-D27)/D23</f>
        <v>4.6790430221666422E-2</v>
      </c>
      <c r="E89" s="55" t="e">
        <f>(E48-E27)/E23</f>
        <v>#DIV/0!</v>
      </c>
      <c r="F89" s="56"/>
      <c r="G89" s="57"/>
      <c r="H89" s="3"/>
    </row>
    <row r="90" spans="1:8">
      <c r="A90" s="52" t="s">
        <v>89</v>
      </c>
      <c r="B90" s="21" t="e">
        <f>B31/(B37+B38)</f>
        <v>#DIV/0!</v>
      </c>
      <c r="C90" s="21" t="e">
        <f>C31/(C37+C38)</f>
        <v>#DIV/0!</v>
      </c>
      <c r="D90" s="21">
        <f>D31/(D37+D38)</f>
        <v>56.428756666666779</v>
      </c>
      <c r="E90" s="21" t="e">
        <f>E31/(E37+E38)</f>
        <v>#DIV/0!</v>
      </c>
      <c r="F90" s="56"/>
      <c r="G90" s="57"/>
      <c r="H90" s="3"/>
    </row>
    <row r="91" spans="1:8">
      <c r="A91" s="52" t="s">
        <v>90</v>
      </c>
      <c r="B91" s="21" t="e">
        <f>B67/B23*365</f>
        <v>#DIV/0!</v>
      </c>
      <c r="C91" s="21">
        <f>C67/C23*365</f>
        <v>0.71633986589230192</v>
      </c>
      <c r="D91" s="21">
        <f>D67/D23*365</f>
        <v>9.7208892384622603E-2</v>
      </c>
      <c r="E91" s="21" t="e">
        <f>E67/E23*365</f>
        <v>#DIV/0!</v>
      </c>
      <c r="F91" s="56"/>
      <c r="G91" s="57"/>
      <c r="H91" s="3"/>
    </row>
    <row r="92" spans="1:8">
      <c r="A92" s="52" t="s">
        <v>91</v>
      </c>
      <c r="B92" s="21" t="e">
        <f>B72/(B24+B25)*365</f>
        <v>#DIV/0!</v>
      </c>
      <c r="C92" s="21">
        <f>C72/(C24+C25)*365</f>
        <v>0</v>
      </c>
      <c r="D92" s="21">
        <f>D72/(D24+D25)*365</f>
        <v>0</v>
      </c>
      <c r="E92" s="21" t="e">
        <f>E72/(E24+E25)*365</f>
        <v>#DIV/0!</v>
      </c>
      <c r="F92" s="56"/>
      <c r="G92" s="57"/>
      <c r="H92" s="3"/>
    </row>
    <row r="93" spans="1:8">
      <c r="A93" s="52" t="s">
        <v>92</v>
      </c>
      <c r="B93" s="21" t="e">
        <f>B66/B23*365</f>
        <v>#DIV/0!</v>
      </c>
      <c r="C93" s="21">
        <f>C66/C23*365</f>
        <v>467.67220861009503</v>
      </c>
      <c r="D93" s="21">
        <f>D66/D23*365</f>
        <v>680.11231268142024</v>
      </c>
      <c r="E93" s="21" t="e">
        <f>E66/E23*365</f>
        <v>#DIV/0!</v>
      </c>
      <c r="F93" s="56"/>
      <c r="G93" s="57"/>
      <c r="H93" s="3"/>
    </row>
    <row r="94" spans="1:8">
      <c r="A94" s="52" t="s">
        <v>93</v>
      </c>
      <c r="B94" s="21">
        <f>B58</f>
        <v>0</v>
      </c>
      <c r="C94" s="21">
        <f>C58</f>
        <v>11697482.300000001</v>
      </c>
      <c r="D94" s="21">
        <f>D58</f>
        <v>12771710.210000001</v>
      </c>
      <c r="E94" s="21">
        <f>E58</f>
        <v>0</v>
      </c>
      <c r="F94" s="56"/>
      <c r="G94" s="57"/>
      <c r="H94" s="3"/>
    </row>
    <row r="95" spans="1:8">
      <c r="A95" s="52" t="s">
        <v>105</v>
      </c>
      <c r="B95" s="21">
        <f>B59+B60+B76</f>
        <v>0</v>
      </c>
      <c r="C95" s="21">
        <f>C59+C60+C78+C79+C80</f>
        <v>275000</v>
      </c>
      <c r="D95" s="21">
        <f>D59+D60+D78+D79+D80</f>
        <v>293750</v>
      </c>
      <c r="E95" s="21">
        <f>E59+E60+E78+E79+E80</f>
        <v>0</v>
      </c>
      <c r="F95" s="56"/>
      <c r="G95" s="57"/>
      <c r="H95" s="3"/>
    </row>
    <row r="96" spans="1:8">
      <c r="A96" s="52" t="s">
        <v>94</v>
      </c>
      <c r="B96" s="21">
        <f>B63+B64+B65</f>
        <v>0</v>
      </c>
      <c r="C96" s="21">
        <f>C63+C64+C65</f>
        <v>19896702.16</v>
      </c>
      <c r="D96" s="21">
        <f>D63+D64+D65</f>
        <v>18141487.209999997</v>
      </c>
      <c r="E96" s="21">
        <f>E63+E64+E65</f>
        <v>0</v>
      </c>
      <c r="F96" s="56"/>
      <c r="G96" s="57"/>
      <c r="H96" s="3"/>
    </row>
    <row r="97" spans="1:8">
      <c r="A97" s="52" t="s">
        <v>95</v>
      </c>
      <c r="B97" s="21">
        <f>B59+B60+B78+B79+B71+B80</f>
        <v>0</v>
      </c>
      <c r="C97" s="21">
        <f>C59+C60+C78+C79+C71+C80</f>
        <v>8199219.8600000003</v>
      </c>
      <c r="D97" s="21">
        <f>D59+D60+D78+D79+D71+D80</f>
        <v>5369777</v>
      </c>
      <c r="E97" s="21">
        <f>E59+E60+E78+E79+E71+E80</f>
        <v>0</v>
      </c>
      <c r="F97" s="56"/>
      <c r="G97" s="57"/>
      <c r="H97" s="3"/>
    </row>
    <row r="98" spans="1:8">
      <c r="A98" s="52" t="s">
        <v>96</v>
      </c>
      <c r="B98" s="21" t="e">
        <f>B95/B94</f>
        <v>#DIV/0!</v>
      </c>
      <c r="C98" s="21">
        <f>C95/C94</f>
        <v>2.3509332431304469E-2</v>
      </c>
      <c r="D98" s="21">
        <f>D95/D94</f>
        <v>2.3000052081513678E-2</v>
      </c>
      <c r="E98" s="21" t="e">
        <f>E95/E94</f>
        <v>#DIV/0!</v>
      </c>
      <c r="F98" s="56"/>
      <c r="G98" s="57"/>
      <c r="H98" s="3"/>
    </row>
    <row r="99" spans="1:8">
      <c r="A99" s="52" t="s">
        <v>97</v>
      </c>
      <c r="B99" s="21" t="e">
        <f>B97/B96</f>
        <v>#DIV/0!</v>
      </c>
      <c r="C99" s="21">
        <f>C97/C96</f>
        <v>0.41208939019470153</v>
      </c>
      <c r="D99" s="21">
        <f>D97/D96</f>
        <v>0.29599431060095543</v>
      </c>
      <c r="E99" s="21" t="e">
        <f>E97/E96</f>
        <v>#DIV/0!</v>
      </c>
      <c r="F99" s="56"/>
      <c r="G99" s="57"/>
      <c r="H99" s="3"/>
    </row>
    <row r="100" spans="1:8">
      <c r="A100" s="52" t="s">
        <v>98</v>
      </c>
      <c r="B100" s="21" t="e">
        <f>B97/B94</f>
        <v>#DIV/0!</v>
      </c>
      <c r="C100" s="21">
        <f>C97/C94</f>
        <v>0.70093885587670435</v>
      </c>
      <c r="D100" s="21">
        <f>D97/D94</f>
        <v>0.42044306609741028</v>
      </c>
      <c r="E100" s="21" t="e">
        <f>E97/E94</f>
        <v>#DIV/0!</v>
      </c>
      <c r="F100" s="56"/>
      <c r="G100" s="57"/>
      <c r="H100" s="3"/>
    </row>
    <row r="101" spans="1:8">
      <c r="A101" s="3"/>
      <c r="B101" s="3"/>
      <c r="C101" s="3"/>
      <c r="D101" s="60"/>
      <c r="E101" s="60"/>
      <c r="F101" s="3"/>
      <c r="G101" s="3"/>
      <c r="H101" s="7"/>
    </row>
  </sheetData>
  <mergeCells count="11">
    <mergeCell ref="B8:E8"/>
    <mergeCell ref="A9:E9"/>
    <mergeCell ref="A10:E10"/>
    <mergeCell ref="F10:G10"/>
    <mergeCell ref="A49:E49"/>
    <mergeCell ref="B7:E7"/>
    <mergeCell ref="A2:E2"/>
    <mergeCell ref="B3:E3"/>
    <mergeCell ref="B4:E4"/>
    <mergeCell ref="B5:E5"/>
    <mergeCell ref="B6:E6"/>
  </mergeCells>
  <conditionalFormatting sqref="F11:G43 F45:G49">
    <cfRule type="cellIs" dxfId="59" priority="13" stopIfTrue="1" operator="lessThan">
      <formula>-0.2</formula>
    </cfRule>
    <cfRule type="cellIs" dxfId="58" priority="14" stopIfTrue="1" operator="lessThan">
      <formula>0</formula>
    </cfRule>
    <cfRule type="cellIs" dxfId="57" priority="15" stopIfTrue="1" operator="greaterThan">
      <formula>0.4</formula>
    </cfRule>
  </conditionalFormatting>
  <conditionalFormatting sqref="F51:G83">
    <cfRule type="cellIs" dxfId="56" priority="10" stopIfTrue="1" operator="lessThan">
      <formula>-0.2</formula>
    </cfRule>
    <cfRule type="cellIs" dxfId="55" priority="11" stopIfTrue="1" operator="lessThan">
      <formula>0</formula>
    </cfRule>
    <cfRule type="cellIs" dxfId="54" priority="12" stopIfTrue="1" operator="greaterThan">
      <formula>0.4</formula>
    </cfRule>
  </conditionalFormatting>
  <conditionalFormatting sqref="F50:G50">
    <cfRule type="cellIs" dxfId="53" priority="7" stopIfTrue="1" operator="lessThan">
      <formula>-0.2</formula>
    </cfRule>
    <cfRule type="cellIs" dxfId="52" priority="8" stopIfTrue="1" operator="lessThan">
      <formula>0</formula>
    </cfRule>
    <cfRule type="cellIs" dxfId="51" priority="9" stopIfTrue="1" operator="greaterThan">
      <formula>0.4</formula>
    </cfRule>
  </conditionalFormatting>
  <conditionalFormatting sqref="F44">
    <cfRule type="cellIs" dxfId="50" priority="4" stopIfTrue="1" operator="lessThan">
      <formula>-0.2</formula>
    </cfRule>
    <cfRule type="cellIs" dxfId="49" priority="5" stopIfTrue="1" operator="lessThan">
      <formula>0</formula>
    </cfRule>
    <cfRule type="cellIs" dxfId="48" priority="6" stopIfTrue="1" operator="greaterThan">
      <formula>0.4</formula>
    </cfRule>
  </conditionalFormatting>
  <conditionalFormatting sqref="G44">
    <cfRule type="cellIs" dxfId="47" priority="1" stopIfTrue="1" operator="lessThan">
      <formula>-0.2</formula>
    </cfRule>
    <cfRule type="cellIs" dxfId="46" priority="2" stopIfTrue="1" operator="lessThan">
      <formula>0</formula>
    </cfRule>
    <cfRule type="cellIs" dxfId="45" priority="3" stopIfTrue="1" operator="greaterThan">
      <formula>0.4</formula>
    </cfRule>
  </conditionalFormatting>
  <dataValidations disablePrompts="1" count="1">
    <dataValidation type="list" allowBlank="1" showInputMessage="1" showErrorMessage="1" sqref="G7">
      <formula1>$H$1:$H$2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A81" workbookViewId="0">
      <selection activeCell="C86" sqref="C86:E100"/>
    </sheetView>
  </sheetViews>
  <sheetFormatPr defaultColWidth="8.7109375" defaultRowHeight="14.25"/>
  <cols>
    <col min="1" max="1" width="46.140625" style="5" customWidth="1"/>
    <col min="2" max="2" width="1.28515625" style="5" hidden="1" customWidth="1"/>
    <col min="3" max="5" width="11.7109375" style="5" bestFit="1" customWidth="1"/>
    <col min="6" max="6" width="8.28515625" style="5" bestFit="1" customWidth="1"/>
    <col min="7" max="7" width="19.5703125" style="5" bestFit="1" customWidth="1"/>
    <col min="8" max="8" width="12.28515625" style="5" bestFit="1" customWidth="1"/>
    <col min="9" max="16384" width="8.7109375" style="5"/>
  </cols>
  <sheetData>
    <row r="1" spans="1:8">
      <c r="A1" s="1"/>
      <c r="B1" s="2"/>
      <c r="C1" s="2"/>
      <c r="D1" s="2"/>
      <c r="E1" s="2"/>
      <c r="F1" s="3"/>
      <c r="G1" s="3"/>
      <c r="H1" s="4" t="s">
        <v>0</v>
      </c>
    </row>
    <row r="2" spans="1:8">
      <c r="A2" s="552" t="s">
        <v>1</v>
      </c>
      <c r="B2" s="552"/>
      <c r="C2" s="552"/>
      <c r="D2" s="552"/>
      <c r="E2" s="552"/>
      <c r="F2" s="3"/>
      <c r="G2" s="3"/>
      <c r="H2" s="4" t="s">
        <v>2</v>
      </c>
    </row>
    <row r="3" spans="1:8">
      <c r="A3" s="6" t="s">
        <v>3</v>
      </c>
      <c r="B3" s="543"/>
      <c r="C3" s="544"/>
      <c r="D3" s="544"/>
      <c r="E3" s="545"/>
      <c r="F3" s="3"/>
      <c r="G3" s="3"/>
      <c r="H3" s="7"/>
    </row>
    <row r="4" spans="1:8">
      <c r="A4" s="6" t="s">
        <v>4</v>
      </c>
      <c r="B4" s="543"/>
      <c r="C4" s="544"/>
      <c r="D4" s="544"/>
      <c r="E4" s="545"/>
      <c r="F4" s="3"/>
      <c r="G4" s="3"/>
      <c r="H4" s="7"/>
    </row>
    <row r="5" spans="1:8">
      <c r="A5" s="6" t="s">
        <v>5</v>
      </c>
      <c r="B5" s="543"/>
      <c r="C5" s="544"/>
      <c r="D5" s="544"/>
      <c r="E5" s="545"/>
      <c r="F5" s="3"/>
      <c r="G5" s="61" t="s">
        <v>6</v>
      </c>
      <c r="H5" s="7"/>
    </row>
    <row r="6" spans="1:8">
      <c r="A6" s="6" t="s">
        <v>7</v>
      </c>
      <c r="B6" s="543"/>
      <c r="C6" s="544"/>
      <c r="D6" s="544"/>
      <c r="E6" s="545"/>
      <c r="F6" s="3"/>
      <c r="G6" s="3"/>
      <c r="H6" s="7"/>
    </row>
    <row r="7" spans="1:8">
      <c r="A7" s="6" t="s">
        <v>8</v>
      </c>
      <c r="B7" s="543"/>
      <c r="C7" s="544"/>
      <c r="D7" s="544"/>
      <c r="E7" s="545"/>
      <c r="F7" s="3"/>
      <c r="G7" s="3" t="s">
        <v>0</v>
      </c>
      <c r="H7" s="7"/>
    </row>
    <row r="8" spans="1:8">
      <c r="A8" s="61" t="s">
        <v>9</v>
      </c>
      <c r="B8" s="543"/>
      <c r="C8" s="544"/>
      <c r="D8" s="544"/>
      <c r="E8" s="545"/>
      <c r="F8" s="3"/>
      <c r="G8" s="3"/>
      <c r="H8" s="62" t="s">
        <v>10</v>
      </c>
    </row>
    <row r="9" spans="1:8" ht="15" thickBot="1">
      <c r="A9" s="546" t="s">
        <v>11</v>
      </c>
      <c r="B9" s="546"/>
      <c r="C9" s="546"/>
      <c r="D9" s="546"/>
      <c r="E9" s="546"/>
      <c r="F9" s="3"/>
      <c r="G9" s="3"/>
      <c r="H9" s="7"/>
    </row>
    <row r="10" spans="1:8" ht="15" thickBot="1">
      <c r="A10" s="547"/>
      <c r="B10" s="547"/>
      <c r="C10" s="547"/>
      <c r="D10" s="547"/>
      <c r="E10" s="548"/>
      <c r="F10" s="549" t="s">
        <v>12</v>
      </c>
      <c r="G10" s="550"/>
      <c r="H10" s="3"/>
    </row>
    <row r="11" spans="1:8" ht="15" thickBot="1">
      <c r="A11" s="8" t="s">
        <v>13</v>
      </c>
      <c r="B11" s="8" t="s">
        <v>14</v>
      </c>
      <c r="C11" s="9" t="s">
        <v>106</v>
      </c>
      <c r="D11" s="9" t="s">
        <v>107</v>
      </c>
      <c r="E11" s="9" t="s">
        <v>108</v>
      </c>
      <c r="F11" s="10" t="s">
        <v>109</v>
      </c>
      <c r="G11" s="11" t="s">
        <v>109</v>
      </c>
      <c r="H11" s="3"/>
    </row>
    <row r="12" spans="1:8">
      <c r="A12" s="12" t="s">
        <v>15</v>
      </c>
      <c r="B12" s="13">
        <v>0</v>
      </c>
      <c r="C12" s="13">
        <v>0</v>
      </c>
      <c r="D12" s="13"/>
      <c r="E12" s="14"/>
      <c r="F12" s="15" t="str">
        <f>IFERROR((C12-D12)/D12,"-")</f>
        <v>-</v>
      </c>
      <c r="G12" s="16" t="str">
        <f>IFERROR((D12-E12)/E12,"-")</f>
        <v>-</v>
      </c>
      <c r="H12" s="3"/>
    </row>
    <row r="13" spans="1:8">
      <c r="A13" s="12" t="s">
        <v>16</v>
      </c>
      <c r="B13" s="13">
        <v>0</v>
      </c>
      <c r="C13" s="13">
        <v>0</v>
      </c>
      <c r="D13" s="13">
        <v>0</v>
      </c>
      <c r="E13" s="14">
        <v>0</v>
      </c>
      <c r="F13" s="15" t="str">
        <f t="shared" ref="F13:G22" si="0">IFERROR((C13-D13)/D13,"-")</f>
        <v>-</v>
      </c>
      <c r="G13" s="16" t="str">
        <f t="shared" si="0"/>
        <v>-</v>
      </c>
      <c r="H13" s="17"/>
    </row>
    <row r="14" spans="1:8">
      <c r="A14" s="12" t="s">
        <v>17</v>
      </c>
      <c r="B14" s="13">
        <v>0</v>
      </c>
      <c r="C14" s="13"/>
      <c r="D14" s="13"/>
      <c r="E14" s="13"/>
      <c r="F14" s="15" t="str">
        <f t="shared" si="0"/>
        <v>-</v>
      </c>
      <c r="G14" s="16" t="str">
        <f t="shared" si="0"/>
        <v>-</v>
      </c>
      <c r="H14" s="3"/>
    </row>
    <row r="15" spans="1:8">
      <c r="A15" s="12" t="s">
        <v>18</v>
      </c>
      <c r="B15" s="13">
        <v>0</v>
      </c>
      <c r="C15" s="13">
        <v>0</v>
      </c>
      <c r="D15" s="13">
        <v>0</v>
      </c>
      <c r="E15" s="14">
        <v>0</v>
      </c>
      <c r="F15" s="15" t="str">
        <f t="shared" si="0"/>
        <v>-</v>
      </c>
      <c r="G15" s="16" t="str">
        <f t="shared" si="0"/>
        <v>-</v>
      </c>
      <c r="H15" s="18"/>
    </row>
    <row r="16" spans="1:8">
      <c r="A16" s="12" t="s">
        <v>19</v>
      </c>
      <c r="B16" s="13">
        <v>0</v>
      </c>
      <c r="C16" s="13">
        <v>0</v>
      </c>
      <c r="D16" s="13">
        <v>0</v>
      </c>
      <c r="E16" s="14">
        <v>0</v>
      </c>
      <c r="F16" s="15" t="str">
        <f t="shared" si="0"/>
        <v>-</v>
      </c>
      <c r="G16" s="16" t="str">
        <f t="shared" si="0"/>
        <v>-</v>
      </c>
      <c r="H16" s="18"/>
    </row>
    <row r="17" spans="1:8">
      <c r="A17" s="12" t="s">
        <v>20</v>
      </c>
      <c r="B17" s="13">
        <v>0</v>
      </c>
      <c r="C17" s="13">
        <v>0</v>
      </c>
      <c r="D17" s="13">
        <v>0</v>
      </c>
      <c r="E17" s="14">
        <v>0</v>
      </c>
      <c r="F17" s="15" t="str">
        <f t="shared" si="0"/>
        <v>-</v>
      </c>
      <c r="G17" s="16" t="str">
        <f t="shared" si="0"/>
        <v>-</v>
      </c>
      <c r="H17" s="3"/>
    </row>
    <row r="18" spans="1:8">
      <c r="A18" s="12" t="s">
        <v>21</v>
      </c>
      <c r="B18" s="13">
        <v>0</v>
      </c>
      <c r="C18" s="13">
        <v>0</v>
      </c>
      <c r="D18" s="13">
        <v>0</v>
      </c>
      <c r="E18" s="14">
        <v>0</v>
      </c>
      <c r="F18" s="15" t="str">
        <f t="shared" si="0"/>
        <v>-</v>
      </c>
      <c r="G18" s="16" t="str">
        <f t="shared" si="0"/>
        <v>-</v>
      </c>
      <c r="H18" s="3"/>
    </row>
    <row r="19" spans="1:8">
      <c r="A19" s="12" t="s">
        <v>22</v>
      </c>
      <c r="B19" s="13">
        <v>0</v>
      </c>
      <c r="C19" s="13">
        <v>0</v>
      </c>
      <c r="D19" s="13">
        <v>0</v>
      </c>
      <c r="E19" s="14">
        <v>0</v>
      </c>
      <c r="F19" s="15" t="str">
        <f t="shared" si="0"/>
        <v>-</v>
      </c>
      <c r="G19" s="16" t="str">
        <f t="shared" si="0"/>
        <v>-</v>
      </c>
      <c r="H19" s="18"/>
    </row>
    <row r="20" spans="1:8">
      <c r="A20" s="12" t="s">
        <v>23</v>
      </c>
      <c r="B20" s="13">
        <v>0</v>
      </c>
      <c r="C20" s="13">
        <v>0</v>
      </c>
      <c r="D20" s="13">
        <v>0</v>
      </c>
      <c r="E20" s="14">
        <v>0</v>
      </c>
      <c r="F20" s="15" t="str">
        <f t="shared" si="0"/>
        <v>-</v>
      </c>
      <c r="G20" s="16" t="str">
        <f t="shared" si="0"/>
        <v>-</v>
      </c>
      <c r="H20" s="3"/>
    </row>
    <row r="21" spans="1:8">
      <c r="A21" s="12" t="s">
        <v>24</v>
      </c>
      <c r="B21" s="13">
        <v>0</v>
      </c>
      <c r="C21" s="13">
        <v>0</v>
      </c>
      <c r="D21" s="13">
        <v>0</v>
      </c>
      <c r="E21" s="14">
        <v>0</v>
      </c>
      <c r="F21" s="15" t="str">
        <f t="shared" si="0"/>
        <v>-</v>
      </c>
      <c r="G21" s="16" t="str">
        <f t="shared" si="0"/>
        <v>-</v>
      </c>
      <c r="H21" s="18"/>
    </row>
    <row r="22" spans="1:8">
      <c r="A22" s="12" t="s">
        <v>25</v>
      </c>
      <c r="B22" s="13">
        <v>0</v>
      </c>
      <c r="C22" s="13"/>
      <c r="D22" s="13"/>
      <c r="E22" s="14">
        <v>0</v>
      </c>
      <c r="F22" s="15" t="str">
        <f t="shared" si="0"/>
        <v>-</v>
      </c>
      <c r="G22" s="16" t="str">
        <f t="shared" si="0"/>
        <v>-</v>
      </c>
      <c r="H22" s="19"/>
    </row>
    <row r="23" spans="1:8">
      <c r="A23" s="20" t="s">
        <v>26</v>
      </c>
      <c r="B23" s="21">
        <f>SUM(B12:B22)</f>
        <v>0</v>
      </c>
      <c r="C23" s="21">
        <f>SUM(C12:C22)</f>
        <v>0</v>
      </c>
      <c r="D23" s="21">
        <f>SUM(D12:D22)</f>
        <v>0</v>
      </c>
      <c r="E23" s="22">
        <f>SUM(E12:E22)</f>
        <v>0</v>
      </c>
      <c r="F23" s="23" t="str">
        <f>IFERROR((C23/D23)-1,"-")</f>
        <v>-</v>
      </c>
      <c r="G23" s="24" t="str">
        <f>IFERROR((D23/E23)-1,"-")</f>
        <v>-</v>
      </c>
      <c r="H23" s="2"/>
    </row>
    <row r="24" spans="1:8">
      <c r="A24" s="25" t="s">
        <v>27</v>
      </c>
      <c r="B24" s="13">
        <v>0</v>
      </c>
      <c r="C24" s="13">
        <v>0</v>
      </c>
      <c r="D24" s="13">
        <v>0</v>
      </c>
      <c r="E24" s="14">
        <v>0</v>
      </c>
      <c r="F24" s="15" t="str">
        <f>IFERROR((C24-D24)/D24,"-")</f>
        <v>-</v>
      </c>
      <c r="G24" s="16" t="str">
        <f>IFERROR((D24-E24)/E24,"-")</f>
        <v>-</v>
      </c>
      <c r="H24" s="2"/>
    </row>
    <row r="25" spans="1:8">
      <c r="A25" s="25" t="s">
        <v>28</v>
      </c>
      <c r="B25" s="13">
        <v>0</v>
      </c>
      <c r="C25" s="13">
        <v>0</v>
      </c>
      <c r="D25" s="13">
        <v>0</v>
      </c>
      <c r="E25" s="14">
        <v>0</v>
      </c>
      <c r="F25" s="15" t="str">
        <f>IFERROR((C25-D25)/D25,"-")</f>
        <v>-</v>
      </c>
      <c r="G25" s="16" t="str">
        <f>IFERROR((D25-E25)/E25,"-")</f>
        <v>-</v>
      </c>
      <c r="H25" s="2"/>
    </row>
    <row r="26" spans="1:8">
      <c r="A26" s="20" t="s">
        <v>29</v>
      </c>
      <c r="B26" s="21">
        <f>+B23-B24-B25</f>
        <v>0</v>
      </c>
      <c r="C26" s="21">
        <f>+C23-C24-C25</f>
        <v>0</v>
      </c>
      <c r="D26" s="21">
        <f>+D23-D24-D25</f>
        <v>0</v>
      </c>
      <c r="E26" s="22">
        <f>+E23-E24-E25</f>
        <v>0</v>
      </c>
      <c r="F26" s="23" t="str">
        <f>IFERROR((C26/D26)-1,"-")</f>
        <v>-</v>
      </c>
      <c r="G26" s="24" t="str">
        <f>IFERROR((D26/E26)-1,"-")</f>
        <v>-</v>
      </c>
      <c r="H26" s="2"/>
    </row>
    <row r="27" spans="1:8">
      <c r="A27" s="25" t="s">
        <v>30</v>
      </c>
      <c r="B27" s="13">
        <v>0</v>
      </c>
      <c r="C27" s="13">
        <v>0</v>
      </c>
      <c r="D27" s="13">
        <v>0</v>
      </c>
      <c r="E27" s="14">
        <v>0</v>
      </c>
      <c r="F27" s="15" t="str">
        <f t="shared" ref="F27:G30" si="1">IFERROR((C27-D27)/D27,"-")</f>
        <v>-</v>
      </c>
      <c r="G27" s="16" t="str">
        <f t="shared" si="1"/>
        <v>-</v>
      </c>
      <c r="H27" s="19"/>
    </row>
    <row r="28" spans="1:8">
      <c r="A28" s="25" t="s">
        <v>31</v>
      </c>
      <c r="B28" s="13">
        <v>0</v>
      </c>
      <c r="C28" s="13">
        <v>0</v>
      </c>
      <c r="D28" s="13">
        <v>0</v>
      </c>
      <c r="E28" s="14">
        <v>0</v>
      </c>
      <c r="F28" s="15" t="str">
        <f t="shared" si="1"/>
        <v>-</v>
      </c>
      <c r="G28" s="16" t="str">
        <f t="shared" si="1"/>
        <v>-</v>
      </c>
      <c r="H28" s="2"/>
    </row>
    <row r="29" spans="1:8">
      <c r="A29" s="25" t="s">
        <v>32</v>
      </c>
      <c r="B29" s="13">
        <v>0</v>
      </c>
      <c r="C29" s="13">
        <v>0</v>
      </c>
      <c r="D29" s="13">
        <v>0</v>
      </c>
      <c r="E29" s="14">
        <v>0</v>
      </c>
      <c r="F29" s="15" t="str">
        <f t="shared" si="1"/>
        <v>-</v>
      </c>
      <c r="G29" s="16" t="str">
        <f t="shared" si="1"/>
        <v>-</v>
      </c>
      <c r="H29" s="2"/>
    </row>
    <row r="30" spans="1:8">
      <c r="A30" s="25" t="s">
        <v>33</v>
      </c>
      <c r="B30" s="13">
        <v>0</v>
      </c>
      <c r="C30" s="13">
        <v>0</v>
      </c>
      <c r="D30" s="13">
        <v>0</v>
      </c>
      <c r="E30" s="14">
        <v>0</v>
      </c>
      <c r="F30" s="15" t="str">
        <f t="shared" si="1"/>
        <v>-</v>
      </c>
      <c r="G30" s="16" t="str">
        <f t="shared" si="1"/>
        <v>-</v>
      </c>
      <c r="H30" s="2"/>
    </row>
    <row r="31" spans="1:8">
      <c r="A31" s="20" t="s">
        <v>34</v>
      </c>
      <c r="B31" s="21">
        <f>B26+B27-SUM(B28:B30)</f>
        <v>0</v>
      </c>
      <c r="C31" s="21">
        <f>C26+C27-SUM(C28:C30)</f>
        <v>0</v>
      </c>
      <c r="D31" s="21">
        <f>D26+D27-SUM(D28:D30)</f>
        <v>0</v>
      </c>
      <c r="E31" s="22">
        <f>E26+E27-SUM(E28:E30)</f>
        <v>0</v>
      </c>
      <c r="F31" s="23" t="str">
        <f>IFERROR((C31/D31)-1,"-")</f>
        <v>-</v>
      </c>
      <c r="G31" s="24" t="str">
        <f>IFERROR((D31/E31)-1,"-")</f>
        <v>-</v>
      </c>
      <c r="H31" s="19"/>
    </row>
    <row r="32" spans="1:8">
      <c r="A32" s="25" t="s">
        <v>35</v>
      </c>
      <c r="B32" s="13">
        <v>0</v>
      </c>
      <c r="C32" s="13">
        <v>0</v>
      </c>
      <c r="D32" s="13">
        <v>0</v>
      </c>
      <c r="E32" s="14">
        <v>0</v>
      </c>
      <c r="F32" s="15" t="str">
        <f t="shared" ref="F32:G35" si="2">IFERROR((C32-D32)/D32,"-")</f>
        <v>-</v>
      </c>
      <c r="G32" s="16" t="str">
        <f t="shared" si="2"/>
        <v>-</v>
      </c>
      <c r="H32" s="19"/>
    </row>
    <row r="33" spans="1:8">
      <c r="A33" s="25" t="s">
        <v>36</v>
      </c>
      <c r="B33" s="13">
        <v>0</v>
      </c>
      <c r="C33" s="13">
        <v>0</v>
      </c>
      <c r="D33" s="13">
        <v>0</v>
      </c>
      <c r="E33" s="14">
        <v>0</v>
      </c>
      <c r="F33" s="15" t="str">
        <f t="shared" si="2"/>
        <v>-</v>
      </c>
      <c r="G33" s="16" t="str">
        <f t="shared" si="2"/>
        <v>-</v>
      </c>
      <c r="H33" s="19"/>
    </row>
    <row r="34" spans="1:8">
      <c r="A34" s="26" t="s">
        <v>37</v>
      </c>
      <c r="B34" s="13">
        <v>0</v>
      </c>
      <c r="C34" s="13">
        <v>0</v>
      </c>
      <c r="D34" s="13">
        <v>0</v>
      </c>
      <c r="E34" s="14">
        <v>0</v>
      </c>
      <c r="F34" s="15" t="str">
        <f t="shared" si="2"/>
        <v>-</v>
      </c>
      <c r="G34" s="16" t="str">
        <f t="shared" si="2"/>
        <v>-</v>
      </c>
      <c r="H34" s="19"/>
    </row>
    <row r="35" spans="1:8" ht="15" thickBot="1">
      <c r="A35" s="26" t="s">
        <v>38</v>
      </c>
      <c r="B35" s="13">
        <v>0</v>
      </c>
      <c r="C35" s="13">
        <v>0</v>
      </c>
      <c r="D35" s="13">
        <v>0</v>
      </c>
      <c r="E35" s="14">
        <v>0</v>
      </c>
      <c r="F35" s="15" t="str">
        <f t="shared" si="2"/>
        <v>-</v>
      </c>
      <c r="G35" s="27" t="str">
        <f t="shared" si="2"/>
        <v>-</v>
      </c>
      <c r="H35" s="19"/>
    </row>
    <row r="36" spans="1:8" ht="15" thickBot="1">
      <c r="A36" s="20" t="s">
        <v>39</v>
      </c>
      <c r="B36" s="21">
        <f>+B31-SUM(B32:B35)</f>
        <v>0</v>
      </c>
      <c r="C36" s="21">
        <f>+C31-SUM(C32:C35)</f>
        <v>0</v>
      </c>
      <c r="D36" s="21">
        <f>+D31-SUM(D32:D35)</f>
        <v>0</v>
      </c>
      <c r="E36" s="22">
        <f>+E31-SUM(E32:E35)</f>
        <v>0</v>
      </c>
      <c r="F36" s="28" t="str">
        <f>IFERROR((C36/D36)-1,"-")</f>
        <v>-</v>
      </c>
      <c r="G36" s="29" t="str">
        <f>IFERROR((D36/E36)-1,"-")</f>
        <v>-</v>
      </c>
      <c r="H36" s="19"/>
    </row>
    <row r="37" spans="1:8">
      <c r="A37" s="25" t="s">
        <v>40</v>
      </c>
      <c r="B37" s="13">
        <v>0</v>
      </c>
      <c r="C37" s="13">
        <v>0</v>
      </c>
      <c r="D37" s="13">
        <v>0</v>
      </c>
      <c r="E37" s="14">
        <v>0</v>
      </c>
      <c r="F37" s="15" t="str">
        <f>IFERROR((C37-D37)/D37,"-")</f>
        <v>-</v>
      </c>
      <c r="G37" s="16" t="str">
        <f>IFERROR((D37-E37)/E37,"-")</f>
        <v>-</v>
      </c>
      <c r="H37" s="19"/>
    </row>
    <row r="38" spans="1:8">
      <c r="A38" s="25" t="s">
        <v>41</v>
      </c>
      <c r="B38" s="13">
        <v>0</v>
      </c>
      <c r="C38" s="13">
        <v>0</v>
      </c>
      <c r="D38" s="13">
        <v>0</v>
      </c>
      <c r="E38" s="14">
        <v>0</v>
      </c>
      <c r="F38" s="15" t="str">
        <f>IFERROR((C38-D38)/D38,"-")</f>
        <v>-</v>
      </c>
      <c r="G38" s="16" t="str">
        <f>IFERROR((D38-E38)/E38,"-")</f>
        <v>-</v>
      </c>
      <c r="H38" s="19"/>
    </row>
    <row r="39" spans="1:8">
      <c r="A39" s="25" t="s">
        <v>42</v>
      </c>
      <c r="B39" s="13">
        <v>0</v>
      </c>
      <c r="C39" s="13">
        <v>0</v>
      </c>
      <c r="D39" s="13">
        <v>0</v>
      </c>
      <c r="E39" s="14">
        <v>0</v>
      </c>
      <c r="F39" s="15" t="str">
        <f t="shared" ref="F39:G48" si="3">IFERROR((C39-D39)/D39,"-")</f>
        <v>-</v>
      </c>
      <c r="G39" s="16" t="str">
        <f t="shared" si="3"/>
        <v>-</v>
      </c>
      <c r="H39" s="19"/>
    </row>
    <row r="40" spans="1:8" ht="15" thickBot="1">
      <c r="A40" s="25" t="s">
        <v>43</v>
      </c>
      <c r="B40" s="13">
        <v>0</v>
      </c>
      <c r="C40" s="13">
        <v>0</v>
      </c>
      <c r="D40" s="13">
        <v>0</v>
      </c>
      <c r="E40" s="14">
        <v>0</v>
      </c>
      <c r="F40" s="15" t="str">
        <f t="shared" si="3"/>
        <v>-</v>
      </c>
      <c r="G40" s="27" t="str">
        <f t="shared" si="3"/>
        <v>-</v>
      </c>
      <c r="H40" s="19"/>
    </row>
    <row r="41" spans="1:8" ht="15" thickBot="1">
      <c r="A41" s="25" t="s">
        <v>44</v>
      </c>
      <c r="B41" s="13">
        <v>0</v>
      </c>
      <c r="C41" s="13">
        <v>0</v>
      </c>
      <c r="D41" s="14"/>
      <c r="E41" s="14"/>
      <c r="F41" s="30" t="str">
        <f t="shared" si="3"/>
        <v>-</v>
      </c>
      <c r="G41" s="31" t="str">
        <f t="shared" si="3"/>
        <v>-</v>
      </c>
      <c r="H41" s="19"/>
    </row>
    <row r="42" spans="1:8">
      <c r="A42" s="20" t="s">
        <v>45</v>
      </c>
      <c r="B42" s="21">
        <f>+B36-SUM(B37:B41)</f>
        <v>0</v>
      </c>
      <c r="C42" s="21">
        <f>+C36-SUM(C37:C41)</f>
        <v>0</v>
      </c>
      <c r="D42" s="21">
        <f>+D36-SUM(D37:D41)</f>
        <v>0</v>
      </c>
      <c r="E42" s="22">
        <f>+E36-SUM(E37:E41)</f>
        <v>0</v>
      </c>
      <c r="F42" s="32" t="str">
        <f t="shared" si="3"/>
        <v>-</v>
      </c>
      <c r="G42" s="33" t="str">
        <f t="shared" si="3"/>
        <v>-</v>
      </c>
      <c r="H42" s="19"/>
    </row>
    <row r="43" spans="1:8">
      <c r="A43" s="34" t="s">
        <v>46</v>
      </c>
      <c r="B43" s="13">
        <v>0</v>
      </c>
      <c r="C43" s="13">
        <v>0</v>
      </c>
      <c r="D43" s="13">
        <v>0</v>
      </c>
      <c r="E43" s="14">
        <v>0</v>
      </c>
      <c r="F43" s="15" t="str">
        <f t="shared" si="3"/>
        <v>-</v>
      </c>
      <c r="G43" s="16" t="str">
        <f t="shared" si="3"/>
        <v>-</v>
      </c>
      <c r="H43" s="2"/>
    </row>
    <row r="44" spans="1:8">
      <c r="A44" s="20" t="s">
        <v>47</v>
      </c>
      <c r="B44" s="21">
        <f>+B42-B43</f>
        <v>0</v>
      </c>
      <c r="C44" s="21">
        <f>+C42-C43</f>
        <v>0</v>
      </c>
      <c r="D44" s="21">
        <f>+D42-D43</f>
        <v>0</v>
      </c>
      <c r="E44" s="22">
        <f>+E42-E43</f>
        <v>0</v>
      </c>
      <c r="F44" s="32" t="str">
        <f t="shared" si="3"/>
        <v>-</v>
      </c>
      <c r="G44" s="33" t="str">
        <f t="shared" si="3"/>
        <v>-</v>
      </c>
      <c r="H44" s="2"/>
    </row>
    <row r="45" spans="1:8">
      <c r="A45" s="34" t="s">
        <v>48</v>
      </c>
      <c r="B45" s="13"/>
      <c r="C45" s="13"/>
      <c r="D45" s="13"/>
      <c r="E45" s="14"/>
      <c r="F45" s="15" t="str">
        <f t="shared" si="3"/>
        <v>-</v>
      </c>
      <c r="G45" s="16" t="str">
        <f t="shared" si="3"/>
        <v>-</v>
      </c>
      <c r="H45" s="2"/>
    </row>
    <row r="46" spans="1:8">
      <c r="A46" s="34" t="s">
        <v>49</v>
      </c>
      <c r="B46" s="13"/>
      <c r="C46" s="13"/>
      <c r="D46" s="13"/>
      <c r="E46" s="14"/>
      <c r="F46" s="15" t="str">
        <f t="shared" si="3"/>
        <v>-</v>
      </c>
      <c r="G46" s="16" t="str">
        <f t="shared" si="3"/>
        <v>-</v>
      </c>
      <c r="H46" s="2"/>
    </row>
    <row r="47" spans="1:8">
      <c r="A47" s="20" t="s">
        <v>50</v>
      </c>
      <c r="B47" s="21">
        <f>+B44-SUM(B45:B46)</f>
        <v>0</v>
      </c>
      <c r="C47" s="21">
        <f>+C44-SUM(C45:C46)</f>
        <v>0</v>
      </c>
      <c r="D47" s="21">
        <f>+D44-SUM(D45:D46)</f>
        <v>0</v>
      </c>
      <c r="E47" s="22">
        <f>+E44-SUM(E45:E46)</f>
        <v>0</v>
      </c>
      <c r="F47" s="32" t="str">
        <f t="shared" si="3"/>
        <v>-</v>
      </c>
      <c r="G47" s="33" t="str">
        <f t="shared" si="3"/>
        <v>-</v>
      </c>
      <c r="H47" s="2"/>
    </row>
    <row r="48" spans="1:8" ht="15" thickBot="1">
      <c r="A48" s="20" t="s">
        <v>51</v>
      </c>
      <c r="B48" s="21">
        <f>+B44+B41+B39+B32+B40</f>
        <v>0</v>
      </c>
      <c r="C48" s="21">
        <f>+C44+C41+C39+C32+C40</f>
        <v>0</v>
      </c>
      <c r="D48" s="21">
        <f>+D44+D41+D39+D32+D40</f>
        <v>0</v>
      </c>
      <c r="E48" s="22">
        <f>+E44+E41+E39+E32+E40</f>
        <v>0</v>
      </c>
      <c r="F48" s="35" t="str">
        <f t="shared" si="3"/>
        <v>-</v>
      </c>
      <c r="G48" s="36" t="str">
        <f t="shared" si="3"/>
        <v>-</v>
      </c>
      <c r="H48" s="2"/>
    </row>
    <row r="49" spans="1:8" ht="15" thickBot="1">
      <c r="A49" s="551"/>
      <c r="B49" s="551"/>
      <c r="C49" s="551"/>
      <c r="D49" s="551"/>
      <c r="E49" s="551"/>
      <c r="F49" s="37"/>
      <c r="G49" s="38"/>
      <c r="H49" s="39"/>
    </row>
    <row r="50" spans="1:8" ht="15" thickBot="1">
      <c r="A50" s="8" t="s">
        <v>52</v>
      </c>
      <c r="B50" s="8" t="s">
        <v>14</v>
      </c>
      <c r="C50" s="9" t="s">
        <v>106</v>
      </c>
      <c r="D50" s="9" t="s">
        <v>107</v>
      </c>
      <c r="E50" s="9" t="s">
        <v>108</v>
      </c>
      <c r="F50" s="40" t="s">
        <v>109</v>
      </c>
      <c r="G50" s="41" t="s">
        <v>109</v>
      </c>
      <c r="H50" s="2"/>
    </row>
    <row r="51" spans="1:8">
      <c r="A51" s="25" t="s">
        <v>53</v>
      </c>
      <c r="B51" s="13">
        <v>0</v>
      </c>
      <c r="C51" s="13">
        <v>0</v>
      </c>
      <c r="D51" s="13">
        <v>0</v>
      </c>
      <c r="E51" s="14">
        <v>0</v>
      </c>
      <c r="F51" s="15" t="str">
        <f t="shared" ref="F51:G83" si="4">IFERROR((C51-D51)/D51,"-")</f>
        <v>-</v>
      </c>
      <c r="G51" s="16" t="str">
        <f t="shared" si="4"/>
        <v>-</v>
      </c>
      <c r="H51" s="2"/>
    </row>
    <row r="52" spans="1:8">
      <c r="A52" s="25" t="s">
        <v>54</v>
      </c>
      <c r="B52" s="13">
        <v>0</v>
      </c>
      <c r="C52" s="13">
        <v>0</v>
      </c>
      <c r="D52" s="13">
        <v>0</v>
      </c>
      <c r="E52" s="14">
        <v>0</v>
      </c>
      <c r="F52" s="15" t="str">
        <f t="shared" si="4"/>
        <v>-</v>
      </c>
      <c r="G52" s="16" t="str">
        <f t="shared" si="4"/>
        <v>-</v>
      </c>
      <c r="H52" s="2"/>
    </row>
    <row r="53" spans="1:8">
      <c r="A53" s="25" t="s">
        <v>55</v>
      </c>
      <c r="B53" s="13">
        <v>0</v>
      </c>
      <c r="C53" s="13"/>
      <c r="D53" s="13"/>
      <c r="E53" s="13"/>
      <c r="F53" s="15" t="str">
        <f t="shared" si="4"/>
        <v>-</v>
      </c>
      <c r="G53" s="16" t="str">
        <f t="shared" si="4"/>
        <v>-</v>
      </c>
      <c r="H53" s="2"/>
    </row>
    <row r="54" spans="1:8">
      <c r="A54" s="25" t="s">
        <v>56</v>
      </c>
      <c r="B54" s="13">
        <v>0</v>
      </c>
      <c r="C54" s="13">
        <v>0</v>
      </c>
      <c r="D54" s="13">
        <v>0</v>
      </c>
      <c r="E54" s="14">
        <v>0</v>
      </c>
      <c r="F54" s="15" t="str">
        <f t="shared" si="4"/>
        <v>-</v>
      </c>
      <c r="G54" s="16" t="str">
        <f t="shared" si="4"/>
        <v>-</v>
      </c>
      <c r="H54" s="2"/>
    </row>
    <row r="55" spans="1:8">
      <c r="A55" s="20" t="s">
        <v>57</v>
      </c>
      <c r="B55" s="21">
        <f>SUM(B51:B53)+B54</f>
        <v>0</v>
      </c>
      <c r="C55" s="21">
        <f>SUM(C51:C53)+C54</f>
        <v>0</v>
      </c>
      <c r="D55" s="21">
        <f>SUM(D51:D53)+D54</f>
        <v>0</v>
      </c>
      <c r="E55" s="22">
        <f>SUM(E51:E53)+E54</f>
        <v>0</v>
      </c>
      <c r="F55" s="32" t="str">
        <f t="shared" si="4"/>
        <v>-</v>
      </c>
      <c r="G55" s="33" t="str">
        <f t="shared" si="4"/>
        <v>-</v>
      </c>
      <c r="H55" s="2"/>
    </row>
    <row r="56" spans="1:8">
      <c r="A56" s="25" t="s">
        <v>58</v>
      </c>
      <c r="B56" s="13">
        <v>0</v>
      </c>
      <c r="C56" s="13">
        <v>0</v>
      </c>
      <c r="D56" s="13">
        <v>0</v>
      </c>
      <c r="E56" s="14">
        <v>0</v>
      </c>
      <c r="F56" s="15" t="str">
        <f t="shared" si="4"/>
        <v>-</v>
      </c>
      <c r="G56" s="16" t="str">
        <f t="shared" si="4"/>
        <v>-</v>
      </c>
      <c r="H56" s="19"/>
    </row>
    <row r="57" spans="1:8">
      <c r="A57" s="25" t="s">
        <v>59</v>
      </c>
      <c r="B57" s="13">
        <v>0</v>
      </c>
      <c r="C57" s="13">
        <v>0</v>
      </c>
      <c r="D57" s="13">
        <v>0</v>
      </c>
      <c r="E57" s="14">
        <v>0</v>
      </c>
      <c r="F57" s="15" t="str">
        <f t="shared" si="4"/>
        <v>-</v>
      </c>
      <c r="G57" s="16" t="str">
        <f t="shared" si="4"/>
        <v>-</v>
      </c>
      <c r="H57" s="2"/>
    </row>
    <row r="58" spans="1:8">
      <c r="A58" s="42" t="s">
        <v>60</v>
      </c>
      <c r="B58" s="21">
        <f>+SUM(B55:B56)-B57</f>
        <v>0</v>
      </c>
      <c r="C58" s="21">
        <f>+SUM(C55:C56)-C57</f>
        <v>0</v>
      </c>
      <c r="D58" s="21">
        <f>+SUM(D55:D56)-D57</f>
        <v>0</v>
      </c>
      <c r="E58" s="22">
        <f>+SUM(E55:E56)-E57</f>
        <v>0</v>
      </c>
      <c r="F58" s="32" t="str">
        <f t="shared" si="4"/>
        <v>-</v>
      </c>
      <c r="G58" s="33" t="str">
        <f t="shared" si="4"/>
        <v>-</v>
      </c>
      <c r="H58" s="2"/>
    </row>
    <row r="59" spans="1:8">
      <c r="A59" s="25" t="s">
        <v>61</v>
      </c>
      <c r="B59" s="13">
        <v>0</v>
      </c>
      <c r="C59" s="13">
        <v>0</v>
      </c>
      <c r="D59" s="13">
        <v>0</v>
      </c>
      <c r="E59" s="14">
        <v>0</v>
      </c>
      <c r="F59" s="15" t="str">
        <f t="shared" si="4"/>
        <v>-</v>
      </c>
      <c r="G59" s="16" t="str">
        <f t="shared" si="4"/>
        <v>-</v>
      </c>
      <c r="H59" s="2"/>
    </row>
    <row r="60" spans="1:8">
      <c r="A60" s="25" t="s">
        <v>62</v>
      </c>
      <c r="B60" s="13">
        <v>0</v>
      </c>
      <c r="C60" s="13">
        <v>0</v>
      </c>
      <c r="D60" s="13">
        <v>0</v>
      </c>
      <c r="E60" s="14">
        <v>0</v>
      </c>
      <c r="F60" s="15" t="str">
        <f t="shared" si="4"/>
        <v>-</v>
      </c>
      <c r="G60" s="16" t="str">
        <f t="shared" si="4"/>
        <v>-</v>
      </c>
      <c r="H60" s="2"/>
    </row>
    <row r="61" spans="1:8">
      <c r="A61" s="20" t="s">
        <v>63</v>
      </c>
      <c r="B61" s="21">
        <f>+SUM(B58:B60)</f>
        <v>0</v>
      </c>
      <c r="C61" s="21">
        <f>+SUM(C58:C60)</f>
        <v>0</v>
      </c>
      <c r="D61" s="21">
        <f>+SUM(D58:D60)</f>
        <v>0</v>
      </c>
      <c r="E61" s="22">
        <f>+SUM(E58:E60)</f>
        <v>0</v>
      </c>
      <c r="F61" s="32" t="str">
        <f t="shared" si="4"/>
        <v>-</v>
      </c>
      <c r="G61" s="33" t="str">
        <f t="shared" si="4"/>
        <v>-</v>
      </c>
      <c r="H61" s="2"/>
    </row>
    <row r="62" spans="1:8">
      <c r="A62" s="34"/>
      <c r="B62" s="34"/>
      <c r="C62" s="43"/>
      <c r="D62" s="43"/>
      <c r="E62" s="44"/>
      <c r="F62" s="15" t="str">
        <f t="shared" si="4"/>
        <v>-</v>
      </c>
      <c r="G62" s="16" t="str">
        <f t="shared" si="4"/>
        <v>-</v>
      </c>
      <c r="H62" s="2"/>
    </row>
    <row r="63" spans="1:8">
      <c r="A63" s="43" t="s">
        <v>64</v>
      </c>
      <c r="B63" s="13">
        <v>0</v>
      </c>
      <c r="C63" s="13">
        <v>0</v>
      </c>
      <c r="D63" s="13">
        <v>0</v>
      </c>
      <c r="E63" s="14">
        <v>0</v>
      </c>
      <c r="F63" s="15" t="str">
        <f t="shared" si="4"/>
        <v>-</v>
      </c>
      <c r="G63" s="16" t="str">
        <f t="shared" si="4"/>
        <v>-</v>
      </c>
      <c r="H63" s="2"/>
    </row>
    <row r="64" spans="1:8">
      <c r="A64" s="43" t="s">
        <v>65</v>
      </c>
      <c r="B64" s="13">
        <v>0</v>
      </c>
      <c r="C64" s="13">
        <v>0</v>
      </c>
      <c r="D64" s="13">
        <v>0</v>
      </c>
      <c r="E64" s="14">
        <v>0</v>
      </c>
      <c r="F64" s="15" t="str">
        <f t="shared" si="4"/>
        <v>-</v>
      </c>
      <c r="G64" s="16" t="str">
        <f t="shared" si="4"/>
        <v>-</v>
      </c>
      <c r="H64" s="2"/>
    </row>
    <row r="65" spans="1:8">
      <c r="A65" s="20" t="s">
        <v>66</v>
      </c>
      <c r="B65" s="21">
        <f>SUM(B66:B70)</f>
        <v>0</v>
      </c>
      <c r="C65" s="21">
        <f>SUM(C66:C70)</f>
        <v>0</v>
      </c>
      <c r="D65" s="21">
        <f>SUM(D66:D70)</f>
        <v>0</v>
      </c>
      <c r="E65" s="22">
        <f>SUM(E66:E70)</f>
        <v>0</v>
      </c>
      <c r="F65" s="32" t="str">
        <f t="shared" si="4"/>
        <v>-</v>
      </c>
      <c r="G65" s="33" t="str">
        <f t="shared" si="4"/>
        <v>-</v>
      </c>
      <c r="H65" s="2"/>
    </row>
    <row r="66" spans="1:8">
      <c r="A66" s="43" t="s">
        <v>67</v>
      </c>
      <c r="B66" s="13">
        <v>0</v>
      </c>
      <c r="C66" s="13">
        <v>0</v>
      </c>
      <c r="D66" s="13">
        <v>0</v>
      </c>
      <c r="E66" s="14">
        <v>0</v>
      </c>
      <c r="F66" s="15" t="str">
        <f t="shared" si="4"/>
        <v>-</v>
      </c>
      <c r="G66" s="16" t="str">
        <f t="shared" si="4"/>
        <v>-</v>
      </c>
      <c r="H66" s="2"/>
    </row>
    <row r="67" spans="1:8">
      <c r="A67" s="43" t="s">
        <v>68</v>
      </c>
      <c r="B67" s="13">
        <v>0</v>
      </c>
      <c r="C67" s="13">
        <v>0</v>
      </c>
      <c r="D67" s="13">
        <v>0</v>
      </c>
      <c r="E67" s="14">
        <v>0</v>
      </c>
      <c r="F67" s="15" t="str">
        <f t="shared" si="4"/>
        <v>-</v>
      </c>
      <c r="G67" s="16" t="str">
        <f t="shared" si="4"/>
        <v>-</v>
      </c>
      <c r="H67" s="19"/>
    </row>
    <row r="68" spans="1:8">
      <c r="A68" s="43" t="s">
        <v>69</v>
      </c>
      <c r="B68" s="13">
        <v>0</v>
      </c>
      <c r="C68" s="13">
        <v>0</v>
      </c>
      <c r="D68" s="13">
        <v>0</v>
      </c>
      <c r="E68" s="14">
        <v>0</v>
      </c>
      <c r="F68" s="15" t="str">
        <f t="shared" si="4"/>
        <v>-</v>
      </c>
      <c r="G68" s="16" t="str">
        <f t="shared" si="4"/>
        <v>-</v>
      </c>
      <c r="H68" s="2"/>
    </row>
    <row r="69" spans="1:8">
      <c r="A69" s="25" t="s">
        <v>70</v>
      </c>
      <c r="B69" s="13">
        <v>0</v>
      </c>
      <c r="C69" s="13">
        <v>0</v>
      </c>
      <c r="D69" s="13">
        <v>0</v>
      </c>
      <c r="E69" s="14">
        <v>0</v>
      </c>
      <c r="F69" s="15" t="str">
        <f t="shared" si="4"/>
        <v>-</v>
      </c>
      <c r="G69" s="16" t="str">
        <f t="shared" si="4"/>
        <v>-</v>
      </c>
      <c r="H69" s="2"/>
    </row>
    <row r="70" spans="1:8">
      <c r="A70" s="43" t="s">
        <v>71</v>
      </c>
      <c r="B70" s="13">
        <v>0</v>
      </c>
      <c r="C70" s="13">
        <v>0</v>
      </c>
      <c r="D70" s="13">
        <v>0</v>
      </c>
      <c r="E70" s="14">
        <v>0</v>
      </c>
      <c r="F70" s="15" t="str">
        <f t="shared" si="4"/>
        <v>-</v>
      </c>
      <c r="G70" s="16" t="str">
        <f t="shared" si="4"/>
        <v>-</v>
      </c>
      <c r="H70" s="2"/>
    </row>
    <row r="71" spans="1:8">
      <c r="A71" s="20" t="s">
        <v>72</v>
      </c>
      <c r="B71" s="21">
        <f>SUM(B72:B75)</f>
        <v>0</v>
      </c>
      <c r="C71" s="21">
        <f>SUM(C72:C75)</f>
        <v>0</v>
      </c>
      <c r="D71" s="21">
        <f>SUM(D72:D75)</f>
        <v>0</v>
      </c>
      <c r="E71" s="22">
        <f>SUM(E72:E75)</f>
        <v>0</v>
      </c>
      <c r="F71" s="32" t="str">
        <f t="shared" si="4"/>
        <v>-</v>
      </c>
      <c r="G71" s="33" t="str">
        <f t="shared" si="4"/>
        <v>-</v>
      </c>
      <c r="H71" s="2"/>
    </row>
    <row r="72" spans="1:8">
      <c r="A72" s="25" t="s">
        <v>73</v>
      </c>
      <c r="B72" s="13">
        <v>0</v>
      </c>
      <c r="C72" s="13">
        <v>0</v>
      </c>
      <c r="D72" s="13">
        <v>0</v>
      </c>
      <c r="E72" s="14">
        <v>0</v>
      </c>
      <c r="F72" s="15" t="str">
        <f t="shared" si="4"/>
        <v>-</v>
      </c>
      <c r="G72" s="16" t="str">
        <f t="shared" si="4"/>
        <v>-</v>
      </c>
      <c r="H72" s="19"/>
    </row>
    <row r="73" spans="1:8">
      <c r="A73" s="25" t="s">
        <v>74</v>
      </c>
      <c r="B73" s="13">
        <v>0</v>
      </c>
      <c r="C73" s="13">
        <v>0</v>
      </c>
      <c r="D73" s="13">
        <v>0</v>
      </c>
      <c r="E73" s="14">
        <v>0</v>
      </c>
      <c r="F73" s="15" t="str">
        <f t="shared" si="4"/>
        <v>-</v>
      </c>
      <c r="G73" s="16" t="str">
        <f t="shared" si="4"/>
        <v>-</v>
      </c>
      <c r="H73" s="2"/>
    </row>
    <row r="74" spans="1:8">
      <c r="A74" s="25" t="s">
        <v>75</v>
      </c>
      <c r="B74" s="13">
        <v>0</v>
      </c>
      <c r="C74" s="13">
        <v>0</v>
      </c>
      <c r="D74" s="13">
        <v>0</v>
      </c>
      <c r="E74" s="14">
        <v>0</v>
      </c>
      <c r="F74" s="15" t="str">
        <f t="shared" si="4"/>
        <v>-</v>
      </c>
      <c r="G74" s="16" t="str">
        <f t="shared" si="4"/>
        <v>-</v>
      </c>
      <c r="H74" s="2"/>
    </row>
    <row r="75" spans="1:8">
      <c r="A75" s="25" t="s">
        <v>76</v>
      </c>
      <c r="B75" s="13">
        <v>0</v>
      </c>
      <c r="C75" s="13">
        <v>0</v>
      </c>
      <c r="D75" s="13">
        <v>0</v>
      </c>
      <c r="E75" s="14">
        <v>0</v>
      </c>
      <c r="F75" s="15" t="str">
        <f t="shared" si="4"/>
        <v>-</v>
      </c>
      <c r="G75" s="16" t="str">
        <f t="shared" si="4"/>
        <v>-</v>
      </c>
      <c r="H75" s="19"/>
    </row>
    <row r="76" spans="1:8">
      <c r="A76" s="42" t="s">
        <v>77</v>
      </c>
      <c r="B76" s="21">
        <f>+B65-B71</f>
        <v>0</v>
      </c>
      <c r="C76" s="21">
        <f>+C65-C71</f>
        <v>0</v>
      </c>
      <c r="D76" s="21">
        <f>+D65-D71</f>
        <v>0</v>
      </c>
      <c r="E76" s="22">
        <f>+E65-E71</f>
        <v>0</v>
      </c>
      <c r="F76" s="32" t="str">
        <f t="shared" si="4"/>
        <v>-</v>
      </c>
      <c r="G76" s="33" t="str">
        <f t="shared" si="4"/>
        <v>-</v>
      </c>
      <c r="H76" s="2"/>
    </row>
    <row r="77" spans="1:8">
      <c r="A77" s="25" t="s">
        <v>78</v>
      </c>
      <c r="B77" s="25"/>
      <c r="C77" s="45"/>
      <c r="D77" s="45"/>
      <c r="E77" s="46"/>
      <c r="F77" s="15" t="str">
        <f t="shared" si="4"/>
        <v>-</v>
      </c>
      <c r="G77" s="16" t="str">
        <f t="shared" si="4"/>
        <v>-</v>
      </c>
      <c r="H77" s="2"/>
    </row>
    <row r="78" spans="1:8">
      <c r="A78" s="25" t="s">
        <v>79</v>
      </c>
      <c r="B78" s="13">
        <v>0</v>
      </c>
      <c r="C78" s="13">
        <v>0</v>
      </c>
      <c r="D78" s="13">
        <v>0</v>
      </c>
      <c r="E78" s="14">
        <v>0</v>
      </c>
      <c r="F78" s="15"/>
      <c r="G78" s="16" t="str">
        <f t="shared" si="4"/>
        <v>-</v>
      </c>
      <c r="H78" s="19"/>
    </row>
    <row r="79" spans="1:8">
      <c r="A79" s="25" t="s">
        <v>80</v>
      </c>
      <c r="B79" s="13">
        <v>0</v>
      </c>
      <c r="C79" s="13">
        <v>0</v>
      </c>
      <c r="D79" s="13">
        <v>0</v>
      </c>
      <c r="E79" s="14">
        <v>0</v>
      </c>
      <c r="F79" s="15" t="str">
        <f t="shared" si="4"/>
        <v>-</v>
      </c>
      <c r="G79" s="16" t="str">
        <f t="shared" si="4"/>
        <v>-</v>
      </c>
      <c r="H79" s="2"/>
    </row>
    <row r="80" spans="1:8">
      <c r="A80" s="25" t="s">
        <v>81</v>
      </c>
      <c r="B80" s="13">
        <v>0</v>
      </c>
      <c r="C80" s="13">
        <v>0</v>
      </c>
      <c r="D80" s="13">
        <v>0</v>
      </c>
      <c r="E80" s="14">
        <v>0</v>
      </c>
      <c r="F80" s="15" t="str">
        <f t="shared" si="4"/>
        <v>-</v>
      </c>
      <c r="G80" s="16" t="str">
        <f t="shared" si="4"/>
        <v>-</v>
      </c>
      <c r="H80" s="2"/>
    </row>
    <row r="81" spans="1:8">
      <c r="A81" s="20" t="s">
        <v>82</v>
      </c>
      <c r="B81" s="21">
        <f>+B76-SUM(B78:B80)</f>
        <v>0</v>
      </c>
      <c r="C81" s="21">
        <f>+C76-SUM(C78:C80)</f>
        <v>0</v>
      </c>
      <c r="D81" s="21">
        <f>+D76-SUM(D78:D80)</f>
        <v>0</v>
      </c>
      <c r="E81" s="22">
        <f>+E76-SUM(E78:E80)</f>
        <v>0</v>
      </c>
      <c r="F81" s="32" t="str">
        <f t="shared" si="4"/>
        <v>-</v>
      </c>
      <c r="G81" s="33" t="str">
        <f t="shared" si="4"/>
        <v>-</v>
      </c>
      <c r="H81" s="2"/>
    </row>
    <row r="82" spans="1:8">
      <c r="A82" s="25" t="s">
        <v>83</v>
      </c>
      <c r="B82" s="13"/>
      <c r="C82" s="13">
        <v>0</v>
      </c>
      <c r="D82" s="13">
        <v>0</v>
      </c>
      <c r="E82" s="14">
        <v>0</v>
      </c>
      <c r="F82" s="15" t="str">
        <f t="shared" si="4"/>
        <v>-</v>
      </c>
      <c r="G82" s="16" t="str">
        <f t="shared" si="4"/>
        <v>-</v>
      </c>
      <c r="H82" s="2"/>
    </row>
    <row r="83" spans="1:8" ht="15" thickBot="1">
      <c r="A83" s="20" t="s">
        <v>84</v>
      </c>
      <c r="B83" s="21">
        <f>SUM(B63:B64)+B81+B82</f>
        <v>0</v>
      </c>
      <c r="C83" s="21">
        <f>SUM(C63:C64)+C81+C82</f>
        <v>0</v>
      </c>
      <c r="D83" s="21">
        <f>SUM(D63:D64)+D81+D82</f>
        <v>0</v>
      </c>
      <c r="E83" s="22">
        <f>SUM(E63:E64)+E81+E82</f>
        <v>0</v>
      </c>
      <c r="F83" s="35" t="str">
        <f t="shared" si="4"/>
        <v>-</v>
      </c>
      <c r="G83" s="36" t="str">
        <f t="shared" si="4"/>
        <v>-</v>
      </c>
      <c r="H83" s="2"/>
    </row>
    <row r="84" spans="1:8">
      <c r="A84" s="47"/>
      <c r="B84" s="48">
        <f>B61-B83</f>
        <v>0</v>
      </c>
      <c r="C84" s="48">
        <f>C61-C83</f>
        <v>0</v>
      </c>
      <c r="D84" s="48">
        <f>D61-D83</f>
        <v>0</v>
      </c>
      <c r="E84" s="49">
        <f>E61-E83</f>
        <v>0</v>
      </c>
      <c r="F84" s="50"/>
      <c r="G84" s="51"/>
      <c r="H84" s="39"/>
    </row>
    <row r="85" spans="1:8">
      <c r="A85" s="52" t="s">
        <v>85</v>
      </c>
      <c r="B85" s="52" t="s">
        <v>14</v>
      </c>
      <c r="C85" s="53" t="str">
        <f>C50</f>
        <v>FY 2021-22</v>
      </c>
      <c r="D85" s="53" t="str">
        <f>D50</f>
        <v>FY 2020-21</v>
      </c>
      <c r="E85" s="54" t="str">
        <f>E50</f>
        <v>FY 2019-20</v>
      </c>
      <c r="F85" s="50"/>
      <c r="G85" s="51"/>
      <c r="H85" s="39"/>
    </row>
    <row r="86" spans="1:8">
      <c r="A86" s="52" t="s">
        <v>29</v>
      </c>
      <c r="B86" s="55" t="e">
        <f>B26/B23</f>
        <v>#DIV/0!</v>
      </c>
      <c r="C86" s="55" t="e">
        <f>C26/C23</f>
        <v>#DIV/0!</v>
      </c>
      <c r="D86" s="55" t="e">
        <f>D26/D23</f>
        <v>#DIV/0!</v>
      </c>
      <c r="E86" s="55" t="e">
        <f>E26/E23</f>
        <v>#DIV/0!</v>
      </c>
      <c r="F86" s="56"/>
      <c r="G86" s="57"/>
      <c r="H86" s="2"/>
    </row>
    <row r="87" spans="1:8">
      <c r="A87" s="52" t="s">
        <v>86</v>
      </c>
      <c r="B87" s="55" t="e">
        <f>(B42-B27)/B23</f>
        <v>#DIV/0!</v>
      </c>
      <c r="C87" s="55" t="e">
        <f>(C42-C27)/C23</f>
        <v>#DIV/0!</v>
      </c>
      <c r="D87" s="55" t="e">
        <f>(D42-D27)/D23</f>
        <v>#DIV/0!</v>
      </c>
      <c r="E87" s="55" t="e">
        <f>(E42-E27)/E23</f>
        <v>#DIV/0!</v>
      </c>
      <c r="F87" s="56"/>
      <c r="G87" s="57"/>
      <c r="H87" s="2"/>
    </row>
    <row r="88" spans="1:8">
      <c r="A88" s="52" t="s">
        <v>87</v>
      </c>
      <c r="B88" s="55" t="e">
        <f>(B44-B27)/B23</f>
        <v>#DIV/0!</v>
      </c>
      <c r="C88" s="55" t="e">
        <f>(C44-C27)/C23</f>
        <v>#DIV/0!</v>
      </c>
      <c r="D88" s="55" t="e">
        <f>(D44-D27)/D23</f>
        <v>#DIV/0!</v>
      </c>
      <c r="E88" s="55" t="e">
        <f>(E44-E27)/E23</f>
        <v>#DIV/0!</v>
      </c>
      <c r="F88" s="56"/>
      <c r="G88" s="57"/>
      <c r="H88" s="2"/>
    </row>
    <row r="89" spans="1:8">
      <c r="A89" s="52" t="s">
        <v>88</v>
      </c>
      <c r="B89" s="55" t="e">
        <f>(B48-B27)/B23</f>
        <v>#DIV/0!</v>
      </c>
      <c r="C89" s="55" t="e">
        <f>(C48-C27)/C23</f>
        <v>#DIV/0!</v>
      </c>
      <c r="D89" s="55" t="e">
        <f>(D48-D27)/D23</f>
        <v>#DIV/0!</v>
      </c>
      <c r="E89" s="55" t="e">
        <f>(E48-E27)/E23</f>
        <v>#DIV/0!</v>
      </c>
      <c r="F89" s="56"/>
      <c r="G89" s="57"/>
      <c r="H89" s="3"/>
    </row>
    <row r="90" spans="1:8">
      <c r="A90" s="52" t="s">
        <v>89</v>
      </c>
      <c r="B90" s="21" t="e">
        <f>B31/(B37+B38)</f>
        <v>#DIV/0!</v>
      </c>
      <c r="C90" s="21" t="e">
        <f>C31/(C37+C38)</f>
        <v>#DIV/0!</v>
      </c>
      <c r="D90" s="21" t="e">
        <f>D31/(D37+D38)</f>
        <v>#DIV/0!</v>
      </c>
      <c r="E90" s="21" t="e">
        <f>E31/(E37+E38)</f>
        <v>#DIV/0!</v>
      </c>
      <c r="F90" s="56"/>
      <c r="G90" s="57"/>
      <c r="H90" s="3"/>
    </row>
    <row r="91" spans="1:8">
      <c r="A91" s="52" t="s">
        <v>90</v>
      </c>
      <c r="B91" s="21" t="e">
        <f>B67/B23*365</f>
        <v>#DIV/0!</v>
      </c>
      <c r="C91" s="21" t="e">
        <f>C67/C23*365</f>
        <v>#DIV/0!</v>
      </c>
      <c r="D91" s="21" t="e">
        <f>D67/D23*365</f>
        <v>#DIV/0!</v>
      </c>
      <c r="E91" s="21" t="e">
        <f>E67/E23*365</f>
        <v>#DIV/0!</v>
      </c>
      <c r="F91" s="56"/>
      <c r="G91" s="57"/>
      <c r="H91" s="3"/>
    </row>
    <row r="92" spans="1:8">
      <c r="A92" s="52" t="s">
        <v>91</v>
      </c>
      <c r="B92" s="21" t="e">
        <f>B72/(B24+B25)*365</f>
        <v>#DIV/0!</v>
      </c>
      <c r="C92" s="21" t="e">
        <f>C72/(C24+C25)*365</f>
        <v>#DIV/0!</v>
      </c>
      <c r="D92" s="21" t="e">
        <f>D72/(D24+D25)*365</f>
        <v>#DIV/0!</v>
      </c>
      <c r="E92" s="21" t="e">
        <f>E72/(E24+E25)*365</f>
        <v>#DIV/0!</v>
      </c>
      <c r="F92" s="56"/>
      <c r="G92" s="57"/>
      <c r="H92" s="3"/>
    </row>
    <row r="93" spans="1:8">
      <c r="A93" s="52" t="s">
        <v>92</v>
      </c>
      <c r="B93" s="21" t="e">
        <f>B66/B23*365</f>
        <v>#DIV/0!</v>
      </c>
      <c r="C93" s="21" t="e">
        <f>C66/C23*365</f>
        <v>#DIV/0!</v>
      </c>
      <c r="D93" s="21" t="e">
        <f>D66/D23*365</f>
        <v>#DIV/0!</v>
      </c>
      <c r="E93" s="21" t="e">
        <f>E66/E23*365</f>
        <v>#DIV/0!</v>
      </c>
      <c r="F93" s="56"/>
      <c r="G93" s="57"/>
      <c r="H93" s="3"/>
    </row>
    <row r="94" spans="1:8">
      <c r="A94" s="52" t="s">
        <v>93</v>
      </c>
      <c r="B94" s="21">
        <f>B58</f>
        <v>0</v>
      </c>
      <c r="C94" s="21">
        <f>C58</f>
        <v>0</v>
      </c>
      <c r="D94" s="21">
        <f>D58</f>
        <v>0</v>
      </c>
      <c r="E94" s="21">
        <f>E58</f>
        <v>0</v>
      </c>
      <c r="F94" s="56"/>
      <c r="G94" s="57"/>
      <c r="H94" s="3"/>
    </row>
    <row r="95" spans="1:8">
      <c r="A95" s="52" t="s">
        <v>105</v>
      </c>
      <c r="B95" s="21">
        <f>B59+B60+B76</f>
        <v>0</v>
      </c>
      <c r="C95" s="21">
        <f>C59+C60+C78+C79+C80</f>
        <v>0</v>
      </c>
      <c r="D95" s="21">
        <f>D59+D60+D78+D79+D80</f>
        <v>0</v>
      </c>
      <c r="E95" s="21">
        <f>E59+E60+E78+E79+E80</f>
        <v>0</v>
      </c>
      <c r="F95" s="56"/>
      <c r="G95" s="57"/>
      <c r="H95" s="3"/>
    </row>
    <row r="96" spans="1:8">
      <c r="A96" s="52" t="s">
        <v>94</v>
      </c>
      <c r="B96" s="21">
        <f>B63+B64+B65</f>
        <v>0</v>
      </c>
      <c r="C96" s="21">
        <f>C63+C64+C65</f>
        <v>0</v>
      </c>
      <c r="D96" s="21">
        <f>D63+D64+D65</f>
        <v>0</v>
      </c>
      <c r="E96" s="21">
        <f>E63+E64+E65</f>
        <v>0</v>
      </c>
      <c r="F96" s="56"/>
      <c r="G96" s="57"/>
      <c r="H96" s="3"/>
    </row>
    <row r="97" spans="1:8">
      <c r="A97" s="52" t="s">
        <v>95</v>
      </c>
      <c r="B97" s="21">
        <f>B59+B60+B78+B79+B71+B80</f>
        <v>0</v>
      </c>
      <c r="C97" s="21">
        <f>C59+C60+C78+C79+C71+C80</f>
        <v>0</v>
      </c>
      <c r="D97" s="21">
        <f>D59+D60+D78+D79+D71+D80</f>
        <v>0</v>
      </c>
      <c r="E97" s="21">
        <f>E59+E60+E78+E79+E71+E80</f>
        <v>0</v>
      </c>
      <c r="F97" s="56"/>
      <c r="G97" s="57"/>
      <c r="H97" s="3"/>
    </row>
    <row r="98" spans="1:8">
      <c r="A98" s="52" t="s">
        <v>96</v>
      </c>
      <c r="B98" s="21" t="e">
        <f>B95/B94</f>
        <v>#DIV/0!</v>
      </c>
      <c r="C98" s="21" t="e">
        <f>C95/C94</f>
        <v>#DIV/0!</v>
      </c>
      <c r="D98" s="21" t="e">
        <f>D95/D94</f>
        <v>#DIV/0!</v>
      </c>
      <c r="E98" s="21" t="e">
        <f>E95/E94</f>
        <v>#DIV/0!</v>
      </c>
      <c r="F98" s="56"/>
      <c r="G98" s="57"/>
      <c r="H98" s="3"/>
    </row>
    <row r="99" spans="1:8">
      <c r="A99" s="52" t="s">
        <v>97</v>
      </c>
      <c r="B99" s="21" t="e">
        <f>B97/B96</f>
        <v>#DIV/0!</v>
      </c>
      <c r="C99" s="21" t="e">
        <f>C97/C96</f>
        <v>#DIV/0!</v>
      </c>
      <c r="D99" s="21" t="e">
        <f>D97/D96</f>
        <v>#DIV/0!</v>
      </c>
      <c r="E99" s="21" t="e">
        <f>E97/E96</f>
        <v>#DIV/0!</v>
      </c>
      <c r="F99" s="56"/>
      <c r="G99" s="57"/>
      <c r="H99" s="3"/>
    </row>
    <row r="100" spans="1:8">
      <c r="A100" s="52" t="s">
        <v>98</v>
      </c>
      <c r="B100" s="21" t="e">
        <f>B97/B94</f>
        <v>#DIV/0!</v>
      </c>
      <c r="C100" s="21" t="e">
        <f>C97/C94</f>
        <v>#DIV/0!</v>
      </c>
      <c r="D100" s="21" t="e">
        <f>D97/D94</f>
        <v>#DIV/0!</v>
      </c>
      <c r="E100" s="21" t="e">
        <f>E97/E94</f>
        <v>#DIV/0!</v>
      </c>
      <c r="F100" s="56"/>
      <c r="G100" s="57"/>
      <c r="H100" s="3"/>
    </row>
    <row r="101" spans="1:8">
      <c r="A101" s="3"/>
      <c r="B101" s="3"/>
      <c r="C101" s="3"/>
      <c r="D101" s="60"/>
      <c r="E101" s="60"/>
      <c r="F101" s="3"/>
      <c r="G101" s="3"/>
      <c r="H101" s="7"/>
    </row>
  </sheetData>
  <mergeCells count="11">
    <mergeCell ref="B8:E8"/>
    <mergeCell ref="A9:E9"/>
    <mergeCell ref="A10:E10"/>
    <mergeCell ref="F10:G10"/>
    <mergeCell ref="A49:E49"/>
    <mergeCell ref="B7:E7"/>
    <mergeCell ref="A2:E2"/>
    <mergeCell ref="B3:E3"/>
    <mergeCell ref="B4:E4"/>
    <mergeCell ref="B5:E5"/>
    <mergeCell ref="B6:E6"/>
  </mergeCells>
  <conditionalFormatting sqref="F11:G43 F45:G49">
    <cfRule type="cellIs" dxfId="44" priority="13" stopIfTrue="1" operator="lessThan">
      <formula>-0.2</formula>
    </cfRule>
    <cfRule type="cellIs" dxfId="43" priority="14" stopIfTrue="1" operator="lessThan">
      <formula>0</formula>
    </cfRule>
    <cfRule type="cellIs" dxfId="42" priority="15" stopIfTrue="1" operator="greaterThan">
      <formula>0.4</formula>
    </cfRule>
  </conditionalFormatting>
  <conditionalFormatting sqref="F51:G83">
    <cfRule type="cellIs" dxfId="41" priority="10" stopIfTrue="1" operator="lessThan">
      <formula>-0.2</formula>
    </cfRule>
    <cfRule type="cellIs" dxfId="40" priority="11" stopIfTrue="1" operator="lessThan">
      <formula>0</formula>
    </cfRule>
    <cfRule type="cellIs" dxfId="39" priority="12" stopIfTrue="1" operator="greaterThan">
      <formula>0.4</formula>
    </cfRule>
  </conditionalFormatting>
  <conditionalFormatting sqref="F50:G50">
    <cfRule type="cellIs" dxfId="38" priority="7" stopIfTrue="1" operator="lessThan">
      <formula>-0.2</formula>
    </cfRule>
    <cfRule type="cellIs" dxfId="37" priority="8" stopIfTrue="1" operator="lessThan">
      <formula>0</formula>
    </cfRule>
    <cfRule type="cellIs" dxfId="36" priority="9" stopIfTrue="1" operator="greaterThan">
      <formula>0.4</formula>
    </cfRule>
  </conditionalFormatting>
  <conditionalFormatting sqref="F44">
    <cfRule type="cellIs" dxfId="35" priority="4" stopIfTrue="1" operator="lessThan">
      <formula>-0.2</formula>
    </cfRule>
    <cfRule type="cellIs" dxfId="34" priority="5" stopIfTrue="1" operator="lessThan">
      <formula>0</formula>
    </cfRule>
    <cfRule type="cellIs" dxfId="33" priority="6" stopIfTrue="1" operator="greaterThan">
      <formula>0.4</formula>
    </cfRule>
  </conditionalFormatting>
  <conditionalFormatting sqref="G44">
    <cfRule type="cellIs" dxfId="32" priority="1" stopIfTrue="1" operator="lessThan">
      <formula>-0.2</formula>
    </cfRule>
    <cfRule type="cellIs" dxfId="31" priority="2" stopIfTrue="1" operator="lessThan">
      <formula>0</formula>
    </cfRule>
    <cfRule type="cellIs" dxfId="30" priority="3" stopIfTrue="1" operator="greaterThan">
      <formula>0.4</formula>
    </cfRule>
  </conditionalFormatting>
  <dataValidations count="1">
    <dataValidation type="list" allowBlank="1" showInputMessage="1" showErrorMessage="1" sqref="G7">
      <formula1>$H$1:$H$2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A81" workbookViewId="0">
      <selection activeCell="C85" sqref="C85"/>
    </sheetView>
  </sheetViews>
  <sheetFormatPr defaultColWidth="8.7109375" defaultRowHeight="14.25"/>
  <cols>
    <col min="1" max="1" width="44.140625" style="5" customWidth="1"/>
    <col min="2" max="2" width="1.140625" style="5" hidden="1" customWidth="1"/>
    <col min="3" max="5" width="11.7109375" style="5" bestFit="1" customWidth="1"/>
    <col min="6" max="6" width="8.28515625" style="5" bestFit="1" customWidth="1"/>
    <col min="7" max="7" width="19.5703125" style="5" bestFit="1" customWidth="1"/>
    <col min="8" max="8" width="12.28515625" style="5" bestFit="1" customWidth="1"/>
    <col min="9" max="16384" width="8.7109375" style="5"/>
  </cols>
  <sheetData>
    <row r="1" spans="1:8">
      <c r="A1" s="1"/>
      <c r="B1" s="2"/>
      <c r="C1" s="2"/>
      <c r="D1" s="2"/>
      <c r="E1" s="2"/>
      <c r="F1" s="3"/>
      <c r="G1" s="3"/>
      <c r="H1" s="4" t="s">
        <v>0</v>
      </c>
    </row>
    <row r="2" spans="1:8">
      <c r="A2" s="552" t="s">
        <v>1</v>
      </c>
      <c r="B2" s="552"/>
      <c r="C2" s="552"/>
      <c r="D2" s="552"/>
      <c r="E2" s="552"/>
      <c r="F2" s="3"/>
      <c r="G2" s="3"/>
      <c r="H2" s="4" t="s">
        <v>2</v>
      </c>
    </row>
    <row r="3" spans="1:8">
      <c r="A3" s="6" t="s">
        <v>3</v>
      </c>
      <c r="B3" s="543"/>
      <c r="C3" s="544"/>
      <c r="D3" s="544"/>
      <c r="E3" s="545"/>
      <c r="F3" s="3"/>
      <c r="G3" s="3"/>
      <c r="H3" s="7"/>
    </row>
    <row r="4" spans="1:8">
      <c r="A4" s="6" t="s">
        <v>4</v>
      </c>
      <c r="B4" s="543"/>
      <c r="C4" s="544"/>
      <c r="D4" s="544"/>
      <c r="E4" s="545"/>
      <c r="F4" s="3"/>
      <c r="G4" s="3"/>
      <c r="H4" s="7"/>
    </row>
    <row r="5" spans="1:8">
      <c r="A5" s="6" t="s">
        <v>5</v>
      </c>
      <c r="B5" s="543"/>
      <c r="C5" s="544"/>
      <c r="D5" s="544"/>
      <c r="E5" s="545"/>
      <c r="F5" s="3"/>
      <c r="G5" s="61" t="s">
        <v>6</v>
      </c>
      <c r="H5" s="7"/>
    </row>
    <row r="6" spans="1:8">
      <c r="A6" s="6" t="s">
        <v>7</v>
      </c>
      <c r="B6" s="543"/>
      <c r="C6" s="544"/>
      <c r="D6" s="544"/>
      <c r="E6" s="545"/>
      <c r="F6" s="3"/>
      <c r="G6" s="3"/>
      <c r="H6" s="7"/>
    </row>
    <row r="7" spans="1:8">
      <c r="A7" s="6" t="s">
        <v>8</v>
      </c>
      <c r="B7" s="543"/>
      <c r="C7" s="544"/>
      <c r="D7" s="544"/>
      <c r="E7" s="545"/>
      <c r="F7" s="3"/>
      <c r="G7" s="3" t="s">
        <v>0</v>
      </c>
      <c r="H7" s="7"/>
    </row>
    <row r="8" spans="1:8">
      <c r="A8" s="61" t="s">
        <v>9</v>
      </c>
      <c r="B8" s="543"/>
      <c r="C8" s="544"/>
      <c r="D8" s="544"/>
      <c r="E8" s="545"/>
      <c r="F8" s="3"/>
      <c r="G8" s="3"/>
      <c r="H8" s="62" t="s">
        <v>10</v>
      </c>
    </row>
    <row r="9" spans="1:8" ht="15" thickBot="1">
      <c r="A9" s="546" t="s">
        <v>11</v>
      </c>
      <c r="B9" s="546"/>
      <c r="C9" s="546"/>
      <c r="D9" s="546"/>
      <c r="E9" s="546"/>
      <c r="F9" s="3"/>
      <c r="G9" s="3"/>
      <c r="H9" s="7"/>
    </row>
    <row r="10" spans="1:8" ht="15" thickBot="1">
      <c r="A10" s="547"/>
      <c r="B10" s="547"/>
      <c r="C10" s="547"/>
      <c r="D10" s="547"/>
      <c r="E10" s="548"/>
      <c r="F10" s="549" t="s">
        <v>12</v>
      </c>
      <c r="G10" s="550"/>
      <c r="H10" s="3"/>
    </row>
    <row r="11" spans="1:8" ht="15" thickBot="1">
      <c r="A11" s="8" t="s">
        <v>13</v>
      </c>
      <c r="B11" s="8" t="s">
        <v>14</v>
      </c>
      <c r="C11" s="9" t="s">
        <v>106</v>
      </c>
      <c r="D11" s="9" t="s">
        <v>107</v>
      </c>
      <c r="E11" s="9" t="s">
        <v>108</v>
      </c>
      <c r="F11" s="10" t="s">
        <v>109</v>
      </c>
      <c r="G11" s="11" t="s">
        <v>109</v>
      </c>
      <c r="H11" s="3"/>
    </row>
    <row r="12" spans="1:8">
      <c r="A12" s="12" t="s">
        <v>15</v>
      </c>
      <c r="B12" s="13">
        <v>0</v>
      </c>
      <c r="C12" s="13">
        <v>0</v>
      </c>
      <c r="D12" s="13"/>
      <c r="E12" s="14"/>
      <c r="F12" s="15" t="str">
        <f>IFERROR((C12-D12)/D12,"-")</f>
        <v>-</v>
      </c>
      <c r="G12" s="16" t="str">
        <f>IFERROR((D12-E12)/E12,"-")</f>
        <v>-</v>
      </c>
      <c r="H12" s="3"/>
    </row>
    <row r="13" spans="1:8">
      <c r="A13" s="12" t="s">
        <v>16</v>
      </c>
      <c r="B13" s="13">
        <v>0</v>
      </c>
      <c r="C13" s="13">
        <v>0</v>
      </c>
      <c r="D13" s="13">
        <v>0</v>
      </c>
      <c r="E13" s="14">
        <v>0</v>
      </c>
      <c r="F13" s="15" t="str">
        <f t="shared" ref="F13:G22" si="0">IFERROR((C13-D13)/D13,"-")</f>
        <v>-</v>
      </c>
      <c r="G13" s="16" t="str">
        <f t="shared" si="0"/>
        <v>-</v>
      </c>
      <c r="H13" s="17"/>
    </row>
    <row r="14" spans="1:8">
      <c r="A14" s="12" t="s">
        <v>17</v>
      </c>
      <c r="B14" s="13">
        <v>0</v>
      </c>
      <c r="C14" s="13">
        <v>0</v>
      </c>
      <c r="D14" s="13">
        <v>0</v>
      </c>
      <c r="E14" s="14">
        <v>0</v>
      </c>
      <c r="F14" s="15" t="str">
        <f t="shared" si="0"/>
        <v>-</v>
      </c>
      <c r="G14" s="16" t="str">
        <f t="shared" si="0"/>
        <v>-</v>
      </c>
      <c r="H14" s="3"/>
    </row>
    <row r="15" spans="1:8">
      <c r="A15" s="12" t="s">
        <v>18</v>
      </c>
      <c r="B15" s="13">
        <v>0</v>
      </c>
      <c r="C15" s="13">
        <v>0</v>
      </c>
      <c r="D15" s="13">
        <v>0</v>
      </c>
      <c r="E15" s="14">
        <v>0</v>
      </c>
      <c r="F15" s="15" t="str">
        <f t="shared" si="0"/>
        <v>-</v>
      </c>
      <c r="G15" s="16" t="str">
        <f t="shared" si="0"/>
        <v>-</v>
      </c>
      <c r="H15" s="18"/>
    </row>
    <row r="16" spans="1:8">
      <c r="A16" s="12" t="s">
        <v>19</v>
      </c>
      <c r="B16" s="13">
        <v>0</v>
      </c>
      <c r="C16" s="13">
        <v>0</v>
      </c>
      <c r="D16" s="13">
        <v>0</v>
      </c>
      <c r="E16" s="14">
        <v>0</v>
      </c>
      <c r="F16" s="15" t="str">
        <f t="shared" si="0"/>
        <v>-</v>
      </c>
      <c r="G16" s="16" t="str">
        <f t="shared" si="0"/>
        <v>-</v>
      </c>
      <c r="H16" s="18"/>
    </row>
    <row r="17" spans="1:8">
      <c r="A17" s="12" t="s">
        <v>20</v>
      </c>
      <c r="B17" s="13">
        <v>0</v>
      </c>
      <c r="C17" s="13">
        <v>0</v>
      </c>
      <c r="D17" s="13">
        <v>0</v>
      </c>
      <c r="E17" s="14">
        <v>0</v>
      </c>
      <c r="F17" s="15" t="str">
        <f t="shared" si="0"/>
        <v>-</v>
      </c>
      <c r="G17" s="16" t="str">
        <f t="shared" si="0"/>
        <v>-</v>
      </c>
      <c r="H17" s="3"/>
    </row>
    <row r="18" spans="1:8">
      <c r="A18" s="12" t="s">
        <v>21</v>
      </c>
      <c r="B18" s="13">
        <v>0</v>
      </c>
      <c r="C18" s="13">
        <v>0</v>
      </c>
      <c r="D18" s="13">
        <v>0</v>
      </c>
      <c r="E18" s="14">
        <v>0</v>
      </c>
      <c r="F18" s="15" t="str">
        <f t="shared" si="0"/>
        <v>-</v>
      </c>
      <c r="G18" s="16" t="str">
        <f t="shared" si="0"/>
        <v>-</v>
      </c>
      <c r="H18" s="3"/>
    </row>
    <row r="19" spans="1:8">
      <c r="A19" s="12" t="s">
        <v>22</v>
      </c>
      <c r="B19" s="13">
        <v>0</v>
      </c>
      <c r="C19" s="13">
        <v>0</v>
      </c>
      <c r="D19" s="13">
        <v>0</v>
      </c>
      <c r="E19" s="14">
        <v>0</v>
      </c>
      <c r="F19" s="15" t="str">
        <f t="shared" si="0"/>
        <v>-</v>
      </c>
      <c r="G19" s="16" t="str">
        <f t="shared" si="0"/>
        <v>-</v>
      </c>
      <c r="H19" s="18"/>
    </row>
    <row r="20" spans="1:8">
      <c r="A20" s="12" t="s">
        <v>23</v>
      </c>
      <c r="B20" s="13">
        <v>0</v>
      </c>
      <c r="C20" s="13">
        <v>0</v>
      </c>
      <c r="D20" s="13">
        <v>0</v>
      </c>
      <c r="E20" s="14">
        <v>0</v>
      </c>
      <c r="F20" s="15" t="str">
        <f t="shared" si="0"/>
        <v>-</v>
      </c>
      <c r="G20" s="16" t="str">
        <f t="shared" si="0"/>
        <v>-</v>
      </c>
      <c r="H20" s="3"/>
    </row>
    <row r="21" spans="1:8">
      <c r="A21" s="12" t="s">
        <v>24</v>
      </c>
      <c r="B21" s="13">
        <v>0</v>
      </c>
      <c r="C21" s="13">
        <v>0</v>
      </c>
      <c r="D21" s="13">
        <v>0</v>
      </c>
      <c r="E21" s="14">
        <v>0</v>
      </c>
      <c r="F21" s="15" t="str">
        <f t="shared" si="0"/>
        <v>-</v>
      </c>
      <c r="G21" s="16" t="str">
        <f t="shared" si="0"/>
        <v>-</v>
      </c>
      <c r="H21" s="18"/>
    </row>
    <row r="22" spans="1:8">
      <c r="A22" s="12" t="s">
        <v>25</v>
      </c>
      <c r="B22" s="13">
        <v>0</v>
      </c>
      <c r="C22" s="13"/>
      <c r="D22" s="13"/>
      <c r="E22" s="13"/>
      <c r="F22" s="15" t="str">
        <f t="shared" si="0"/>
        <v>-</v>
      </c>
      <c r="G22" s="16" t="str">
        <f t="shared" si="0"/>
        <v>-</v>
      </c>
      <c r="H22" s="19"/>
    </row>
    <row r="23" spans="1:8">
      <c r="A23" s="20" t="s">
        <v>26</v>
      </c>
      <c r="B23" s="21">
        <f>SUM(B12:B22)</f>
        <v>0</v>
      </c>
      <c r="C23" s="21">
        <f>SUM(C12:C22)</f>
        <v>0</v>
      </c>
      <c r="D23" s="21">
        <f>SUM(D12:D22)</f>
        <v>0</v>
      </c>
      <c r="E23" s="22">
        <f>SUM(E12:E22)</f>
        <v>0</v>
      </c>
      <c r="F23" s="23" t="str">
        <f>IFERROR((C23/D23)-1,"-")</f>
        <v>-</v>
      </c>
      <c r="G23" s="24" t="str">
        <f>IFERROR((D23/E23)-1,"-")</f>
        <v>-</v>
      </c>
      <c r="H23" s="2"/>
    </row>
    <row r="24" spans="1:8">
      <c r="A24" s="25" t="s">
        <v>27</v>
      </c>
      <c r="B24" s="13">
        <v>0</v>
      </c>
      <c r="C24" s="13">
        <v>0</v>
      </c>
      <c r="D24" s="13">
        <v>0</v>
      </c>
      <c r="E24" s="14">
        <v>0</v>
      </c>
      <c r="F24" s="15" t="str">
        <f>IFERROR((C24-D24)/D24,"-")</f>
        <v>-</v>
      </c>
      <c r="G24" s="16" t="str">
        <f>IFERROR((D24-E24)/E24,"-")</f>
        <v>-</v>
      </c>
      <c r="H24" s="2"/>
    </row>
    <row r="25" spans="1:8">
      <c r="A25" s="25" t="s">
        <v>28</v>
      </c>
      <c r="B25" s="13">
        <v>0</v>
      </c>
      <c r="C25" s="13">
        <v>0</v>
      </c>
      <c r="D25" s="13">
        <v>0</v>
      </c>
      <c r="E25" s="14">
        <v>0</v>
      </c>
      <c r="F25" s="15" t="str">
        <f>IFERROR((C25-D25)/D25,"-")</f>
        <v>-</v>
      </c>
      <c r="G25" s="16" t="str">
        <f>IFERROR((D25-E25)/E25,"-")</f>
        <v>-</v>
      </c>
      <c r="H25" s="2"/>
    </row>
    <row r="26" spans="1:8">
      <c r="A26" s="20" t="s">
        <v>29</v>
      </c>
      <c r="B26" s="21">
        <f>+B23-B24-B25</f>
        <v>0</v>
      </c>
      <c r="C26" s="21">
        <f>+C23-C24-C25</f>
        <v>0</v>
      </c>
      <c r="D26" s="21">
        <f>+D23-D24-D25</f>
        <v>0</v>
      </c>
      <c r="E26" s="22">
        <f>+E23-E24-E25</f>
        <v>0</v>
      </c>
      <c r="F26" s="23" t="str">
        <f>IFERROR((C26/D26)-1,"-")</f>
        <v>-</v>
      </c>
      <c r="G26" s="24" t="str">
        <f>IFERROR((D26/E26)-1,"-")</f>
        <v>-</v>
      </c>
      <c r="H26" s="2"/>
    </row>
    <row r="27" spans="1:8">
      <c r="A27" s="25" t="s">
        <v>30</v>
      </c>
      <c r="B27" s="13">
        <v>0</v>
      </c>
      <c r="C27" s="13">
        <v>0</v>
      </c>
      <c r="D27" s="13">
        <v>0</v>
      </c>
      <c r="E27" s="14">
        <v>0</v>
      </c>
      <c r="F27" s="15" t="str">
        <f t="shared" ref="F27:G30" si="1">IFERROR((C27-D27)/D27,"-")</f>
        <v>-</v>
      </c>
      <c r="G27" s="16" t="str">
        <f t="shared" si="1"/>
        <v>-</v>
      </c>
      <c r="H27" s="19"/>
    </row>
    <row r="28" spans="1:8">
      <c r="A28" s="25" t="s">
        <v>31</v>
      </c>
      <c r="B28" s="13">
        <v>0</v>
      </c>
      <c r="C28" s="13">
        <v>0</v>
      </c>
      <c r="D28" s="13">
        <v>0</v>
      </c>
      <c r="E28" s="14">
        <v>0</v>
      </c>
      <c r="F28" s="15" t="str">
        <f t="shared" si="1"/>
        <v>-</v>
      </c>
      <c r="G28" s="16" t="str">
        <f t="shared" si="1"/>
        <v>-</v>
      </c>
      <c r="H28" s="2"/>
    </row>
    <row r="29" spans="1:8">
      <c r="A29" s="25" t="s">
        <v>32</v>
      </c>
      <c r="B29" s="13">
        <v>0</v>
      </c>
      <c r="C29" s="13">
        <v>0</v>
      </c>
      <c r="D29" s="13">
        <v>0</v>
      </c>
      <c r="E29" s="14">
        <v>0</v>
      </c>
      <c r="F29" s="15" t="str">
        <f t="shared" si="1"/>
        <v>-</v>
      </c>
      <c r="G29" s="16" t="str">
        <f t="shared" si="1"/>
        <v>-</v>
      </c>
      <c r="H29" s="2"/>
    </row>
    <row r="30" spans="1:8">
      <c r="A30" s="25" t="s">
        <v>33</v>
      </c>
      <c r="B30" s="13">
        <v>0</v>
      </c>
      <c r="C30" s="13">
        <v>0</v>
      </c>
      <c r="D30" s="13">
        <v>0</v>
      </c>
      <c r="E30" s="14">
        <v>0</v>
      </c>
      <c r="F30" s="15" t="str">
        <f t="shared" si="1"/>
        <v>-</v>
      </c>
      <c r="G30" s="16" t="str">
        <f t="shared" si="1"/>
        <v>-</v>
      </c>
      <c r="H30" s="2"/>
    </row>
    <row r="31" spans="1:8">
      <c r="A31" s="20" t="s">
        <v>34</v>
      </c>
      <c r="B31" s="21">
        <f>B26+B27-SUM(B28:B30)</f>
        <v>0</v>
      </c>
      <c r="C31" s="21">
        <f>C26+C27-SUM(C28:C30)</f>
        <v>0</v>
      </c>
      <c r="D31" s="21">
        <f>D26+D27-SUM(D28:D30)</f>
        <v>0</v>
      </c>
      <c r="E31" s="22">
        <f>E26+E27-SUM(E28:E30)</f>
        <v>0</v>
      </c>
      <c r="F31" s="23" t="str">
        <f>IFERROR((C31/D31)-1,"-")</f>
        <v>-</v>
      </c>
      <c r="G31" s="24" t="str">
        <f>IFERROR((D31/E31)-1,"-")</f>
        <v>-</v>
      </c>
      <c r="H31" s="19"/>
    </row>
    <row r="32" spans="1:8">
      <c r="A32" s="25" t="s">
        <v>35</v>
      </c>
      <c r="B32" s="13">
        <v>0</v>
      </c>
      <c r="C32" s="13">
        <v>0</v>
      </c>
      <c r="D32" s="13">
        <v>0</v>
      </c>
      <c r="E32" s="14">
        <v>0</v>
      </c>
      <c r="F32" s="15" t="str">
        <f t="shared" ref="F32:G35" si="2">IFERROR((C32-D32)/D32,"-")</f>
        <v>-</v>
      </c>
      <c r="G32" s="16" t="str">
        <f t="shared" si="2"/>
        <v>-</v>
      </c>
      <c r="H32" s="19"/>
    </row>
    <row r="33" spans="1:8">
      <c r="A33" s="25" t="s">
        <v>36</v>
      </c>
      <c r="B33" s="13">
        <v>0</v>
      </c>
      <c r="C33" s="13">
        <v>0</v>
      </c>
      <c r="D33" s="13">
        <v>0</v>
      </c>
      <c r="E33" s="14">
        <v>0</v>
      </c>
      <c r="F33" s="15" t="str">
        <f t="shared" si="2"/>
        <v>-</v>
      </c>
      <c r="G33" s="16" t="str">
        <f t="shared" si="2"/>
        <v>-</v>
      </c>
      <c r="H33" s="19"/>
    </row>
    <row r="34" spans="1:8">
      <c r="A34" s="26" t="s">
        <v>37</v>
      </c>
      <c r="B34" s="13">
        <v>0</v>
      </c>
      <c r="C34" s="13">
        <v>0</v>
      </c>
      <c r="D34" s="13">
        <v>0</v>
      </c>
      <c r="E34" s="14">
        <v>0</v>
      </c>
      <c r="F34" s="15" t="str">
        <f t="shared" si="2"/>
        <v>-</v>
      </c>
      <c r="G34" s="16" t="str">
        <f t="shared" si="2"/>
        <v>-</v>
      </c>
      <c r="H34" s="19"/>
    </row>
    <row r="35" spans="1:8" ht="15" thickBot="1">
      <c r="A35" s="26" t="s">
        <v>38</v>
      </c>
      <c r="B35" s="13">
        <v>0</v>
      </c>
      <c r="C35" s="13">
        <v>0</v>
      </c>
      <c r="D35" s="13">
        <v>0</v>
      </c>
      <c r="E35" s="14">
        <v>0</v>
      </c>
      <c r="F35" s="15" t="str">
        <f t="shared" si="2"/>
        <v>-</v>
      </c>
      <c r="G35" s="27" t="str">
        <f t="shared" si="2"/>
        <v>-</v>
      </c>
      <c r="H35" s="19"/>
    </row>
    <row r="36" spans="1:8" ht="15" thickBot="1">
      <c r="A36" s="20" t="s">
        <v>39</v>
      </c>
      <c r="B36" s="21">
        <f>+B31-SUM(B32:B35)</f>
        <v>0</v>
      </c>
      <c r="C36" s="21">
        <f>+C31-SUM(C32:C35)</f>
        <v>0</v>
      </c>
      <c r="D36" s="21">
        <f>+D31-SUM(D32:D35)</f>
        <v>0</v>
      </c>
      <c r="E36" s="22">
        <f>+E31-SUM(E32:E35)</f>
        <v>0</v>
      </c>
      <c r="F36" s="28" t="str">
        <f>IFERROR((C36/D36)-1,"-")</f>
        <v>-</v>
      </c>
      <c r="G36" s="29" t="str">
        <f>IFERROR((D36/E36)-1,"-")</f>
        <v>-</v>
      </c>
      <c r="H36" s="19"/>
    </row>
    <row r="37" spans="1:8">
      <c r="A37" s="25" t="s">
        <v>40</v>
      </c>
      <c r="B37" s="13">
        <v>0</v>
      </c>
      <c r="C37" s="13">
        <v>0</v>
      </c>
      <c r="D37" s="13">
        <v>0</v>
      </c>
      <c r="E37" s="14">
        <v>0</v>
      </c>
      <c r="F37" s="15" t="str">
        <f>IFERROR((C37-D37)/D37,"-")</f>
        <v>-</v>
      </c>
      <c r="G37" s="16" t="str">
        <f>IFERROR((D37-E37)/E37,"-")</f>
        <v>-</v>
      </c>
      <c r="H37" s="19"/>
    </row>
    <row r="38" spans="1:8">
      <c r="A38" s="25" t="s">
        <v>41</v>
      </c>
      <c r="B38" s="13">
        <v>0</v>
      </c>
      <c r="C38" s="13">
        <v>0</v>
      </c>
      <c r="D38" s="13">
        <v>0</v>
      </c>
      <c r="E38" s="14">
        <v>0</v>
      </c>
      <c r="F38" s="15" t="str">
        <f>IFERROR((C38-D38)/D38,"-")</f>
        <v>-</v>
      </c>
      <c r="G38" s="16" t="str">
        <f>IFERROR((D38-E38)/E38,"-")</f>
        <v>-</v>
      </c>
      <c r="H38" s="19"/>
    </row>
    <row r="39" spans="1:8">
      <c r="A39" s="25" t="s">
        <v>42</v>
      </c>
      <c r="B39" s="13">
        <v>0</v>
      </c>
      <c r="C39" s="13">
        <v>0</v>
      </c>
      <c r="D39" s="13"/>
      <c r="E39" s="14">
        <v>0</v>
      </c>
      <c r="F39" s="15" t="str">
        <f t="shared" ref="F39:G48" si="3">IFERROR((C39-D39)/D39,"-")</f>
        <v>-</v>
      </c>
      <c r="G39" s="16" t="str">
        <f t="shared" si="3"/>
        <v>-</v>
      </c>
      <c r="H39" s="19"/>
    </row>
    <row r="40" spans="1:8" ht="15" thickBot="1">
      <c r="A40" s="25" t="s">
        <v>43</v>
      </c>
      <c r="B40" s="13">
        <v>0</v>
      </c>
      <c r="C40" s="13">
        <v>0</v>
      </c>
      <c r="D40" s="13">
        <v>0</v>
      </c>
      <c r="E40" s="14">
        <v>0</v>
      </c>
      <c r="F40" s="15" t="str">
        <f t="shared" si="3"/>
        <v>-</v>
      </c>
      <c r="G40" s="27" t="str">
        <f t="shared" si="3"/>
        <v>-</v>
      </c>
      <c r="H40" s="19"/>
    </row>
    <row r="41" spans="1:8" ht="15" thickBot="1">
      <c r="A41" s="25" t="s">
        <v>44</v>
      </c>
      <c r="B41" s="13">
        <v>0</v>
      </c>
      <c r="C41" s="13">
        <v>0</v>
      </c>
      <c r="D41" s="13">
        <v>0</v>
      </c>
      <c r="E41" s="14">
        <v>0</v>
      </c>
      <c r="F41" s="30" t="str">
        <f t="shared" si="3"/>
        <v>-</v>
      </c>
      <c r="G41" s="31" t="str">
        <f t="shared" si="3"/>
        <v>-</v>
      </c>
      <c r="H41" s="19"/>
    </row>
    <row r="42" spans="1:8">
      <c r="A42" s="20" t="s">
        <v>45</v>
      </c>
      <c r="B42" s="21">
        <f>+B36-SUM(B37:B41)</f>
        <v>0</v>
      </c>
      <c r="C42" s="21">
        <f>+C36-SUM(C37:C41)</f>
        <v>0</v>
      </c>
      <c r="D42" s="21">
        <f>+D36-SUM(D37:D41)</f>
        <v>0</v>
      </c>
      <c r="E42" s="22">
        <f>+E36-SUM(E37:E41)</f>
        <v>0</v>
      </c>
      <c r="F42" s="32" t="str">
        <f t="shared" si="3"/>
        <v>-</v>
      </c>
      <c r="G42" s="33" t="str">
        <f t="shared" si="3"/>
        <v>-</v>
      </c>
      <c r="H42" s="19"/>
    </row>
    <row r="43" spans="1:8">
      <c r="A43" s="34" t="s">
        <v>46</v>
      </c>
      <c r="B43" s="13">
        <v>0</v>
      </c>
      <c r="C43" s="13">
        <v>0</v>
      </c>
      <c r="D43" s="13">
        <v>0</v>
      </c>
      <c r="E43" s="14">
        <v>0</v>
      </c>
      <c r="F43" s="15" t="str">
        <f t="shared" si="3"/>
        <v>-</v>
      </c>
      <c r="G43" s="16" t="str">
        <f t="shared" si="3"/>
        <v>-</v>
      </c>
      <c r="H43" s="2"/>
    </row>
    <row r="44" spans="1:8">
      <c r="A44" s="20" t="s">
        <v>47</v>
      </c>
      <c r="B44" s="21">
        <f>+B42-B43</f>
        <v>0</v>
      </c>
      <c r="C44" s="21">
        <f>+C42-C43</f>
        <v>0</v>
      </c>
      <c r="D44" s="21">
        <f>+D42-D43</f>
        <v>0</v>
      </c>
      <c r="E44" s="22">
        <f>+E42-E43</f>
        <v>0</v>
      </c>
      <c r="F44" s="32" t="str">
        <f t="shared" si="3"/>
        <v>-</v>
      </c>
      <c r="G44" s="33" t="str">
        <f t="shared" si="3"/>
        <v>-</v>
      </c>
      <c r="H44" s="2"/>
    </row>
    <row r="45" spans="1:8">
      <c r="A45" s="34" t="s">
        <v>48</v>
      </c>
      <c r="B45" s="13"/>
      <c r="C45" s="13"/>
      <c r="D45" s="13"/>
      <c r="E45" s="14"/>
      <c r="F45" s="15" t="str">
        <f t="shared" si="3"/>
        <v>-</v>
      </c>
      <c r="G45" s="16" t="str">
        <f t="shared" si="3"/>
        <v>-</v>
      </c>
      <c r="H45" s="2"/>
    </row>
    <row r="46" spans="1:8">
      <c r="A46" s="34" t="s">
        <v>49</v>
      </c>
      <c r="B46" s="13"/>
      <c r="C46" s="13"/>
      <c r="D46" s="13"/>
      <c r="E46" s="14"/>
      <c r="F46" s="15" t="str">
        <f t="shared" si="3"/>
        <v>-</v>
      </c>
      <c r="G46" s="16" t="str">
        <f t="shared" si="3"/>
        <v>-</v>
      </c>
      <c r="H46" s="2"/>
    </row>
    <row r="47" spans="1:8">
      <c r="A47" s="20" t="s">
        <v>50</v>
      </c>
      <c r="B47" s="21">
        <f>+B44-SUM(B45:B46)</f>
        <v>0</v>
      </c>
      <c r="C47" s="21">
        <f>+C44-SUM(C45:C46)</f>
        <v>0</v>
      </c>
      <c r="D47" s="21">
        <f>+D44-SUM(D45:D46)</f>
        <v>0</v>
      </c>
      <c r="E47" s="22">
        <f>+E44-SUM(E45:E46)</f>
        <v>0</v>
      </c>
      <c r="F47" s="32" t="str">
        <f t="shared" si="3"/>
        <v>-</v>
      </c>
      <c r="G47" s="33" t="str">
        <f t="shared" si="3"/>
        <v>-</v>
      </c>
      <c r="H47" s="2"/>
    </row>
    <row r="48" spans="1:8" ht="15" thickBot="1">
      <c r="A48" s="20" t="s">
        <v>51</v>
      </c>
      <c r="B48" s="21">
        <f>+B44+B41+B39+B32+B40</f>
        <v>0</v>
      </c>
      <c r="C48" s="21">
        <f>+C44+C41+C39+C32+C40</f>
        <v>0</v>
      </c>
      <c r="D48" s="21">
        <f>+D44+D41+D39+D32+D40</f>
        <v>0</v>
      </c>
      <c r="E48" s="22">
        <f>+E44+E41+E39+E32+E40</f>
        <v>0</v>
      </c>
      <c r="F48" s="35" t="str">
        <f t="shared" si="3"/>
        <v>-</v>
      </c>
      <c r="G48" s="36" t="str">
        <f t="shared" si="3"/>
        <v>-</v>
      </c>
      <c r="H48" s="2"/>
    </row>
    <row r="49" spans="1:8" ht="15" thickBot="1">
      <c r="A49" s="551"/>
      <c r="B49" s="551"/>
      <c r="C49" s="551"/>
      <c r="D49" s="551"/>
      <c r="E49" s="551"/>
      <c r="F49" s="37"/>
      <c r="G49" s="38"/>
      <c r="H49" s="39"/>
    </row>
    <row r="50" spans="1:8" ht="15" thickBot="1">
      <c r="A50" s="8" t="s">
        <v>52</v>
      </c>
      <c r="B50" s="8" t="s">
        <v>14</v>
      </c>
      <c r="C50" s="9" t="s">
        <v>106</v>
      </c>
      <c r="D50" s="9" t="s">
        <v>107</v>
      </c>
      <c r="E50" s="9" t="s">
        <v>108</v>
      </c>
      <c r="F50" s="40" t="s">
        <v>109</v>
      </c>
      <c r="G50" s="41" t="s">
        <v>109</v>
      </c>
      <c r="H50" s="2"/>
    </row>
    <row r="51" spans="1:8">
      <c r="A51" s="25" t="s">
        <v>53</v>
      </c>
      <c r="B51" s="13">
        <v>0</v>
      </c>
      <c r="C51" s="13">
        <v>0</v>
      </c>
      <c r="D51" s="13">
        <v>0</v>
      </c>
      <c r="E51" s="14">
        <v>0</v>
      </c>
      <c r="F51" s="15" t="str">
        <f t="shared" ref="F51:G83" si="4">IFERROR((C51-D51)/D51,"-")</f>
        <v>-</v>
      </c>
      <c r="G51" s="16" t="str">
        <f t="shared" si="4"/>
        <v>-</v>
      </c>
      <c r="H51" s="2"/>
    </row>
    <row r="52" spans="1:8">
      <c r="A52" s="25" t="s">
        <v>54</v>
      </c>
      <c r="B52" s="13">
        <v>0</v>
      </c>
      <c r="C52" s="13">
        <v>0</v>
      </c>
      <c r="D52" s="13">
        <v>0</v>
      </c>
      <c r="E52" s="14">
        <v>0</v>
      </c>
      <c r="F52" s="15" t="str">
        <f t="shared" si="4"/>
        <v>-</v>
      </c>
      <c r="G52" s="16" t="str">
        <f t="shared" si="4"/>
        <v>-</v>
      </c>
      <c r="H52" s="2"/>
    </row>
    <row r="53" spans="1:8">
      <c r="A53" s="25" t="s">
        <v>55</v>
      </c>
      <c r="B53" s="13">
        <v>0</v>
      </c>
      <c r="C53" s="13">
        <v>0</v>
      </c>
      <c r="D53" s="13">
        <v>0</v>
      </c>
      <c r="E53" s="14">
        <v>0</v>
      </c>
      <c r="F53" s="15" t="str">
        <f t="shared" si="4"/>
        <v>-</v>
      </c>
      <c r="G53" s="16" t="str">
        <f t="shared" si="4"/>
        <v>-</v>
      </c>
      <c r="H53" s="2"/>
    </row>
    <row r="54" spans="1:8">
      <c r="A54" s="25" t="s">
        <v>56</v>
      </c>
      <c r="B54" s="13">
        <v>0</v>
      </c>
      <c r="C54" s="13">
        <v>0</v>
      </c>
      <c r="D54" s="13">
        <v>0</v>
      </c>
      <c r="E54" s="14">
        <v>0</v>
      </c>
      <c r="F54" s="15" t="str">
        <f t="shared" si="4"/>
        <v>-</v>
      </c>
      <c r="G54" s="16" t="str">
        <f t="shared" si="4"/>
        <v>-</v>
      </c>
      <c r="H54" s="2"/>
    </row>
    <row r="55" spans="1:8">
      <c r="A55" s="20" t="s">
        <v>57</v>
      </c>
      <c r="B55" s="21">
        <f>SUM(B51:B53)+B54</f>
        <v>0</v>
      </c>
      <c r="C55" s="21">
        <f>SUM(C51:C53)+C54</f>
        <v>0</v>
      </c>
      <c r="D55" s="21">
        <f>SUM(D51:D53)+D54</f>
        <v>0</v>
      </c>
      <c r="E55" s="22">
        <f>SUM(E51:E53)+E54</f>
        <v>0</v>
      </c>
      <c r="F55" s="32" t="str">
        <f t="shared" si="4"/>
        <v>-</v>
      </c>
      <c r="G55" s="33" t="str">
        <f t="shared" si="4"/>
        <v>-</v>
      </c>
      <c r="H55" s="2"/>
    </row>
    <row r="56" spans="1:8">
      <c r="A56" s="25" t="s">
        <v>58</v>
      </c>
      <c r="B56" s="13">
        <v>0</v>
      </c>
      <c r="C56" s="13">
        <v>0</v>
      </c>
      <c r="D56" s="13">
        <v>0</v>
      </c>
      <c r="E56" s="14">
        <v>0</v>
      </c>
      <c r="F56" s="15" t="str">
        <f t="shared" si="4"/>
        <v>-</v>
      </c>
      <c r="G56" s="16" t="str">
        <f t="shared" si="4"/>
        <v>-</v>
      </c>
      <c r="H56" s="19"/>
    </row>
    <row r="57" spans="1:8">
      <c r="A57" s="25" t="s">
        <v>59</v>
      </c>
      <c r="B57" s="13">
        <v>0</v>
      </c>
      <c r="C57" s="13">
        <v>0</v>
      </c>
      <c r="D57" s="13">
        <v>0</v>
      </c>
      <c r="E57" s="14">
        <v>0</v>
      </c>
      <c r="F57" s="15" t="str">
        <f t="shared" si="4"/>
        <v>-</v>
      </c>
      <c r="G57" s="16" t="str">
        <f t="shared" si="4"/>
        <v>-</v>
      </c>
      <c r="H57" s="2"/>
    </row>
    <row r="58" spans="1:8">
      <c r="A58" s="42" t="s">
        <v>60</v>
      </c>
      <c r="B58" s="21">
        <f>+SUM(B55:B56)-B57</f>
        <v>0</v>
      </c>
      <c r="C58" s="21">
        <f>+SUM(C55:C56)-C57</f>
        <v>0</v>
      </c>
      <c r="D58" s="21">
        <f>+SUM(D55:D56)-D57</f>
        <v>0</v>
      </c>
      <c r="E58" s="22">
        <f>+SUM(E55:E56)-E57</f>
        <v>0</v>
      </c>
      <c r="F58" s="32" t="str">
        <f t="shared" si="4"/>
        <v>-</v>
      </c>
      <c r="G58" s="33" t="str">
        <f t="shared" si="4"/>
        <v>-</v>
      </c>
      <c r="H58" s="2"/>
    </row>
    <row r="59" spans="1:8">
      <c r="A59" s="25" t="s">
        <v>61</v>
      </c>
      <c r="B59" s="13">
        <v>0</v>
      </c>
      <c r="C59" s="13">
        <v>0</v>
      </c>
      <c r="D59" s="13">
        <v>0</v>
      </c>
      <c r="E59" s="14">
        <v>0</v>
      </c>
      <c r="F59" s="15" t="str">
        <f t="shared" si="4"/>
        <v>-</v>
      </c>
      <c r="G59" s="16" t="str">
        <f t="shared" si="4"/>
        <v>-</v>
      </c>
      <c r="H59" s="2"/>
    </row>
    <row r="60" spans="1:8">
      <c r="A60" s="25" t="s">
        <v>62</v>
      </c>
      <c r="B60" s="13">
        <v>0</v>
      </c>
      <c r="C60" s="13">
        <v>0</v>
      </c>
      <c r="D60" s="13">
        <v>0</v>
      </c>
      <c r="E60" s="14">
        <v>0</v>
      </c>
      <c r="F60" s="15" t="str">
        <f t="shared" si="4"/>
        <v>-</v>
      </c>
      <c r="G60" s="16" t="str">
        <f t="shared" si="4"/>
        <v>-</v>
      </c>
      <c r="H60" s="2"/>
    </row>
    <row r="61" spans="1:8">
      <c r="A61" s="20" t="s">
        <v>63</v>
      </c>
      <c r="B61" s="21">
        <f>+SUM(B58:B60)</f>
        <v>0</v>
      </c>
      <c r="C61" s="21">
        <f>+SUM(C58:C60)</f>
        <v>0</v>
      </c>
      <c r="D61" s="21">
        <f>+SUM(D58:D60)</f>
        <v>0</v>
      </c>
      <c r="E61" s="22">
        <f>+SUM(E58:E60)</f>
        <v>0</v>
      </c>
      <c r="F61" s="32" t="str">
        <f t="shared" si="4"/>
        <v>-</v>
      </c>
      <c r="G61" s="33" t="str">
        <f t="shared" si="4"/>
        <v>-</v>
      </c>
      <c r="H61" s="2"/>
    </row>
    <row r="62" spans="1:8">
      <c r="A62" s="34"/>
      <c r="B62" s="34"/>
      <c r="C62" s="43"/>
      <c r="D62" s="43"/>
      <c r="E62" s="44"/>
      <c r="F62" s="15" t="str">
        <f t="shared" si="4"/>
        <v>-</v>
      </c>
      <c r="G62" s="16" t="str">
        <f t="shared" si="4"/>
        <v>-</v>
      </c>
      <c r="H62" s="2"/>
    </row>
    <row r="63" spans="1:8">
      <c r="A63" s="43" t="s">
        <v>64</v>
      </c>
      <c r="B63" s="13">
        <v>0</v>
      </c>
      <c r="C63" s="13">
        <v>0</v>
      </c>
      <c r="D63" s="13">
        <v>0</v>
      </c>
      <c r="E63" s="14">
        <v>0</v>
      </c>
      <c r="F63" s="15" t="str">
        <f t="shared" si="4"/>
        <v>-</v>
      </c>
      <c r="G63" s="16" t="str">
        <f t="shared" si="4"/>
        <v>-</v>
      </c>
      <c r="H63" s="2"/>
    </row>
    <row r="64" spans="1:8">
      <c r="A64" s="43" t="s">
        <v>65</v>
      </c>
      <c r="B64" s="13">
        <v>0</v>
      </c>
      <c r="C64" s="13">
        <v>0</v>
      </c>
      <c r="D64" s="13">
        <v>0</v>
      </c>
      <c r="E64" s="14">
        <v>0</v>
      </c>
      <c r="F64" s="15" t="str">
        <f t="shared" si="4"/>
        <v>-</v>
      </c>
      <c r="G64" s="16" t="str">
        <f t="shared" si="4"/>
        <v>-</v>
      </c>
      <c r="H64" s="2"/>
    </row>
    <row r="65" spans="1:8">
      <c r="A65" s="20" t="s">
        <v>66</v>
      </c>
      <c r="B65" s="21">
        <f>SUM(B66:B70)</f>
        <v>0</v>
      </c>
      <c r="C65" s="21">
        <f>SUM(C66:C70)</f>
        <v>0</v>
      </c>
      <c r="D65" s="21">
        <f>SUM(D66:D70)</f>
        <v>0</v>
      </c>
      <c r="E65" s="22">
        <f>SUM(E66:E70)</f>
        <v>0</v>
      </c>
      <c r="F65" s="32" t="str">
        <f t="shared" si="4"/>
        <v>-</v>
      </c>
      <c r="G65" s="33" t="str">
        <f t="shared" si="4"/>
        <v>-</v>
      </c>
      <c r="H65" s="2"/>
    </row>
    <row r="66" spans="1:8">
      <c r="A66" s="43" t="s">
        <v>67</v>
      </c>
      <c r="B66" s="13">
        <v>0</v>
      </c>
      <c r="C66" s="13">
        <v>0</v>
      </c>
      <c r="D66" s="13">
        <v>0</v>
      </c>
      <c r="E66" s="14">
        <v>0</v>
      </c>
      <c r="F66" s="15" t="str">
        <f t="shared" si="4"/>
        <v>-</v>
      </c>
      <c r="G66" s="16" t="str">
        <f t="shared" si="4"/>
        <v>-</v>
      </c>
      <c r="H66" s="2"/>
    </row>
    <row r="67" spans="1:8">
      <c r="A67" s="43" t="s">
        <v>68</v>
      </c>
      <c r="B67" s="13">
        <v>0</v>
      </c>
      <c r="C67" s="13">
        <v>0</v>
      </c>
      <c r="D67" s="13">
        <v>0</v>
      </c>
      <c r="E67" s="14">
        <v>0</v>
      </c>
      <c r="F67" s="15" t="str">
        <f t="shared" si="4"/>
        <v>-</v>
      </c>
      <c r="G67" s="16" t="str">
        <f t="shared" si="4"/>
        <v>-</v>
      </c>
      <c r="H67" s="19"/>
    </row>
    <row r="68" spans="1:8">
      <c r="A68" s="43" t="s">
        <v>69</v>
      </c>
      <c r="B68" s="13">
        <v>0</v>
      </c>
      <c r="C68" s="13">
        <v>0</v>
      </c>
      <c r="D68" s="13">
        <v>0</v>
      </c>
      <c r="E68" s="14">
        <v>0</v>
      </c>
      <c r="F68" s="15" t="str">
        <f t="shared" si="4"/>
        <v>-</v>
      </c>
      <c r="G68" s="16" t="str">
        <f t="shared" si="4"/>
        <v>-</v>
      </c>
      <c r="H68" s="2"/>
    </row>
    <row r="69" spans="1:8">
      <c r="A69" s="25" t="s">
        <v>70</v>
      </c>
      <c r="B69" s="13">
        <v>0</v>
      </c>
      <c r="C69" s="13">
        <v>0</v>
      </c>
      <c r="D69" s="13">
        <v>0</v>
      </c>
      <c r="E69" s="14">
        <v>0</v>
      </c>
      <c r="F69" s="15" t="str">
        <f t="shared" si="4"/>
        <v>-</v>
      </c>
      <c r="G69" s="16" t="str">
        <f t="shared" si="4"/>
        <v>-</v>
      </c>
      <c r="H69" s="2"/>
    </row>
    <row r="70" spans="1:8">
      <c r="A70" s="43" t="s">
        <v>71</v>
      </c>
      <c r="B70" s="13">
        <v>0</v>
      </c>
      <c r="C70" s="13"/>
      <c r="D70" s="13"/>
      <c r="E70" s="13"/>
      <c r="F70" s="15" t="str">
        <f t="shared" si="4"/>
        <v>-</v>
      </c>
      <c r="G70" s="16" t="str">
        <f t="shared" si="4"/>
        <v>-</v>
      </c>
      <c r="H70" s="2"/>
    </row>
    <row r="71" spans="1:8">
      <c r="A71" s="20" t="s">
        <v>72</v>
      </c>
      <c r="B71" s="21">
        <f>SUM(B72:B75)</f>
        <v>0</v>
      </c>
      <c r="C71" s="21">
        <f>SUM(C72:C75)</f>
        <v>0</v>
      </c>
      <c r="D71" s="21">
        <f>SUM(D72:D75)</f>
        <v>0</v>
      </c>
      <c r="E71" s="22">
        <f>SUM(E72:E75)</f>
        <v>0</v>
      </c>
      <c r="F71" s="32" t="str">
        <f t="shared" si="4"/>
        <v>-</v>
      </c>
      <c r="G71" s="33" t="str">
        <f t="shared" si="4"/>
        <v>-</v>
      </c>
      <c r="H71" s="2"/>
    </row>
    <row r="72" spans="1:8">
      <c r="A72" s="25" t="s">
        <v>73</v>
      </c>
      <c r="B72" s="13">
        <v>0</v>
      </c>
      <c r="C72" s="13">
        <v>0</v>
      </c>
      <c r="D72" s="13">
        <v>0</v>
      </c>
      <c r="E72" s="14">
        <v>0</v>
      </c>
      <c r="F72" s="15" t="str">
        <f t="shared" si="4"/>
        <v>-</v>
      </c>
      <c r="G72" s="16" t="str">
        <f t="shared" si="4"/>
        <v>-</v>
      </c>
      <c r="H72" s="19"/>
    </row>
    <row r="73" spans="1:8">
      <c r="A73" s="25" t="s">
        <v>74</v>
      </c>
      <c r="B73" s="13">
        <v>0</v>
      </c>
      <c r="C73" s="13">
        <v>0</v>
      </c>
      <c r="D73" s="13">
        <v>0</v>
      </c>
      <c r="E73" s="14">
        <v>0</v>
      </c>
      <c r="F73" s="15" t="str">
        <f t="shared" si="4"/>
        <v>-</v>
      </c>
      <c r="G73" s="16" t="str">
        <f t="shared" si="4"/>
        <v>-</v>
      </c>
      <c r="H73" s="2"/>
    </row>
    <row r="74" spans="1:8">
      <c r="A74" s="25" t="s">
        <v>75</v>
      </c>
      <c r="B74" s="13">
        <v>0</v>
      </c>
      <c r="C74" s="13">
        <v>0</v>
      </c>
      <c r="D74" s="13">
        <v>0</v>
      </c>
      <c r="E74" s="14">
        <v>0</v>
      </c>
      <c r="F74" s="15" t="str">
        <f t="shared" si="4"/>
        <v>-</v>
      </c>
      <c r="G74" s="16" t="str">
        <f t="shared" si="4"/>
        <v>-</v>
      </c>
      <c r="H74" s="2"/>
    </row>
    <row r="75" spans="1:8">
      <c r="A75" s="25" t="s">
        <v>76</v>
      </c>
      <c r="B75" s="13">
        <v>0</v>
      </c>
      <c r="C75" s="13">
        <v>0</v>
      </c>
      <c r="D75" s="13">
        <v>0</v>
      </c>
      <c r="E75" s="14">
        <v>0</v>
      </c>
      <c r="F75" s="15" t="str">
        <f t="shared" si="4"/>
        <v>-</v>
      </c>
      <c r="G75" s="16" t="str">
        <f t="shared" si="4"/>
        <v>-</v>
      </c>
      <c r="H75" s="19"/>
    </row>
    <row r="76" spans="1:8">
      <c r="A76" s="42" t="s">
        <v>77</v>
      </c>
      <c r="B76" s="21">
        <f>+B65-B71</f>
        <v>0</v>
      </c>
      <c r="C76" s="21">
        <f>+C65-C71</f>
        <v>0</v>
      </c>
      <c r="D76" s="21">
        <f>+D65-D71</f>
        <v>0</v>
      </c>
      <c r="E76" s="22">
        <f>+E65-E71</f>
        <v>0</v>
      </c>
      <c r="F76" s="32" t="str">
        <f t="shared" si="4"/>
        <v>-</v>
      </c>
      <c r="G76" s="33" t="str">
        <f t="shared" si="4"/>
        <v>-</v>
      </c>
      <c r="H76" s="2"/>
    </row>
    <row r="77" spans="1:8">
      <c r="A77" s="25" t="s">
        <v>78</v>
      </c>
      <c r="B77" s="25"/>
      <c r="C77" s="45"/>
      <c r="D77" s="45"/>
      <c r="E77" s="46"/>
      <c r="F77" s="15" t="str">
        <f t="shared" si="4"/>
        <v>-</v>
      </c>
      <c r="G77" s="16" t="str">
        <f t="shared" si="4"/>
        <v>-</v>
      </c>
      <c r="H77" s="2"/>
    </row>
    <row r="78" spans="1:8">
      <c r="A78" s="25" t="s">
        <v>79</v>
      </c>
      <c r="B78" s="13">
        <v>0</v>
      </c>
      <c r="C78" s="13">
        <v>0</v>
      </c>
      <c r="D78" s="13">
        <v>0</v>
      </c>
      <c r="E78" s="14">
        <v>0</v>
      </c>
      <c r="F78" s="15"/>
      <c r="G78" s="16" t="str">
        <f t="shared" si="4"/>
        <v>-</v>
      </c>
      <c r="H78" s="19"/>
    </row>
    <row r="79" spans="1:8">
      <c r="A79" s="25" t="s">
        <v>80</v>
      </c>
      <c r="B79" s="13">
        <v>0</v>
      </c>
      <c r="C79" s="13">
        <v>0</v>
      </c>
      <c r="D79" s="13">
        <v>0</v>
      </c>
      <c r="E79" s="14">
        <v>0</v>
      </c>
      <c r="F79" s="15" t="str">
        <f t="shared" si="4"/>
        <v>-</v>
      </c>
      <c r="G79" s="16" t="str">
        <f t="shared" si="4"/>
        <v>-</v>
      </c>
      <c r="H79" s="2"/>
    </row>
    <row r="80" spans="1:8">
      <c r="A80" s="25" t="s">
        <v>81</v>
      </c>
      <c r="B80" s="13">
        <v>0</v>
      </c>
      <c r="C80" s="13">
        <v>0</v>
      </c>
      <c r="D80" s="13">
        <v>0</v>
      </c>
      <c r="E80" s="14">
        <v>0</v>
      </c>
      <c r="F80" s="15" t="str">
        <f t="shared" si="4"/>
        <v>-</v>
      </c>
      <c r="G80" s="16" t="str">
        <f t="shared" si="4"/>
        <v>-</v>
      </c>
      <c r="H80" s="2"/>
    </row>
    <row r="81" spans="1:8">
      <c r="A81" s="20" t="s">
        <v>82</v>
      </c>
      <c r="B81" s="21">
        <f>+B76-SUM(B78:B80)</f>
        <v>0</v>
      </c>
      <c r="C81" s="21">
        <f>+C76-SUM(C78:C80)</f>
        <v>0</v>
      </c>
      <c r="D81" s="21">
        <f>+D76-SUM(D78:D80)</f>
        <v>0</v>
      </c>
      <c r="E81" s="22">
        <f>+E76-SUM(E78:E80)</f>
        <v>0</v>
      </c>
      <c r="F81" s="32" t="str">
        <f t="shared" si="4"/>
        <v>-</v>
      </c>
      <c r="G81" s="33" t="str">
        <f t="shared" si="4"/>
        <v>-</v>
      </c>
      <c r="H81" s="2"/>
    </row>
    <row r="82" spans="1:8">
      <c r="A82" s="25" t="s">
        <v>83</v>
      </c>
      <c r="B82" s="13"/>
      <c r="C82" s="13">
        <v>0</v>
      </c>
      <c r="D82" s="13">
        <v>0</v>
      </c>
      <c r="E82" s="14">
        <v>0</v>
      </c>
      <c r="F82" s="15" t="str">
        <f t="shared" si="4"/>
        <v>-</v>
      </c>
      <c r="G82" s="16" t="str">
        <f t="shared" si="4"/>
        <v>-</v>
      </c>
      <c r="H82" s="2"/>
    </row>
    <row r="83" spans="1:8" ht="15" thickBot="1">
      <c r="A83" s="20" t="s">
        <v>84</v>
      </c>
      <c r="B83" s="21">
        <f>SUM(B63:B64)+B81+B82</f>
        <v>0</v>
      </c>
      <c r="C83" s="21">
        <f>SUM(C63:C64)+C81+C82</f>
        <v>0</v>
      </c>
      <c r="D83" s="21">
        <f>SUM(D63:D64)+D81+D82</f>
        <v>0</v>
      </c>
      <c r="E83" s="22">
        <f>SUM(E63:E64)+E81+E82</f>
        <v>0</v>
      </c>
      <c r="F83" s="35" t="str">
        <f t="shared" si="4"/>
        <v>-</v>
      </c>
      <c r="G83" s="36" t="str">
        <f t="shared" si="4"/>
        <v>-</v>
      </c>
      <c r="H83" s="2"/>
    </row>
    <row r="84" spans="1:8">
      <c r="A84" s="47"/>
      <c r="B84" s="48">
        <f>B61-B83</f>
        <v>0</v>
      </c>
      <c r="C84" s="48">
        <f>C61-C83</f>
        <v>0</v>
      </c>
      <c r="D84" s="48">
        <f>D61-D83</f>
        <v>0</v>
      </c>
      <c r="E84" s="49">
        <f>E61-E83</f>
        <v>0</v>
      </c>
      <c r="F84" s="50"/>
      <c r="G84" s="51"/>
      <c r="H84" s="39"/>
    </row>
    <row r="85" spans="1:8">
      <c r="A85" s="52" t="s">
        <v>85</v>
      </c>
      <c r="B85" s="52" t="s">
        <v>14</v>
      </c>
      <c r="C85" s="53" t="str">
        <f>C50</f>
        <v>FY 2021-22</v>
      </c>
      <c r="D85" s="53" t="str">
        <f>D50</f>
        <v>FY 2020-21</v>
      </c>
      <c r="E85" s="54" t="str">
        <f>E50</f>
        <v>FY 2019-20</v>
      </c>
      <c r="F85" s="50"/>
      <c r="G85" s="51"/>
      <c r="H85" s="39"/>
    </row>
    <row r="86" spans="1:8">
      <c r="A86" s="52" t="s">
        <v>29</v>
      </c>
      <c r="B86" s="55" t="e">
        <f>B26/B23</f>
        <v>#DIV/0!</v>
      </c>
      <c r="C86" s="55" t="e">
        <f>C26/C23</f>
        <v>#DIV/0!</v>
      </c>
      <c r="D86" s="55" t="e">
        <f>D26/D23</f>
        <v>#DIV/0!</v>
      </c>
      <c r="E86" s="55" t="e">
        <f>E26/E23</f>
        <v>#DIV/0!</v>
      </c>
      <c r="F86" s="56"/>
      <c r="G86" s="57"/>
      <c r="H86" s="2"/>
    </row>
    <row r="87" spans="1:8">
      <c r="A87" s="52" t="s">
        <v>86</v>
      </c>
      <c r="B87" s="55" t="e">
        <f>(B42-B27)/B23</f>
        <v>#DIV/0!</v>
      </c>
      <c r="C87" s="55" t="e">
        <f>(C42-C27)/C23</f>
        <v>#DIV/0!</v>
      </c>
      <c r="D87" s="55" t="e">
        <f>(D42-D27)/D23</f>
        <v>#DIV/0!</v>
      </c>
      <c r="E87" s="55" t="e">
        <f>(E42-E27)/E23</f>
        <v>#DIV/0!</v>
      </c>
      <c r="F87" s="56"/>
      <c r="G87" s="57"/>
      <c r="H87" s="2"/>
    </row>
    <row r="88" spans="1:8">
      <c r="A88" s="52" t="s">
        <v>87</v>
      </c>
      <c r="B88" s="55" t="e">
        <f>(B44-B27)/B23</f>
        <v>#DIV/0!</v>
      </c>
      <c r="C88" s="55" t="e">
        <f>(C44-C27)/C23</f>
        <v>#DIV/0!</v>
      </c>
      <c r="D88" s="55" t="e">
        <f>(D44-D27)/D23</f>
        <v>#DIV/0!</v>
      </c>
      <c r="E88" s="55" t="e">
        <f>(E44-E27)/E23</f>
        <v>#DIV/0!</v>
      </c>
      <c r="F88" s="56"/>
      <c r="G88" s="57"/>
      <c r="H88" s="2"/>
    </row>
    <row r="89" spans="1:8">
      <c r="A89" s="52" t="s">
        <v>88</v>
      </c>
      <c r="B89" s="55" t="e">
        <f>(B48-B27)/B23</f>
        <v>#DIV/0!</v>
      </c>
      <c r="C89" s="55" t="e">
        <f>(C48-C27)/C23</f>
        <v>#DIV/0!</v>
      </c>
      <c r="D89" s="55" t="e">
        <f>(D48-D27)/D23</f>
        <v>#DIV/0!</v>
      </c>
      <c r="E89" s="55" t="e">
        <f>(E48-E27)/E23</f>
        <v>#DIV/0!</v>
      </c>
      <c r="F89" s="56"/>
      <c r="G89" s="57"/>
      <c r="H89" s="3"/>
    </row>
    <row r="90" spans="1:8">
      <c r="A90" s="52" t="s">
        <v>89</v>
      </c>
      <c r="B90" s="21" t="e">
        <f>B31/(B37+B38)</f>
        <v>#DIV/0!</v>
      </c>
      <c r="C90" s="21" t="e">
        <f>C31/(C37+C38)</f>
        <v>#DIV/0!</v>
      </c>
      <c r="D90" s="21" t="e">
        <f>D31/(D37+D38)</f>
        <v>#DIV/0!</v>
      </c>
      <c r="E90" s="21" t="e">
        <f>E31/(E37+E38)</f>
        <v>#DIV/0!</v>
      </c>
      <c r="F90" s="56"/>
      <c r="G90" s="57"/>
      <c r="H90" s="3"/>
    </row>
    <row r="91" spans="1:8">
      <c r="A91" s="52" t="s">
        <v>90</v>
      </c>
      <c r="B91" s="21" t="e">
        <f>B67/B23*365</f>
        <v>#DIV/0!</v>
      </c>
      <c r="C91" s="21" t="e">
        <f>C67/C23*365</f>
        <v>#DIV/0!</v>
      </c>
      <c r="D91" s="21" t="e">
        <f>D67/D23*365</f>
        <v>#DIV/0!</v>
      </c>
      <c r="E91" s="21" t="e">
        <f>E67/E23*365</f>
        <v>#DIV/0!</v>
      </c>
      <c r="F91" s="56"/>
      <c r="G91" s="57"/>
      <c r="H91" s="3"/>
    </row>
    <row r="92" spans="1:8">
      <c r="A92" s="52" t="s">
        <v>91</v>
      </c>
      <c r="B92" s="21" t="e">
        <f>B72/(B24+B25)*365</f>
        <v>#DIV/0!</v>
      </c>
      <c r="C92" s="21" t="e">
        <f>C72/(C24+C25)*365</f>
        <v>#DIV/0!</v>
      </c>
      <c r="D92" s="21" t="e">
        <f>D72/(D24+D25)*365</f>
        <v>#DIV/0!</v>
      </c>
      <c r="E92" s="21" t="e">
        <f>E72/(E24+E25)*365</f>
        <v>#DIV/0!</v>
      </c>
      <c r="F92" s="56"/>
      <c r="G92" s="57"/>
      <c r="H92" s="3"/>
    </row>
    <row r="93" spans="1:8">
      <c r="A93" s="52" t="s">
        <v>92</v>
      </c>
      <c r="B93" s="21" t="e">
        <f>B66/B23*365</f>
        <v>#DIV/0!</v>
      </c>
      <c r="C93" s="21" t="e">
        <f>C66/C23*365</f>
        <v>#DIV/0!</v>
      </c>
      <c r="D93" s="21" t="e">
        <f>D66/D23*365</f>
        <v>#DIV/0!</v>
      </c>
      <c r="E93" s="21" t="e">
        <f>E66/E23*365</f>
        <v>#DIV/0!</v>
      </c>
      <c r="F93" s="56"/>
      <c r="G93" s="57"/>
      <c r="H93" s="3"/>
    </row>
    <row r="94" spans="1:8">
      <c r="A94" s="52" t="s">
        <v>93</v>
      </c>
      <c r="B94" s="21">
        <f>B58</f>
        <v>0</v>
      </c>
      <c r="C94" s="21">
        <f>C58</f>
        <v>0</v>
      </c>
      <c r="D94" s="21">
        <f>D58</f>
        <v>0</v>
      </c>
      <c r="E94" s="21">
        <f>E58</f>
        <v>0</v>
      </c>
      <c r="F94" s="56"/>
      <c r="G94" s="57"/>
      <c r="H94" s="3"/>
    </row>
    <row r="95" spans="1:8">
      <c r="A95" s="52" t="s">
        <v>105</v>
      </c>
      <c r="B95" s="21">
        <f>B59+B60+B76</f>
        <v>0</v>
      </c>
      <c r="C95" s="21">
        <f>C59+C60+C78+C79+C80</f>
        <v>0</v>
      </c>
      <c r="D95" s="21">
        <f>D59+D60+D78+D79+D80</f>
        <v>0</v>
      </c>
      <c r="E95" s="21">
        <f>E59+E60+E78+E79+E80</f>
        <v>0</v>
      </c>
      <c r="F95" s="56"/>
      <c r="G95" s="57"/>
      <c r="H95" s="3"/>
    </row>
    <row r="96" spans="1:8">
      <c r="A96" s="52" t="s">
        <v>94</v>
      </c>
      <c r="B96" s="21">
        <f>B63+B64+B65</f>
        <v>0</v>
      </c>
      <c r="C96" s="21">
        <f>C63+C64+C65</f>
        <v>0</v>
      </c>
      <c r="D96" s="21">
        <f>D63+D64+D65</f>
        <v>0</v>
      </c>
      <c r="E96" s="21">
        <f>E63+E64+E65</f>
        <v>0</v>
      </c>
      <c r="F96" s="56"/>
      <c r="G96" s="57"/>
      <c r="H96" s="3"/>
    </row>
    <row r="97" spans="1:8">
      <c r="A97" s="52" t="s">
        <v>95</v>
      </c>
      <c r="B97" s="21">
        <f>B59+B60+B78+B79+B71+B80</f>
        <v>0</v>
      </c>
      <c r="C97" s="21">
        <f>C59+C60+C78+C79+C71+C80</f>
        <v>0</v>
      </c>
      <c r="D97" s="21">
        <f>D59+D60+D78+D79+D71+D80</f>
        <v>0</v>
      </c>
      <c r="E97" s="21">
        <f>E59+E60+E78+E79+E71+E80</f>
        <v>0</v>
      </c>
      <c r="F97" s="56"/>
      <c r="G97" s="57"/>
      <c r="H97" s="3"/>
    </row>
    <row r="98" spans="1:8">
      <c r="A98" s="52" t="s">
        <v>96</v>
      </c>
      <c r="B98" s="21" t="e">
        <f>B95/B94</f>
        <v>#DIV/0!</v>
      </c>
      <c r="C98" s="21" t="e">
        <f>C95/C94</f>
        <v>#DIV/0!</v>
      </c>
      <c r="D98" s="21" t="e">
        <f>D95/D94</f>
        <v>#DIV/0!</v>
      </c>
      <c r="E98" s="21" t="e">
        <f>E95/E94</f>
        <v>#DIV/0!</v>
      </c>
      <c r="F98" s="56"/>
      <c r="G98" s="57"/>
      <c r="H98" s="3"/>
    </row>
    <row r="99" spans="1:8">
      <c r="A99" s="52" t="s">
        <v>97</v>
      </c>
      <c r="B99" s="21" t="e">
        <f>B97/B96</f>
        <v>#DIV/0!</v>
      </c>
      <c r="C99" s="21" t="e">
        <f>C97/C96</f>
        <v>#DIV/0!</v>
      </c>
      <c r="D99" s="21" t="e">
        <f>D97/D96</f>
        <v>#DIV/0!</v>
      </c>
      <c r="E99" s="21" t="e">
        <f>E97/E96</f>
        <v>#DIV/0!</v>
      </c>
      <c r="F99" s="56"/>
      <c r="G99" s="57"/>
      <c r="H99" s="3"/>
    </row>
    <row r="100" spans="1:8">
      <c r="A100" s="52" t="s">
        <v>98</v>
      </c>
      <c r="B100" s="21" t="e">
        <f>B97/B94</f>
        <v>#DIV/0!</v>
      </c>
      <c r="C100" s="21" t="e">
        <f>C97/C94</f>
        <v>#DIV/0!</v>
      </c>
      <c r="D100" s="21" t="e">
        <f>D97/D94</f>
        <v>#DIV/0!</v>
      </c>
      <c r="E100" s="21" t="e">
        <f>E97/E94</f>
        <v>#DIV/0!</v>
      </c>
      <c r="F100" s="56"/>
      <c r="G100" s="57"/>
      <c r="H100" s="3"/>
    </row>
    <row r="101" spans="1:8">
      <c r="A101" s="3"/>
      <c r="B101" s="3"/>
      <c r="C101" s="3"/>
      <c r="D101" s="60"/>
      <c r="E101" s="60"/>
      <c r="F101" s="3"/>
      <c r="G101" s="3"/>
      <c r="H101" s="7"/>
    </row>
  </sheetData>
  <mergeCells count="11">
    <mergeCell ref="B8:E8"/>
    <mergeCell ref="A9:E9"/>
    <mergeCell ref="A10:E10"/>
    <mergeCell ref="F10:G10"/>
    <mergeCell ref="A49:E49"/>
    <mergeCell ref="B7:E7"/>
    <mergeCell ref="A2:E2"/>
    <mergeCell ref="B3:E3"/>
    <mergeCell ref="B4:E4"/>
    <mergeCell ref="B5:E5"/>
    <mergeCell ref="B6:E6"/>
  </mergeCells>
  <conditionalFormatting sqref="F11:G43 F45:G49">
    <cfRule type="cellIs" dxfId="29" priority="13" stopIfTrue="1" operator="lessThan">
      <formula>-0.2</formula>
    </cfRule>
    <cfRule type="cellIs" dxfId="28" priority="14" stopIfTrue="1" operator="lessThan">
      <formula>0</formula>
    </cfRule>
    <cfRule type="cellIs" dxfId="27" priority="15" stopIfTrue="1" operator="greaterThan">
      <formula>0.4</formula>
    </cfRule>
  </conditionalFormatting>
  <conditionalFormatting sqref="F51:G83">
    <cfRule type="cellIs" dxfId="26" priority="10" stopIfTrue="1" operator="lessThan">
      <formula>-0.2</formula>
    </cfRule>
    <cfRule type="cellIs" dxfId="25" priority="11" stopIfTrue="1" operator="lessThan">
      <formula>0</formula>
    </cfRule>
    <cfRule type="cellIs" dxfId="24" priority="12" stopIfTrue="1" operator="greaterThan">
      <formula>0.4</formula>
    </cfRule>
  </conditionalFormatting>
  <conditionalFormatting sqref="F50:G50">
    <cfRule type="cellIs" dxfId="23" priority="7" stopIfTrue="1" operator="lessThan">
      <formula>-0.2</formula>
    </cfRule>
    <cfRule type="cellIs" dxfId="22" priority="8" stopIfTrue="1" operator="lessThan">
      <formula>0</formula>
    </cfRule>
    <cfRule type="cellIs" dxfId="21" priority="9" stopIfTrue="1" operator="greaterThan">
      <formula>0.4</formula>
    </cfRule>
  </conditionalFormatting>
  <conditionalFormatting sqref="F44">
    <cfRule type="cellIs" dxfId="20" priority="4" stopIfTrue="1" operator="lessThan">
      <formula>-0.2</formula>
    </cfRule>
    <cfRule type="cellIs" dxfId="19" priority="5" stopIfTrue="1" operator="lessThan">
      <formula>0</formula>
    </cfRule>
    <cfRule type="cellIs" dxfId="18" priority="6" stopIfTrue="1" operator="greaterThan">
      <formula>0.4</formula>
    </cfRule>
  </conditionalFormatting>
  <conditionalFormatting sqref="G44">
    <cfRule type="cellIs" dxfId="17" priority="1" stopIfTrue="1" operator="lessThan">
      <formula>-0.2</formula>
    </cfRule>
    <cfRule type="cellIs" dxfId="16" priority="2" stopIfTrue="1" operator="lessThan">
      <formula>0</formula>
    </cfRule>
    <cfRule type="cellIs" dxfId="15" priority="3" stopIfTrue="1" operator="greaterThan">
      <formula>0.4</formula>
    </cfRule>
  </conditionalFormatting>
  <dataValidations count="1">
    <dataValidation type="list" allowBlank="1" showInputMessage="1" showErrorMessage="1" sqref="G7">
      <formula1>$H$1:$H$2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opLeftCell="A79" workbookViewId="0">
      <selection activeCell="C86" sqref="C86:E100"/>
    </sheetView>
  </sheetViews>
  <sheetFormatPr defaultColWidth="8.7109375" defaultRowHeight="14.25"/>
  <cols>
    <col min="1" max="1" width="45.140625" style="5" customWidth="1"/>
    <col min="2" max="2" width="1" style="5" hidden="1" customWidth="1"/>
    <col min="3" max="5" width="11.7109375" style="5" bestFit="1" customWidth="1"/>
    <col min="6" max="6" width="8.28515625" style="5" bestFit="1" customWidth="1"/>
    <col min="7" max="7" width="19.5703125" style="5" bestFit="1" customWidth="1"/>
    <col min="8" max="8" width="12.28515625" style="5" bestFit="1" customWidth="1"/>
    <col min="9" max="16384" width="8.7109375" style="5"/>
  </cols>
  <sheetData>
    <row r="1" spans="1:8">
      <c r="A1" s="1"/>
      <c r="B1" s="2"/>
      <c r="C1" s="2"/>
      <c r="D1" s="2"/>
      <c r="E1" s="2"/>
      <c r="F1" s="3"/>
      <c r="G1" s="3"/>
      <c r="H1" s="4" t="s">
        <v>0</v>
      </c>
    </row>
    <row r="2" spans="1:8">
      <c r="A2" s="552" t="s">
        <v>1</v>
      </c>
      <c r="B2" s="552"/>
      <c r="C2" s="552"/>
      <c r="D2" s="552"/>
      <c r="E2" s="552"/>
      <c r="F2" s="3"/>
      <c r="G2" s="3"/>
      <c r="H2" s="4" t="s">
        <v>2</v>
      </c>
    </row>
    <row r="3" spans="1:8">
      <c r="A3" s="6" t="s">
        <v>3</v>
      </c>
      <c r="B3" s="543"/>
      <c r="C3" s="544"/>
      <c r="D3" s="544"/>
      <c r="E3" s="545"/>
      <c r="F3" s="3"/>
      <c r="G3" s="3"/>
      <c r="H3" s="7"/>
    </row>
    <row r="4" spans="1:8">
      <c r="A4" s="6" t="s">
        <v>4</v>
      </c>
      <c r="B4" s="543"/>
      <c r="C4" s="544"/>
      <c r="D4" s="544"/>
      <c r="E4" s="545"/>
      <c r="F4" s="3"/>
      <c r="G4" s="3"/>
      <c r="H4" s="7"/>
    </row>
    <row r="5" spans="1:8">
      <c r="A5" s="6" t="s">
        <v>5</v>
      </c>
      <c r="B5" s="543"/>
      <c r="C5" s="544"/>
      <c r="D5" s="544"/>
      <c r="E5" s="545"/>
      <c r="F5" s="3"/>
      <c r="G5" s="61" t="s">
        <v>6</v>
      </c>
      <c r="H5" s="7"/>
    </row>
    <row r="6" spans="1:8">
      <c r="A6" s="6" t="s">
        <v>7</v>
      </c>
      <c r="B6" s="543"/>
      <c r="C6" s="544"/>
      <c r="D6" s="544"/>
      <c r="E6" s="545"/>
      <c r="F6" s="3"/>
      <c r="G6" s="3"/>
      <c r="H6" s="7"/>
    </row>
    <row r="7" spans="1:8">
      <c r="A7" s="6" t="s">
        <v>8</v>
      </c>
      <c r="B7" s="543"/>
      <c r="C7" s="544"/>
      <c r="D7" s="544"/>
      <c r="E7" s="545"/>
      <c r="F7" s="3"/>
      <c r="G7" s="3" t="s">
        <v>0</v>
      </c>
      <c r="H7" s="7"/>
    </row>
    <row r="8" spans="1:8">
      <c r="A8" s="61" t="s">
        <v>9</v>
      </c>
      <c r="B8" s="543"/>
      <c r="C8" s="544"/>
      <c r="D8" s="544"/>
      <c r="E8" s="545"/>
      <c r="F8" s="3"/>
      <c r="G8" s="3"/>
      <c r="H8" s="62" t="s">
        <v>10</v>
      </c>
    </row>
    <row r="9" spans="1:8" ht="15" thickBot="1">
      <c r="A9" s="546" t="s">
        <v>11</v>
      </c>
      <c r="B9" s="546"/>
      <c r="C9" s="546"/>
      <c r="D9" s="546"/>
      <c r="E9" s="546"/>
      <c r="F9" s="3"/>
      <c r="G9" s="3"/>
      <c r="H9" s="7"/>
    </row>
    <row r="10" spans="1:8" ht="15" thickBot="1">
      <c r="A10" s="547"/>
      <c r="B10" s="547"/>
      <c r="C10" s="547"/>
      <c r="D10" s="547"/>
      <c r="E10" s="548"/>
      <c r="F10" s="549" t="s">
        <v>12</v>
      </c>
      <c r="G10" s="550"/>
      <c r="H10" s="3"/>
    </row>
    <row r="11" spans="1:8" ht="15" thickBot="1">
      <c r="A11" s="8" t="s">
        <v>13</v>
      </c>
      <c r="B11" s="8" t="s">
        <v>14</v>
      </c>
      <c r="C11" s="9" t="s">
        <v>106</v>
      </c>
      <c r="D11" s="9" t="s">
        <v>107</v>
      </c>
      <c r="E11" s="9" t="s">
        <v>108</v>
      </c>
      <c r="F11" s="10" t="s">
        <v>109</v>
      </c>
      <c r="G11" s="11" t="s">
        <v>109</v>
      </c>
      <c r="H11" s="3"/>
    </row>
    <row r="12" spans="1:8">
      <c r="A12" s="12" t="s">
        <v>15</v>
      </c>
      <c r="B12" s="13">
        <v>0</v>
      </c>
      <c r="C12" s="13">
        <v>0</v>
      </c>
      <c r="D12" s="13"/>
      <c r="E12" s="14"/>
      <c r="F12" s="15" t="str">
        <f>IFERROR((C12-D12)/D12,"-")</f>
        <v>-</v>
      </c>
      <c r="G12" s="16" t="str">
        <f>IFERROR((D12-E12)/E12,"-")</f>
        <v>-</v>
      </c>
      <c r="H12" s="3"/>
    </row>
    <row r="13" spans="1:8">
      <c r="A13" s="12" t="s">
        <v>16</v>
      </c>
      <c r="B13" s="13">
        <v>0</v>
      </c>
      <c r="C13" s="13">
        <v>0</v>
      </c>
      <c r="D13" s="13">
        <v>0</v>
      </c>
      <c r="E13" s="14">
        <v>0</v>
      </c>
      <c r="F13" s="15" t="str">
        <f t="shared" ref="F13:G22" si="0">IFERROR((C13-D13)/D13,"-")</f>
        <v>-</v>
      </c>
      <c r="G13" s="16" t="str">
        <f t="shared" si="0"/>
        <v>-</v>
      </c>
      <c r="H13" s="17"/>
    </row>
    <row r="14" spans="1:8">
      <c r="A14" s="12" t="s">
        <v>17</v>
      </c>
      <c r="B14" s="13">
        <v>0</v>
      </c>
      <c r="C14" s="13">
        <v>0</v>
      </c>
      <c r="D14" s="13">
        <v>0</v>
      </c>
      <c r="E14" s="14">
        <v>0</v>
      </c>
      <c r="F14" s="15" t="str">
        <f t="shared" si="0"/>
        <v>-</v>
      </c>
      <c r="G14" s="16" t="str">
        <f t="shared" si="0"/>
        <v>-</v>
      </c>
      <c r="H14" s="3"/>
    </row>
    <row r="15" spans="1:8">
      <c r="A15" s="12" t="s">
        <v>18</v>
      </c>
      <c r="B15" s="13">
        <v>0</v>
      </c>
      <c r="C15" s="13">
        <v>0</v>
      </c>
      <c r="D15" s="13">
        <v>0</v>
      </c>
      <c r="E15" s="14">
        <v>0</v>
      </c>
      <c r="F15" s="15" t="str">
        <f t="shared" si="0"/>
        <v>-</v>
      </c>
      <c r="G15" s="16" t="str">
        <f t="shared" si="0"/>
        <v>-</v>
      </c>
      <c r="H15" s="18"/>
    </row>
    <row r="16" spans="1:8">
      <c r="A16" s="12" t="s">
        <v>19</v>
      </c>
      <c r="B16" s="13">
        <v>0</v>
      </c>
      <c r="C16" s="13">
        <v>0</v>
      </c>
      <c r="D16" s="13">
        <v>0</v>
      </c>
      <c r="E16" s="14">
        <v>0</v>
      </c>
      <c r="F16" s="15" t="str">
        <f t="shared" si="0"/>
        <v>-</v>
      </c>
      <c r="G16" s="16" t="str">
        <f t="shared" si="0"/>
        <v>-</v>
      </c>
      <c r="H16" s="18"/>
    </row>
    <row r="17" spans="1:8">
      <c r="A17" s="12" t="s">
        <v>20</v>
      </c>
      <c r="B17" s="13">
        <v>0</v>
      </c>
      <c r="C17" s="13">
        <v>0</v>
      </c>
      <c r="D17" s="13">
        <v>0</v>
      </c>
      <c r="E17" s="14">
        <v>0</v>
      </c>
      <c r="F17" s="15" t="str">
        <f t="shared" si="0"/>
        <v>-</v>
      </c>
      <c r="G17" s="16" t="str">
        <f t="shared" si="0"/>
        <v>-</v>
      </c>
      <c r="H17" s="3"/>
    </row>
    <row r="18" spans="1:8">
      <c r="A18" s="12" t="s">
        <v>21</v>
      </c>
      <c r="B18" s="13">
        <v>0</v>
      </c>
      <c r="C18" s="13">
        <v>0</v>
      </c>
      <c r="D18" s="13">
        <v>0</v>
      </c>
      <c r="E18" s="14">
        <v>0</v>
      </c>
      <c r="F18" s="15" t="str">
        <f t="shared" si="0"/>
        <v>-</v>
      </c>
      <c r="G18" s="16" t="str">
        <f t="shared" si="0"/>
        <v>-</v>
      </c>
      <c r="H18" s="3"/>
    </row>
    <row r="19" spans="1:8">
      <c r="A19" s="12" t="s">
        <v>22</v>
      </c>
      <c r="B19" s="13">
        <v>0</v>
      </c>
      <c r="C19" s="13"/>
      <c r="D19" s="13"/>
      <c r="E19" s="13"/>
      <c r="F19" s="15" t="str">
        <f t="shared" si="0"/>
        <v>-</v>
      </c>
      <c r="G19" s="16" t="str">
        <f t="shared" si="0"/>
        <v>-</v>
      </c>
      <c r="H19" s="18"/>
    </row>
    <row r="20" spans="1:8">
      <c r="A20" s="12" t="s">
        <v>23</v>
      </c>
      <c r="B20" s="13">
        <v>0</v>
      </c>
      <c r="C20" s="13">
        <v>0</v>
      </c>
      <c r="D20" s="13">
        <v>0</v>
      </c>
      <c r="E20" s="14">
        <v>0</v>
      </c>
      <c r="F20" s="15" t="str">
        <f t="shared" si="0"/>
        <v>-</v>
      </c>
      <c r="G20" s="16" t="str">
        <f t="shared" si="0"/>
        <v>-</v>
      </c>
      <c r="H20" s="3"/>
    </row>
    <row r="21" spans="1:8">
      <c r="A21" s="12" t="s">
        <v>24</v>
      </c>
      <c r="B21" s="13">
        <v>0</v>
      </c>
      <c r="C21" s="13">
        <v>0</v>
      </c>
      <c r="D21" s="13">
        <v>0</v>
      </c>
      <c r="E21" s="14">
        <v>0</v>
      </c>
      <c r="F21" s="15" t="str">
        <f t="shared" si="0"/>
        <v>-</v>
      </c>
      <c r="G21" s="16" t="str">
        <f t="shared" si="0"/>
        <v>-</v>
      </c>
      <c r="H21" s="18"/>
    </row>
    <row r="22" spans="1:8">
      <c r="A22" s="12" t="s">
        <v>25</v>
      </c>
      <c r="B22" s="13">
        <v>0</v>
      </c>
      <c r="C22" s="13"/>
      <c r="D22" s="13"/>
      <c r="E22" s="14">
        <v>0</v>
      </c>
      <c r="F22" s="15" t="str">
        <f t="shared" si="0"/>
        <v>-</v>
      </c>
      <c r="G22" s="16" t="str">
        <f t="shared" si="0"/>
        <v>-</v>
      </c>
      <c r="H22" s="19"/>
    </row>
    <row r="23" spans="1:8">
      <c r="A23" s="20" t="s">
        <v>26</v>
      </c>
      <c r="B23" s="21">
        <f>SUM(B12:B22)</f>
        <v>0</v>
      </c>
      <c r="C23" s="21">
        <f>SUM(C12:C22)</f>
        <v>0</v>
      </c>
      <c r="D23" s="21">
        <f>SUM(D12:D22)</f>
        <v>0</v>
      </c>
      <c r="E23" s="22">
        <f>SUM(E12:E22)</f>
        <v>0</v>
      </c>
      <c r="F23" s="23" t="str">
        <f>IFERROR((C23/D23)-1,"-")</f>
        <v>-</v>
      </c>
      <c r="G23" s="24" t="str">
        <f>IFERROR((D23/E23)-1,"-")</f>
        <v>-</v>
      </c>
      <c r="H23" s="2"/>
    </row>
    <row r="24" spans="1:8">
      <c r="A24" s="25" t="s">
        <v>27</v>
      </c>
      <c r="B24" s="13">
        <v>0</v>
      </c>
      <c r="C24" s="13">
        <v>0</v>
      </c>
      <c r="D24" s="13">
        <v>0</v>
      </c>
      <c r="E24" s="14">
        <v>0</v>
      </c>
      <c r="F24" s="15" t="str">
        <f>IFERROR((C24-D24)/D24,"-")</f>
        <v>-</v>
      </c>
      <c r="G24" s="16" t="str">
        <f>IFERROR((D24-E24)/E24,"-")</f>
        <v>-</v>
      </c>
      <c r="H24" s="2"/>
    </row>
    <row r="25" spans="1:8">
      <c r="A25" s="25" t="s">
        <v>28</v>
      </c>
      <c r="B25" s="13">
        <v>0</v>
      </c>
      <c r="C25" s="13">
        <v>0</v>
      </c>
      <c r="D25" s="13"/>
      <c r="E25" s="14">
        <v>0</v>
      </c>
      <c r="F25" s="15" t="str">
        <f>IFERROR((C25-D25)/D25,"-")</f>
        <v>-</v>
      </c>
      <c r="G25" s="16" t="str">
        <f>IFERROR((D25-E25)/E25,"-")</f>
        <v>-</v>
      </c>
      <c r="H25" s="2"/>
    </row>
    <row r="26" spans="1:8">
      <c r="A26" s="20" t="s">
        <v>29</v>
      </c>
      <c r="B26" s="21">
        <f>+B23-B24-B25</f>
        <v>0</v>
      </c>
      <c r="C26" s="21">
        <f>+C23-C24-C25</f>
        <v>0</v>
      </c>
      <c r="D26" s="21">
        <f>+D23-D24-D25</f>
        <v>0</v>
      </c>
      <c r="E26" s="22">
        <f>+E23-E24-E25</f>
        <v>0</v>
      </c>
      <c r="F26" s="23" t="str">
        <f>IFERROR((C26/D26)-1,"-")</f>
        <v>-</v>
      </c>
      <c r="G26" s="24" t="str">
        <f>IFERROR((D26/E26)-1,"-")</f>
        <v>-</v>
      </c>
      <c r="H26" s="2"/>
    </row>
    <row r="27" spans="1:8">
      <c r="A27" s="25" t="s">
        <v>30</v>
      </c>
      <c r="B27" s="13">
        <v>0</v>
      </c>
      <c r="C27" s="13">
        <v>0</v>
      </c>
      <c r="D27" s="13">
        <v>0</v>
      </c>
      <c r="E27" s="14">
        <v>0</v>
      </c>
      <c r="F27" s="15" t="str">
        <f t="shared" ref="F27:G30" si="1">IFERROR((C27-D27)/D27,"-")</f>
        <v>-</v>
      </c>
      <c r="G27" s="16" t="str">
        <f t="shared" si="1"/>
        <v>-</v>
      </c>
      <c r="H27" s="19"/>
    </row>
    <row r="28" spans="1:8">
      <c r="A28" s="25" t="s">
        <v>31</v>
      </c>
      <c r="B28" s="13">
        <v>0</v>
      </c>
      <c r="C28" s="13">
        <v>0</v>
      </c>
      <c r="D28" s="13">
        <v>0</v>
      </c>
      <c r="E28" s="14">
        <v>0</v>
      </c>
      <c r="F28" s="15" t="str">
        <f t="shared" si="1"/>
        <v>-</v>
      </c>
      <c r="G28" s="16" t="str">
        <f t="shared" si="1"/>
        <v>-</v>
      </c>
      <c r="H28" s="2"/>
    </row>
    <row r="29" spans="1:8">
      <c r="A29" s="25" t="s">
        <v>32</v>
      </c>
      <c r="B29" s="13">
        <v>0</v>
      </c>
      <c r="C29" s="13">
        <v>0</v>
      </c>
      <c r="D29" s="13">
        <v>0</v>
      </c>
      <c r="E29" s="14">
        <v>0</v>
      </c>
      <c r="F29" s="15" t="str">
        <f t="shared" si="1"/>
        <v>-</v>
      </c>
      <c r="G29" s="16" t="str">
        <f t="shared" si="1"/>
        <v>-</v>
      </c>
      <c r="H29" s="2"/>
    </row>
    <row r="30" spans="1:8">
      <c r="A30" s="25" t="s">
        <v>33</v>
      </c>
      <c r="B30" s="13">
        <v>0</v>
      </c>
      <c r="C30" s="13">
        <v>0</v>
      </c>
      <c r="D30" s="13">
        <v>0</v>
      </c>
      <c r="E30" s="14">
        <v>0</v>
      </c>
      <c r="F30" s="15" t="str">
        <f t="shared" si="1"/>
        <v>-</v>
      </c>
      <c r="G30" s="16" t="str">
        <f t="shared" si="1"/>
        <v>-</v>
      </c>
      <c r="H30" s="2"/>
    </row>
    <row r="31" spans="1:8">
      <c r="A31" s="20" t="s">
        <v>34</v>
      </c>
      <c r="B31" s="21">
        <f>B26+B27-SUM(B28:B30)</f>
        <v>0</v>
      </c>
      <c r="C31" s="21">
        <f>C26+C27-SUM(C28:C30)</f>
        <v>0</v>
      </c>
      <c r="D31" s="21">
        <f>D26+D27-SUM(D28:D30)</f>
        <v>0</v>
      </c>
      <c r="E31" s="22">
        <f>E26+E27-SUM(E28:E30)</f>
        <v>0</v>
      </c>
      <c r="F31" s="23" t="str">
        <f>IFERROR((C31/D31)-1,"-")</f>
        <v>-</v>
      </c>
      <c r="G31" s="24" t="str">
        <f>IFERROR((D31/E31)-1,"-")</f>
        <v>-</v>
      </c>
      <c r="H31" s="19"/>
    </row>
    <row r="32" spans="1:8">
      <c r="A32" s="25" t="s">
        <v>35</v>
      </c>
      <c r="B32" s="13">
        <v>0</v>
      </c>
      <c r="C32" s="13">
        <v>0</v>
      </c>
      <c r="D32" s="13">
        <v>0</v>
      </c>
      <c r="E32" s="14">
        <v>0</v>
      </c>
      <c r="F32" s="15" t="str">
        <f t="shared" ref="F32:G35" si="2">IFERROR((C32-D32)/D32,"-")</f>
        <v>-</v>
      </c>
      <c r="G32" s="16" t="str">
        <f t="shared" si="2"/>
        <v>-</v>
      </c>
      <c r="H32" s="19"/>
    </row>
    <row r="33" spans="1:8">
      <c r="A33" s="25" t="s">
        <v>36</v>
      </c>
      <c r="B33" s="13">
        <v>0</v>
      </c>
      <c r="C33" s="13">
        <v>0</v>
      </c>
      <c r="D33" s="13">
        <v>0</v>
      </c>
      <c r="E33" s="14">
        <v>0</v>
      </c>
      <c r="F33" s="15" t="str">
        <f t="shared" si="2"/>
        <v>-</v>
      </c>
      <c r="G33" s="16" t="str">
        <f t="shared" si="2"/>
        <v>-</v>
      </c>
      <c r="H33" s="19"/>
    </row>
    <row r="34" spans="1:8">
      <c r="A34" s="26" t="s">
        <v>37</v>
      </c>
      <c r="B34" s="13">
        <v>0</v>
      </c>
      <c r="C34" s="13">
        <v>0</v>
      </c>
      <c r="D34" s="13">
        <v>0</v>
      </c>
      <c r="E34" s="14">
        <v>0</v>
      </c>
      <c r="F34" s="15" t="str">
        <f t="shared" si="2"/>
        <v>-</v>
      </c>
      <c r="G34" s="16" t="str">
        <f t="shared" si="2"/>
        <v>-</v>
      </c>
      <c r="H34" s="19"/>
    </row>
    <row r="35" spans="1:8" ht="15" thickBot="1">
      <c r="A35" s="26" t="s">
        <v>38</v>
      </c>
      <c r="B35" s="13">
        <v>0</v>
      </c>
      <c r="C35" s="13">
        <v>0</v>
      </c>
      <c r="D35" s="13">
        <v>0</v>
      </c>
      <c r="E35" s="14">
        <v>0</v>
      </c>
      <c r="F35" s="15" t="str">
        <f t="shared" si="2"/>
        <v>-</v>
      </c>
      <c r="G35" s="27" t="str">
        <f t="shared" si="2"/>
        <v>-</v>
      </c>
      <c r="H35" s="19"/>
    </row>
    <row r="36" spans="1:8" ht="15" thickBot="1">
      <c r="A36" s="20" t="s">
        <v>39</v>
      </c>
      <c r="B36" s="21">
        <f>+B31-SUM(B32:B35)</f>
        <v>0</v>
      </c>
      <c r="C36" s="21">
        <f>+C31-SUM(C32:C35)</f>
        <v>0</v>
      </c>
      <c r="D36" s="21">
        <f>+D31-SUM(D32:D35)</f>
        <v>0</v>
      </c>
      <c r="E36" s="22">
        <f>+E31-SUM(E32:E35)</f>
        <v>0</v>
      </c>
      <c r="F36" s="28" t="str">
        <f>IFERROR((C36/D36)-1,"-")</f>
        <v>-</v>
      </c>
      <c r="G36" s="29" t="str">
        <f>IFERROR((D36/E36)-1,"-")</f>
        <v>-</v>
      </c>
      <c r="H36" s="19"/>
    </row>
    <row r="37" spans="1:8">
      <c r="A37" s="25" t="s">
        <v>40</v>
      </c>
      <c r="B37" s="13">
        <v>0</v>
      </c>
      <c r="C37" s="13">
        <v>0</v>
      </c>
      <c r="D37" s="13">
        <v>0</v>
      </c>
      <c r="E37" s="14">
        <v>0</v>
      </c>
      <c r="F37" s="15" t="str">
        <f>IFERROR((C37-D37)/D37,"-")</f>
        <v>-</v>
      </c>
      <c r="G37" s="16" t="str">
        <f>IFERROR((D37-E37)/E37,"-")</f>
        <v>-</v>
      </c>
      <c r="H37" s="19"/>
    </row>
    <row r="38" spans="1:8">
      <c r="A38" s="25" t="s">
        <v>41</v>
      </c>
      <c r="B38" s="13">
        <v>0</v>
      </c>
      <c r="C38" s="13">
        <v>0</v>
      </c>
      <c r="D38" s="13">
        <v>0</v>
      </c>
      <c r="E38" s="14">
        <v>0</v>
      </c>
      <c r="F38" s="15" t="str">
        <f>IFERROR((C38-D38)/D38,"-")</f>
        <v>-</v>
      </c>
      <c r="G38" s="16" t="str">
        <f>IFERROR((D38-E38)/E38,"-")</f>
        <v>-</v>
      </c>
      <c r="H38" s="19"/>
    </row>
    <row r="39" spans="1:8">
      <c r="A39" s="25" t="s">
        <v>42</v>
      </c>
      <c r="B39" s="13">
        <v>0</v>
      </c>
      <c r="C39" s="13">
        <v>0</v>
      </c>
      <c r="D39" s="13">
        <v>0</v>
      </c>
      <c r="E39" s="14">
        <v>0</v>
      </c>
      <c r="F39" s="15" t="str">
        <f t="shared" ref="F39:G48" si="3">IFERROR((C39-D39)/D39,"-")</f>
        <v>-</v>
      </c>
      <c r="G39" s="16" t="str">
        <f t="shared" si="3"/>
        <v>-</v>
      </c>
      <c r="H39" s="19"/>
    </row>
    <row r="40" spans="1:8" ht="15" thickBot="1">
      <c r="A40" s="25" t="s">
        <v>43</v>
      </c>
      <c r="B40" s="13">
        <v>0</v>
      </c>
      <c r="C40" s="13">
        <v>0</v>
      </c>
      <c r="D40" s="13">
        <v>0</v>
      </c>
      <c r="E40" s="14">
        <v>0</v>
      </c>
      <c r="F40" s="15" t="str">
        <f t="shared" si="3"/>
        <v>-</v>
      </c>
      <c r="G40" s="27" t="str">
        <f t="shared" si="3"/>
        <v>-</v>
      </c>
      <c r="H40" s="19"/>
    </row>
    <row r="41" spans="1:8" ht="15" thickBot="1">
      <c r="A41" s="25" t="s">
        <v>44</v>
      </c>
      <c r="B41" s="13">
        <v>0</v>
      </c>
      <c r="C41" s="13">
        <v>0</v>
      </c>
      <c r="D41" s="13">
        <v>0</v>
      </c>
      <c r="E41" s="14">
        <v>0</v>
      </c>
      <c r="F41" s="30" t="str">
        <f t="shared" si="3"/>
        <v>-</v>
      </c>
      <c r="G41" s="31" t="str">
        <f t="shared" si="3"/>
        <v>-</v>
      </c>
      <c r="H41" s="19"/>
    </row>
    <row r="42" spans="1:8">
      <c r="A42" s="20" t="s">
        <v>45</v>
      </c>
      <c r="B42" s="21">
        <f>+B36-SUM(B37:B41)</f>
        <v>0</v>
      </c>
      <c r="C42" s="21">
        <f>+C36-SUM(C37:C41)</f>
        <v>0</v>
      </c>
      <c r="D42" s="21">
        <f>+D36-SUM(D37:D41)</f>
        <v>0</v>
      </c>
      <c r="E42" s="22">
        <f>+E36-SUM(E37:E41)</f>
        <v>0</v>
      </c>
      <c r="F42" s="32" t="str">
        <f t="shared" si="3"/>
        <v>-</v>
      </c>
      <c r="G42" s="33" t="str">
        <f t="shared" si="3"/>
        <v>-</v>
      </c>
      <c r="H42" s="19"/>
    </row>
    <row r="43" spans="1:8">
      <c r="A43" s="34" t="s">
        <v>46</v>
      </c>
      <c r="B43" s="13">
        <v>0</v>
      </c>
      <c r="C43" s="13">
        <v>0</v>
      </c>
      <c r="D43" s="13">
        <v>0</v>
      </c>
      <c r="E43" s="14">
        <v>0</v>
      </c>
      <c r="F43" s="15" t="str">
        <f t="shared" si="3"/>
        <v>-</v>
      </c>
      <c r="G43" s="16" t="str">
        <f t="shared" si="3"/>
        <v>-</v>
      </c>
      <c r="H43" s="2"/>
    </row>
    <row r="44" spans="1:8">
      <c r="A44" s="20" t="s">
        <v>47</v>
      </c>
      <c r="B44" s="21">
        <f>+B42-B43</f>
        <v>0</v>
      </c>
      <c r="C44" s="21">
        <f>+C42-C43</f>
        <v>0</v>
      </c>
      <c r="D44" s="21">
        <f>+D42-D43</f>
        <v>0</v>
      </c>
      <c r="E44" s="22">
        <f>+E42-E43</f>
        <v>0</v>
      </c>
      <c r="F44" s="32" t="str">
        <f t="shared" si="3"/>
        <v>-</v>
      </c>
      <c r="G44" s="33" t="str">
        <f t="shared" si="3"/>
        <v>-</v>
      </c>
      <c r="H44" s="2"/>
    </row>
    <row r="45" spans="1:8">
      <c r="A45" s="34" t="s">
        <v>48</v>
      </c>
      <c r="B45" s="13"/>
      <c r="C45" s="13"/>
      <c r="D45" s="13"/>
      <c r="E45" s="14"/>
      <c r="F45" s="15" t="str">
        <f t="shared" si="3"/>
        <v>-</v>
      </c>
      <c r="G45" s="16" t="str">
        <f t="shared" si="3"/>
        <v>-</v>
      </c>
      <c r="H45" s="2"/>
    </row>
    <row r="46" spans="1:8">
      <c r="A46" s="34" t="s">
        <v>49</v>
      </c>
      <c r="B46" s="13"/>
      <c r="C46" s="13"/>
      <c r="D46" s="13"/>
      <c r="E46" s="14"/>
      <c r="F46" s="15" t="str">
        <f t="shared" si="3"/>
        <v>-</v>
      </c>
      <c r="G46" s="16" t="str">
        <f t="shared" si="3"/>
        <v>-</v>
      </c>
      <c r="H46" s="2"/>
    </row>
    <row r="47" spans="1:8">
      <c r="A47" s="20" t="s">
        <v>50</v>
      </c>
      <c r="B47" s="21">
        <f>+B44-SUM(B45:B46)</f>
        <v>0</v>
      </c>
      <c r="C47" s="21">
        <f>+C44-SUM(C45:C46)</f>
        <v>0</v>
      </c>
      <c r="D47" s="21">
        <f>+D44-SUM(D45:D46)</f>
        <v>0</v>
      </c>
      <c r="E47" s="22">
        <f>+E44-SUM(E45:E46)</f>
        <v>0</v>
      </c>
      <c r="F47" s="32" t="str">
        <f t="shared" si="3"/>
        <v>-</v>
      </c>
      <c r="G47" s="33" t="str">
        <f t="shared" si="3"/>
        <v>-</v>
      </c>
      <c r="H47" s="2"/>
    </row>
    <row r="48" spans="1:8" ht="15" thickBot="1">
      <c r="A48" s="20" t="s">
        <v>51</v>
      </c>
      <c r="B48" s="21">
        <f>+B44+B41+B39+B32+B40</f>
        <v>0</v>
      </c>
      <c r="C48" s="21">
        <f>+C44+C41+C39+C32+C40</f>
        <v>0</v>
      </c>
      <c r="D48" s="21">
        <f>+D44+D41+D39+D32+D40</f>
        <v>0</v>
      </c>
      <c r="E48" s="22">
        <f>+E44+E41+E39+E32+E40</f>
        <v>0</v>
      </c>
      <c r="F48" s="35" t="str">
        <f t="shared" si="3"/>
        <v>-</v>
      </c>
      <c r="G48" s="36" t="str">
        <f t="shared" si="3"/>
        <v>-</v>
      </c>
      <c r="H48" s="2"/>
    </row>
    <row r="49" spans="1:8" ht="15" thickBot="1">
      <c r="A49" s="551"/>
      <c r="B49" s="551"/>
      <c r="C49" s="551"/>
      <c r="D49" s="551"/>
      <c r="E49" s="551"/>
      <c r="F49" s="37"/>
      <c r="G49" s="38"/>
      <c r="H49" s="39"/>
    </row>
    <row r="50" spans="1:8" ht="15" thickBot="1">
      <c r="A50" s="8" t="s">
        <v>52</v>
      </c>
      <c r="B50" s="8" t="s">
        <v>14</v>
      </c>
      <c r="C50" s="9" t="s">
        <v>106</v>
      </c>
      <c r="D50" s="9" t="s">
        <v>107</v>
      </c>
      <c r="E50" s="9" t="s">
        <v>108</v>
      </c>
      <c r="F50" s="40" t="s">
        <v>109</v>
      </c>
      <c r="G50" s="41" t="s">
        <v>109</v>
      </c>
      <c r="H50" s="2"/>
    </row>
    <row r="51" spans="1:8">
      <c r="A51" s="25" t="s">
        <v>53</v>
      </c>
      <c r="B51" s="13">
        <v>0</v>
      </c>
      <c r="C51" s="13">
        <v>0</v>
      </c>
      <c r="D51" s="13">
        <v>0</v>
      </c>
      <c r="E51" s="14">
        <v>0</v>
      </c>
      <c r="F51" s="15" t="str">
        <f t="shared" ref="F51:G83" si="4">IFERROR((C51-D51)/D51,"-")</f>
        <v>-</v>
      </c>
      <c r="G51" s="16" t="str">
        <f t="shared" si="4"/>
        <v>-</v>
      </c>
      <c r="H51" s="2"/>
    </row>
    <row r="52" spans="1:8">
      <c r="A52" s="25" t="s">
        <v>54</v>
      </c>
      <c r="B52" s="13">
        <v>0</v>
      </c>
      <c r="C52" s="13">
        <v>0</v>
      </c>
      <c r="D52" s="13">
        <v>0</v>
      </c>
      <c r="E52" s="14">
        <v>0</v>
      </c>
      <c r="F52" s="15" t="str">
        <f t="shared" si="4"/>
        <v>-</v>
      </c>
      <c r="G52" s="16" t="str">
        <f t="shared" si="4"/>
        <v>-</v>
      </c>
      <c r="H52" s="2"/>
    </row>
    <row r="53" spans="1:8">
      <c r="A53" s="25" t="s">
        <v>55</v>
      </c>
      <c r="B53" s="13">
        <v>0</v>
      </c>
      <c r="C53" s="13">
        <v>0</v>
      </c>
      <c r="D53" s="13">
        <v>0</v>
      </c>
      <c r="E53" s="14">
        <v>0</v>
      </c>
      <c r="F53" s="15" t="str">
        <f t="shared" si="4"/>
        <v>-</v>
      </c>
      <c r="G53" s="16" t="str">
        <f t="shared" si="4"/>
        <v>-</v>
      </c>
      <c r="H53" s="2"/>
    </row>
    <row r="54" spans="1:8">
      <c r="A54" s="25" t="s">
        <v>56</v>
      </c>
      <c r="B54" s="13">
        <v>0</v>
      </c>
      <c r="C54" s="13">
        <v>0</v>
      </c>
      <c r="D54" s="13">
        <v>0</v>
      </c>
      <c r="E54" s="14">
        <v>0</v>
      </c>
      <c r="F54" s="15" t="str">
        <f t="shared" si="4"/>
        <v>-</v>
      </c>
      <c r="G54" s="16" t="str">
        <f t="shared" si="4"/>
        <v>-</v>
      </c>
      <c r="H54" s="2"/>
    </row>
    <row r="55" spans="1:8">
      <c r="A55" s="20" t="s">
        <v>57</v>
      </c>
      <c r="B55" s="21">
        <f>SUM(B51:B53)+B54</f>
        <v>0</v>
      </c>
      <c r="C55" s="21">
        <f>SUM(C51:C53)+C54</f>
        <v>0</v>
      </c>
      <c r="D55" s="21">
        <f>SUM(D51:D53)+D54</f>
        <v>0</v>
      </c>
      <c r="E55" s="22">
        <f>SUM(E51:E53)+E54</f>
        <v>0</v>
      </c>
      <c r="F55" s="32" t="str">
        <f t="shared" si="4"/>
        <v>-</v>
      </c>
      <c r="G55" s="33" t="str">
        <f t="shared" si="4"/>
        <v>-</v>
      </c>
      <c r="H55" s="2"/>
    </row>
    <row r="56" spans="1:8">
      <c r="A56" s="25" t="s">
        <v>58</v>
      </c>
      <c r="B56" s="13">
        <v>0</v>
      </c>
      <c r="C56" s="13">
        <v>0</v>
      </c>
      <c r="D56" s="13">
        <v>0</v>
      </c>
      <c r="E56" s="14">
        <v>0</v>
      </c>
      <c r="F56" s="15" t="str">
        <f t="shared" si="4"/>
        <v>-</v>
      </c>
      <c r="G56" s="16" t="str">
        <f t="shared" si="4"/>
        <v>-</v>
      </c>
      <c r="H56" s="19"/>
    </row>
    <row r="57" spans="1:8">
      <c r="A57" s="25" t="s">
        <v>59</v>
      </c>
      <c r="B57" s="13">
        <v>0</v>
      </c>
      <c r="C57" s="13">
        <v>0</v>
      </c>
      <c r="D57" s="13">
        <v>0</v>
      </c>
      <c r="E57" s="14">
        <v>0</v>
      </c>
      <c r="F57" s="15" t="str">
        <f t="shared" si="4"/>
        <v>-</v>
      </c>
      <c r="G57" s="16" t="str">
        <f t="shared" si="4"/>
        <v>-</v>
      </c>
      <c r="H57" s="2"/>
    </row>
    <row r="58" spans="1:8">
      <c r="A58" s="42" t="s">
        <v>60</v>
      </c>
      <c r="B58" s="21">
        <f>+SUM(B55:B56)-B57</f>
        <v>0</v>
      </c>
      <c r="C58" s="21">
        <f>+SUM(C55:C56)-C57</f>
        <v>0</v>
      </c>
      <c r="D58" s="21">
        <f>+SUM(D55:D56)-D57</f>
        <v>0</v>
      </c>
      <c r="E58" s="22">
        <f>+SUM(E55:E56)-E57</f>
        <v>0</v>
      </c>
      <c r="F58" s="32" t="str">
        <f t="shared" si="4"/>
        <v>-</v>
      </c>
      <c r="G58" s="33" t="str">
        <f t="shared" si="4"/>
        <v>-</v>
      </c>
      <c r="H58" s="2"/>
    </row>
    <row r="59" spans="1:8">
      <c r="A59" s="25" t="s">
        <v>61</v>
      </c>
      <c r="B59" s="13">
        <v>0</v>
      </c>
      <c r="C59" s="13">
        <v>0</v>
      </c>
      <c r="D59" s="13">
        <v>0</v>
      </c>
      <c r="E59" s="14">
        <v>0</v>
      </c>
      <c r="F59" s="15" t="str">
        <f t="shared" si="4"/>
        <v>-</v>
      </c>
      <c r="G59" s="16" t="str">
        <f t="shared" si="4"/>
        <v>-</v>
      </c>
      <c r="H59" s="2"/>
    </row>
    <row r="60" spans="1:8">
      <c r="A60" s="25" t="s">
        <v>62</v>
      </c>
      <c r="B60" s="13">
        <v>0</v>
      </c>
      <c r="C60" s="13">
        <v>0</v>
      </c>
      <c r="D60" s="13">
        <v>0</v>
      </c>
      <c r="E60" s="14">
        <v>0</v>
      </c>
      <c r="F60" s="15" t="str">
        <f t="shared" si="4"/>
        <v>-</v>
      </c>
      <c r="G60" s="16" t="str">
        <f t="shared" si="4"/>
        <v>-</v>
      </c>
      <c r="H60" s="2"/>
    </row>
    <row r="61" spans="1:8">
      <c r="A61" s="20" t="s">
        <v>63</v>
      </c>
      <c r="B61" s="21">
        <f>+SUM(B58:B60)</f>
        <v>0</v>
      </c>
      <c r="C61" s="21">
        <f>+SUM(C58:C60)</f>
        <v>0</v>
      </c>
      <c r="D61" s="21">
        <f>+SUM(D58:D60)</f>
        <v>0</v>
      </c>
      <c r="E61" s="22">
        <f>+SUM(E58:E60)</f>
        <v>0</v>
      </c>
      <c r="F61" s="32" t="str">
        <f t="shared" si="4"/>
        <v>-</v>
      </c>
      <c r="G61" s="33" t="str">
        <f t="shared" si="4"/>
        <v>-</v>
      </c>
      <c r="H61" s="2"/>
    </row>
    <row r="62" spans="1:8">
      <c r="A62" s="34"/>
      <c r="B62" s="34"/>
      <c r="C62" s="43"/>
      <c r="D62" s="43"/>
      <c r="E62" s="44"/>
      <c r="F62" s="15" t="str">
        <f t="shared" si="4"/>
        <v>-</v>
      </c>
      <c r="G62" s="16" t="str">
        <f t="shared" si="4"/>
        <v>-</v>
      </c>
      <c r="H62" s="2"/>
    </row>
    <row r="63" spans="1:8">
      <c r="A63" s="43" t="s">
        <v>64</v>
      </c>
      <c r="B63" s="13">
        <v>0</v>
      </c>
      <c r="C63" s="13">
        <v>0</v>
      </c>
      <c r="D63" s="13">
        <v>0</v>
      </c>
      <c r="E63" s="14">
        <v>0</v>
      </c>
      <c r="F63" s="15" t="str">
        <f t="shared" si="4"/>
        <v>-</v>
      </c>
      <c r="G63" s="16" t="str">
        <f t="shared" si="4"/>
        <v>-</v>
      </c>
      <c r="H63" s="2"/>
    </row>
    <row r="64" spans="1:8">
      <c r="A64" s="43" t="s">
        <v>65</v>
      </c>
      <c r="B64" s="13">
        <v>0</v>
      </c>
      <c r="C64" s="13">
        <v>0</v>
      </c>
      <c r="D64" s="13">
        <v>0</v>
      </c>
      <c r="E64" s="14">
        <v>0</v>
      </c>
      <c r="F64" s="15" t="str">
        <f t="shared" si="4"/>
        <v>-</v>
      </c>
      <c r="G64" s="16" t="str">
        <f t="shared" si="4"/>
        <v>-</v>
      </c>
      <c r="H64" s="2"/>
    </row>
    <row r="65" spans="1:8">
      <c r="A65" s="20" t="s">
        <v>66</v>
      </c>
      <c r="B65" s="21">
        <f>SUM(B66:B70)</f>
        <v>0</v>
      </c>
      <c r="C65" s="21">
        <f>SUM(C66:C70)</f>
        <v>0</v>
      </c>
      <c r="D65" s="21">
        <f>SUM(D66:D70)</f>
        <v>0</v>
      </c>
      <c r="E65" s="22">
        <f>SUM(E66:E70)</f>
        <v>0</v>
      </c>
      <c r="F65" s="32" t="str">
        <f t="shared" si="4"/>
        <v>-</v>
      </c>
      <c r="G65" s="33" t="str">
        <f t="shared" si="4"/>
        <v>-</v>
      </c>
      <c r="H65" s="2"/>
    </row>
    <row r="66" spans="1:8">
      <c r="A66" s="43" t="s">
        <v>67</v>
      </c>
      <c r="B66" s="13">
        <v>0</v>
      </c>
      <c r="C66" s="13">
        <v>0</v>
      </c>
      <c r="D66" s="13">
        <v>0</v>
      </c>
      <c r="E66" s="14">
        <v>0</v>
      </c>
      <c r="F66" s="15" t="str">
        <f t="shared" si="4"/>
        <v>-</v>
      </c>
      <c r="G66" s="16" t="str">
        <f t="shared" si="4"/>
        <v>-</v>
      </c>
      <c r="H66" s="2"/>
    </row>
    <row r="67" spans="1:8">
      <c r="A67" s="43" t="s">
        <v>68</v>
      </c>
      <c r="B67" s="13">
        <v>0</v>
      </c>
      <c r="C67" s="13">
        <v>0</v>
      </c>
      <c r="D67" s="13">
        <v>0</v>
      </c>
      <c r="E67" s="14">
        <v>0</v>
      </c>
      <c r="F67" s="15" t="str">
        <f t="shared" si="4"/>
        <v>-</v>
      </c>
      <c r="G67" s="16" t="str">
        <f t="shared" si="4"/>
        <v>-</v>
      </c>
      <c r="H67" s="19"/>
    </row>
    <row r="68" spans="1:8">
      <c r="A68" s="43" t="s">
        <v>69</v>
      </c>
      <c r="B68" s="13">
        <v>0</v>
      </c>
      <c r="C68" s="13">
        <v>0</v>
      </c>
      <c r="D68" s="13">
        <v>0</v>
      </c>
      <c r="E68" s="14">
        <v>0</v>
      </c>
      <c r="F68" s="15" t="str">
        <f t="shared" si="4"/>
        <v>-</v>
      </c>
      <c r="G68" s="16" t="str">
        <f t="shared" si="4"/>
        <v>-</v>
      </c>
      <c r="H68" s="2"/>
    </row>
    <row r="69" spans="1:8">
      <c r="A69" s="25" t="s">
        <v>70</v>
      </c>
      <c r="B69" s="13">
        <v>0</v>
      </c>
      <c r="C69" s="13">
        <v>0</v>
      </c>
      <c r="D69" s="13">
        <v>0</v>
      </c>
      <c r="E69" s="14">
        <v>0</v>
      </c>
      <c r="F69" s="15" t="str">
        <f t="shared" si="4"/>
        <v>-</v>
      </c>
      <c r="G69" s="16" t="str">
        <f t="shared" si="4"/>
        <v>-</v>
      </c>
      <c r="H69" s="2"/>
    </row>
    <row r="70" spans="1:8">
      <c r="A70" s="43" t="s">
        <v>71</v>
      </c>
      <c r="B70" s="13">
        <v>0</v>
      </c>
      <c r="C70" s="13">
        <v>0</v>
      </c>
      <c r="D70" s="13">
        <v>0</v>
      </c>
      <c r="E70" s="14">
        <v>0</v>
      </c>
      <c r="F70" s="15" t="str">
        <f t="shared" si="4"/>
        <v>-</v>
      </c>
      <c r="G70" s="16" t="str">
        <f t="shared" si="4"/>
        <v>-</v>
      </c>
      <c r="H70" s="2"/>
    </row>
    <row r="71" spans="1:8">
      <c r="A71" s="20" t="s">
        <v>72</v>
      </c>
      <c r="B71" s="21">
        <f>SUM(B72:B75)</f>
        <v>0</v>
      </c>
      <c r="C71" s="21">
        <f>SUM(C72:C75)</f>
        <v>0</v>
      </c>
      <c r="D71" s="21">
        <f>SUM(D72:D75)</f>
        <v>0</v>
      </c>
      <c r="E71" s="22">
        <f>SUM(E72:E75)</f>
        <v>0</v>
      </c>
      <c r="F71" s="32" t="str">
        <f t="shared" si="4"/>
        <v>-</v>
      </c>
      <c r="G71" s="33" t="str">
        <f t="shared" si="4"/>
        <v>-</v>
      </c>
      <c r="H71" s="2"/>
    </row>
    <row r="72" spans="1:8">
      <c r="A72" s="25" t="s">
        <v>73</v>
      </c>
      <c r="B72" s="13">
        <v>0</v>
      </c>
      <c r="C72" s="13">
        <v>0</v>
      </c>
      <c r="D72" s="13">
        <v>0</v>
      </c>
      <c r="E72" s="14">
        <v>0</v>
      </c>
      <c r="F72" s="15" t="str">
        <f t="shared" si="4"/>
        <v>-</v>
      </c>
      <c r="G72" s="16" t="str">
        <f t="shared" si="4"/>
        <v>-</v>
      </c>
      <c r="H72" s="19"/>
    </row>
    <row r="73" spans="1:8">
      <c r="A73" s="25" t="s">
        <v>74</v>
      </c>
      <c r="B73" s="13">
        <v>0</v>
      </c>
      <c r="C73" s="13">
        <v>0</v>
      </c>
      <c r="D73" s="13">
        <v>0</v>
      </c>
      <c r="E73" s="14">
        <v>0</v>
      </c>
      <c r="F73" s="15" t="str">
        <f t="shared" si="4"/>
        <v>-</v>
      </c>
      <c r="G73" s="16" t="str">
        <f t="shared" si="4"/>
        <v>-</v>
      </c>
      <c r="H73" s="2"/>
    </row>
    <row r="74" spans="1:8">
      <c r="A74" s="25" t="s">
        <v>75</v>
      </c>
      <c r="B74" s="13">
        <v>0</v>
      </c>
      <c r="C74" s="13">
        <v>0</v>
      </c>
      <c r="D74" s="13">
        <v>0</v>
      </c>
      <c r="E74" s="14">
        <v>0</v>
      </c>
      <c r="F74" s="15" t="str">
        <f t="shared" si="4"/>
        <v>-</v>
      </c>
      <c r="G74" s="16" t="str">
        <f t="shared" si="4"/>
        <v>-</v>
      </c>
      <c r="H74" s="2"/>
    </row>
    <row r="75" spans="1:8">
      <c r="A75" s="25" t="s">
        <v>76</v>
      </c>
      <c r="B75" s="13">
        <v>0</v>
      </c>
      <c r="C75" s="13">
        <v>0</v>
      </c>
      <c r="D75" s="13">
        <v>0</v>
      </c>
      <c r="E75" s="14">
        <v>0</v>
      </c>
      <c r="F75" s="15" t="str">
        <f t="shared" si="4"/>
        <v>-</v>
      </c>
      <c r="G75" s="16" t="str">
        <f t="shared" si="4"/>
        <v>-</v>
      </c>
      <c r="H75" s="19"/>
    </row>
    <row r="76" spans="1:8">
      <c r="A76" s="42" t="s">
        <v>77</v>
      </c>
      <c r="B76" s="21">
        <f>+B65-B71</f>
        <v>0</v>
      </c>
      <c r="C76" s="21">
        <f>+C65-C71</f>
        <v>0</v>
      </c>
      <c r="D76" s="21">
        <f>+D65-D71</f>
        <v>0</v>
      </c>
      <c r="E76" s="22">
        <f>+E65-E71</f>
        <v>0</v>
      </c>
      <c r="F76" s="32" t="str">
        <f t="shared" si="4"/>
        <v>-</v>
      </c>
      <c r="G76" s="33" t="str">
        <f t="shared" si="4"/>
        <v>-</v>
      </c>
      <c r="H76" s="2"/>
    </row>
    <row r="77" spans="1:8">
      <c r="A77" s="25" t="s">
        <v>78</v>
      </c>
      <c r="B77" s="25"/>
      <c r="C77" s="45"/>
      <c r="D77" s="45"/>
      <c r="E77" s="46"/>
      <c r="F77" s="15" t="str">
        <f t="shared" si="4"/>
        <v>-</v>
      </c>
      <c r="G77" s="16" t="str">
        <f t="shared" si="4"/>
        <v>-</v>
      </c>
      <c r="H77" s="2"/>
    </row>
    <row r="78" spans="1:8">
      <c r="A78" s="25" t="s">
        <v>79</v>
      </c>
      <c r="B78" s="13">
        <v>0</v>
      </c>
      <c r="C78" s="13">
        <v>0</v>
      </c>
      <c r="D78" s="13">
        <v>0</v>
      </c>
      <c r="E78" s="14">
        <v>0</v>
      </c>
      <c r="F78" s="15"/>
      <c r="G78" s="16" t="str">
        <f t="shared" si="4"/>
        <v>-</v>
      </c>
      <c r="H78" s="19"/>
    </row>
    <row r="79" spans="1:8">
      <c r="A79" s="25" t="s">
        <v>80</v>
      </c>
      <c r="B79" s="13">
        <v>0</v>
      </c>
      <c r="C79" s="13">
        <v>0</v>
      </c>
      <c r="D79" s="13">
        <v>0</v>
      </c>
      <c r="E79" s="14">
        <v>0</v>
      </c>
      <c r="F79" s="15" t="str">
        <f t="shared" si="4"/>
        <v>-</v>
      </c>
      <c r="G79" s="16" t="str">
        <f t="shared" si="4"/>
        <v>-</v>
      </c>
      <c r="H79" s="2"/>
    </row>
    <row r="80" spans="1:8">
      <c r="A80" s="25" t="s">
        <v>81</v>
      </c>
      <c r="B80" s="13">
        <v>0</v>
      </c>
      <c r="C80" s="13">
        <v>0</v>
      </c>
      <c r="D80" s="13">
        <v>0</v>
      </c>
      <c r="E80" s="14">
        <v>0</v>
      </c>
      <c r="F80" s="15" t="str">
        <f t="shared" si="4"/>
        <v>-</v>
      </c>
      <c r="G80" s="16" t="str">
        <f t="shared" si="4"/>
        <v>-</v>
      </c>
      <c r="H80" s="2"/>
    </row>
    <row r="81" spans="1:8">
      <c r="A81" s="20" t="s">
        <v>82</v>
      </c>
      <c r="B81" s="21">
        <f>+B76-SUM(B78:B80)</f>
        <v>0</v>
      </c>
      <c r="C81" s="21">
        <f>+C76-SUM(C78:C80)</f>
        <v>0</v>
      </c>
      <c r="D81" s="21">
        <f>+D76-SUM(D78:D80)</f>
        <v>0</v>
      </c>
      <c r="E81" s="22">
        <f>+E76-SUM(E78:E80)</f>
        <v>0</v>
      </c>
      <c r="F81" s="32" t="str">
        <f t="shared" si="4"/>
        <v>-</v>
      </c>
      <c r="G81" s="33" t="str">
        <f t="shared" si="4"/>
        <v>-</v>
      </c>
      <c r="H81" s="2"/>
    </row>
    <row r="82" spans="1:8">
      <c r="A82" s="25" t="s">
        <v>83</v>
      </c>
      <c r="B82" s="13"/>
      <c r="C82" s="13"/>
      <c r="D82" s="13"/>
      <c r="E82" s="13"/>
      <c r="F82" s="15" t="str">
        <f t="shared" si="4"/>
        <v>-</v>
      </c>
      <c r="G82" s="16" t="str">
        <f t="shared" si="4"/>
        <v>-</v>
      </c>
      <c r="H82" s="2"/>
    </row>
    <row r="83" spans="1:8" ht="15" thickBot="1">
      <c r="A83" s="20" t="s">
        <v>84</v>
      </c>
      <c r="B83" s="21">
        <f>SUM(B63:B64)+B81+B82</f>
        <v>0</v>
      </c>
      <c r="C83" s="21">
        <f>SUM(C63:C64)+C81+C82</f>
        <v>0</v>
      </c>
      <c r="D83" s="21">
        <f>SUM(D63:D64)+D81+D82</f>
        <v>0</v>
      </c>
      <c r="E83" s="22">
        <f>SUM(E63:E64)+E81+E82</f>
        <v>0</v>
      </c>
      <c r="F83" s="35" t="str">
        <f t="shared" si="4"/>
        <v>-</v>
      </c>
      <c r="G83" s="36" t="str">
        <f t="shared" si="4"/>
        <v>-</v>
      </c>
      <c r="H83" s="2"/>
    </row>
    <row r="84" spans="1:8">
      <c r="A84" s="47"/>
      <c r="B84" s="48">
        <f>B61-B83</f>
        <v>0</v>
      </c>
      <c r="C84" s="48">
        <f>C61-C83</f>
        <v>0</v>
      </c>
      <c r="D84" s="48">
        <f>D61-D83</f>
        <v>0</v>
      </c>
      <c r="E84" s="49">
        <f>E61-E83</f>
        <v>0</v>
      </c>
      <c r="F84" s="50"/>
      <c r="G84" s="51"/>
      <c r="H84" s="39"/>
    </row>
    <row r="85" spans="1:8">
      <c r="A85" s="52" t="s">
        <v>85</v>
      </c>
      <c r="B85" s="52" t="s">
        <v>14</v>
      </c>
      <c r="C85" s="53" t="str">
        <f>C50</f>
        <v>FY 2021-22</v>
      </c>
      <c r="D85" s="53" t="str">
        <f>D50</f>
        <v>FY 2020-21</v>
      </c>
      <c r="E85" s="54" t="str">
        <f>E50</f>
        <v>FY 2019-20</v>
      </c>
      <c r="F85" s="50"/>
      <c r="G85" s="51"/>
      <c r="H85" s="39"/>
    </row>
    <row r="86" spans="1:8">
      <c r="A86" s="52" t="s">
        <v>29</v>
      </c>
      <c r="B86" s="55" t="e">
        <f>B26/B23</f>
        <v>#DIV/0!</v>
      </c>
      <c r="C86" s="55" t="e">
        <f>C26/C23</f>
        <v>#DIV/0!</v>
      </c>
      <c r="D86" s="55" t="e">
        <f>D26/D23</f>
        <v>#DIV/0!</v>
      </c>
      <c r="E86" s="55" t="e">
        <f>E26/E23</f>
        <v>#DIV/0!</v>
      </c>
      <c r="F86" s="56"/>
      <c r="G86" s="57"/>
      <c r="H86" s="2"/>
    </row>
    <row r="87" spans="1:8">
      <c r="A87" s="52" t="s">
        <v>86</v>
      </c>
      <c r="B87" s="55" t="e">
        <f>(B42-B27)/B23</f>
        <v>#DIV/0!</v>
      </c>
      <c r="C87" s="55" t="e">
        <f>(C42-C27)/C23</f>
        <v>#DIV/0!</v>
      </c>
      <c r="D87" s="55" t="e">
        <f>(D42-D27)/D23</f>
        <v>#DIV/0!</v>
      </c>
      <c r="E87" s="55" t="e">
        <f>(E42-E27)/E23</f>
        <v>#DIV/0!</v>
      </c>
      <c r="F87" s="56"/>
      <c r="G87" s="57"/>
      <c r="H87" s="2"/>
    </row>
    <row r="88" spans="1:8">
      <c r="A88" s="52" t="s">
        <v>87</v>
      </c>
      <c r="B88" s="55" t="e">
        <f>(B44-B27)/B23</f>
        <v>#DIV/0!</v>
      </c>
      <c r="C88" s="55" t="e">
        <f>(C44-C27)/C23</f>
        <v>#DIV/0!</v>
      </c>
      <c r="D88" s="55" t="e">
        <f>(D44-D27)/D23</f>
        <v>#DIV/0!</v>
      </c>
      <c r="E88" s="55" t="e">
        <f>(E44-E27)/E23</f>
        <v>#DIV/0!</v>
      </c>
      <c r="F88" s="56"/>
      <c r="G88" s="57"/>
      <c r="H88" s="2"/>
    </row>
    <row r="89" spans="1:8">
      <c r="A89" s="52" t="s">
        <v>88</v>
      </c>
      <c r="B89" s="55" t="e">
        <f>(B48-B27)/B23</f>
        <v>#DIV/0!</v>
      </c>
      <c r="C89" s="55" t="e">
        <f>(C48-C27)/C23</f>
        <v>#DIV/0!</v>
      </c>
      <c r="D89" s="55" t="e">
        <f>(D48-D27)/D23</f>
        <v>#DIV/0!</v>
      </c>
      <c r="E89" s="55" t="e">
        <f>(E48-E27)/E23</f>
        <v>#DIV/0!</v>
      </c>
      <c r="F89" s="56"/>
      <c r="G89" s="57"/>
      <c r="H89" s="3"/>
    </row>
    <row r="90" spans="1:8">
      <c r="A90" s="52" t="s">
        <v>89</v>
      </c>
      <c r="B90" s="21" t="e">
        <f>B31/(B37+B38)</f>
        <v>#DIV/0!</v>
      </c>
      <c r="C90" s="21" t="e">
        <f>C31/(C37+C38)</f>
        <v>#DIV/0!</v>
      </c>
      <c r="D90" s="21" t="e">
        <f>D31/(D37+D38)</f>
        <v>#DIV/0!</v>
      </c>
      <c r="E90" s="21" t="e">
        <f>E31/(E37+E38)</f>
        <v>#DIV/0!</v>
      </c>
      <c r="F90" s="56"/>
      <c r="G90" s="57"/>
      <c r="H90" s="3"/>
    </row>
    <row r="91" spans="1:8">
      <c r="A91" s="52" t="s">
        <v>90</v>
      </c>
      <c r="B91" s="21" t="e">
        <f>B67/B23*365</f>
        <v>#DIV/0!</v>
      </c>
      <c r="C91" s="21" t="e">
        <f>C67/C23*365</f>
        <v>#DIV/0!</v>
      </c>
      <c r="D91" s="21" t="e">
        <f>D67/D23*365</f>
        <v>#DIV/0!</v>
      </c>
      <c r="E91" s="21" t="e">
        <f>E67/E23*365</f>
        <v>#DIV/0!</v>
      </c>
      <c r="F91" s="56"/>
      <c r="G91" s="57"/>
      <c r="H91" s="3"/>
    </row>
    <row r="92" spans="1:8">
      <c r="A92" s="52" t="s">
        <v>91</v>
      </c>
      <c r="B92" s="21" t="e">
        <f>B72/(B24+B25)*365</f>
        <v>#DIV/0!</v>
      </c>
      <c r="C92" s="21" t="e">
        <f>C72/(C24+C25)*365</f>
        <v>#DIV/0!</v>
      </c>
      <c r="D92" s="21" t="e">
        <f>D72/(D24+D25)*365</f>
        <v>#DIV/0!</v>
      </c>
      <c r="E92" s="21" t="e">
        <f>E72/(E24+E25)*365</f>
        <v>#DIV/0!</v>
      </c>
      <c r="F92" s="56"/>
      <c r="G92" s="57"/>
      <c r="H92" s="3"/>
    </row>
    <row r="93" spans="1:8">
      <c r="A93" s="52" t="s">
        <v>92</v>
      </c>
      <c r="B93" s="21" t="e">
        <f>B66/B23*365</f>
        <v>#DIV/0!</v>
      </c>
      <c r="C93" s="21" t="e">
        <f>C66/C23*365</f>
        <v>#DIV/0!</v>
      </c>
      <c r="D93" s="21" t="e">
        <f>D66/D23*365</f>
        <v>#DIV/0!</v>
      </c>
      <c r="E93" s="21" t="e">
        <f>E66/E23*365</f>
        <v>#DIV/0!</v>
      </c>
      <c r="F93" s="56"/>
      <c r="G93" s="57"/>
      <c r="H93" s="3"/>
    </row>
    <row r="94" spans="1:8">
      <c r="A94" s="52" t="s">
        <v>93</v>
      </c>
      <c r="B94" s="21">
        <f>B58</f>
        <v>0</v>
      </c>
      <c r="C94" s="21">
        <f>C58</f>
        <v>0</v>
      </c>
      <c r="D94" s="21">
        <f>D58</f>
        <v>0</v>
      </c>
      <c r="E94" s="21">
        <f>E58</f>
        <v>0</v>
      </c>
      <c r="F94" s="56"/>
      <c r="G94" s="57"/>
      <c r="H94" s="3"/>
    </row>
    <row r="95" spans="1:8">
      <c r="A95" s="52" t="s">
        <v>105</v>
      </c>
      <c r="B95" s="21">
        <f>B59+B60+B76</f>
        <v>0</v>
      </c>
      <c r="C95" s="21">
        <f>C59+C60+C78+C79+C80</f>
        <v>0</v>
      </c>
      <c r="D95" s="21">
        <f>D59+D60+D78+D79+D80</f>
        <v>0</v>
      </c>
      <c r="E95" s="21">
        <f>E59+E60+E78+E79+E80</f>
        <v>0</v>
      </c>
      <c r="F95" s="56"/>
      <c r="G95" s="57"/>
      <c r="H95" s="3"/>
    </row>
    <row r="96" spans="1:8">
      <c r="A96" s="52" t="s">
        <v>94</v>
      </c>
      <c r="B96" s="21">
        <f>B63+B64+B65</f>
        <v>0</v>
      </c>
      <c r="C96" s="21">
        <f>C63+C64+C65</f>
        <v>0</v>
      </c>
      <c r="D96" s="21">
        <f>D63+D64+D65</f>
        <v>0</v>
      </c>
      <c r="E96" s="21">
        <f>E63+E64+E65</f>
        <v>0</v>
      </c>
      <c r="F96" s="56"/>
      <c r="G96" s="57"/>
      <c r="H96" s="3"/>
    </row>
    <row r="97" spans="1:8">
      <c r="A97" s="52" t="s">
        <v>95</v>
      </c>
      <c r="B97" s="21">
        <f>B59+B60+B78+B79+B71+B80</f>
        <v>0</v>
      </c>
      <c r="C97" s="21">
        <f>C59+C60+C78+C79+C71+C80</f>
        <v>0</v>
      </c>
      <c r="D97" s="21">
        <f>D59+D60+D78+D79+D71+D80</f>
        <v>0</v>
      </c>
      <c r="E97" s="21">
        <f>E59+E60+E78+E79+E71+E80</f>
        <v>0</v>
      </c>
      <c r="F97" s="56"/>
      <c r="G97" s="57"/>
      <c r="H97" s="3"/>
    </row>
    <row r="98" spans="1:8">
      <c r="A98" s="52" t="s">
        <v>96</v>
      </c>
      <c r="B98" s="21" t="e">
        <f>B95/B94</f>
        <v>#DIV/0!</v>
      </c>
      <c r="C98" s="21" t="e">
        <f>C95/C94</f>
        <v>#DIV/0!</v>
      </c>
      <c r="D98" s="21" t="e">
        <f>D95/D94</f>
        <v>#DIV/0!</v>
      </c>
      <c r="E98" s="21" t="e">
        <f>E95/E94</f>
        <v>#DIV/0!</v>
      </c>
      <c r="F98" s="56"/>
      <c r="G98" s="57"/>
      <c r="H98" s="3"/>
    </row>
    <row r="99" spans="1:8">
      <c r="A99" s="52" t="s">
        <v>97</v>
      </c>
      <c r="B99" s="21" t="e">
        <f>B97/B96</f>
        <v>#DIV/0!</v>
      </c>
      <c r="C99" s="21" t="e">
        <f>C97/C96</f>
        <v>#DIV/0!</v>
      </c>
      <c r="D99" s="21" t="e">
        <f>D97/D96</f>
        <v>#DIV/0!</v>
      </c>
      <c r="E99" s="21" t="e">
        <f>E97/E96</f>
        <v>#DIV/0!</v>
      </c>
      <c r="F99" s="56"/>
      <c r="G99" s="57"/>
      <c r="H99" s="3"/>
    </row>
    <row r="100" spans="1:8">
      <c r="A100" s="52" t="s">
        <v>98</v>
      </c>
      <c r="B100" s="21" t="e">
        <f>B97/B94</f>
        <v>#DIV/0!</v>
      </c>
      <c r="C100" s="21" t="e">
        <f>C97/C94</f>
        <v>#DIV/0!</v>
      </c>
      <c r="D100" s="21" t="e">
        <f>D97/D94</f>
        <v>#DIV/0!</v>
      </c>
      <c r="E100" s="21" t="e">
        <f>E97/E94</f>
        <v>#DIV/0!</v>
      </c>
      <c r="F100" s="56"/>
      <c r="G100" s="57"/>
      <c r="H100" s="3"/>
    </row>
    <row r="101" spans="1:8">
      <c r="A101" s="52" t="s">
        <v>99</v>
      </c>
      <c r="B101" s="21" t="e">
        <f>(B48+B37+B38)/((B37+B38)+(B59+B60)/5)</f>
        <v>#DIV/0!</v>
      </c>
      <c r="C101" s="21" t="e">
        <f>(C48+C37+C38)/((C37+C38)+(C59+C60)/5)</f>
        <v>#DIV/0!</v>
      </c>
      <c r="D101" s="21" t="e">
        <f>(D48+D37+D38)/((D37+D38)+(D59+D60)/5)</f>
        <v>#DIV/0!</v>
      </c>
      <c r="E101" s="22" t="e">
        <f>(E48+E37+E38)/((E37+E38)+(E59+E60)/5)</f>
        <v>#DIV/0!</v>
      </c>
      <c r="F101" s="56"/>
      <c r="G101" s="57"/>
      <c r="H101" s="3"/>
    </row>
    <row r="102" spans="1:8" ht="15" thickBot="1">
      <c r="A102" s="52" t="s">
        <v>100</v>
      </c>
      <c r="B102" s="21" t="e">
        <f>(B48+B37+B38)/((B37+B38)+($B$124*12)/10^5+(B59+B60)/5)</f>
        <v>#DIV/0!</v>
      </c>
      <c r="C102" s="21" t="e">
        <f>(C48+C37+C38)/((C37+C38)+($B$124*12)/10^5+(C59+C60)/5)</f>
        <v>#DIV/0!</v>
      </c>
      <c r="D102" s="21" t="e">
        <f>(D48+D37+D38)/((D37+D38)+($B$124*12)/10^5+(D59+D60)/5)</f>
        <v>#DIV/0!</v>
      </c>
      <c r="E102" s="22" t="e">
        <f>(E48+E37+E38)/((E37+E38)+($B$124*12)/10^5+(E59+E60)/5)</f>
        <v>#DIV/0!</v>
      </c>
      <c r="F102" s="58"/>
      <c r="G102" s="59"/>
      <c r="H102" s="3"/>
    </row>
    <row r="103" spans="1:8">
      <c r="A103" s="3"/>
      <c r="B103" s="3"/>
      <c r="C103" s="3"/>
      <c r="D103" s="60"/>
      <c r="E103" s="60"/>
      <c r="F103" s="3"/>
      <c r="G103" s="3"/>
      <c r="H103" s="7"/>
    </row>
  </sheetData>
  <mergeCells count="11">
    <mergeCell ref="B8:E8"/>
    <mergeCell ref="A9:E9"/>
    <mergeCell ref="A10:E10"/>
    <mergeCell ref="F10:G10"/>
    <mergeCell ref="A49:E49"/>
    <mergeCell ref="B7:E7"/>
    <mergeCell ref="A2:E2"/>
    <mergeCell ref="B3:E3"/>
    <mergeCell ref="B4:E4"/>
    <mergeCell ref="B5:E5"/>
    <mergeCell ref="B6:E6"/>
  </mergeCells>
  <conditionalFormatting sqref="F11:G43 F45:G49">
    <cfRule type="cellIs" dxfId="14" priority="13" stopIfTrue="1" operator="lessThan">
      <formula>-0.2</formula>
    </cfRule>
    <cfRule type="cellIs" dxfId="13" priority="14" stopIfTrue="1" operator="lessThan">
      <formula>0</formula>
    </cfRule>
    <cfRule type="cellIs" dxfId="12" priority="15" stopIfTrue="1" operator="greaterThan">
      <formula>0.4</formula>
    </cfRule>
  </conditionalFormatting>
  <conditionalFormatting sqref="F51:G83">
    <cfRule type="cellIs" dxfId="11" priority="10" stopIfTrue="1" operator="lessThan">
      <formula>-0.2</formula>
    </cfRule>
    <cfRule type="cellIs" dxfId="10" priority="11" stopIfTrue="1" operator="lessThan">
      <formula>0</formula>
    </cfRule>
    <cfRule type="cellIs" dxfId="9" priority="12" stopIfTrue="1" operator="greaterThan">
      <formula>0.4</formula>
    </cfRule>
  </conditionalFormatting>
  <conditionalFormatting sqref="F50:G50">
    <cfRule type="cellIs" dxfId="8" priority="7" stopIfTrue="1" operator="lessThan">
      <formula>-0.2</formula>
    </cfRule>
    <cfRule type="cellIs" dxfId="7" priority="8" stopIfTrue="1" operator="lessThan">
      <formula>0</formula>
    </cfRule>
    <cfRule type="cellIs" dxfId="6" priority="9" stopIfTrue="1" operator="greaterThan">
      <formula>0.4</formula>
    </cfRule>
  </conditionalFormatting>
  <conditionalFormatting sqref="F44">
    <cfRule type="cellIs" dxfId="5" priority="4" stopIfTrue="1" operator="lessThan">
      <formula>-0.2</formula>
    </cfRule>
    <cfRule type="cellIs" dxfId="4" priority="5" stopIfTrue="1" operator="lessThan">
      <formula>0</formula>
    </cfRule>
    <cfRule type="cellIs" dxfId="3" priority="6" stopIfTrue="1" operator="greaterThan">
      <formula>0.4</formula>
    </cfRule>
  </conditionalFormatting>
  <conditionalFormatting sqref="G44">
    <cfRule type="cellIs" dxfId="2" priority="1" stopIfTrue="1" operator="lessThan">
      <formula>-0.2</formula>
    </cfRule>
    <cfRule type="cellIs" dxfId="1" priority="2" stopIfTrue="1" operator="lessThan">
      <formula>0</formula>
    </cfRule>
    <cfRule type="cellIs" dxfId="0" priority="3" stopIfTrue="1" operator="greaterThan">
      <formula>0.4</formula>
    </cfRule>
  </conditionalFormatting>
  <dataValidations count="1">
    <dataValidation type="list" allowBlank="1" showInputMessage="1" showErrorMessage="1" sqref="G7">
      <formula1>$H$1:$H$2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Core Input Sheet</vt:lpstr>
      <vt:lpstr>Borrowers</vt:lpstr>
      <vt:lpstr>DSCR</vt:lpstr>
      <vt:lpstr>Consolidated</vt:lpstr>
      <vt:lpstr>Sathish Diamonds</vt:lpstr>
      <vt:lpstr>Sathish Jewellers</vt:lpstr>
      <vt:lpstr>Company 3</vt:lpstr>
      <vt:lpstr>Company 4</vt:lpstr>
      <vt:lpstr>Company 5</vt:lpstr>
      <vt:lpstr>Presumptive Income calculation</vt:lpstr>
      <vt:lpstr>Property Details</vt:lpstr>
      <vt:lpstr>Loan Details</vt:lpstr>
      <vt:lpstr>GST</vt:lpstr>
      <vt:lpstr>Business Banking</vt:lpstr>
      <vt:lpstr>Individual Banking</vt:lpstr>
      <vt:lpstr>Rental Income Eligibility</vt:lpstr>
      <vt:lpstr>Rent Agreements</vt:lpstr>
      <vt:lpstr>Salaried LAP</vt:lpstr>
      <vt:lpstr>Verifications</vt:lpstr>
      <vt:lpstr>High LTV</vt:lpstr>
      <vt:lpstr>Low LTV</vt:lpstr>
      <vt:lpstr>BT Loan</vt:lpstr>
      <vt:lpstr>Purchase case</vt:lpstr>
      <vt:lpstr>Credit Deviations</vt:lpstr>
      <vt:lpstr>Technical Devaitions</vt:lpstr>
      <vt:lpstr>Industry Classification</vt:lpstr>
      <vt:lpstr>Risk Category</vt:lpstr>
      <vt:lpstr>ITR Snapshot</vt:lpstr>
      <vt:lpstr>Kotak Group Relationship</vt:lpstr>
      <vt:lpstr>LRD NPV Method</vt:lpstr>
      <vt:lpstr>Debtor &amp; Creditor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Manu.Bhatia@kotak.com</dc:creator>
  <cp:lastModifiedBy>Sandhiya T (Loan Against Property Business, KMPL)</cp:lastModifiedBy>
  <dcterms:created xsi:type="dcterms:W3CDTF">2015-06-05T18:17:20Z</dcterms:created>
  <dcterms:modified xsi:type="dcterms:W3CDTF">2023-04-24T10:26:33Z</dcterms:modified>
</cp:coreProperties>
</file>