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hisWorkbook"/>
  <bookViews>
    <workbookView xWindow="0" yWindow="0" windowWidth="22260" windowHeight="12645" activeTab="1"/>
  </bookViews>
  <sheets>
    <sheet name="Evaporator" sheetId="8" r:id="rId1"/>
    <sheet name="Summary" sheetId="2" r:id="rId2"/>
    <sheet name="P-h data" sheetId="7" r:id="rId3"/>
    <sheet name="P-h diagram" sheetId="6" r:id="rId4"/>
    <sheet name="R290data" sheetId="5" r:id="rId5"/>
    <sheet name="ZB09KAU" sheetId="3" state="hidden" r:id="rId6"/>
    <sheet name="ZB10KAU" sheetId="4" r:id="rId7"/>
    <sheet name="20171020" sheetId="1" r:id="rId8"/>
  </sheets>
  <externalReferences>
    <externalReference r:id="rId9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9" i="2" l="1"/>
  <c r="AN9" i="2"/>
  <c r="AE9" i="2"/>
  <c r="P11" i="8"/>
  <c r="O9" i="8"/>
  <c r="M9" i="8"/>
  <c r="P9" i="8" s="1"/>
  <c r="L9" i="8"/>
  <c r="G9" i="8"/>
  <c r="N9" i="8" s="1"/>
  <c r="AL9" i="2"/>
  <c r="AL8" i="2"/>
  <c r="AG9" i="2"/>
  <c r="AG8" i="2"/>
  <c r="AC9" i="2"/>
  <c r="AA9" i="2"/>
  <c r="Y9" i="2"/>
  <c r="W9" i="2"/>
  <c r="U9" i="2"/>
  <c r="S9" i="2"/>
  <c r="Z9" i="2"/>
  <c r="X9" i="2"/>
  <c r="V9" i="2"/>
  <c r="T9" i="2"/>
  <c r="AM9" i="2" l="1"/>
  <c r="AP9" i="2"/>
  <c r="AO9" i="2"/>
  <c r="AB9" i="2"/>
  <c r="H7" i="7"/>
  <c r="H8" i="7" s="1"/>
  <c r="H9" i="7" s="1"/>
  <c r="H5" i="7"/>
  <c r="H11" i="7" s="1"/>
  <c r="D7" i="7"/>
  <c r="D5" i="7"/>
  <c r="O8" i="8"/>
  <c r="L8" i="8"/>
  <c r="P8" i="8"/>
  <c r="P7" i="8"/>
  <c r="M8" i="8"/>
  <c r="M7" i="8"/>
  <c r="G8" i="8"/>
  <c r="G7" i="8"/>
  <c r="AF9" i="2"/>
  <c r="AH9" i="2"/>
  <c r="AI9" i="2"/>
  <c r="AC8" i="2"/>
  <c r="AJ9" i="2" l="1"/>
  <c r="AK9" i="2"/>
  <c r="G9" i="7"/>
  <c r="G10" i="7" s="1"/>
  <c r="H6" i="7"/>
  <c r="H10" i="7" s="1"/>
  <c r="O7" i="8"/>
  <c r="N8" i="8"/>
  <c r="N7" i="8"/>
  <c r="AN8" i="2"/>
  <c r="AQ8" i="2"/>
  <c r="D8" i="7" l="1"/>
  <c r="D9" i="7" s="1"/>
  <c r="D6" i="7"/>
  <c r="D10" i="7" s="1"/>
  <c r="D39" i="5"/>
  <c r="D47" i="5"/>
  <c r="D44" i="5"/>
  <c r="F11" i="5"/>
  <c r="F27" i="5"/>
  <c r="F12" i="5"/>
  <c r="F28" i="5"/>
  <c r="D9" i="5"/>
  <c r="D25" i="5"/>
  <c r="D12" i="5"/>
  <c r="D28" i="5"/>
  <c r="X8" i="2"/>
  <c r="F39" i="5"/>
  <c r="F47" i="5"/>
  <c r="F44" i="5"/>
  <c r="F13" i="5"/>
  <c r="F29" i="5"/>
  <c r="F14" i="5"/>
  <c r="F30" i="5"/>
  <c r="D11" i="5"/>
  <c r="D27" i="5"/>
  <c r="D14" i="5"/>
  <c r="D30" i="5"/>
  <c r="Y8" i="2"/>
  <c r="D45" i="5"/>
  <c r="D42" i="5"/>
  <c r="F7" i="5"/>
  <c r="F23" i="5"/>
  <c r="F8" i="5"/>
  <c r="F24" i="5"/>
  <c r="F6" i="5"/>
  <c r="D21" i="5"/>
  <c r="D8" i="5"/>
  <c r="D24" i="5"/>
  <c r="D35" i="5"/>
  <c r="E2" i="5"/>
  <c r="F45" i="5"/>
  <c r="F42" i="5"/>
  <c r="F9" i="5"/>
  <c r="F25" i="5"/>
  <c r="F10" i="5"/>
  <c r="F26" i="5"/>
  <c r="D7" i="5"/>
  <c r="D23" i="5"/>
  <c r="D10" i="5"/>
  <c r="D26" i="5"/>
  <c r="D43" i="5"/>
  <c r="D40" i="5"/>
  <c r="D48" i="5"/>
  <c r="F19" i="5"/>
  <c r="F35" i="5"/>
  <c r="F20" i="5"/>
  <c r="F36" i="5"/>
  <c r="D17" i="5"/>
  <c r="D33" i="5"/>
  <c r="D20" i="5"/>
  <c r="D36" i="5"/>
  <c r="Z8" i="2"/>
  <c r="F43" i="5"/>
  <c r="F40" i="5"/>
  <c r="F48" i="5"/>
  <c r="F21" i="5"/>
  <c r="F37" i="5"/>
  <c r="F22" i="5"/>
  <c r="F38" i="5"/>
  <c r="D19" i="5"/>
  <c r="D37" i="5"/>
  <c r="D22" i="5"/>
  <c r="D6" i="5"/>
  <c r="D41" i="5"/>
  <c r="D49" i="5"/>
  <c r="D46" i="5"/>
  <c r="F15" i="5"/>
  <c r="F31" i="5"/>
  <c r="F16" i="5"/>
  <c r="F32" i="5"/>
  <c r="D13" i="5"/>
  <c r="D29" i="5"/>
  <c r="D16" i="5"/>
  <c r="D32" i="5"/>
  <c r="D38" i="5"/>
  <c r="F41" i="5"/>
  <c r="F49" i="5"/>
  <c r="F46" i="5"/>
  <c r="F17" i="5"/>
  <c r="F33" i="5"/>
  <c r="F18" i="5"/>
  <c r="F34" i="5"/>
  <c r="D15" i="5"/>
  <c r="D31" i="5"/>
  <c r="D18" i="5"/>
  <c r="D34" i="5"/>
  <c r="G7" i="7" l="1"/>
  <c r="C7" i="7"/>
  <c r="G6" i="7"/>
  <c r="C6" i="7"/>
  <c r="C5" i="7"/>
  <c r="G5" i="7"/>
  <c r="G11" i="7" s="1"/>
  <c r="C11" i="7"/>
  <c r="D11" i="7"/>
  <c r="E6" i="5"/>
  <c r="E37" i="5"/>
  <c r="E36" i="5"/>
  <c r="E33" i="5"/>
  <c r="E42" i="5"/>
  <c r="E45" i="5"/>
  <c r="E26" i="5"/>
  <c r="E23" i="5"/>
  <c r="E35" i="5"/>
  <c r="E8" i="5"/>
  <c r="E46" i="5"/>
  <c r="E49" i="5"/>
  <c r="E14" i="5"/>
  <c r="E11" i="5"/>
  <c r="E12" i="5"/>
  <c r="E9" i="5"/>
  <c r="E40" i="5"/>
  <c r="E34" i="5"/>
  <c r="E31" i="5"/>
  <c r="E38" i="5"/>
  <c r="E13" i="5"/>
  <c r="E22" i="5"/>
  <c r="E19" i="5"/>
  <c r="E20" i="5"/>
  <c r="E17" i="5"/>
  <c r="E48" i="5"/>
  <c r="T8" i="2"/>
  <c r="E10" i="5"/>
  <c r="E7" i="5"/>
  <c r="E24" i="5"/>
  <c r="E21" i="5"/>
  <c r="E39" i="5"/>
  <c r="S8" i="2"/>
  <c r="E30" i="5"/>
  <c r="E27" i="5"/>
  <c r="E28" i="5"/>
  <c r="E25" i="5"/>
  <c r="E43" i="5"/>
  <c r="AA8" i="2"/>
  <c r="E18" i="5"/>
  <c r="E15" i="5"/>
  <c r="E32" i="5"/>
  <c r="E29" i="5"/>
  <c r="E47" i="5"/>
  <c r="E41" i="5"/>
  <c r="E16" i="5"/>
  <c r="E44" i="5"/>
  <c r="G8" i="7" l="1"/>
  <c r="C8" i="7"/>
  <c r="AO8" i="2"/>
  <c r="AM8" i="2"/>
  <c r="AP8" i="2"/>
  <c r="I41" i="5"/>
  <c r="J41" i="5"/>
  <c r="L41" i="5"/>
  <c r="K41" i="5"/>
  <c r="H41" i="5"/>
  <c r="G41" i="5"/>
  <c r="I49" i="5"/>
  <c r="L49" i="5"/>
  <c r="G49" i="5"/>
  <c r="J49" i="5"/>
  <c r="K49" i="5"/>
  <c r="H49" i="5"/>
  <c r="J44" i="5"/>
  <c r="I44" i="5"/>
  <c r="K44" i="5"/>
  <c r="L44" i="5"/>
  <c r="H44" i="5"/>
  <c r="G44" i="5"/>
  <c r="I39" i="5"/>
  <c r="L39" i="5"/>
  <c r="J39" i="5"/>
  <c r="K39" i="5"/>
  <c r="H39" i="5"/>
  <c r="G39" i="5"/>
  <c r="I47" i="5"/>
  <c r="L47" i="5"/>
  <c r="G47" i="5"/>
  <c r="K47" i="5"/>
  <c r="J47" i="5"/>
  <c r="H47" i="5"/>
  <c r="J46" i="5"/>
  <c r="K46" i="5"/>
  <c r="G46" i="5"/>
  <c r="L46" i="5"/>
  <c r="I46" i="5"/>
  <c r="H46" i="5"/>
  <c r="I13" i="5"/>
  <c r="J13" i="5"/>
  <c r="L13" i="5"/>
  <c r="K13" i="5"/>
  <c r="H13" i="5"/>
  <c r="G13" i="5"/>
  <c r="I21" i="5"/>
  <c r="J21" i="5"/>
  <c r="L21" i="5"/>
  <c r="K21" i="5"/>
  <c r="H21" i="5"/>
  <c r="G21" i="5"/>
  <c r="I29" i="5"/>
  <c r="J29" i="5"/>
  <c r="L29" i="5"/>
  <c r="K29" i="5"/>
  <c r="H29" i="5"/>
  <c r="G29" i="5"/>
  <c r="L8" i="5"/>
  <c r="H8" i="5"/>
  <c r="G8" i="5"/>
  <c r="J8" i="5"/>
  <c r="I8" i="5"/>
  <c r="K8" i="5"/>
  <c r="L16" i="5"/>
  <c r="H16" i="5"/>
  <c r="G16" i="5"/>
  <c r="J16" i="5"/>
  <c r="I16" i="5"/>
  <c r="K16" i="5"/>
  <c r="L24" i="5"/>
  <c r="H24" i="5"/>
  <c r="G24" i="5"/>
  <c r="J24" i="5"/>
  <c r="I24" i="5"/>
  <c r="K24" i="5"/>
  <c r="L32" i="5"/>
  <c r="H32" i="5"/>
  <c r="G32" i="5"/>
  <c r="J32" i="5"/>
  <c r="I32" i="5"/>
  <c r="K32" i="5"/>
  <c r="K35" i="5"/>
  <c r="H35" i="5"/>
  <c r="G35" i="5"/>
  <c r="I35" i="5"/>
  <c r="L35" i="5"/>
  <c r="J35" i="5"/>
  <c r="J38" i="5"/>
  <c r="K38" i="5"/>
  <c r="I38" i="5"/>
  <c r="L38" i="5"/>
  <c r="H38" i="5"/>
  <c r="G38" i="5"/>
  <c r="K7" i="5"/>
  <c r="H7" i="5"/>
  <c r="G7" i="5"/>
  <c r="I7" i="5"/>
  <c r="L7" i="5"/>
  <c r="J7" i="5"/>
  <c r="K15" i="5"/>
  <c r="H15" i="5"/>
  <c r="G15" i="5"/>
  <c r="I15" i="5"/>
  <c r="L15" i="5"/>
  <c r="J15" i="5"/>
  <c r="K23" i="5"/>
  <c r="H23" i="5"/>
  <c r="G23" i="5"/>
  <c r="I23" i="5"/>
  <c r="L23" i="5"/>
  <c r="J23" i="5"/>
  <c r="K31" i="5"/>
  <c r="H31" i="5"/>
  <c r="G31" i="5"/>
  <c r="I31" i="5"/>
  <c r="L31" i="5"/>
  <c r="J31" i="5"/>
  <c r="J10" i="5"/>
  <c r="K10" i="5"/>
  <c r="I10" i="5"/>
  <c r="L10" i="5"/>
  <c r="H10" i="5"/>
  <c r="G10" i="5"/>
  <c r="J18" i="5"/>
  <c r="K18" i="5"/>
  <c r="I18" i="5"/>
  <c r="L18" i="5"/>
  <c r="H18" i="5"/>
  <c r="G18" i="5"/>
  <c r="J26" i="5"/>
  <c r="K26" i="5"/>
  <c r="I26" i="5"/>
  <c r="L26" i="5"/>
  <c r="H26" i="5"/>
  <c r="G26" i="5"/>
  <c r="J34" i="5"/>
  <c r="K34" i="5"/>
  <c r="I34" i="5"/>
  <c r="L34" i="5"/>
  <c r="H34" i="5"/>
  <c r="G34" i="5"/>
  <c r="I45" i="5"/>
  <c r="J45" i="5"/>
  <c r="G45" i="5"/>
  <c r="K45" i="5"/>
  <c r="L45" i="5"/>
  <c r="H45" i="5"/>
  <c r="J40" i="5"/>
  <c r="I40" i="5"/>
  <c r="K40" i="5"/>
  <c r="L40" i="5"/>
  <c r="H40" i="5"/>
  <c r="G40" i="5"/>
  <c r="J48" i="5"/>
  <c r="I48" i="5"/>
  <c r="G48" i="5"/>
  <c r="L48" i="5"/>
  <c r="K48" i="5"/>
  <c r="H48" i="5"/>
  <c r="I43" i="5"/>
  <c r="L43" i="5"/>
  <c r="J43" i="5"/>
  <c r="K43" i="5"/>
  <c r="H43" i="5"/>
  <c r="G43" i="5"/>
  <c r="J42" i="5"/>
  <c r="K42" i="5"/>
  <c r="I42" i="5"/>
  <c r="L42" i="5"/>
  <c r="H42" i="5"/>
  <c r="G42" i="5"/>
  <c r="I9" i="5"/>
  <c r="J9" i="5"/>
  <c r="L9" i="5"/>
  <c r="K9" i="5"/>
  <c r="H9" i="5"/>
  <c r="G9" i="5"/>
  <c r="I17" i="5"/>
  <c r="J17" i="5"/>
  <c r="L17" i="5"/>
  <c r="K17" i="5"/>
  <c r="H17" i="5"/>
  <c r="G17" i="5"/>
  <c r="I25" i="5"/>
  <c r="J25" i="5"/>
  <c r="L25" i="5"/>
  <c r="K25" i="5"/>
  <c r="H25" i="5"/>
  <c r="G25" i="5"/>
  <c r="I33" i="5"/>
  <c r="J33" i="5"/>
  <c r="L33" i="5"/>
  <c r="K33" i="5"/>
  <c r="H33" i="5"/>
  <c r="G33" i="5"/>
  <c r="L12" i="5"/>
  <c r="H12" i="5"/>
  <c r="G12" i="5"/>
  <c r="J12" i="5"/>
  <c r="I12" i="5"/>
  <c r="K12" i="5"/>
  <c r="L20" i="5"/>
  <c r="H20" i="5"/>
  <c r="G20" i="5"/>
  <c r="J20" i="5"/>
  <c r="I20" i="5"/>
  <c r="K20" i="5"/>
  <c r="L28" i="5"/>
  <c r="H28" i="5"/>
  <c r="G28" i="5"/>
  <c r="J28" i="5"/>
  <c r="I28" i="5"/>
  <c r="K28" i="5"/>
  <c r="L36" i="5"/>
  <c r="H36" i="5"/>
  <c r="G36" i="5"/>
  <c r="J36" i="5"/>
  <c r="I36" i="5"/>
  <c r="K36" i="5"/>
  <c r="K11" i="5"/>
  <c r="H11" i="5"/>
  <c r="G11" i="5"/>
  <c r="I11" i="5"/>
  <c r="L11" i="5"/>
  <c r="J11" i="5"/>
  <c r="K19" i="5"/>
  <c r="H19" i="5"/>
  <c r="G19" i="5"/>
  <c r="I19" i="5"/>
  <c r="L19" i="5"/>
  <c r="J19" i="5"/>
  <c r="K27" i="5"/>
  <c r="H27" i="5"/>
  <c r="G27" i="5"/>
  <c r="I27" i="5"/>
  <c r="L27" i="5"/>
  <c r="J27" i="5"/>
  <c r="I37" i="5"/>
  <c r="J37" i="5"/>
  <c r="L37" i="5"/>
  <c r="K37" i="5"/>
  <c r="H37" i="5"/>
  <c r="G37" i="5"/>
  <c r="J14" i="5"/>
  <c r="K14" i="5"/>
  <c r="I14" i="5"/>
  <c r="L14" i="5"/>
  <c r="H14" i="5"/>
  <c r="G14" i="5"/>
  <c r="J22" i="5"/>
  <c r="K22" i="5"/>
  <c r="I22" i="5"/>
  <c r="L22" i="5"/>
  <c r="H22" i="5"/>
  <c r="G22" i="5"/>
  <c r="J30" i="5"/>
  <c r="K30" i="5"/>
  <c r="I30" i="5"/>
  <c r="L30" i="5"/>
  <c r="H30" i="5"/>
  <c r="G30" i="5"/>
  <c r="I6" i="5"/>
  <c r="J6" i="5"/>
  <c r="G6" i="5"/>
  <c r="K6" i="5"/>
  <c r="L6" i="5"/>
  <c r="H6" i="5"/>
  <c r="AE8" i="2"/>
  <c r="AB8" i="2" s="1"/>
  <c r="C9" i="7" s="1"/>
  <c r="AF8" i="2"/>
  <c r="U8" i="2"/>
  <c r="W8" i="2"/>
  <c r="AI8" i="2"/>
  <c r="V8" i="2"/>
  <c r="AH8" i="2"/>
  <c r="C10" i="7" l="1"/>
  <c r="AJ8" i="2"/>
  <c r="AK8" i="2"/>
</calcChain>
</file>

<file path=xl/sharedStrings.xml><?xml version="1.0" encoding="utf-8"?>
<sst xmlns="http://schemas.openxmlformats.org/spreadsheetml/2006/main" count="238" uniqueCount="169">
  <si>
    <t>Dati riferiti a 3 ore di funzionamento in condizioni stabili.</t>
  </si>
  <si>
    <t>Compressor :</t>
  </si>
  <si>
    <t>ON</t>
  </si>
  <si>
    <t>ON+OFF</t>
  </si>
  <si>
    <t>Heat exchanger</t>
  </si>
  <si>
    <r>
      <t>Flow H</t>
    </r>
    <r>
      <rPr>
        <vertAlign val="subscript"/>
        <sz val="13.5"/>
        <color theme="1"/>
        <rFont val="Arial"/>
        <family val="2"/>
      </rPr>
      <t>2</t>
    </r>
    <r>
      <rPr>
        <sz val="13.5"/>
        <color theme="1"/>
        <rFont val="Arial"/>
        <family val="2"/>
      </rPr>
      <t>O</t>
    </r>
  </si>
  <si>
    <r>
      <t>0,69 m</t>
    </r>
    <r>
      <rPr>
        <vertAlign val="superscript"/>
        <sz val="13.5"/>
        <color theme="1"/>
        <rFont val="Arial"/>
        <family val="2"/>
      </rPr>
      <t>3</t>
    </r>
    <r>
      <rPr>
        <sz val="13.5"/>
        <color theme="1"/>
        <rFont val="Arial"/>
        <family val="2"/>
      </rPr>
      <t>/h</t>
    </r>
  </si>
  <si>
    <r>
      <t>Temperature H</t>
    </r>
    <r>
      <rPr>
        <vertAlign val="subscript"/>
        <sz val="13.5"/>
        <color theme="1"/>
        <rFont val="Arial"/>
        <family val="2"/>
      </rPr>
      <t>2</t>
    </r>
    <r>
      <rPr>
        <sz val="13.5"/>
        <color theme="1"/>
        <rFont val="Arial"/>
        <family val="2"/>
      </rPr>
      <t>O inlet</t>
    </r>
  </si>
  <si>
    <t>25,3 °C</t>
  </si>
  <si>
    <r>
      <t>Temperature H</t>
    </r>
    <r>
      <rPr>
        <vertAlign val="subscript"/>
        <sz val="13.5"/>
        <color theme="1"/>
        <rFont val="Arial"/>
        <family val="2"/>
      </rPr>
      <t>2</t>
    </r>
    <r>
      <rPr>
        <sz val="13.5"/>
        <color theme="1"/>
        <rFont val="Arial"/>
        <family val="2"/>
      </rPr>
      <t>O outlet</t>
    </r>
  </si>
  <si>
    <t>30,2 °C</t>
  </si>
  <si>
    <t>29,6 °C</t>
  </si>
  <si>
    <t>Temperature R290 inlet</t>
  </si>
  <si>
    <t>57,8 °C</t>
  </si>
  <si>
    <t>55,1 °C</t>
  </si>
  <si>
    <t>Pressure R290</t>
  </si>
  <si>
    <t>11,42 bar</t>
  </si>
  <si>
    <t>32,3 °C</t>
  </si>
  <si>
    <t>11,11 bar</t>
  </si>
  <si>
    <t>31,2 °C</t>
  </si>
  <si>
    <t>Temperature R290 outlet</t>
  </si>
  <si>
    <t>26,4 °C</t>
  </si>
  <si>
    <t>26,1 °C</t>
  </si>
  <si>
    <t>Evaporator</t>
  </si>
  <si>
    <t>-3,7 °C</t>
  </si>
  <si>
    <t>-3,4 °C</t>
  </si>
  <si>
    <t>3,94 bar</t>
  </si>
  <si>
    <t>-6,0 °C</t>
  </si>
  <si>
    <t>4,05 bar</t>
  </si>
  <si>
    <t>-5,1 °C</t>
  </si>
  <si>
    <t>3,5 °C</t>
  </si>
  <si>
    <t>3,9 °C</t>
  </si>
  <si>
    <t>Air temperature inlet</t>
  </si>
  <si>
    <t>10,3 °C</t>
  </si>
  <si>
    <t>Air temperature outlet</t>
  </si>
  <si>
    <t>5,2 °C</t>
  </si>
  <si>
    <t>5,6 °C</t>
  </si>
  <si>
    <t>Compressor</t>
  </si>
  <si>
    <t>Temperature R290 suction</t>
  </si>
  <si>
    <t>4,9 °C</t>
  </si>
  <si>
    <t>5,9 °C</t>
  </si>
  <si>
    <t>Temperature R290 discharge</t>
  </si>
  <si>
    <t>59,0 °C</t>
  </si>
  <si>
    <t>57,1 °C</t>
  </si>
  <si>
    <t>Time working</t>
  </si>
  <si>
    <t>2 h : 37 min / 3 h</t>
  </si>
  <si>
    <t>ON = 14 min : 16 sec</t>
  </si>
  <si>
    <t>OFF = 2 min : 6 sec</t>
  </si>
  <si>
    <t xml:space="preserve">Condenser </t>
  </si>
  <si>
    <t>Water Flow</t>
  </si>
  <si>
    <t>CP</t>
  </si>
  <si>
    <t>Test</t>
  </si>
  <si>
    <t>m³/h</t>
  </si>
  <si>
    <t>°C</t>
  </si>
  <si>
    <t>J/kg-K</t>
  </si>
  <si>
    <t>kg/m³</t>
  </si>
  <si>
    <t>Inlet Water Temp</t>
  </si>
  <si>
    <t>Outlet Water Temp</t>
  </si>
  <si>
    <t>Density</t>
  </si>
  <si>
    <t>Inlet R290 Temp</t>
  </si>
  <si>
    <t>bara</t>
  </si>
  <si>
    <t>Air Inlet Temp</t>
  </si>
  <si>
    <t>Air Outlet Temp</t>
  </si>
  <si>
    <t>Suction Pres</t>
  </si>
  <si>
    <t>Disch Pres</t>
  </si>
  <si>
    <t>Suction Temp.</t>
  </si>
  <si>
    <t>Disch. Temp.</t>
  </si>
  <si>
    <t>Evap. SH</t>
  </si>
  <si>
    <t>Comp. SH</t>
  </si>
  <si>
    <t>Cond. SC</t>
  </si>
  <si>
    <t>K</t>
  </si>
  <si>
    <t>Outlet R290 Temp</t>
  </si>
  <si>
    <t>W</t>
  </si>
  <si>
    <t>Ref. Massflow</t>
  </si>
  <si>
    <t>ZB10KAU-TFD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</si>
  <si>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</si>
  <si>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</si>
  <si>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</si>
  <si>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</si>
  <si>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</si>
  <si>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</si>
  <si>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</si>
  <si>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</si>
  <si>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</si>
  <si>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</si>
  <si>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Capacity</t>
  </si>
  <si>
    <t>Power Input</t>
  </si>
  <si>
    <t>Current</t>
  </si>
  <si>
    <t>Mass Flow</t>
  </si>
  <si>
    <t>X = C0 + C1*S + C2*D + C3*S^2 + C4*S*D + C5*D^2 + C6*S^3 + C7*D*S^2 +C8*S*D^2 + C9*D^3</t>
  </si>
  <si>
    <t>X = Capacity kW; Power Input kW; Current A; Mass Flow g/s</t>
  </si>
  <si>
    <t>S = Evaporating Temperature, °C</t>
  </si>
  <si>
    <t>D = Cond. Temp., °C</t>
  </si>
  <si>
    <t>DST</t>
  </si>
  <si>
    <t>SST</t>
  </si>
  <si>
    <t>g/s</t>
  </si>
  <si>
    <t>R290</t>
  </si>
  <si>
    <t>Version</t>
  </si>
  <si>
    <t>0.3.63.1789 / 43031</t>
  </si>
  <si>
    <t>Liquid Subcooling</t>
  </si>
  <si>
    <t>0.00 K</t>
  </si>
  <si>
    <t>Voltage</t>
  </si>
  <si>
    <t>400.00V</t>
  </si>
  <si>
    <t>Power Supply</t>
  </si>
  <si>
    <t>380/420V - 3~ - 50Hz</t>
  </si>
  <si>
    <t>Suction Superheat</t>
  </si>
  <si>
    <t>5.00 K</t>
  </si>
  <si>
    <t>Cooling Capacity kW</t>
  </si>
  <si>
    <t>Power kW</t>
  </si>
  <si>
    <t>Current A</t>
  </si>
  <si>
    <t>Mass Flow g/s</t>
  </si>
  <si>
    <t>X = Cooling Capacity kW; Power Input kW; Current A; Mass Flow g/s</t>
  </si>
  <si>
    <t>WARNING - Data from coefficients valid only within operating range</t>
  </si>
  <si>
    <t>ZB09KAU-TFD</t>
  </si>
  <si>
    <t xml:space="preserve"> 7.16 AB Int / 43031 (10/17)</t>
  </si>
  <si>
    <t>Liquid subcooling</t>
  </si>
  <si>
    <t>h_l</t>
  </si>
  <si>
    <t>h_vap</t>
  </si>
  <si>
    <t>Quality</t>
  </si>
  <si>
    <t>Qevap</t>
  </si>
  <si>
    <t>h_ex_ev</t>
  </si>
  <si>
    <t>Pcp</t>
  </si>
  <si>
    <t>%</t>
  </si>
  <si>
    <t>P</t>
  </si>
  <si>
    <t>h</t>
  </si>
  <si>
    <t>h_L</t>
  </si>
  <si>
    <t>Test#</t>
  </si>
  <si>
    <t>h_su_cp</t>
  </si>
  <si>
    <t>h_dis_cp</t>
  </si>
  <si>
    <t>h_su_cd</t>
  </si>
  <si>
    <t>h_ex_cd</t>
  </si>
  <si>
    <t>hvap</t>
  </si>
  <si>
    <t>h5%</t>
  </si>
  <si>
    <t>h10%</t>
  </si>
  <si>
    <t>h20%</t>
  </si>
  <si>
    <t>h40%</t>
  </si>
  <si>
    <t>h60%</t>
  </si>
  <si>
    <t>h80%</t>
  </si>
  <si>
    <t>Evap DT (In-Evap)</t>
  </si>
  <si>
    <t>DT air</t>
  </si>
  <si>
    <t>Cond DT (Cond-WaterOut)</t>
  </si>
  <si>
    <t>Cond DT (Liq-WaterIn)</t>
  </si>
  <si>
    <t># rows</t>
  </si>
  <si>
    <t># columns</t>
  </si>
  <si>
    <t>Pipe OD</t>
  </si>
  <si>
    <t>Pipe ID</t>
  </si>
  <si>
    <t>mm</t>
  </si>
  <si>
    <t>Tube length</t>
  </si>
  <si>
    <t>Fin space</t>
  </si>
  <si>
    <t>Volume</t>
  </si>
  <si>
    <t>Tube surface</t>
  </si>
  <si>
    <t>m²</t>
  </si>
  <si>
    <t>Evap In-Out DP</t>
  </si>
  <si>
    <t>Design Options</t>
  </si>
  <si>
    <t>dm³</t>
  </si>
  <si>
    <t>Fin surface</t>
  </si>
  <si>
    <t>Height</t>
  </si>
  <si>
    <t>Number of fins</t>
  </si>
  <si>
    <t>Fin thickness</t>
  </si>
  <si>
    <t>Tube thickness</t>
  </si>
  <si>
    <t>mm mm</t>
  </si>
  <si>
    <t>Width</t>
  </si>
  <si>
    <t>Original</t>
  </si>
  <si>
    <t>Cond. Cap (Water)</t>
  </si>
  <si>
    <t>Th. Cond. Cap (ref)</t>
  </si>
  <si>
    <t>SELECT</t>
  </si>
  <si>
    <t>h_liq_cd</t>
  </si>
  <si>
    <t>Calculated</t>
  </si>
  <si>
    <t>Measured liquid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</si>
</sst>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vertAlign val="subscript"/>
      <sz val="13.5"/>
      <color theme="1"/>
      <name val="Arial"/>
      <family val="2"/>
    </font>
    <font>
      <vertAlign val="superscript"/>
      <sz val="13.5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7" borderId="0" xfId="0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8" fillId="0" borderId="0" xfId="0" applyFont="1"/>
    <xf numFmtId="0" fontId="1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165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P-h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707385615288472E-2"/>
          <c:y val="7.7665479971719825E-2"/>
          <c:w val="0.77668358627846679"/>
          <c:h val="0.81681629104111542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'P-h data'!$D$2</c:f>
              <c:strCache>
                <c:ptCount val="1"/>
                <c:pt idx="0">
                  <c:v>20171020</c:v>
                </c:pt>
              </c:strCache>
            </c:strRef>
          </c:tx>
          <c:spPr>
            <a:ln w="19050" cap="sq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'P-h data'!$C$5:$C$11</c:f>
              <c:numCache>
                <c:formatCode>General</c:formatCode>
                <c:ptCount val="7"/>
                <c:pt idx="0">
                  <c:v>582402.06635844219</c:v>
                </c:pt>
                <c:pt idx="1">
                  <c:v>584883.17492826085</c:v>
                </c:pt>
                <c:pt idx="2">
                  <c:v>662565.21092745522</c:v>
                </c:pt>
                <c:pt idx="3">
                  <c:v>660017.45511490956</c:v>
                </c:pt>
                <c:pt idx="4">
                  <c:v>300331.87825052132</c:v>
                </c:pt>
                <c:pt idx="5">
                  <c:v>300331.87825052132</c:v>
                </c:pt>
                <c:pt idx="6">
                  <c:v>582402.06635844219</c:v>
                </c:pt>
              </c:numCache>
            </c:numRef>
          </c:xVal>
          <c:yVal>
            <c:numRef>
              <c:f>'P-h data'!$D$5:$D$11</c:f>
              <c:numCache>
                <c:formatCode>General</c:formatCode>
                <c:ptCount val="7"/>
                <c:pt idx="0">
                  <c:v>3.94</c:v>
                </c:pt>
                <c:pt idx="1">
                  <c:v>3.94</c:v>
                </c:pt>
                <c:pt idx="2">
                  <c:v>11.42</c:v>
                </c:pt>
                <c:pt idx="3">
                  <c:v>11.42</c:v>
                </c:pt>
                <c:pt idx="4">
                  <c:v>11.42</c:v>
                </c:pt>
                <c:pt idx="5">
                  <c:v>3.94</c:v>
                </c:pt>
                <c:pt idx="6">
                  <c:v>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6-419C-BBAC-D48327E5C6AF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'R290data'!$E$6:$E$66</c:f>
              <c:numCache>
                <c:formatCode>General</c:formatCode>
                <c:ptCount val="61"/>
                <c:pt idx="0">
                  <c:v>67951.414384170334</c:v>
                </c:pt>
                <c:pt idx="1">
                  <c:v>100329.47960835634</c:v>
                </c:pt>
                <c:pt idx="2">
                  <c:v>139044.57603282219</c:v>
                </c:pt>
                <c:pt idx="3">
                  <c:v>165570.06451966875</c:v>
                </c:pt>
                <c:pt idx="4">
                  <c:v>186569.45261535619</c:v>
                </c:pt>
                <c:pt idx="5">
                  <c:v>204319.5758151378</c:v>
                </c:pt>
                <c:pt idx="6">
                  <c:v>219897.83332011019</c:v>
                </c:pt>
                <c:pt idx="7">
                  <c:v>233908.05379895124</c:v>
                </c:pt>
                <c:pt idx="8">
                  <c:v>246725.49930335552</c:v>
                </c:pt>
                <c:pt idx="9">
                  <c:v>258603.10864190955</c:v>
                </c:pt>
                <c:pt idx="10">
                  <c:v>269718.46979454038</c:v>
                </c:pt>
                <c:pt idx="11">
                  <c:v>280202.81126007321</c:v>
                </c:pt>
                <c:pt idx="12">
                  <c:v>290156.24060101301</c:v>
                </c:pt>
                <c:pt idx="13">
                  <c:v>299656.20158758591</c:v>
                </c:pt>
                <c:pt idx="14">
                  <c:v>308767.15695471794</c:v>
                </c:pt>
                <c:pt idx="15">
                  <c:v>317539.95459707314</c:v>
                </c:pt>
                <c:pt idx="16">
                  <c:v>326017.55857102096</c:v>
                </c:pt>
                <c:pt idx="17">
                  <c:v>334236.39517222834</c:v>
                </c:pt>
                <c:pt idx="18">
                  <c:v>342226.71735562145</c:v>
                </c:pt>
                <c:pt idx="19">
                  <c:v>350017.82438297616</c:v>
                </c:pt>
                <c:pt idx="20">
                  <c:v>357633.12718684837</c:v>
                </c:pt>
                <c:pt idx="21">
                  <c:v>365093.46079361218</c:v>
                </c:pt>
                <c:pt idx="22">
                  <c:v>372420.32200948044</c:v>
                </c:pt>
                <c:pt idx="23">
                  <c:v>379631.34749292373</c:v>
                </c:pt>
                <c:pt idx="24">
                  <c:v>386742.7065215343</c:v>
                </c:pt>
                <c:pt idx="25">
                  <c:v>393772.62366383895</c:v>
                </c:pt>
                <c:pt idx="26">
                  <c:v>400735.20979967108</c:v>
                </c:pt>
                <c:pt idx="27">
                  <c:v>407647.9936805563</c:v>
                </c:pt>
                <c:pt idx="28">
                  <c:v>414524.89920521015</c:v>
                </c:pt>
                <c:pt idx="29">
                  <c:v>421383.23967394605</c:v>
                </c:pt>
                <c:pt idx="30">
                  <c:v>428240.18121844367</c:v>
                </c:pt>
                <c:pt idx="31">
                  <c:v>435114.32811379974</c:v>
                </c:pt>
                <c:pt idx="32">
                  <c:v>442026.42512158671</c:v>
                </c:pt>
                <c:pt idx="33">
                  <c:v>448999.30565481755</c:v>
                </c:pt>
                <c:pt idx="34">
                  <c:v>456062.25353537535</c:v>
                </c:pt>
                <c:pt idx="35">
                  <c:v>463250.21875346772</c:v>
                </c:pt>
                <c:pt idx="36">
                  <c:v>470608.64366299182</c:v>
                </c:pt>
                <c:pt idx="37">
                  <c:v>478197.98265719187</c:v>
                </c:pt>
                <c:pt idx="38">
                  <c:v>486111.78031293233</c:v>
                </c:pt>
                <c:pt idx="39">
                  <c:v>494497.58670667041</c:v>
                </c:pt>
                <c:pt idx="40">
                  <c:v>503635.77302756807</c:v>
                </c:pt>
                <c:pt idx="41">
                  <c:v>514197.15050395194</c:v>
                </c:pt>
                <c:pt idx="42">
                  <c:v>529056.50285881385</c:v>
                </c:pt>
                <c:pt idx="43">
                  <c:v>535514.56219636544</c:v>
                </c:pt>
              </c:numCache>
            </c:numRef>
          </c:xVal>
          <c:yVal>
            <c:numRef>
              <c:f>'R290data'!$C$6:$C$66</c:f>
              <c:numCache>
                <c:formatCode>General</c:formatCode>
                <c:ptCount val="6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B6-419C-BBAC-D48327E5C6AF}"/>
            </c:ext>
          </c:extLst>
        </c:ser>
        <c:ser>
          <c:idx val="1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'R290data'!$F$6:$F$49</c:f>
              <c:numCache>
                <c:formatCode>General</c:formatCode>
                <c:ptCount val="44"/>
                <c:pt idx="0">
                  <c:v>507183.86928035959</c:v>
                </c:pt>
                <c:pt idx="1">
                  <c:v>524204.3432701886</c:v>
                </c:pt>
                <c:pt idx="2">
                  <c:v>543791.31298892503</c:v>
                </c:pt>
                <c:pt idx="3">
                  <c:v>556563.49387523672</c:v>
                </c:pt>
                <c:pt idx="4">
                  <c:v>566237.50317825854</c:v>
                </c:pt>
                <c:pt idx="5">
                  <c:v>574083.68734060996</c:v>
                </c:pt>
                <c:pt idx="6">
                  <c:v>580701.32405648951</c:v>
                </c:pt>
                <c:pt idx="7">
                  <c:v>586424.18408810464</c:v>
                </c:pt>
                <c:pt idx="8">
                  <c:v>591458.49508551799</c:v>
                </c:pt>
                <c:pt idx="9">
                  <c:v>595940.85848727764</c:v>
                </c:pt>
                <c:pt idx="10">
                  <c:v>599966.73496161902</c:v>
                </c:pt>
                <c:pt idx="11">
                  <c:v>603605.34860781149</c:v>
                </c:pt>
                <c:pt idx="12">
                  <c:v>606908.50343264069</c:v>
                </c:pt>
                <c:pt idx="13">
                  <c:v>609915.88444265397</c:v>
                </c:pt>
                <c:pt idx="14">
                  <c:v>612658.10571692651</c:v>
                </c:pt>
                <c:pt idx="15">
                  <c:v>615159.57368956413</c:v>
                </c:pt>
                <c:pt idx="16">
                  <c:v>617439.62913779065</c:v>
                </c:pt>
                <c:pt idx="17">
                  <c:v>619513.72451933764</c:v>
                </c:pt>
                <c:pt idx="18">
                  <c:v>621394.45027809707</c:v>
                </c:pt>
                <c:pt idx="19">
                  <c:v>623091.17199391709</c:v>
                </c:pt>
                <c:pt idx="20">
                  <c:v>624611.70376970933</c:v>
                </c:pt>
                <c:pt idx="21">
                  <c:v>625962.0935896599</c:v>
                </c:pt>
                <c:pt idx="22">
                  <c:v>627146.02980075264</c:v>
                </c:pt>
                <c:pt idx="23">
                  <c:v>628166.3270801258</c:v>
                </c:pt>
                <c:pt idx="24">
                  <c:v>629024.55627196713</c:v>
                </c:pt>
                <c:pt idx="25">
                  <c:v>629719.94151119597</c:v>
                </c:pt>
                <c:pt idx="26">
                  <c:v>630251.57574788667</c:v>
                </c:pt>
                <c:pt idx="27">
                  <c:v>630615.7417329544</c:v>
                </c:pt>
                <c:pt idx="28">
                  <c:v>630808.68939186074</c:v>
                </c:pt>
                <c:pt idx="29">
                  <c:v>630823.69992397435</c:v>
                </c:pt>
                <c:pt idx="30">
                  <c:v>630652.53039726743</c:v>
                </c:pt>
                <c:pt idx="31">
                  <c:v>630284.61696866946</c:v>
                </c:pt>
                <c:pt idx="32">
                  <c:v>629706.62136318046</c:v>
                </c:pt>
                <c:pt idx="33">
                  <c:v>628902.5070816105</c:v>
                </c:pt>
                <c:pt idx="34">
                  <c:v>627850.85152540985</c:v>
                </c:pt>
                <c:pt idx="35">
                  <c:v>626525.5715289372</c:v>
                </c:pt>
                <c:pt idx="36">
                  <c:v>624893.73567336716</c:v>
                </c:pt>
                <c:pt idx="37">
                  <c:v>622915.52695769968</c:v>
                </c:pt>
                <c:pt idx="38">
                  <c:v>620536.82074692042</c:v>
                </c:pt>
                <c:pt idx="39">
                  <c:v>617693.24514729832</c:v>
                </c:pt>
                <c:pt idx="40">
                  <c:v>614304.08228194842</c:v>
                </c:pt>
                <c:pt idx="41">
                  <c:v>610282.05801583757</c:v>
                </c:pt>
                <c:pt idx="42">
                  <c:v>605565.53542211524</c:v>
                </c:pt>
                <c:pt idx="43">
                  <c:v>597514.77102916851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B6-419C-BBAC-D48327E5C6AF}"/>
            </c:ext>
          </c:extLst>
        </c:ser>
        <c:ser>
          <c:idx val="3"/>
          <c:order val="3"/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'R290data'!$G$6:$G$49</c:f>
              <c:numCache>
                <c:formatCode>General</c:formatCode>
                <c:ptCount val="44"/>
                <c:pt idx="0">
                  <c:v>89913.037128979806</c:v>
                </c:pt>
                <c:pt idx="1">
                  <c:v>121523.22279144796</c:v>
                </c:pt>
                <c:pt idx="2">
                  <c:v>159281.91288062732</c:v>
                </c:pt>
                <c:pt idx="3">
                  <c:v>185119.73598744714</c:v>
                </c:pt>
                <c:pt idx="4">
                  <c:v>205552.85514350131</c:v>
                </c:pt>
                <c:pt idx="5">
                  <c:v>222807.78139141141</c:v>
                </c:pt>
                <c:pt idx="6">
                  <c:v>237938.00785692915</c:v>
                </c:pt>
                <c:pt idx="7">
                  <c:v>251533.86031340892</c:v>
                </c:pt>
                <c:pt idx="8">
                  <c:v>263962.14909246366</c:v>
                </c:pt>
                <c:pt idx="9">
                  <c:v>275469.99613417796</c:v>
                </c:pt>
                <c:pt idx="10">
                  <c:v>286230.88305289432</c:v>
                </c:pt>
                <c:pt idx="11">
                  <c:v>296372.93812746013</c:v>
                </c:pt>
                <c:pt idx="12">
                  <c:v>305993.85374259437</c:v>
                </c:pt>
                <c:pt idx="13">
                  <c:v>315169.18573033932</c:v>
                </c:pt>
                <c:pt idx="14">
                  <c:v>323961.7043928284</c:v>
                </c:pt>
                <c:pt idx="15">
                  <c:v>332420.93555169768</c:v>
                </c:pt>
                <c:pt idx="16">
                  <c:v>340588.66209935944</c:v>
                </c:pt>
                <c:pt idx="17">
                  <c:v>348500.2616395838</c:v>
                </c:pt>
                <c:pt idx="18">
                  <c:v>356185.10400174523</c:v>
                </c:pt>
                <c:pt idx="19">
                  <c:v>363671.4917635232</c:v>
                </c:pt>
                <c:pt idx="20">
                  <c:v>370982.05601599143</c:v>
                </c:pt>
                <c:pt idx="21">
                  <c:v>378136.89243341458</c:v>
                </c:pt>
                <c:pt idx="22">
                  <c:v>385156.60739904403</c:v>
                </c:pt>
                <c:pt idx="23">
                  <c:v>392058.09647228383</c:v>
                </c:pt>
                <c:pt idx="24">
                  <c:v>398856.79900905595</c:v>
                </c:pt>
                <c:pt idx="25">
                  <c:v>405569.9895562068</c:v>
                </c:pt>
                <c:pt idx="26">
                  <c:v>412211.02809708187</c:v>
                </c:pt>
                <c:pt idx="27">
                  <c:v>418796.38108317624</c:v>
                </c:pt>
                <c:pt idx="28">
                  <c:v>425339.08871454268</c:v>
                </c:pt>
                <c:pt idx="29">
                  <c:v>431855.26268644747</c:v>
                </c:pt>
                <c:pt idx="30">
                  <c:v>438360.79867738485</c:v>
                </c:pt>
                <c:pt idx="31">
                  <c:v>444872.84255654324</c:v>
                </c:pt>
                <c:pt idx="32">
                  <c:v>451410.43493366637</c:v>
                </c:pt>
                <c:pt idx="33">
                  <c:v>457994.46572615718</c:v>
                </c:pt>
                <c:pt idx="34">
                  <c:v>464651.68343487708</c:v>
                </c:pt>
                <c:pt idx="35">
                  <c:v>471413.9863922412</c:v>
                </c:pt>
                <c:pt idx="36">
                  <c:v>478322.89826351061</c:v>
                </c:pt>
                <c:pt idx="37">
                  <c:v>485433.85987221723</c:v>
                </c:pt>
                <c:pt idx="38">
                  <c:v>492833.03233463172</c:v>
                </c:pt>
                <c:pt idx="39">
                  <c:v>500657.36962870182</c:v>
                </c:pt>
                <c:pt idx="40">
                  <c:v>509169.18849028711</c:v>
                </c:pt>
                <c:pt idx="41">
                  <c:v>519001.39587954624</c:v>
                </c:pt>
                <c:pt idx="42">
                  <c:v>532881.95448697894</c:v>
                </c:pt>
                <c:pt idx="43">
                  <c:v>538614.5726380056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B6-419C-BBAC-D48327E5C6AF}"/>
            </c:ext>
          </c:extLst>
        </c:ser>
        <c:ser>
          <c:idx val="4"/>
          <c:order val="4"/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'R290data'!$H$6:$H$49</c:f>
              <c:numCache>
                <c:formatCode>General</c:formatCode>
                <c:ptCount val="44"/>
                <c:pt idx="0">
                  <c:v>111874.65987378926</c:v>
                </c:pt>
                <c:pt idx="1">
                  <c:v>142716.96597453958</c:v>
                </c:pt>
                <c:pt idx="2">
                  <c:v>179519.24972843248</c:v>
                </c:pt>
                <c:pt idx="3">
                  <c:v>204669.40745522556</c:v>
                </c:pt>
                <c:pt idx="4">
                  <c:v>224536.25767164642</c:v>
                </c:pt>
                <c:pt idx="5">
                  <c:v>241295.98696768502</c:v>
                </c:pt>
                <c:pt idx="6">
                  <c:v>255978.18239374814</c:v>
                </c:pt>
                <c:pt idx="7">
                  <c:v>269159.66682786657</c:v>
                </c:pt>
                <c:pt idx="8">
                  <c:v>281198.79888157174</c:v>
                </c:pt>
                <c:pt idx="9">
                  <c:v>292336.88362644636</c:v>
                </c:pt>
                <c:pt idx="10">
                  <c:v>302743.29631124821</c:v>
                </c:pt>
                <c:pt idx="11">
                  <c:v>312543.06499484705</c:v>
                </c:pt>
                <c:pt idx="12">
                  <c:v>321831.46688417578</c:v>
                </c:pt>
                <c:pt idx="13">
                  <c:v>330682.16987309273</c:v>
                </c:pt>
                <c:pt idx="14">
                  <c:v>339156.2518309388</c:v>
                </c:pt>
                <c:pt idx="15">
                  <c:v>347301.91650632222</c:v>
                </c:pt>
                <c:pt idx="16">
                  <c:v>355159.76562769793</c:v>
                </c:pt>
                <c:pt idx="17">
                  <c:v>362764.12810693926</c:v>
                </c:pt>
                <c:pt idx="18">
                  <c:v>370143.49064786901</c:v>
                </c:pt>
                <c:pt idx="19">
                  <c:v>377325.15914407023</c:v>
                </c:pt>
                <c:pt idx="20">
                  <c:v>384330.98484513449</c:v>
                </c:pt>
                <c:pt idx="21">
                  <c:v>391180.32407321694</c:v>
                </c:pt>
                <c:pt idx="22">
                  <c:v>397892.89278860769</c:v>
                </c:pt>
                <c:pt idx="23">
                  <c:v>404484.84545164392</c:v>
                </c:pt>
                <c:pt idx="24">
                  <c:v>410970.89149657759</c:v>
                </c:pt>
                <c:pt idx="25">
                  <c:v>417367.35544857464</c:v>
                </c:pt>
                <c:pt idx="26">
                  <c:v>423686.84639449266</c:v>
                </c:pt>
                <c:pt idx="27">
                  <c:v>429944.76848579611</c:v>
                </c:pt>
                <c:pt idx="28">
                  <c:v>436153.27822387521</c:v>
                </c:pt>
                <c:pt idx="29">
                  <c:v>442327.28569894889</c:v>
                </c:pt>
                <c:pt idx="30">
                  <c:v>448481.41613632604</c:v>
                </c:pt>
                <c:pt idx="31">
                  <c:v>454631.35699928668</c:v>
                </c:pt>
                <c:pt idx="32">
                  <c:v>460794.44474574609</c:v>
                </c:pt>
                <c:pt idx="33">
                  <c:v>466989.62579749688</c:v>
                </c:pt>
                <c:pt idx="34">
                  <c:v>473241.11333437881</c:v>
                </c:pt>
                <c:pt idx="35">
                  <c:v>479577.75403101469</c:v>
                </c:pt>
                <c:pt idx="36">
                  <c:v>486037.15286402934</c:v>
                </c:pt>
                <c:pt idx="37">
                  <c:v>492669.73708724265</c:v>
                </c:pt>
                <c:pt idx="38">
                  <c:v>499554.28435633116</c:v>
                </c:pt>
                <c:pt idx="39">
                  <c:v>506817.15255073318</c:v>
                </c:pt>
                <c:pt idx="40">
                  <c:v>514702.6039530061</c:v>
                </c:pt>
                <c:pt idx="41">
                  <c:v>523805.64125514048</c:v>
                </c:pt>
                <c:pt idx="42">
                  <c:v>536707.40611514403</c:v>
                </c:pt>
                <c:pt idx="43">
                  <c:v>541714.58307964576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B6-419C-BBAC-D48327E5C6AF}"/>
            </c:ext>
          </c:extLst>
        </c:ser>
        <c:ser>
          <c:idx val="5"/>
          <c:order val="5"/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'R290data'!$I$6:$I$49</c:f>
              <c:numCache>
                <c:formatCode>General</c:formatCode>
                <c:ptCount val="44"/>
                <c:pt idx="0">
                  <c:v>155797.90536340821</c:v>
                </c:pt>
                <c:pt idx="1">
                  <c:v>185104.45234072281</c:v>
                </c:pt>
                <c:pt idx="2">
                  <c:v>219993.92342404276</c:v>
                </c:pt>
                <c:pt idx="3">
                  <c:v>243768.75039078237</c:v>
                </c:pt>
                <c:pt idx="4">
                  <c:v>262503.06272793666</c:v>
                </c:pt>
                <c:pt idx="5">
                  <c:v>278272.39812023222</c:v>
                </c:pt>
                <c:pt idx="6">
                  <c:v>292058.53146738606</c:v>
                </c:pt>
                <c:pt idx="7">
                  <c:v>304411.27985678194</c:v>
                </c:pt>
                <c:pt idx="8">
                  <c:v>315672.09845978802</c:v>
                </c:pt>
                <c:pt idx="9">
                  <c:v>326070.65861098317</c:v>
                </c:pt>
                <c:pt idx="10">
                  <c:v>335768.1228279561</c:v>
                </c:pt>
                <c:pt idx="11">
                  <c:v>344883.31872962089</c:v>
                </c:pt>
                <c:pt idx="12">
                  <c:v>353506.69316733856</c:v>
                </c:pt>
                <c:pt idx="13">
                  <c:v>361708.1381585995</c:v>
                </c:pt>
                <c:pt idx="14">
                  <c:v>369545.34670715965</c:v>
                </c:pt>
                <c:pt idx="15">
                  <c:v>377063.87841557135</c:v>
                </c:pt>
                <c:pt idx="16">
                  <c:v>384301.97268437489</c:v>
                </c:pt>
                <c:pt idx="17">
                  <c:v>391291.86104165018</c:v>
                </c:pt>
                <c:pt idx="18">
                  <c:v>398060.26394011657</c:v>
                </c:pt>
                <c:pt idx="19">
                  <c:v>404632.49390516436</c:v>
                </c:pt>
                <c:pt idx="20">
                  <c:v>411028.84250342054</c:v>
                </c:pt>
                <c:pt idx="21">
                  <c:v>417267.1873528217</c:v>
                </c:pt>
                <c:pt idx="22">
                  <c:v>423365.46356773487</c:v>
                </c:pt>
                <c:pt idx="23">
                  <c:v>429338.34341036412</c:v>
                </c:pt>
                <c:pt idx="24">
                  <c:v>435199.07647162088</c:v>
                </c:pt>
                <c:pt idx="25">
                  <c:v>440962.08723331033</c:v>
                </c:pt>
                <c:pt idx="26">
                  <c:v>446638.48298931419</c:v>
                </c:pt>
                <c:pt idx="27">
                  <c:v>452241.54329103592</c:v>
                </c:pt>
                <c:pt idx="28">
                  <c:v>457781.65724254027</c:v>
                </c:pt>
                <c:pt idx="29">
                  <c:v>463271.33172395173</c:v>
                </c:pt>
                <c:pt idx="30">
                  <c:v>468722.6510542084</c:v>
                </c:pt>
                <c:pt idx="31">
                  <c:v>474148.38588477368</c:v>
                </c:pt>
                <c:pt idx="32">
                  <c:v>479562.46436990547</c:v>
                </c:pt>
                <c:pt idx="33">
                  <c:v>484979.94594017614</c:v>
                </c:pt>
                <c:pt idx="34">
                  <c:v>490419.97313338227</c:v>
                </c:pt>
                <c:pt idx="35">
                  <c:v>495905.28930856159</c:v>
                </c:pt>
                <c:pt idx="36">
                  <c:v>501465.66206506686</c:v>
                </c:pt>
                <c:pt idx="37">
                  <c:v>507141.49151729344</c:v>
                </c:pt>
                <c:pt idx="38">
                  <c:v>512996.78839972994</c:v>
                </c:pt>
                <c:pt idx="39">
                  <c:v>519136.71839479601</c:v>
                </c:pt>
                <c:pt idx="40">
                  <c:v>525769.43487844418</c:v>
                </c:pt>
                <c:pt idx="41">
                  <c:v>533414.13200632902</c:v>
                </c:pt>
                <c:pt idx="42">
                  <c:v>544358.30937147408</c:v>
                </c:pt>
                <c:pt idx="43">
                  <c:v>547914.60396292608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B6-419C-BBAC-D48327E5C6AF}"/>
            </c:ext>
          </c:extLst>
        </c:ser>
        <c:ser>
          <c:idx val="6"/>
          <c:order val="6"/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'R290data'!$J$6:$J$49</c:f>
              <c:numCache>
                <c:formatCode>General</c:formatCode>
                <c:ptCount val="44"/>
                <c:pt idx="0">
                  <c:v>243644.39634264604</c:v>
                </c:pt>
                <c:pt idx="1">
                  <c:v>269879.42507308931</c:v>
                </c:pt>
                <c:pt idx="2">
                  <c:v>300943.27081526333</c:v>
                </c:pt>
                <c:pt idx="3">
                  <c:v>321967.43626189593</c:v>
                </c:pt>
                <c:pt idx="4">
                  <c:v>338436.67284051713</c:v>
                </c:pt>
                <c:pt idx="5">
                  <c:v>352225.22042532667</c:v>
                </c:pt>
                <c:pt idx="6">
                  <c:v>364219.22961466189</c:v>
                </c:pt>
                <c:pt idx="7">
                  <c:v>374914.50591461262</c:v>
                </c:pt>
                <c:pt idx="8">
                  <c:v>384618.69761622051</c:v>
                </c:pt>
                <c:pt idx="9">
                  <c:v>393538.20858005679</c:v>
                </c:pt>
                <c:pt idx="10">
                  <c:v>401817.77586137183</c:v>
                </c:pt>
                <c:pt idx="11">
                  <c:v>409563.82619916851</c:v>
                </c:pt>
                <c:pt idx="12">
                  <c:v>416857.1457336641</c:v>
                </c:pt>
                <c:pt idx="13">
                  <c:v>423760.07472961314</c:v>
                </c:pt>
                <c:pt idx="14">
                  <c:v>430323.53645960137</c:v>
                </c:pt>
                <c:pt idx="15">
                  <c:v>436587.80223406956</c:v>
                </c:pt>
                <c:pt idx="16">
                  <c:v>442586.38679772883</c:v>
                </c:pt>
                <c:pt idx="17">
                  <c:v>448347.32691107207</c:v>
                </c:pt>
                <c:pt idx="18">
                  <c:v>453893.81052461173</c:v>
                </c:pt>
                <c:pt idx="19">
                  <c:v>459247.16342735256</c:v>
                </c:pt>
                <c:pt idx="20">
                  <c:v>464424.55781999277</c:v>
                </c:pt>
                <c:pt idx="21">
                  <c:v>469440.91391203128</c:v>
                </c:pt>
                <c:pt idx="22">
                  <c:v>474310.6051259893</c:v>
                </c:pt>
                <c:pt idx="23">
                  <c:v>479045.33932780457</c:v>
                </c:pt>
                <c:pt idx="24">
                  <c:v>483655.44642170746</c:v>
                </c:pt>
                <c:pt idx="25">
                  <c:v>488151.55080278177</c:v>
                </c:pt>
                <c:pt idx="26">
                  <c:v>492541.75617895729</c:v>
                </c:pt>
                <c:pt idx="27">
                  <c:v>496835.09290151554</c:v>
                </c:pt>
                <c:pt idx="28">
                  <c:v>501038.41527987039</c:v>
                </c:pt>
                <c:pt idx="29">
                  <c:v>505159.42377395736</c:v>
                </c:pt>
                <c:pt idx="30">
                  <c:v>509205.12088997319</c:v>
                </c:pt>
                <c:pt idx="31">
                  <c:v>513182.44365574763</c:v>
                </c:pt>
                <c:pt idx="32">
                  <c:v>517098.50361822423</c:v>
                </c:pt>
                <c:pt idx="33">
                  <c:v>520960.58622553473</c:v>
                </c:pt>
                <c:pt idx="34">
                  <c:v>524777.69273138919</c:v>
                </c:pt>
                <c:pt idx="35">
                  <c:v>528560.35986365553</c:v>
                </c:pt>
                <c:pt idx="36">
                  <c:v>532322.68046714191</c:v>
                </c:pt>
                <c:pt idx="37">
                  <c:v>536085.00037739496</c:v>
                </c:pt>
                <c:pt idx="38">
                  <c:v>539881.79648652754</c:v>
                </c:pt>
                <c:pt idx="39">
                  <c:v>543775.85008292156</c:v>
                </c:pt>
                <c:pt idx="40">
                  <c:v>547903.09672932024</c:v>
                </c:pt>
                <c:pt idx="41">
                  <c:v>552631.11350870621</c:v>
                </c:pt>
                <c:pt idx="42">
                  <c:v>559660.11588413443</c:v>
                </c:pt>
                <c:pt idx="43">
                  <c:v>560314.64572948671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B6-419C-BBAC-D48327E5C6AF}"/>
            </c:ext>
          </c:extLst>
        </c:ser>
        <c:ser>
          <c:idx val="7"/>
          <c:order val="7"/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'R290data'!$K$6:$K$49</c:f>
              <c:numCache>
                <c:formatCode>General</c:formatCode>
                <c:ptCount val="44"/>
                <c:pt idx="0">
                  <c:v>331490.88732188387</c:v>
                </c:pt>
                <c:pt idx="1">
                  <c:v>354654.39780545572</c:v>
                </c:pt>
                <c:pt idx="2">
                  <c:v>381892.61820648389</c:v>
                </c:pt>
                <c:pt idx="3">
                  <c:v>400166.12213300948</c:v>
                </c:pt>
                <c:pt idx="4">
                  <c:v>414370.2829530976</c:v>
                </c:pt>
                <c:pt idx="5">
                  <c:v>426178.04273042106</c:v>
                </c:pt>
                <c:pt idx="6">
                  <c:v>436379.92776193772</c:v>
                </c:pt>
                <c:pt idx="7">
                  <c:v>445417.73197244329</c:v>
                </c:pt>
                <c:pt idx="8">
                  <c:v>453565.296772653</c:v>
                </c:pt>
                <c:pt idx="9">
                  <c:v>461005.75854913041</c:v>
                </c:pt>
                <c:pt idx="10">
                  <c:v>467867.42889478756</c:v>
                </c:pt>
                <c:pt idx="11">
                  <c:v>474244.33366871614</c:v>
                </c:pt>
                <c:pt idx="12">
                  <c:v>480207.59829998959</c:v>
                </c:pt>
                <c:pt idx="13">
                  <c:v>485812.01130062673</c:v>
                </c:pt>
                <c:pt idx="14">
                  <c:v>491101.72621204308</c:v>
                </c:pt>
                <c:pt idx="15">
                  <c:v>496111.72605256771</c:v>
                </c:pt>
                <c:pt idx="16">
                  <c:v>500870.80091108277</c:v>
                </c:pt>
                <c:pt idx="17">
                  <c:v>505402.79278049391</c:v>
                </c:pt>
                <c:pt idx="18">
                  <c:v>509727.35710910684</c:v>
                </c:pt>
                <c:pt idx="19">
                  <c:v>513861.83294954069</c:v>
                </c:pt>
                <c:pt idx="20">
                  <c:v>517820.27313656494</c:v>
                </c:pt>
                <c:pt idx="21">
                  <c:v>521614.6404712408</c:v>
                </c:pt>
                <c:pt idx="22">
                  <c:v>525255.74668424379</c:v>
                </c:pt>
                <c:pt idx="23">
                  <c:v>528752.3352452449</c:v>
                </c:pt>
                <c:pt idx="24">
                  <c:v>532111.81637179398</c:v>
                </c:pt>
                <c:pt idx="25">
                  <c:v>535341.01437225309</c:v>
                </c:pt>
                <c:pt idx="26">
                  <c:v>538445.02936860046</c:v>
                </c:pt>
                <c:pt idx="27">
                  <c:v>541428.64251199516</c:v>
                </c:pt>
                <c:pt idx="28">
                  <c:v>544295.1733172005</c:v>
                </c:pt>
                <c:pt idx="29">
                  <c:v>547047.51582396298</c:v>
                </c:pt>
                <c:pt idx="30">
                  <c:v>549687.59072573786</c:v>
                </c:pt>
                <c:pt idx="31">
                  <c:v>552216.50142672157</c:v>
                </c:pt>
                <c:pt idx="32">
                  <c:v>554634.54286654294</c:v>
                </c:pt>
                <c:pt idx="33">
                  <c:v>556941.22651089332</c:v>
                </c:pt>
                <c:pt idx="34">
                  <c:v>559135.412329396</c:v>
                </c:pt>
                <c:pt idx="35">
                  <c:v>561215.43041874946</c:v>
                </c:pt>
                <c:pt idx="36">
                  <c:v>563179.69886921707</c:v>
                </c:pt>
                <c:pt idx="37">
                  <c:v>565028.50923749653</c:v>
                </c:pt>
                <c:pt idx="38">
                  <c:v>566766.80457332521</c:v>
                </c:pt>
                <c:pt idx="39">
                  <c:v>568414.98177104711</c:v>
                </c:pt>
                <c:pt idx="40">
                  <c:v>570036.7585801963</c:v>
                </c:pt>
                <c:pt idx="41">
                  <c:v>571848.09501108329</c:v>
                </c:pt>
                <c:pt idx="42">
                  <c:v>574961.92239679466</c:v>
                </c:pt>
                <c:pt idx="43">
                  <c:v>572714.68749604723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EB6-419C-BBAC-D48327E5C6AF}"/>
            </c:ext>
          </c:extLst>
        </c:ser>
        <c:ser>
          <c:idx val="8"/>
          <c:order val="8"/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'R290data'!$L$6:$L$49</c:f>
              <c:numCache>
                <c:formatCode>General</c:formatCode>
                <c:ptCount val="44"/>
                <c:pt idx="0">
                  <c:v>419337.37830112176</c:v>
                </c:pt>
                <c:pt idx="1">
                  <c:v>439429.37053782225</c:v>
                </c:pt>
                <c:pt idx="2">
                  <c:v>462841.96559770446</c:v>
                </c:pt>
                <c:pt idx="3">
                  <c:v>478364.80800412316</c:v>
                </c:pt>
                <c:pt idx="4">
                  <c:v>490303.89306567807</c:v>
                </c:pt>
                <c:pt idx="5">
                  <c:v>500130.86503551551</c:v>
                </c:pt>
                <c:pt idx="6">
                  <c:v>508540.62590921368</c:v>
                </c:pt>
                <c:pt idx="7">
                  <c:v>515920.95803027402</c:v>
                </c:pt>
                <c:pt idx="8">
                  <c:v>522511.8959290855</c:v>
                </c:pt>
                <c:pt idx="9">
                  <c:v>528473.30851820402</c:v>
                </c:pt>
                <c:pt idx="10">
                  <c:v>533917.08192820335</c:v>
                </c:pt>
                <c:pt idx="11">
                  <c:v>538924.84113826382</c:v>
                </c:pt>
                <c:pt idx="12">
                  <c:v>543558.05086631514</c:v>
                </c:pt>
                <c:pt idx="13">
                  <c:v>547863.94787164032</c:v>
                </c:pt>
                <c:pt idx="14">
                  <c:v>551879.9159644848</c:v>
                </c:pt>
                <c:pt idx="15">
                  <c:v>555635.64987106598</c:v>
                </c:pt>
                <c:pt idx="16">
                  <c:v>559155.21502443671</c:v>
                </c:pt>
                <c:pt idx="17">
                  <c:v>562458.25864991581</c:v>
                </c:pt>
                <c:pt idx="18">
                  <c:v>565560.90369360195</c:v>
                </c:pt>
                <c:pt idx="19">
                  <c:v>568476.50247172895</c:v>
                </c:pt>
                <c:pt idx="20">
                  <c:v>571215.98845313722</c:v>
                </c:pt>
                <c:pt idx="21">
                  <c:v>573788.36703045038</c:v>
                </c:pt>
                <c:pt idx="22">
                  <c:v>576200.88824249827</c:v>
                </c:pt>
                <c:pt idx="23">
                  <c:v>578459.33116268541</c:v>
                </c:pt>
                <c:pt idx="24">
                  <c:v>580568.18632188055</c:v>
                </c:pt>
                <c:pt idx="25">
                  <c:v>582530.47794172459</c:v>
                </c:pt>
                <c:pt idx="26">
                  <c:v>584348.30255824351</c:v>
                </c:pt>
                <c:pt idx="27">
                  <c:v>586022.19212247478</c:v>
                </c:pt>
                <c:pt idx="28">
                  <c:v>587551.93135453062</c:v>
                </c:pt>
                <c:pt idx="29">
                  <c:v>588935.60787396866</c:v>
                </c:pt>
                <c:pt idx="30">
                  <c:v>590170.0605615027</c:v>
                </c:pt>
                <c:pt idx="31">
                  <c:v>591250.55919769546</c:v>
                </c:pt>
                <c:pt idx="32">
                  <c:v>592170.5821148617</c:v>
                </c:pt>
                <c:pt idx="33">
                  <c:v>592921.86679625185</c:v>
                </c:pt>
                <c:pt idx="34">
                  <c:v>593493.13192740292</c:v>
                </c:pt>
                <c:pt idx="35">
                  <c:v>593870.50097384327</c:v>
                </c:pt>
                <c:pt idx="36">
                  <c:v>594036.71727129212</c:v>
                </c:pt>
                <c:pt idx="37">
                  <c:v>593972.01809759811</c:v>
                </c:pt>
                <c:pt idx="38">
                  <c:v>593651.81266012276</c:v>
                </c:pt>
                <c:pt idx="39">
                  <c:v>593054.11345917278</c:v>
                </c:pt>
                <c:pt idx="40">
                  <c:v>592170.42043107236</c:v>
                </c:pt>
                <c:pt idx="41">
                  <c:v>591065.07651346049</c:v>
                </c:pt>
                <c:pt idx="42">
                  <c:v>590263.72890945501</c:v>
                </c:pt>
                <c:pt idx="43">
                  <c:v>585114.72926260787</c:v>
                </c:pt>
              </c:numCache>
            </c:numRef>
          </c:xVal>
          <c:yVal>
            <c:numRef>
              <c:f>'R290data'!$C$6:$C$49</c:f>
              <c:numCache>
                <c:formatCode>General</c:formatCode>
                <c:ptCount val="4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EB6-419C-BBAC-D48327E5C6AF}"/>
            </c:ext>
          </c:extLst>
        </c:ser>
        <c:ser>
          <c:idx val="9"/>
          <c:order val="9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'P-h data'!$G$5:$G$11</c:f>
              <c:numCache>
                <c:formatCode>General</c:formatCode>
                <c:ptCount val="7"/>
                <c:pt idx="0">
                  <c:v>582402.06635844219</c:v>
                </c:pt>
                <c:pt idx="1">
                  <c:v>584883.17492826085</c:v>
                </c:pt>
                <c:pt idx="2">
                  <c:v>662565.21092745522</c:v>
                </c:pt>
                <c:pt idx="3">
                  <c:v>660017.45511490956</c:v>
                </c:pt>
                <c:pt idx="4">
                  <c:v>268224.41856666945</c:v>
                </c:pt>
                <c:pt idx="5">
                  <c:v>268224.41856666945</c:v>
                </c:pt>
                <c:pt idx="6">
                  <c:v>582402.06635844219</c:v>
                </c:pt>
              </c:numCache>
            </c:numRef>
          </c:xVal>
          <c:yVal>
            <c:numRef>
              <c:f>'P-h data'!$H$5:$H$11</c:f>
              <c:numCache>
                <c:formatCode>General</c:formatCode>
                <c:ptCount val="7"/>
                <c:pt idx="0">
                  <c:v>3.94</c:v>
                </c:pt>
                <c:pt idx="1">
                  <c:v>3.94</c:v>
                </c:pt>
                <c:pt idx="2">
                  <c:v>11.42</c:v>
                </c:pt>
                <c:pt idx="3">
                  <c:v>11.42</c:v>
                </c:pt>
                <c:pt idx="4">
                  <c:v>11.42</c:v>
                </c:pt>
                <c:pt idx="5">
                  <c:v>3.94</c:v>
                </c:pt>
                <c:pt idx="6">
                  <c:v>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3-4C5A-9B62-E66BCBC70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82400"/>
        <c:axId val="537487320"/>
      </c:scatterChart>
      <c:valAx>
        <c:axId val="53748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Enthalpy [J/kg-K]</a:t>
                </a:r>
              </a:p>
            </c:rich>
          </c:tx>
          <c:layout>
            <c:manualLayout>
              <c:xMode val="edge"/>
              <c:yMode val="edge"/>
              <c:x val="0.42714845483028674"/>
              <c:y val="0.95140926070531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37487320"/>
        <c:crosses val="autoZero"/>
        <c:crossBetween val="midCat"/>
      </c:valAx>
      <c:valAx>
        <c:axId val="5374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Pressure [bara]</a:t>
                </a:r>
              </a:p>
            </c:rich>
          </c:tx>
          <c:layout>
            <c:manualLayout>
              <c:xMode val="edge"/>
              <c:yMode val="edge"/>
              <c:x val="1.0940626854845448E-2"/>
              <c:y val="0.421284070763776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3748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6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369384</xdr:colOff>
      <xdr:row>3</xdr:row>
      <xdr:rowOff>180975</xdr:rowOff>
    </xdr:from>
    <xdr:to>
      <xdr:col>29</xdr:col>
      <xdr:colOff>187901</xdr:colOff>
      <xdr:row>32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66E90-2DDC-46F7-8FA3-05A93D37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8484" y="752475"/>
          <a:ext cx="7743317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009E6-B956-486D-BEBE-9A7FF4FC1B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Microsoft%20Office\Office\Library\refrigeratio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h_L"/>
      <definedName name="h_TP"/>
      <definedName name="pc"/>
      <definedName name="poly"/>
      <definedName name="T_B"/>
      <definedName name="T_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opLeftCell="L1" workbookViewId="0">
      <selection activeCell="N8" sqref="N8"/>
    </sheetView>
  </sheetViews>
  <sheetFormatPr defaultRowHeight="15" x14ac:dyDescent="0.25"/>
  <cols>
    <col min="2" max="2" width="14.5703125" bestFit="1" customWidth="1"/>
    <col min="9" max="13" width="13.42578125" customWidth="1"/>
    <col min="15" max="15" width="12.28515625" bestFit="1" customWidth="1"/>
    <col min="16" max="16" width="10.5703125" bestFit="1" customWidth="1"/>
  </cols>
  <sheetData>
    <row r="3" spans="2:16" x14ac:dyDescent="0.25">
      <c r="I3" s="23"/>
      <c r="J3" s="23"/>
      <c r="K3" s="23"/>
      <c r="L3" s="23"/>
      <c r="M3" s="23"/>
      <c r="N3" s="23"/>
    </row>
    <row r="4" spans="2:16" x14ac:dyDescent="0.25">
      <c r="I4" s="23"/>
      <c r="J4" s="23"/>
      <c r="K4" s="23"/>
      <c r="L4" s="23"/>
      <c r="M4" s="23"/>
    </row>
    <row r="5" spans="2:16" x14ac:dyDescent="0.25">
      <c r="B5" s="13" t="s">
        <v>153</v>
      </c>
      <c r="C5" s="13" t="s">
        <v>142</v>
      </c>
      <c r="D5" s="13" t="s">
        <v>143</v>
      </c>
      <c r="E5" s="13" t="s">
        <v>144</v>
      </c>
      <c r="F5" s="13" t="s">
        <v>159</v>
      </c>
      <c r="G5" s="13" t="s">
        <v>145</v>
      </c>
      <c r="H5" s="13" t="s">
        <v>147</v>
      </c>
      <c r="I5" s="13" t="s">
        <v>148</v>
      </c>
      <c r="J5" s="13" t="s">
        <v>158</v>
      </c>
      <c r="K5" s="13" t="s">
        <v>161</v>
      </c>
      <c r="L5" s="13" t="s">
        <v>156</v>
      </c>
      <c r="M5" s="13" t="s">
        <v>157</v>
      </c>
      <c r="N5" s="13" t="s">
        <v>149</v>
      </c>
      <c r="O5" s="13" t="s">
        <v>150</v>
      </c>
      <c r="P5" s="13" t="s">
        <v>155</v>
      </c>
    </row>
    <row r="6" spans="2:16" x14ac:dyDescent="0.25">
      <c r="B6" s="13"/>
      <c r="C6" s="13"/>
      <c r="D6" s="13"/>
      <c r="E6" s="13" t="s">
        <v>146</v>
      </c>
      <c r="F6" s="13" t="s">
        <v>160</v>
      </c>
      <c r="G6" s="13" t="s">
        <v>146</v>
      </c>
      <c r="H6" s="13" t="s">
        <v>146</v>
      </c>
      <c r="I6" s="13" t="s">
        <v>146</v>
      </c>
      <c r="J6" s="13" t="s">
        <v>146</v>
      </c>
      <c r="K6" s="13" t="s">
        <v>146</v>
      </c>
      <c r="L6" s="13" t="s">
        <v>146</v>
      </c>
      <c r="M6" s="13"/>
      <c r="N6" s="13" t="s">
        <v>154</v>
      </c>
      <c r="O6" s="13" t="s">
        <v>151</v>
      </c>
      <c r="P6" s="13" t="s">
        <v>151</v>
      </c>
    </row>
    <row r="7" spans="2:16" x14ac:dyDescent="0.25">
      <c r="B7" s="13" t="s">
        <v>162</v>
      </c>
      <c r="C7" s="13">
        <v>10</v>
      </c>
      <c r="D7" s="13">
        <v>4</v>
      </c>
      <c r="E7" s="13">
        <v>7</v>
      </c>
      <c r="F7" s="13">
        <v>0.5</v>
      </c>
      <c r="G7" s="13">
        <f>E7-F7</f>
        <v>6.5</v>
      </c>
      <c r="H7" s="13">
        <v>1000</v>
      </c>
      <c r="I7" s="26">
        <v>8</v>
      </c>
      <c r="J7" s="26">
        <v>0.18</v>
      </c>
      <c r="K7" s="26">
        <v>14.5</v>
      </c>
      <c r="L7" s="26">
        <v>350</v>
      </c>
      <c r="M7" s="26">
        <f>ROUNDDOWN((H7-J7)/(I7+J7),0)</f>
        <v>122</v>
      </c>
      <c r="N7" s="57">
        <f>PI()*(G7/2)^2*H7*1/1000000*D7*C7</f>
        <v>1.3273228961416874</v>
      </c>
      <c r="O7" s="27">
        <f>2*PI()*E7/2*H7*D7*C7*1/1000000</f>
        <v>0.87964594300514198</v>
      </c>
      <c r="P7">
        <f>M7*(K7/1000*L7/1000)</f>
        <v>0.61915000000000009</v>
      </c>
    </row>
    <row r="8" spans="2:16" x14ac:dyDescent="0.25">
      <c r="B8" s="13">
        <v>2</v>
      </c>
      <c r="C8" s="21">
        <v>8</v>
      </c>
      <c r="D8" s="13">
        <v>4</v>
      </c>
      <c r="E8" s="13">
        <v>7</v>
      </c>
      <c r="F8" s="13">
        <v>0.5</v>
      </c>
      <c r="G8" s="13">
        <f>E8-F8</f>
        <v>6.5</v>
      </c>
      <c r="H8" s="13">
        <v>1000</v>
      </c>
      <c r="I8" s="26">
        <v>8</v>
      </c>
      <c r="J8" s="26">
        <v>0.18</v>
      </c>
      <c r="K8" s="26">
        <v>14.5</v>
      </c>
      <c r="L8" s="21">
        <f>L7*C8/C7</f>
        <v>280</v>
      </c>
      <c r="M8" s="26">
        <f>ROUNDDOWN((H8-J8)/(I8+J8),0)</f>
        <v>122</v>
      </c>
      <c r="N8" s="27">
        <f>PI()*(G8/2)^2*H8*1/1000000*D8*C8</f>
        <v>1.06185831691335</v>
      </c>
      <c r="O8" s="27">
        <f>2*PI()*E8/2*H8*D8*C8*1/1000000</f>
        <v>0.70371675440411363</v>
      </c>
      <c r="P8">
        <f>M8*(K8/1000*L8/1000)</f>
        <v>0.49532000000000004</v>
      </c>
    </row>
    <row r="9" spans="2:16" x14ac:dyDescent="0.25">
      <c r="B9" s="13">
        <v>3</v>
      </c>
      <c r="C9" s="21">
        <v>8</v>
      </c>
      <c r="D9" s="13">
        <v>4</v>
      </c>
      <c r="E9" s="13">
        <v>7</v>
      </c>
      <c r="F9" s="13">
        <v>0.5</v>
      </c>
      <c r="G9" s="13">
        <f>E9-F9</f>
        <v>6.5</v>
      </c>
      <c r="H9" s="13">
        <v>1000</v>
      </c>
      <c r="I9" s="21">
        <v>7</v>
      </c>
      <c r="J9" s="26">
        <v>0.18</v>
      </c>
      <c r="K9" s="26">
        <v>14.5</v>
      </c>
      <c r="L9" s="21">
        <f>L8*C9/C8</f>
        <v>280</v>
      </c>
      <c r="M9" s="26">
        <f>ROUNDDOWN((H9-J9)/(I9+J9),0)</f>
        <v>139</v>
      </c>
      <c r="N9" s="27">
        <f>PI()*(G9/2)^2*H9*1/1000000*D9*C9</f>
        <v>1.06185831691335</v>
      </c>
      <c r="O9" s="27">
        <f>2*PI()*E9/2*H9*D9*C9*1/1000000</f>
        <v>0.70371675440411363</v>
      </c>
      <c r="P9">
        <f>M9*(K9/1000*L9/1000)</f>
        <v>0.56434000000000006</v>
      </c>
    </row>
    <row r="11" spans="2:16" x14ac:dyDescent="0.25">
      <c r="P11">
        <f>P9/P8</f>
        <v>1.139344262295082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AQ26"/>
  <sheetViews>
    <sheetView tabSelected="1" zoomScale="110" zoomScaleNormal="110" workbookViewId="0">
      <selection activeCell="I18" sqref="I18"/>
    </sheetView>
  </sheetViews>
  <sheetFormatPr defaultRowHeight="15" x14ac:dyDescent="0.25"/>
  <cols>
    <col min="3" max="3" width="9.5703125" bestFit="1" customWidth="1"/>
    <col min="4" max="4" width="10.42578125" bestFit="1" customWidth="1"/>
    <col min="5" max="5" width="15.28515625" bestFit="1" customWidth="1"/>
    <col min="6" max="6" width="16.7109375" bestFit="1" customWidth="1"/>
    <col min="7" max="7" width="5.85546875" bestFit="1" customWidth="1"/>
    <col min="8" max="8" width="7" bestFit="1" customWidth="1"/>
    <col min="9" max="9" width="14.28515625" bestFit="1" customWidth="1"/>
    <col min="10" max="10" width="15" bestFit="1" customWidth="1"/>
    <col min="11" max="11" width="12.28515625" bestFit="1" customWidth="1"/>
    <col min="12" max="12" width="13.85546875" bestFit="1" customWidth="1"/>
    <col min="13" max="13" width="14.28515625" bestFit="1" customWidth="1"/>
    <col min="14" max="14" width="15" bestFit="1" customWidth="1"/>
    <col min="15" max="15" width="12.5703125" bestFit="1" customWidth="1"/>
    <col min="16" max="16" width="10.85546875" bestFit="1" customWidth="1"/>
    <col min="17" max="17" width="11.42578125" bestFit="1" customWidth="1"/>
    <col min="18" max="18" width="9.28515625" bestFit="1" customWidth="1"/>
    <col min="19" max="19" width="4.28515625" bestFit="1" customWidth="1"/>
    <col min="20" max="20" width="4.5703125" bestFit="1" customWidth="1"/>
    <col min="21" max="21" width="8.28515625" bestFit="1" customWidth="1"/>
    <col min="22" max="22" width="8" bestFit="1" customWidth="1"/>
    <col min="31" max="31" width="17.42578125" bestFit="1" customWidth="1"/>
    <col min="32" max="32" width="17.7109375" bestFit="1" customWidth="1"/>
    <col min="33" max="33" width="17.7109375" customWidth="1"/>
    <col min="35" max="35" width="9.28515625" bestFit="1" customWidth="1"/>
    <col min="36" max="36" width="12.7109375" bestFit="1" customWidth="1"/>
    <col min="37" max="38" width="12" bestFit="1" customWidth="1"/>
    <col min="39" max="39" width="24.5703125" bestFit="1" customWidth="1"/>
    <col min="40" max="41" width="24.5703125" customWidth="1"/>
    <col min="42" max="42" width="16.42578125" bestFit="1" customWidth="1"/>
    <col min="43" max="43" width="6.7109375" bestFit="1" customWidth="1"/>
    <col min="44" max="45" width="12" bestFit="1" customWidth="1"/>
    <col min="46" max="47" width="12" customWidth="1"/>
    <col min="48" max="48" width="5.5703125" bestFit="1" customWidth="1"/>
  </cols>
  <sheetData>
    <row r="4" spans="3:43" x14ac:dyDescent="0.25">
      <c r="AJ4" s="28"/>
      <c r="AK4" s="28"/>
      <c r="AL4" s="28"/>
      <c r="AM4" s="28"/>
      <c r="AN4" s="28"/>
      <c r="AO4" s="28"/>
      <c r="AP4" s="28"/>
      <c r="AQ4" s="28"/>
    </row>
    <row r="5" spans="3:43" x14ac:dyDescent="0.25">
      <c r="C5" s="14" t="s">
        <v>51</v>
      </c>
      <c r="D5" s="14" t="s">
        <v>48</v>
      </c>
      <c r="E5" s="13"/>
      <c r="F5" s="13"/>
      <c r="G5" s="13"/>
      <c r="H5" s="13"/>
      <c r="I5" s="13"/>
      <c r="J5" s="13"/>
      <c r="K5" s="14" t="s">
        <v>23</v>
      </c>
      <c r="L5" s="13"/>
      <c r="M5" s="13"/>
      <c r="N5" s="13"/>
      <c r="O5" s="14" t="s">
        <v>37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 t="s">
        <v>165</v>
      </c>
      <c r="AH5" s="13"/>
      <c r="AI5" s="13"/>
      <c r="AJ5" s="26"/>
      <c r="AK5" s="26"/>
      <c r="AL5" s="26" t="s">
        <v>165</v>
      </c>
      <c r="AM5" s="28"/>
      <c r="AN5" s="28"/>
      <c r="AO5" s="28"/>
      <c r="AP5" s="28"/>
      <c r="AQ5" s="28"/>
    </row>
    <row r="6" spans="3:43" x14ac:dyDescent="0.25">
      <c r="C6" s="13"/>
      <c r="D6" s="21" t="s">
        <v>49</v>
      </c>
      <c r="E6" s="13" t="s">
        <v>56</v>
      </c>
      <c r="F6" s="13" t="s">
        <v>57</v>
      </c>
      <c r="G6" s="13" t="s">
        <v>50</v>
      </c>
      <c r="H6" s="13" t="s">
        <v>58</v>
      </c>
      <c r="I6" s="13" t="s">
        <v>59</v>
      </c>
      <c r="J6" s="13" t="s">
        <v>71</v>
      </c>
      <c r="K6" s="13" t="s">
        <v>61</v>
      </c>
      <c r="L6" s="13" t="s">
        <v>62</v>
      </c>
      <c r="M6" s="13" t="s">
        <v>59</v>
      </c>
      <c r="N6" s="13" t="s">
        <v>71</v>
      </c>
      <c r="O6" s="13" t="s">
        <v>65</v>
      </c>
      <c r="P6" s="21" t="s">
        <v>63</v>
      </c>
      <c r="Q6" s="13" t="s">
        <v>66</v>
      </c>
      <c r="R6" s="21" t="s">
        <v>64</v>
      </c>
      <c r="S6" s="13" t="s">
        <v>94</v>
      </c>
      <c r="T6" s="13" t="s">
        <v>93</v>
      </c>
      <c r="U6" s="13" t="s">
        <v>69</v>
      </c>
      <c r="V6" s="13" t="s">
        <v>67</v>
      </c>
      <c r="W6" s="21" t="s">
        <v>68</v>
      </c>
      <c r="X6" s="13" t="s">
        <v>120</v>
      </c>
      <c r="Y6" s="13" t="s">
        <v>127</v>
      </c>
      <c r="Z6" s="13" t="s">
        <v>128</v>
      </c>
      <c r="AA6" s="13" t="s">
        <v>129</v>
      </c>
      <c r="AB6" s="13" t="s">
        <v>130</v>
      </c>
      <c r="AC6" s="13" t="s">
        <v>166</v>
      </c>
      <c r="AD6" s="13"/>
      <c r="AE6" s="13" t="s">
        <v>163</v>
      </c>
      <c r="AF6" s="13" t="s">
        <v>164</v>
      </c>
      <c r="AG6" s="13" t="s">
        <v>73</v>
      </c>
      <c r="AH6" s="13" t="s">
        <v>117</v>
      </c>
      <c r="AI6" s="13" t="s">
        <v>116</v>
      </c>
      <c r="AJ6" s="26" t="s">
        <v>118</v>
      </c>
      <c r="AK6" s="26" t="s">
        <v>119</v>
      </c>
      <c r="AL6" s="26" t="s">
        <v>121</v>
      </c>
      <c r="AM6" s="26" t="s">
        <v>140</v>
      </c>
      <c r="AN6" s="26" t="s">
        <v>141</v>
      </c>
      <c r="AO6" s="26" t="s">
        <v>152</v>
      </c>
      <c r="AP6" s="26" t="s">
        <v>138</v>
      </c>
      <c r="AQ6" s="26" t="s">
        <v>139</v>
      </c>
    </row>
    <row r="7" spans="3:43" x14ac:dyDescent="0.25">
      <c r="C7" s="13"/>
      <c r="D7" s="21" t="s">
        <v>52</v>
      </c>
      <c r="E7" s="13" t="s">
        <v>53</v>
      </c>
      <c r="F7" s="13" t="s">
        <v>53</v>
      </c>
      <c r="G7" s="13" t="s">
        <v>54</v>
      </c>
      <c r="H7" s="13" t="s">
        <v>55</v>
      </c>
      <c r="I7" s="13" t="s">
        <v>53</v>
      </c>
      <c r="J7" s="13" t="s">
        <v>53</v>
      </c>
      <c r="K7" s="13" t="s">
        <v>53</v>
      </c>
      <c r="L7" s="13" t="s">
        <v>53</v>
      </c>
      <c r="M7" s="13" t="s">
        <v>53</v>
      </c>
      <c r="N7" s="13" t="s">
        <v>53</v>
      </c>
      <c r="O7" s="13" t="s">
        <v>53</v>
      </c>
      <c r="P7" s="21" t="s">
        <v>60</v>
      </c>
      <c r="Q7" s="13" t="s">
        <v>53</v>
      </c>
      <c r="R7" s="21" t="s">
        <v>60</v>
      </c>
      <c r="S7" s="13" t="s">
        <v>53</v>
      </c>
      <c r="T7" s="13" t="s">
        <v>53</v>
      </c>
      <c r="U7" s="13" t="s">
        <v>70</v>
      </c>
      <c r="V7" s="13" t="s">
        <v>70</v>
      </c>
      <c r="W7" s="21" t="s">
        <v>70</v>
      </c>
      <c r="X7" s="13" t="s">
        <v>54</v>
      </c>
      <c r="Y7" s="13"/>
      <c r="Z7" s="13"/>
      <c r="AA7" s="13" t="s">
        <v>54</v>
      </c>
      <c r="AB7" s="13" t="s">
        <v>54</v>
      </c>
      <c r="AC7" s="13" t="s">
        <v>54</v>
      </c>
      <c r="AD7" s="13"/>
      <c r="AE7" s="13" t="s">
        <v>72</v>
      </c>
      <c r="AF7" s="13" t="s">
        <v>72</v>
      </c>
      <c r="AG7" s="13" t="s">
        <v>95</v>
      </c>
      <c r="AH7" s="13" t="s">
        <v>54</v>
      </c>
      <c r="AI7" s="13" t="s">
        <v>54</v>
      </c>
      <c r="AJ7" s="26" t="s">
        <v>122</v>
      </c>
      <c r="AK7" s="26" t="s">
        <v>72</v>
      </c>
      <c r="AL7" s="26" t="s">
        <v>72</v>
      </c>
      <c r="AM7" s="26" t="s">
        <v>70</v>
      </c>
      <c r="AN7" s="26" t="s">
        <v>70</v>
      </c>
      <c r="AO7" s="26" t="s">
        <v>70</v>
      </c>
      <c r="AP7" s="26" t="s">
        <v>70</v>
      </c>
      <c r="AQ7" s="26" t="s">
        <v>70</v>
      </c>
    </row>
    <row r="8" spans="3:43" x14ac:dyDescent="0.25">
      <c r="C8" s="13">
        <v>20171020</v>
      </c>
      <c r="D8" s="13">
        <v>0.69</v>
      </c>
      <c r="E8" s="13">
        <v>25.3</v>
      </c>
      <c r="F8" s="13">
        <v>30.2</v>
      </c>
      <c r="G8" s="13">
        <v>4187</v>
      </c>
      <c r="H8" s="13">
        <v>1000</v>
      </c>
      <c r="I8" s="13">
        <v>57.8</v>
      </c>
      <c r="J8" s="13">
        <v>26.4</v>
      </c>
      <c r="K8" s="13">
        <v>10.3</v>
      </c>
      <c r="L8" s="13">
        <v>5.2</v>
      </c>
      <c r="M8" s="13">
        <v>-3.7</v>
      </c>
      <c r="N8" s="13">
        <v>3.5</v>
      </c>
      <c r="O8" s="13">
        <v>4.9000000000000004</v>
      </c>
      <c r="P8" s="21">
        <v>3.94</v>
      </c>
      <c r="Q8" s="13">
        <v>59</v>
      </c>
      <c r="R8" s="21">
        <v>11.42</v>
      </c>
      <c r="S8" s="17">
        <f>([1]!T_D("R290",P8*100000)-273.15)</f>
        <v>-5.9315651988832769</v>
      </c>
      <c r="T8" s="17">
        <f>[1]!T_D("R290",R8*100000)-273.15</f>
        <v>32.335155489275621</v>
      </c>
      <c r="U8" s="18">
        <f>[1]!T_D("R290",R8*100000)-273.15-J8</f>
        <v>5.9351554892756226</v>
      </c>
      <c r="V8" s="17">
        <f>N8-([1]!T_D("R290",P8*100000)-273.15)</f>
        <v>9.4315651988832769</v>
      </c>
      <c r="W8" s="22">
        <f>O8-([1]!T_D("R290",P8*100000)-273.15)</f>
        <v>10.831565198883277</v>
      </c>
      <c r="X8" s="13">
        <f>[1]!h_TP("R290",N8+273.15,P8*100000)</f>
        <v>582402.06635844219</v>
      </c>
      <c r="Y8" s="20">
        <f>[1]!h_TP("R290",O8+273.15,P8*100000)</f>
        <v>584883.17492826085</v>
      </c>
      <c r="Z8" s="20">
        <f>[1]!h_TP("R290",Q8+273.15,R8*100000)</f>
        <v>662565.21092745522</v>
      </c>
      <c r="AA8" s="13">
        <f>[1]!h_TP("R290",I8+273.15,R8*100000)</f>
        <v>660017.45511490956</v>
      </c>
      <c r="AB8" s="13">
        <f>AA8-AE8/(AG8/1000)</f>
        <v>300331.87825052132</v>
      </c>
      <c r="AC8" s="13">
        <f>[1]!h_L("R290",J8+273.15)</f>
        <v>268224.41856666945</v>
      </c>
      <c r="AD8" s="13"/>
      <c r="AE8" s="19">
        <f>D8/3600*H8*G8*(F8-E8)</f>
        <v>3932.2908333333321</v>
      </c>
      <c r="AF8" s="17">
        <f>AG8/1000*(AA8-[1]!h_L("R290",J8+273.15))</f>
        <v>4283.3081593464694</v>
      </c>
      <c r="AG8" s="17">
        <f>[1]!poly(S8,T8,ZB10KAU!$B$18,ZB10KAU!$C$18,ZB10KAU!$D$18,ZB10KAU!$E$18,ZB10KAU!$F$18,ZB10KAU!$G$18,ZB10KAU!$H$18,ZB10KAU!$I$18,ZB10KAU!$J$18,ZB10KAU!$K$18)</f>
        <v>10.932578580474797</v>
      </c>
      <c r="AH8" s="13">
        <f>[1]!h_TP("R290",T8+273.15,R8*100000)</f>
        <v>605031.03001603566</v>
      </c>
      <c r="AI8" s="13">
        <f>[1]!h_L("R290",T8+273.15)</f>
        <v>284442.99912261864</v>
      </c>
      <c r="AJ8" s="29">
        <f>(AB8-AI8)/(AH8-AI8)</f>
        <v>4.9561672915933372E-2</v>
      </c>
      <c r="AK8" s="30">
        <f>AG8/1000*(X8-AB8)</f>
        <v>3083.7544966991522</v>
      </c>
      <c r="AL8" s="30">
        <f>[1]!poly(S8,T8,ZB10KAU!$B$14,ZB10KAU!$C$14,ZB10KAU!$D$14,ZB10KAU!$E$14,ZB10KAU!$F$14,ZB10KAU!$G$14,ZB10KAU!$H$14,ZB10KAU!$I$14,ZB10KAU!$J$14,ZB10KAU!$K$14)*1000</f>
        <v>878.41216252921356</v>
      </c>
      <c r="AM8" s="31">
        <f>T8-F8</f>
        <v>2.1351554892756219</v>
      </c>
      <c r="AN8" s="31">
        <f>J8-E8</f>
        <v>1.0999999999999979</v>
      </c>
      <c r="AO8" s="31">
        <f>M8-S8</f>
        <v>2.2315651988832768</v>
      </c>
      <c r="AP8" s="32">
        <f>K8-S8</f>
        <v>16.231565198883278</v>
      </c>
      <c r="AQ8" s="26">
        <f>K8-L8</f>
        <v>5.1000000000000005</v>
      </c>
    </row>
    <row r="9" spans="3:43" x14ac:dyDescent="0.25">
      <c r="C9" s="13">
        <v>20171026</v>
      </c>
      <c r="D9" s="13">
        <v>0.69</v>
      </c>
      <c r="E9" s="13">
        <v>25.3</v>
      </c>
      <c r="F9" s="13">
        <v>30.2</v>
      </c>
      <c r="G9" s="58">
        <v>4000</v>
      </c>
      <c r="H9" s="58">
        <v>1000</v>
      </c>
      <c r="I9" s="13">
        <v>57.8</v>
      </c>
      <c r="J9" s="13">
        <v>26.4</v>
      </c>
      <c r="K9" s="13">
        <v>10.3</v>
      </c>
      <c r="L9" s="13">
        <v>5.2</v>
      </c>
      <c r="M9" s="13">
        <v>-3.7</v>
      </c>
      <c r="N9" s="13">
        <v>3.5</v>
      </c>
      <c r="O9" s="13">
        <v>4.9000000000000004</v>
      </c>
      <c r="P9" s="21">
        <v>3.94</v>
      </c>
      <c r="Q9" s="13">
        <v>59</v>
      </c>
      <c r="R9" s="21">
        <v>11.42</v>
      </c>
      <c r="S9" s="17">
        <f>([1]!T_D("R290",P9*100000)-273.15)</f>
        <v>-5.9315651988832769</v>
      </c>
      <c r="T9" s="17">
        <f>[1]!T_D("R290",R9*100000)-273.15</f>
        <v>32.335155489275621</v>
      </c>
      <c r="U9" s="18">
        <f>[1]!T_D("R290",R9*100000)-273.15-J9</f>
        <v>5.9351554892756226</v>
      </c>
      <c r="V9" s="17">
        <f>N9-([1]!T_D("R290",P9*100000)-273.15)</f>
        <v>9.4315651988832769</v>
      </c>
      <c r="W9" s="22">
        <f>O9-([1]!T_D("R290",P9*100000)-273.15)</f>
        <v>10.831565198883277</v>
      </c>
      <c r="X9" s="13">
        <f>[1]!h_TP("R290",N9+273.15,P9*100000)</f>
        <v>582402.06635844219</v>
      </c>
      <c r="Y9" s="20">
        <f>[1]!h_TP("R290",O9+273.15,P9*100000)</f>
        <v>584883.17492826085</v>
      </c>
      <c r="Z9" s="20">
        <f>[1]!h_TP("R290",Q9+273.15,R9*100000)</f>
        <v>662565.21092745522</v>
      </c>
      <c r="AA9" s="13">
        <f>[1]!h_TP("R290",I9+273.15,R9*100000)</f>
        <v>660017.45511490956</v>
      </c>
      <c r="AB9" s="13">
        <f>AA9-AE9/(AG9/1000)</f>
        <v>316396.17318093462</v>
      </c>
      <c r="AC9" s="13">
        <f>[1]!h_L("R290",J9+273.15)</f>
        <v>268224.41856666945</v>
      </c>
      <c r="AD9" s="13"/>
      <c r="AE9" s="19">
        <f>D9/3600*H9*G9*(F9-E9)</f>
        <v>3756.6666666666656</v>
      </c>
      <c r="AF9" s="17">
        <f>AG9/1000*(AA9-[1]!h_L("R290",J9+273.15))</f>
        <v>4283.3081593464694</v>
      </c>
      <c r="AG9" s="17">
        <f>[1]!poly(S9,T9,ZB10KAU!$B$18,ZB10KAU!$C$18,ZB10KAU!$D$18,ZB10KAU!$E$18,ZB10KAU!$F$18,ZB10KAU!$G$18,ZB10KAU!$H$18,ZB10KAU!$I$18,ZB10KAU!$J$18,ZB10KAU!$K$18)</f>
        <v>10.932578580474797</v>
      </c>
      <c r="AH9" s="13">
        <f>[1]!h_TP("R290",T9+273.15,R9*100000)</f>
        <v>605031.03001603566</v>
      </c>
      <c r="AI9" s="13">
        <f>[1]!h_L("R290",T9+273.15)</f>
        <v>284442.99912261864</v>
      </c>
      <c r="AJ9" s="29">
        <f>(AB9-AI9)/(AH9-AI9)</f>
        <v>9.9670514739020818E-2</v>
      </c>
      <c r="AK9" s="30">
        <f>AG9/1000*(X9-AB9)</f>
        <v>2908.1303300324862</v>
      </c>
      <c r="AL9" s="30">
        <f>[1]!poly(S9,T9,ZB10KAU!$B$14,ZB10KAU!$C$14,ZB10KAU!$D$14,ZB10KAU!$E$14,ZB10KAU!$F$14,ZB10KAU!$G$14,ZB10KAU!$H$14,ZB10KAU!$I$14,ZB10KAU!$J$14,ZB10KAU!$K$14)*1000</f>
        <v>878.41216252921356</v>
      </c>
      <c r="AM9" s="31">
        <f>T9-F9</f>
        <v>2.1351554892756219</v>
      </c>
      <c r="AN9" s="31">
        <f>J9-E9</f>
        <v>1.0999999999999979</v>
      </c>
      <c r="AO9" s="31">
        <f>M9-S9</f>
        <v>2.2315651988832768</v>
      </c>
      <c r="AP9" s="32">
        <f>K9-S9</f>
        <v>16.231565198883278</v>
      </c>
      <c r="AQ9" s="26">
        <f>K9-L9</f>
        <v>5.1000000000000005</v>
      </c>
    </row>
    <row r="11" spans="3:43" x14ac:dyDescent="0.25">
      <c r="AM11" s="24"/>
    </row>
    <row r="16" spans="3:43" x14ac:dyDescent="0.25">
      <c r="AM16" s="24"/>
    </row>
    <row r="19" spans="39:39" x14ac:dyDescent="0.25">
      <c r="AM19" s="24"/>
    </row>
    <row r="21" spans="39:39" x14ac:dyDescent="0.25">
      <c r="AM21" s="24"/>
    </row>
    <row r="26" spans="39:39" x14ac:dyDescent="0.25">
      <c r="AM2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I11"/>
  <sheetViews>
    <sheetView workbookViewId="0">
      <selection activeCell="G22" sqref="G22"/>
    </sheetView>
  </sheetViews>
  <sheetFormatPr defaultRowHeight="15" x14ac:dyDescent="0.25"/>
  <cols>
    <col min="5" max="5" width="10.28515625" bestFit="1" customWidth="1"/>
  </cols>
  <sheetData>
    <row r="2" spans="2:9" x14ac:dyDescent="0.25">
      <c r="C2" t="s">
        <v>126</v>
      </c>
      <c r="D2" s="16">
        <v>20171020</v>
      </c>
      <c r="H2" s="16">
        <v>20171020</v>
      </c>
    </row>
    <row r="4" spans="2:9" x14ac:dyDescent="0.25">
      <c r="C4" t="s">
        <v>124</v>
      </c>
      <c r="D4" t="s">
        <v>123</v>
      </c>
      <c r="G4" t="s">
        <v>124</v>
      </c>
      <c r="H4" t="s">
        <v>123</v>
      </c>
    </row>
    <row r="5" spans="2:9" x14ac:dyDescent="0.25">
      <c r="B5">
        <v>1</v>
      </c>
      <c r="C5">
        <f>VLOOKUP(D2,Summary!$C8:$AC18,22)</f>
        <v>582402.06635844219</v>
      </c>
      <c r="D5">
        <f>VLOOKUP(D2,Summary!$C8:$AC18,14)</f>
        <v>3.94</v>
      </c>
      <c r="F5">
        <v>1</v>
      </c>
      <c r="G5">
        <f>VLOOKUP(H2,Summary!$C8:$AC18,22)</f>
        <v>582402.06635844219</v>
      </c>
      <c r="H5">
        <f>VLOOKUP(H2,Summary!$C8:$AC18,14)</f>
        <v>3.94</v>
      </c>
    </row>
    <row r="6" spans="2:9" x14ac:dyDescent="0.25">
      <c r="B6">
        <v>2</v>
      </c>
      <c r="C6">
        <f>VLOOKUP(D2,Summary!$C8:$AC18,23)</f>
        <v>584883.17492826085</v>
      </c>
      <c r="D6">
        <f>D5</f>
        <v>3.94</v>
      </c>
      <c r="F6">
        <v>2</v>
      </c>
      <c r="G6">
        <f>VLOOKUP(H2,Summary!$C8:$AC18,23)</f>
        <v>584883.17492826085</v>
      </c>
      <c r="H6">
        <f>H5</f>
        <v>3.94</v>
      </c>
    </row>
    <row r="7" spans="2:9" x14ac:dyDescent="0.25">
      <c r="B7">
        <v>3</v>
      </c>
      <c r="C7">
        <f>VLOOKUP(D2,Summary!$C8:$AC18,24)</f>
        <v>662565.21092745522</v>
      </c>
      <c r="D7">
        <f>VLOOKUP(D2,Summary!$C8:$AC18,16)</f>
        <v>11.42</v>
      </c>
      <c r="F7">
        <v>3</v>
      </c>
      <c r="G7">
        <f>VLOOKUP(H2,Summary!$C8:$AC18,24)</f>
        <v>662565.21092745522</v>
      </c>
      <c r="H7">
        <f>VLOOKUP(H2,Summary!$C8:$AC18,16)</f>
        <v>11.42</v>
      </c>
    </row>
    <row r="8" spans="2:9" x14ac:dyDescent="0.25">
      <c r="B8">
        <v>4</v>
      </c>
      <c r="C8">
        <f>VLOOKUP(D2,Summary!$C8:$AC18,25)</f>
        <v>660017.45511490956</v>
      </c>
      <c r="D8">
        <f>D7</f>
        <v>11.42</v>
      </c>
      <c r="F8">
        <v>4</v>
      </c>
      <c r="G8">
        <f>VLOOKUP(H2,Summary!$C8:$AC18,25)</f>
        <v>660017.45511490956</v>
      </c>
      <c r="H8">
        <f>H7</f>
        <v>11.42</v>
      </c>
    </row>
    <row r="9" spans="2:9" ht="15.75" x14ac:dyDescent="0.25">
      <c r="B9">
        <v>5</v>
      </c>
      <c r="C9" s="34">
        <f>VLOOKUP(D2,Summary!$C8:$AC18,26)</f>
        <v>300331.87825052132</v>
      </c>
      <c r="D9">
        <f>D8</f>
        <v>11.42</v>
      </c>
      <c r="E9" s="33" t="s">
        <v>167</v>
      </c>
      <c r="F9">
        <v>5</v>
      </c>
      <c r="G9" s="34">
        <f>VLOOKUP(H2,Summary!$C8:$AC18,27)</f>
        <v>268224.41856666945</v>
      </c>
      <c r="H9">
        <f>H8</f>
        <v>11.42</v>
      </c>
      <c r="I9" s="34" t="s">
        <v>168</v>
      </c>
    </row>
    <row r="10" spans="2:9" x14ac:dyDescent="0.25">
      <c r="B10">
        <v>6</v>
      </c>
      <c r="C10">
        <f>C9</f>
        <v>300331.87825052132</v>
      </c>
      <c r="D10">
        <f>D6</f>
        <v>3.94</v>
      </c>
      <c r="F10">
        <v>6</v>
      </c>
      <c r="G10">
        <f>G9</f>
        <v>268224.41856666945</v>
      </c>
      <c r="H10">
        <f>H6</f>
        <v>3.94</v>
      </c>
    </row>
    <row r="11" spans="2:9" x14ac:dyDescent="0.25">
      <c r="B11">
        <v>7</v>
      </c>
      <c r="C11">
        <f>C5</f>
        <v>582402.06635844219</v>
      </c>
      <c r="D11">
        <f>D5</f>
        <v>3.94</v>
      </c>
      <c r="F11">
        <v>7</v>
      </c>
      <c r="G11">
        <f>G5</f>
        <v>582402.06635844219</v>
      </c>
      <c r="H11">
        <f>H5</f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L49"/>
  <sheetViews>
    <sheetView topLeftCell="A10" workbookViewId="0">
      <selection activeCell="I6" sqref="I6:I49"/>
    </sheetView>
  </sheetViews>
  <sheetFormatPr defaultRowHeight="15" x14ac:dyDescent="0.25"/>
  <sheetData>
    <row r="2" spans="3:12" x14ac:dyDescent="0.25">
      <c r="E2">
        <f>[1]!pc("R290")/100000</f>
        <v>42.61</v>
      </c>
    </row>
    <row r="5" spans="3:12" x14ac:dyDescent="0.25">
      <c r="C5" t="s">
        <v>123</v>
      </c>
      <c r="E5" t="s">
        <v>125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</row>
    <row r="6" spans="3:12" x14ac:dyDescent="0.25">
      <c r="C6">
        <v>0.5</v>
      </c>
      <c r="D6">
        <f>[1]!T_B("R290",C6*100000)-273.15</f>
        <v>-56.93336073999302</v>
      </c>
      <c r="E6">
        <f>[1]!h_L("R290",D6+273.15)</f>
        <v>67951.414384170334</v>
      </c>
      <c r="F6">
        <f>[1]!h_TP("R290",[1]!T_D("R290",C6*100000),C6*100000)</f>
        <v>507183.86928035959</v>
      </c>
      <c r="G6">
        <f>0.05*(F6-E6)+E6</f>
        <v>89913.037128979806</v>
      </c>
      <c r="H6">
        <f>0.1*(F6-E6)+E6</f>
        <v>111874.65987378926</v>
      </c>
      <c r="I6">
        <f>0.2*(F6-E6)+E6</f>
        <v>155797.90536340821</v>
      </c>
      <c r="J6">
        <f>0.4*(F6-E6)+E6</f>
        <v>243644.39634264604</v>
      </c>
      <c r="K6">
        <f>0.6*(F6-E6)+E6</f>
        <v>331490.88732188387</v>
      </c>
      <c r="L6">
        <f>0.8*(F6-E6)+E6</f>
        <v>419337.37830112176</v>
      </c>
    </row>
    <row r="7" spans="3:12" x14ac:dyDescent="0.25">
      <c r="C7">
        <v>1</v>
      </c>
      <c r="D7">
        <f>[1]!T_B("R290",C7*100000)-273.15</f>
        <v>-42.38290934424586</v>
      </c>
      <c r="E7">
        <f>[1]!h_L("R290",D7+273.15)</f>
        <v>100329.47960835634</v>
      </c>
      <c r="F7">
        <f>[1]!h_TP("R290",[1]!T_D("R290",C7*100000),C7*100000)</f>
        <v>524204.3432701886</v>
      </c>
      <c r="G7">
        <f t="shared" ref="G7:G49" si="0">0.05*(F7-E7)+E7</f>
        <v>121523.22279144796</v>
      </c>
      <c r="H7">
        <f t="shared" ref="H7:H49" si="1">0.1*(F7-E7)+E7</f>
        <v>142716.96597453958</v>
      </c>
      <c r="I7">
        <f t="shared" ref="I7:I49" si="2">0.2*(F7-E7)+E7</f>
        <v>185104.45234072281</v>
      </c>
      <c r="J7">
        <f t="shared" ref="J7:J49" si="3">0.4*(F7-E7)+E7</f>
        <v>269879.42507308931</v>
      </c>
      <c r="K7">
        <f t="shared" ref="K7:K49" si="4">0.6*(F7-E7)+E7</f>
        <v>354654.39780545572</v>
      </c>
      <c r="L7">
        <f t="shared" ref="L7:L49" si="5">0.8*(F7-E7)+E7</f>
        <v>439429.37053782225</v>
      </c>
    </row>
    <row r="8" spans="3:12" x14ac:dyDescent="0.25">
      <c r="C8">
        <v>2</v>
      </c>
      <c r="D8">
        <f>[1]!T_B("R290",C8*100000)-273.15</f>
        <v>-25.429224471149496</v>
      </c>
      <c r="E8">
        <f>[1]!h_L("R290",D8+273.15)</f>
        <v>139044.57603282219</v>
      </c>
      <c r="F8">
        <f>[1]!h_TP("R290",[1]!T_D("R290",C8*100000),C8*100000)</f>
        <v>543791.31298892503</v>
      </c>
      <c r="G8">
        <f t="shared" si="0"/>
        <v>159281.91288062732</v>
      </c>
      <c r="H8">
        <f t="shared" si="1"/>
        <v>179519.24972843248</v>
      </c>
      <c r="I8">
        <f t="shared" si="2"/>
        <v>219993.92342404276</v>
      </c>
      <c r="J8">
        <f t="shared" si="3"/>
        <v>300943.27081526333</v>
      </c>
      <c r="K8">
        <f t="shared" si="4"/>
        <v>381892.61820648389</v>
      </c>
      <c r="L8">
        <f t="shared" si="5"/>
        <v>462841.96559770446</v>
      </c>
    </row>
    <row r="9" spans="3:12" x14ac:dyDescent="0.25">
      <c r="C9">
        <v>3</v>
      </c>
      <c r="D9">
        <f>[1]!T_B("R290",C9*100000)-273.15</f>
        <v>-14.160063533124287</v>
      </c>
      <c r="E9">
        <f>[1]!h_L("R290",D9+273.15)</f>
        <v>165570.06451966875</v>
      </c>
      <c r="F9">
        <f>[1]!h_TP("R290",[1]!T_D("R290",C9*100000),C9*100000)</f>
        <v>556563.49387523672</v>
      </c>
      <c r="G9">
        <f t="shared" si="0"/>
        <v>185119.73598744714</v>
      </c>
      <c r="H9">
        <f t="shared" si="1"/>
        <v>204669.40745522556</v>
      </c>
      <c r="I9">
        <f t="shared" si="2"/>
        <v>243768.75039078237</v>
      </c>
      <c r="J9">
        <f t="shared" si="3"/>
        <v>321967.43626189593</v>
      </c>
      <c r="K9">
        <f t="shared" si="4"/>
        <v>400166.12213300948</v>
      </c>
      <c r="L9">
        <f t="shared" si="5"/>
        <v>478364.80800412316</v>
      </c>
    </row>
    <row r="10" spans="3:12" x14ac:dyDescent="0.25">
      <c r="C10">
        <v>4</v>
      </c>
      <c r="D10">
        <f>[1]!T_B("R290",C10*100000)-273.15</f>
        <v>-5.4586974984467815</v>
      </c>
      <c r="E10">
        <f>[1]!h_L("R290",D10+273.15)</f>
        <v>186569.45261535619</v>
      </c>
      <c r="F10">
        <f>[1]!h_TP("R290",[1]!T_D("R290",C10*100000),C10*100000)</f>
        <v>566237.50317825854</v>
      </c>
      <c r="G10">
        <f t="shared" si="0"/>
        <v>205552.85514350131</v>
      </c>
      <c r="H10">
        <f t="shared" si="1"/>
        <v>224536.25767164642</v>
      </c>
      <c r="I10">
        <f t="shared" si="2"/>
        <v>262503.06272793666</v>
      </c>
      <c r="J10">
        <f t="shared" si="3"/>
        <v>338436.67284051713</v>
      </c>
      <c r="K10">
        <f t="shared" si="4"/>
        <v>414370.2829530976</v>
      </c>
      <c r="L10">
        <f t="shared" si="5"/>
        <v>490303.89306567807</v>
      </c>
    </row>
    <row r="11" spans="3:12" x14ac:dyDescent="0.25">
      <c r="C11">
        <v>5</v>
      </c>
      <c r="D11">
        <f>[1]!T_B("R290",C11*100000)-273.15</f>
        <v>1.7380962142318594</v>
      </c>
      <c r="E11">
        <f>[1]!h_L("R290",D11+273.15)</f>
        <v>204319.5758151378</v>
      </c>
      <c r="F11">
        <f>[1]!h_TP("R290",[1]!T_D("R290",C11*100000),C11*100000)</f>
        <v>574083.68734060996</v>
      </c>
      <c r="G11">
        <f t="shared" si="0"/>
        <v>222807.78139141141</v>
      </c>
      <c r="H11">
        <f t="shared" si="1"/>
        <v>241295.98696768502</v>
      </c>
      <c r="I11">
        <f t="shared" si="2"/>
        <v>278272.39812023222</v>
      </c>
      <c r="J11">
        <f t="shared" si="3"/>
        <v>352225.22042532667</v>
      </c>
      <c r="K11">
        <f t="shared" si="4"/>
        <v>426178.04273042106</v>
      </c>
      <c r="L11">
        <f t="shared" si="5"/>
        <v>500130.86503551551</v>
      </c>
    </row>
    <row r="12" spans="3:12" x14ac:dyDescent="0.25">
      <c r="C12">
        <v>6</v>
      </c>
      <c r="D12">
        <f>[1]!T_B("R290",C12*100000)-273.15</f>
        <v>7.9321985869024161</v>
      </c>
      <c r="E12">
        <f>[1]!h_L("R290",D12+273.15)</f>
        <v>219897.83332011019</v>
      </c>
      <c r="F12">
        <f>[1]!h_TP("R290",[1]!T_D("R290",C12*100000),C12*100000)</f>
        <v>580701.32405648951</v>
      </c>
      <c r="G12">
        <f t="shared" si="0"/>
        <v>237938.00785692915</v>
      </c>
      <c r="H12">
        <f t="shared" si="1"/>
        <v>255978.18239374814</v>
      </c>
      <c r="I12">
        <f t="shared" si="2"/>
        <v>292058.53146738606</v>
      </c>
      <c r="J12">
        <f t="shared" si="3"/>
        <v>364219.22961466189</v>
      </c>
      <c r="K12">
        <f t="shared" si="4"/>
        <v>436379.92776193772</v>
      </c>
      <c r="L12">
        <f t="shared" si="5"/>
        <v>508540.62590921368</v>
      </c>
    </row>
    <row r="13" spans="3:12" x14ac:dyDescent="0.25">
      <c r="C13">
        <v>7</v>
      </c>
      <c r="D13">
        <f>[1]!T_B("R290",C13*100000)-273.15</f>
        <v>13.403721488373094</v>
      </c>
      <c r="E13">
        <f>[1]!h_L("R290",D13+273.15)</f>
        <v>233908.05379895124</v>
      </c>
      <c r="F13">
        <f>[1]!h_TP("R290",[1]!T_D("R290",C13*100000),C13*100000)</f>
        <v>586424.18408810464</v>
      </c>
      <c r="G13">
        <f t="shared" si="0"/>
        <v>251533.86031340892</v>
      </c>
      <c r="H13">
        <f t="shared" si="1"/>
        <v>269159.66682786657</v>
      </c>
      <c r="I13">
        <f t="shared" si="2"/>
        <v>304411.27985678194</v>
      </c>
      <c r="J13">
        <f t="shared" si="3"/>
        <v>374914.50591461262</v>
      </c>
      <c r="K13">
        <f t="shared" si="4"/>
        <v>445417.73197244329</v>
      </c>
      <c r="L13">
        <f t="shared" si="5"/>
        <v>515920.95803027402</v>
      </c>
    </row>
    <row r="14" spans="3:12" x14ac:dyDescent="0.25">
      <c r="C14">
        <v>8</v>
      </c>
      <c r="D14">
        <f>[1]!T_B("R290",C14*100000)-273.15</f>
        <v>18.326251496110672</v>
      </c>
      <c r="E14">
        <f>[1]!h_L("R290",D14+273.15)</f>
        <v>246725.49930335552</v>
      </c>
      <c r="F14">
        <f>[1]!h_TP("R290",[1]!T_D("R290",C14*100000),C14*100000)</f>
        <v>591458.49508551799</v>
      </c>
      <c r="G14">
        <f t="shared" si="0"/>
        <v>263962.14909246366</v>
      </c>
      <c r="H14">
        <f t="shared" si="1"/>
        <v>281198.79888157174</v>
      </c>
      <c r="I14">
        <f t="shared" si="2"/>
        <v>315672.09845978802</v>
      </c>
      <c r="J14">
        <f t="shared" si="3"/>
        <v>384618.69761622051</v>
      </c>
      <c r="K14">
        <f t="shared" si="4"/>
        <v>453565.296772653</v>
      </c>
      <c r="L14">
        <f t="shared" si="5"/>
        <v>522511.8959290855</v>
      </c>
    </row>
    <row r="15" spans="3:12" x14ac:dyDescent="0.25">
      <c r="C15">
        <v>9</v>
      </c>
      <c r="D15">
        <f>[1]!T_B("R290",C15*100000)-273.15</f>
        <v>22.815414449254718</v>
      </c>
      <c r="E15">
        <f>[1]!h_L("R290",D15+273.15)</f>
        <v>258603.10864190955</v>
      </c>
      <c r="F15">
        <f>[1]!h_TP("R290",[1]!T_D("R290",C15*100000),C15*100000)</f>
        <v>595940.85848727764</v>
      </c>
      <c r="G15">
        <f t="shared" si="0"/>
        <v>275469.99613417796</v>
      </c>
      <c r="H15">
        <f t="shared" si="1"/>
        <v>292336.88362644636</v>
      </c>
      <c r="I15">
        <f t="shared" si="2"/>
        <v>326070.65861098317</v>
      </c>
      <c r="J15">
        <f t="shared" si="3"/>
        <v>393538.20858005679</v>
      </c>
      <c r="K15">
        <f t="shared" si="4"/>
        <v>461005.75854913041</v>
      </c>
      <c r="L15">
        <f t="shared" si="5"/>
        <v>528473.30851820402</v>
      </c>
    </row>
    <row r="16" spans="3:12" x14ac:dyDescent="0.25">
      <c r="C16">
        <v>10</v>
      </c>
      <c r="D16">
        <f>[1]!T_B("R290",C16*100000)-273.15</f>
        <v>26.952421677365749</v>
      </c>
      <c r="E16">
        <f>[1]!h_L("R290",D16+273.15)</f>
        <v>269718.46979454038</v>
      </c>
      <c r="F16">
        <f>[1]!h_TP("R290",[1]!T_D("R290",C16*100000),C16*100000)</f>
        <v>599966.73496161902</v>
      </c>
      <c r="G16">
        <f t="shared" si="0"/>
        <v>286230.88305289432</v>
      </c>
      <c r="H16">
        <f t="shared" si="1"/>
        <v>302743.29631124821</v>
      </c>
      <c r="I16">
        <f t="shared" si="2"/>
        <v>335768.1228279561</v>
      </c>
      <c r="J16">
        <f t="shared" si="3"/>
        <v>401817.77586137183</v>
      </c>
      <c r="K16">
        <f t="shared" si="4"/>
        <v>467867.42889478756</v>
      </c>
      <c r="L16">
        <f t="shared" si="5"/>
        <v>533917.08192820335</v>
      </c>
    </row>
    <row r="17" spans="3:12" x14ac:dyDescent="0.25">
      <c r="C17">
        <v>11</v>
      </c>
      <c r="D17">
        <f>[1]!T_B("R290",C17*100000)-273.15</f>
        <v>30.796673193447134</v>
      </c>
      <c r="E17">
        <f>[1]!h_L("R290",D17+273.15)</f>
        <v>280202.81126007321</v>
      </c>
      <c r="F17">
        <f>[1]!h_TP("R290",[1]!T_D("R290",C17*100000),C17*100000)</f>
        <v>603605.34860781149</v>
      </c>
      <c r="G17">
        <f t="shared" si="0"/>
        <v>296372.93812746013</v>
      </c>
      <c r="H17">
        <f t="shared" si="1"/>
        <v>312543.06499484705</v>
      </c>
      <c r="I17">
        <f t="shared" si="2"/>
        <v>344883.31872962089</v>
      </c>
      <c r="J17">
        <f t="shared" si="3"/>
        <v>409563.82619916851</v>
      </c>
      <c r="K17">
        <f t="shared" si="4"/>
        <v>474244.33366871614</v>
      </c>
      <c r="L17">
        <f t="shared" si="5"/>
        <v>538924.84113826382</v>
      </c>
    </row>
    <row r="18" spans="3:12" x14ac:dyDescent="0.25">
      <c r="C18">
        <v>12</v>
      </c>
      <c r="D18">
        <f>[1]!T_B("R290",C18*100000)-273.15</f>
        <v>34.393069980389726</v>
      </c>
      <c r="E18">
        <f>[1]!h_L("R290",D18+273.15)</f>
        <v>290156.24060101301</v>
      </c>
      <c r="F18">
        <f>[1]!h_TP("R290",[1]!T_D("R290",C18*100000),C18*100000)</f>
        <v>606908.50343264069</v>
      </c>
      <c r="G18">
        <f t="shared" si="0"/>
        <v>305993.85374259437</v>
      </c>
      <c r="H18">
        <f t="shared" si="1"/>
        <v>321831.46688417578</v>
      </c>
      <c r="I18">
        <f t="shared" si="2"/>
        <v>353506.69316733856</v>
      </c>
      <c r="J18">
        <f t="shared" si="3"/>
        <v>416857.1457336641</v>
      </c>
      <c r="K18">
        <f t="shared" si="4"/>
        <v>480207.59829998959</v>
      </c>
      <c r="L18">
        <f t="shared" si="5"/>
        <v>543558.05086631514</v>
      </c>
    </row>
    <row r="19" spans="3:12" x14ac:dyDescent="0.25">
      <c r="C19">
        <v>13</v>
      </c>
      <c r="D19">
        <f>[1]!T_B("R290",C19*100000)-273.15</f>
        <v>37.776395404087395</v>
      </c>
      <c r="E19">
        <f>[1]!h_L("R290",D19+273.15)</f>
        <v>299656.20158758591</v>
      </c>
      <c r="F19">
        <f>[1]!h_TP("R290",[1]!T_D("R290",C19*100000),C19*100000)</f>
        <v>609915.88444265397</v>
      </c>
      <c r="G19">
        <f t="shared" si="0"/>
        <v>315169.18573033932</v>
      </c>
      <c r="H19">
        <f t="shared" si="1"/>
        <v>330682.16987309273</v>
      </c>
      <c r="I19">
        <f t="shared" si="2"/>
        <v>361708.1381585995</v>
      </c>
      <c r="J19">
        <f t="shared" si="3"/>
        <v>423760.07472961314</v>
      </c>
      <c r="K19">
        <f t="shared" si="4"/>
        <v>485812.01130062673</v>
      </c>
      <c r="L19">
        <f t="shared" si="5"/>
        <v>547863.94787164032</v>
      </c>
    </row>
    <row r="20" spans="3:12" x14ac:dyDescent="0.25">
      <c r="C20">
        <v>14</v>
      </c>
      <c r="D20">
        <f>[1]!T_B("R290",C20*100000)-273.15</f>
        <v>40.97423971149334</v>
      </c>
      <c r="E20">
        <f>[1]!h_L("R290",D20+273.15)</f>
        <v>308767.15695471794</v>
      </c>
      <c r="F20">
        <f>[1]!h_TP("R290",[1]!T_D("R290",C20*100000),C20*100000)</f>
        <v>612658.10571692651</v>
      </c>
      <c r="G20">
        <f t="shared" si="0"/>
        <v>323961.7043928284</v>
      </c>
      <c r="H20">
        <f t="shared" si="1"/>
        <v>339156.2518309388</v>
      </c>
      <c r="I20">
        <f t="shared" si="2"/>
        <v>369545.34670715965</v>
      </c>
      <c r="J20">
        <f t="shared" si="3"/>
        <v>430323.53645960137</v>
      </c>
      <c r="K20">
        <f t="shared" si="4"/>
        <v>491101.72621204308</v>
      </c>
      <c r="L20">
        <f t="shared" si="5"/>
        <v>551879.9159644848</v>
      </c>
    </row>
    <row r="21" spans="3:12" x14ac:dyDescent="0.25">
      <c r="C21">
        <v>15</v>
      </c>
      <c r="D21">
        <f>[1]!T_B("R290",C21*100000)-273.15</f>
        <v>44.008866793966774</v>
      </c>
      <c r="E21">
        <f>[1]!h_L("R290",D21+273.15)</f>
        <v>317539.95459707314</v>
      </c>
      <c r="F21">
        <f>[1]!h_TP("R290",[1]!T_D("R290",C21*100000),C21*100000)</f>
        <v>615159.57368956413</v>
      </c>
      <c r="G21">
        <f t="shared" si="0"/>
        <v>332420.93555169768</v>
      </c>
      <c r="H21">
        <f t="shared" si="1"/>
        <v>347301.91650632222</v>
      </c>
      <c r="I21">
        <f t="shared" si="2"/>
        <v>377063.87841557135</v>
      </c>
      <c r="J21">
        <f t="shared" si="3"/>
        <v>436587.80223406956</v>
      </c>
      <c r="K21">
        <f t="shared" si="4"/>
        <v>496111.72605256771</v>
      </c>
      <c r="L21">
        <f t="shared" si="5"/>
        <v>555635.64987106598</v>
      </c>
    </row>
    <row r="22" spans="3:12" x14ac:dyDescent="0.25">
      <c r="C22">
        <v>16</v>
      </c>
      <c r="D22">
        <f>[1]!T_B("R290",C22*100000)-273.15</f>
        <v>46.898530286863831</v>
      </c>
      <c r="E22">
        <f>[1]!h_L("R290",D22+273.15)</f>
        <v>326017.55857102096</v>
      </c>
      <c r="F22">
        <f>[1]!h_TP("R290",[1]!T_D("R290",C22*100000),C22*100000)</f>
        <v>617439.62913779065</v>
      </c>
      <c r="G22">
        <f t="shared" si="0"/>
        <v>340588.66209935944</v>
      </c>
      <c r="H22">
        <f t="shared" si="1"/>
        <v>355159.76562769793</v>
      </c>
      <c r="I22">
        <f t="shared" si="2"/>
        <v>384301.97268437489</v>
      </c>
      <c r="J22">
        <f t="shared" si="3"/>
        <v>442586.38679772883</v>
      </c>
      <c r="K22">
        <f t="shared" si="4"/>
        <v>500870.80091108277</v>
      </c>
      <c r="L22">
        <f t="shared" si="5"/>
        <v>559155.21502443671</v>
      </c>
    </row>
    <row r="23" spans="3:12" x14ac:dyDescent="0.25">
      <c r="C23">
        <v>17</v>
      </c>
      <c r="D23">
        <f>[1]!T_B("R290",C23*100000)-273.15</f>
        <v>49.658399719165175</v>
      </c>
      <c r="E23">
        <f>[1]!h_L("R290",D23+273.15)</f>
        <v>334236.39517222834</v>
      </c>
      <c r="F23">
        <f>[1]!h_TP("R290",[1]!T_D("R290",C23*100000),C23*100000)</f>
        <v>619513.72451933764</v>
      </c>
      <c r="G23">
        <f t="shared" si="0"/>
        <v>348500.2616395838</v>
      </c>
      <c r="H23">
        <f t="shared" si="1"/>
        <v>362764.12810693926</v>
      </c>
      <c r="I23">
        <f t="shared" si="2"/>
        <v>391291.86104165018</v>
      </c>
      <c r="J23">
        <f t="shared" si="3"/>
        <v>448347.32691107207</v>
      </c>
      <c r="K23">
        <f t="shared" si="4"/>
        <v>505402.79278049391</v>
      </c>
      <c r="L23">
        <f t="shared" si="5"/>
        <v>562458.25864991581</v>
      </c>
    </row>
    <row r="24" spans="3:12" x14ac:dyDescent="0.25">
      <c r="C24">
        <v>18</v>
      </c>
      <c r="D24">
        <f>[1]!T_B("R290",C24*100000)-273.15</f>
        <v>52.30123147351668</v>
      </c>
      <c r="E24">
        <f>[1]!h_L("R290",D24+273.15)</f>
        <v>342226.71735562145</v>
      </c>
      <c r="F24">
        <f>[1]!h_TP("R290",[1]!T_D("R290",C24*100000),C24*100000)</f>
        <v>621394.45027809707</v>
      </c>
      <c r="G24">
        <f t="shared" si="0"/>
        <v>356185.10400174523</v>
      </c>
      <c r="H24">
        <f t="shared" si="1"/>
        <v>370143.49064786901</v>
      </c>
      <c r="I24">
        <f t="shared" si="2"/>
        <v>398060.26394011657</v>
      </c>
      <c r="J24">
        <f t="shared" si="3"/>
        <v>453893.81052461173</v>
      </c>
      <c r="K24">
        <f t="shared" si="4"/>
        <v>509727.35710910684</v>
      </c>
      <c r="L24">
        <f t="shared" si="5"/>
        <v>565560.90369360195</v>
      </c>
    </row>
    <row r="25" spans="3:12" x14ac:dyDescent="0.25">
      <c r="C25">
        <v>19</v>
      </c>
      <c r="D25">
        <f>[1]!T_B("R290",C25*100000)-273.15</f>
        <v>54.837865008447352</v>
      </c>
      <c r="E25">
        <f>[1]!h_L("R290",D25+273.15)</f>
        <v>350017.82438297616</v>
      </c>
      <c r="F25">
        <f>[1]!h_TP("R290",[1]!T_D("R290",C25*100000),C25*100000)</f>
        <v>623091.17199391709</v>
      </c>
      <c r="G25">
        <f t="shared" si="0"/>
        <v>363671.4917635232</v>
      </c>
      <c r="H25">
        <f t="shared" si="1"/>
        <v>377325.15914407023</v>
      </c>
      <c r="I25">
        <f t="shared" si="2"/>
        <v>404632.49390516436</v>
      </c>
      <c r="J25">
        <f t="shared" si="3"/>
        <v>459247.16342735256</v>
      </c>
      <c r="K25">
        <f t="shared" si="4"/>
        <v>513861.83294954069</v>
      </c>
      <c r="L25">
        <f t="shared" si="5"/>
        <v>568476.50247172895</v>
      </c>
    </row>
    <row r="26" spans="3:12" x14ac:dyDescent="0.25">
      <c r="C26">
        <v>20</v>
      </c>
      <c r="D26">
        <f>[1]!T_B("R290",C26*100000)-273.15</f>
        <v>57.277596566312184</v>
      </c>
      <c r="E26">
        <f>[1]!h_L("R290",D26+273.15)</f>
        <v>357633.12718684837</v>
      </c>
      <c r="F26">
        <f>[1]!h_TP("R290",[1]!T_D("R290",C26*100000),C26*100000)</f>
        <v>624611.70376970933</v>
      </c>
      <c r="G26">
        <f t="shared" si="0"/>
        <v>370982.05601599143</v>
      </c>
      <c r="H26">
        <f t="shared" si="1"/>
        <v>384330.98484513449</v>
      </c>
      <c r="I26">
        <f t="shared" si="2"/>
        <v>411028.84250342054</v>
      </c>
      <c r="J26">
        <f t="shared" si="3"/>
        <v>464424.55781999277</v>
      </c>
      <c r="K26">
        <f t="shared" si="4"/>
        <v>517820.27313656494</v>
      </c>
      <c r="L26">
        <f t="shared" si="5"/>
        <v>571215.98845313722</v>
      </c>
    </row>
    <row r="27" spans="3:12" x14ac:dyDescent="0.25">
      <c r="C27">
        <v>21</v>
      </c>
      <c r="D27">
        <f>[1]!T_B("R290",C27*100000)-273.15</f>
        <v>59.628465172709184</v>
      </c>
      <c r="E27">
        <f>[1]!h_L("R290",D27+273.15)</f>
        <v>365093.46079361218</v>
      </c>
      <c r="F27">
        <f>[1]!h_TP("R290",[1]!T_D("R290",C27*100000),C27*100000)</f>
        <v>625962.0935896599</v>
      </c>
      <c r="G27">
        <f t="shared" si="0"/>
        <v>378136.89243341458</v>
      </c>
      <c r="H27">
        <f t="shared" si="1"/>
        <v>391180.32407321694</v>
      </c>
      <c r="I27">
        <f t="shared" si="2"/>
        <v>417267.1873528217</v>
      </c>
      <c r="J27">
        <f t="shared" si="3"/>
        <v>469440.91391203128</v>
      </c>
      <c r="K27">
        <f t="shared" si="4"/>
        <v>521614.6404712408</v>
      </c>
      <c r="L27">
        <f t="shared" si="5"/>
        <v>573788.36703045038</v>
      </c>
    </row>
    <row r="28" spans="3:12" x14ac:dyDescent="0.25">
      <c r="C28">
        <v>22</v>
      </c>
      <c r="D28">
        <f>[1]!T_B("R290",C28*100000)-273.15</f>
        <v>61.89747467140063</v>
      </c>
      <c r="E28">
        <f>[1]!h_L("R290",D28+273.15)</f>
        <v>372420.32200948044</v>
      </c>
      <c r="F28">
        <f>[1]!h_TP("R290",[1]!T_D("R290",C28*100000),C28*100000)</f>
        <v>627146.02980075264</v>
      </c>
      <c r="G28">
        <f t="shared" si="0"/>
        <v>385156.60739904403</v>
      </c>
      <c r="H28">
        <f t="shared" si="1"/>
        <v>397892.89278860769</v>
      </c>
      <c r="I28">
        <f t="shared" si="2"/>
        <v>423365.46356773487</v>
      </c>
      <c r="J28">
        <f t="shared" si="3"/>
        <v>474310.6051259893</v>
      </c>
      <c r="K28">
        <f t="shared" si="4"/>
        <v>525255.74668424379</v>
      </c>
      <c r="L28">
        <f t="shared" si="5"/>
        <v>576200.88824249827</v>
      </c>
    </row>
    <row r="29" spans="3:12" x14ac:dyDescent="0.25">
      <c r="C29">
        <v>23</v>
      </c>
      <c r="D29">
        <f>[1]!T_B("R290",C29*100000)-273.15</f>
        <v>64.090768332040113</v>
      </c>
      <c r="E29">
        <f>[1]!h_L("R290",D29+273.15)</f>
        <v>379631.34749292373</v>
      </c>
      <c r="F29">
        <f>[1]!h_TP("R290",[1]!T_D("R290",C29*100000),C29*100000)</f>
        <v>628166.3270801258</v>
      </c>
      <c r="G29">
        <f t="shared" si="0"/>
        <v>392058.09647228383</v>
      </c>
      <c r="H29">
        <f t="shared" si="1"/>
        <v>404484.84545164392</v>
      </c>
      <c r="I29">
        <f t="shared" si="2"/>
        <v>429338.34341036412</v>
      </c>
      <c r="J29">
        <f t="shared" si="3"/>
        <v>479045.33932780457</v>
      </c>
      <c r="K29">
        <f t="shared" si="4"/>
        <v>528752.3352452449</v>
      </c>
      <c r="L29">
        <f t="shared" si="5"/>
        <v>578459.33116268541</v>
      </c>
    </row>
    <row r="30" spans="3:12" x14ac:dyDescent="0.25">
      <c r="C30">
        <v>24</v>
      </c>
      <c r="D30">
        <f>[1]!T_B("R290",C30*100000)-273.15</f>
        <v>66.213767764697423</v>
      </c>
      <c r="E30">
        <f>[1]!h_L("R290",D30+273.15)</f>
        <v>386742.7065215343</v>
      </c>
      <c r="F30">
        <f>[1]!h_TP("R290",[1]!T_D("R290",C30*100000),C30*100000)</f>
        <v>629024.55627196713</v>
      </c>
      <c r="G30">
        <f t="shared" si="0"/>
        <v>398856.79900905595</v>
      </c>
      <c r="H30">
        <f t="shared" si="1"/>
        <v>410970.89149657759</v>
      </c>
      <c r="I30">
        <f t="shared" si="2"/>
        <v>435199.07647162088</v>
      </c>
      <c r="J30">
        <f t="shared" si="3"/>
        <v>483655.44642170746</v>
      </c>
      <c r="K30">
        <f t="shared" si="4"/>
        <v>532111.81637179398</v>
      </c>
      <c r="L30">
        <f t="shared" si="5"/>
        <v>580568.18632188055</v>
      </c>
    </row>
    <row r="31" spans="3:12" x14ac:dyDescent="0.25">
      <c r="C31">
        <v>25</v>
      </c>
      <c r="D31">
        <f>[1]!T_B("R290",C31*100000)-273.15</f>
        <v>68.271284607636289</v>
      </c>
      <c r="E31">
        <f>[1]!h_L("R290",D31+273.15)</f>
        <v>393772.62366383895</v>
      </c>
      <c r="F31">
        <f>[1]!h_TP("R290",[1]!T_D("R290",C31*100000),C31*100000)</f>
        <v>629719.94151119597</v>
      </c>
      <c r="G31">
        <f t="shared" si="0"/>
        <v>405569.9895562068</v>
      </c>
      <c r="H31">
        <f t="shared" si="1"/>
        <v>417367.35544857464</v>
      </c>
      <c r="I31">
        <f t="shared" si="2"/>
        <v>440962.08723331033</v>
      </c>
      <c r="J31">
        <f t="shared" si="3"/>
        <v>488151.55080278177</v>
      </c>
      <c r="K31">
        <f t="shared" si="4"/>
        <v>535341.01437225309</v>
      </c>
      <c r="L31">
        <f t="shared" si="5"/>
        <v>582530.47794172459</v>
      </c>
    </row>
    <row r="32" spans="3:12" x14ac:dyDescent="0.25">
      <c r="C32">
        <v>26</v>
      </c>
      <c r="D32">
        <f>[1]!T_B("R290",C32*100000)-273.15</f>
        <v>70.267611190602338</v>
      </c>
      <c r="E32">
        <f>[1]!h_L("R290",D32+273.15)</f>
        <v>400735.20979967108</v>
      </c>
      <c r="F32">
        <f>[1]!h_TP("R290",[1]!T_D("R290",C32*100000),C32*100000)</f>
        <v>630251.57574788667</v>
      </c>
      <c r="G32">
        <f t="shared" si="0"/>
        <v>412211.02809708187</v>
      </c>
      <c r="H32">
        <f t="shared" si="1"/>
        <v>423686.84639449266</v>
      </c>
      <c r="I32">
        <f t="shared" si="2"/>
        <v>446638.48298931419</v>
      </c>
      <c r="J32">
        <f t="shared" si="3"/>
        <v>492541.75617895729</v>
      </c>
      <c r="K32">
        <f t="shared" si="4"/>
        <v>538445.02936860046</v>
      </c>
      <c r="L32">
        <f t="shared" si="5"/>
        <v>584348.30255824351</v>
      </c>
    </row>
    <row r="33" spans="3:12" x14ac:dyDescent="0.25">
      <c r="C33">
        <v>27</v>
      </c>
      <c r="D33">
        <f>[1]!T_B("R290",C33*100000)-273.15</f>
        <v>72.206593349873231</v>
      </c>
      <c r="E33">
        <f>[1]!h_L("R290",D33+273.15)</f>
        <v>407647.9936805563</v>
      </c>
      <c r="F33">
        <f>[1]!h_TP("R290",[1]!T_D("R290",C33*100000),C33*100000)</f>
        <v>630615.7417329544</v>
      </c>
      <c r="G33">
        <f t="shared" si="0"/>
        <v>418796.38108317624</v>
      </c>
      <c r="H33">
        <f t="shared" si="1"/>
        <v>429944.76848579611</v>
      </c>
      <c r="I33">
        <f t="shared" si="2"/>
        <v>452241.54329103592</v>
      </c>
      <c r="J33">
        <f t="shared" si="3"/>
        <v>496835.09290151554</v>
      </c>
      <c r="K33">
        <f t="shared" si="4"/>
        <v>541428.64251199516</v>
      </c>
      <c r="L33">
        <f t="shared" si="5"/>
        <v>586022.19212247478</v>
      </c>
    </row>
    <row r="34" spans="3:12" x14ac:dyDescent="0.25">
      <c r="C34">
        <v>28</v>
      </c>
      <c r="D34">
        <f>[1]!T_B("R290",C34*100000)-273.15</f>
        <v>74.091698874184431</v>
      </c>
      <c r="E34">
        <f>[1]!h_L("R290",D34+273.15)</f>
        <v>414524.89920521015</v>
      </c>
      <c r="F34">
        <f>[1]!h_TP("R290",[1]!T_D("R290",C34*100000),C34*100000)</f>
        <v>630808.68939186074</v>
      </c>
      <c r="G34">
        <f t="shared" si="0"/>
        <v>425339.08871454268</v>
      </c>
      <c r="H34">
        <f t="shared" si="1"/>
        <v>436153.27822387521</v>
      </c>
      <c r="I34">
        <f t="shared" si="2"/>
        <v>457781.65724254027</v>
      </c>
      <c r="J34">
        <f t="shared" si="3"/>
        <v>501038.41527987039</v>
      </c>
      <c r="K34">
        <f t="shared" si="4"/>
        <v>544295.1733172005</v>
      </c>
      <c r="L34">
        <f t="shared" si="5"/>
        <v>587551.93135453062</v>
      </c>
    </row>
    <row r="35" spans="3:12" x14ac:dyDescent="0.25">
      <c r="C35">
        <v>29</v>
      </c>
      <c r="D35">
        <f>[1]!T_B("R290",C35*100000)-273.15</f>
        <v>75.926054177053629</v>
      </c>
      <c r="E35">
        <f>[1]!h_L("R290",D35+273.15)</f>
        <v>421383.23967394605</v>
      </c>
      <c r="F35">
        <f>[1]!h_TP("R290",[1]!T_D("R290",C35*100000),C35*100000)</f>
        <v>630823.69992397435</v>
      </c>
      <c r="G35">
        <f t="shared" si="0"/>
        <v>431855.26268644747</v>
      </c>
      <c r="H35">
        <f t="shared" si="1"/>
        <v>442327.28569894889</v>
      </c>
      <c r="I35">
        <f t="shared" si="2"/>
        <v>463271.33172395173</v>
      </c>
      <c r="J35">
        <f t="shared" si="3"/>
        <v>505159.42377395736</v>
      </c>
      <c r="K35">
        <f t="shared" si="4"/>
        <v>547047.51582396298</v>
      </c>
      <c r="L35">
        <f t="shared" si="5"/>
        <v>588935.60787396866</v>
      </c>
    </row>
    <row r="36" spans="3:12" x14ac:dyDescent="0.25">
      <c r="C36">
        <v>30</v>
      </c>
      <c r="D36">
        <f>[1]!T_B("R290",C36*100000)-273.15</f>
        <v>77.712501292977606</v>
      </c>
      <c r="E36">
        <f>[1]!h_L("R290",D36+273.15)</f>
        <v>428240.18121844367</v>
      </c>
      <c r="F36">
        <f>[1]!h_TP("R290",[1]!T_D("R290",C36*100000),C36*100000)</f>
        <v>630652.53039726743</v>
      </c>
      <c r="G36">
        <f t="shared" si="0"/>
        <v>438360.79867738485</v>
      </c>
      <c r="H36">
        <f t="shared" si="1"/>
        <v>448481.41613632604</v>
      </c>
      <c r="I36">
        <f t="shared" si="2"/>
        <v>468722.6510542084</v>
      </c>
      <c r="J36">
        <f t="shared" si="3"/>
        <v>509205.12088997319</v>
      </c>
      <c r="K36">
        <f t="shared" si="4"/>
        <v>549687.59072573786</v>
      </c>
      <c r="L36">
        <f t="shared" si="5"/>
        <v>590170.0605615027</v>
      </c>
    </row>
    <row r="37" spans="3:12" x14ac:dyDescent="0.25">
      <c r="C37">
        <v>31</v>
      </c>
      <c r="D37">
        <f>[1]!T_B("R290",C37*100000)-273.15</f>
        <v>79.453626703918985</v>
      </c>
      <c r="E37">
        <f>[1]!h_L("R290",D37+273.15)</f>
        <v>435114.32811379974</v>
      </c>
      <c r="F37">
        <f>[1]!h_TP("R290",[1]!T_D("R290",C37*100000),C37*100000)</f>
        <v>630284.61696866946</v>
      </c>
      <c r="G37">
        <f t="shared" si="0"/>
        <v>444872.84255654324</v>
      </c>
      <c r="H37">
        <f t="shared" si="1"/>
        <v>454631.35699928668</v>
      </c>
      <c r="I37">
        <f t="shared" si="2"/>
        <v>474148.38588477368</v>
      </c>
      <c r="J37">
        <f t="shared" si="3"/>
        <v>513182.44365574763</v>
      </c>
      <c r="K37">
        <f t="shared" si="4"/>
        <v>552216.50142672157</v>
      </c>
      <c r="L37">
        <f t="shared" si="5"/>
        <v>591250.55919769546</v>
      </c>
    </row>
    <row r="38" spans="3:12" x14ac:dyDescent="0.25">
      <c r="C38">
        <v>32</v>
      </c>
      <c r="D38">
        <f>[1]!T_B("R290",C38*100000)-273.15</f>
        <v>81.15179327276428</v>
      </c>
      <c r="E38">
        <f>[1]!h_L("R290",D38+273.15)</f>
        <v>442026.42512158671</v>
      </c>
      <c r="F38">
        <f>[1]!h_TP("R290",[1]!T_D("R290",C38*100000),C38*100000)</f>
        <v>629706.62136318046</v>
      </c>
      <c r="G38">
        <f t="shared" si="0"/>
        <v>451410.43493366637</v>
      </c>
      <c r="H38">
        <f t="shared" si="1"/>
        <v>460794.44474574609</v>
      </c>
      <c r="I38">
        <f t="shared" si="2"/>
        <v>479562.46436990547</v>
      </c>
      <c r="J38">
        <f t="shared" si="3"/>
        <v>517098.50361822423</v>
      </c>
      <c r="K38">
        <f t="shared" si="4"/>
        <v>554634.54286654294</v>
      </c>
      <c r="L38">
        <f t="shared" si="5"/>
        <v>592170.5821148617</v>
      </c>
    </row>
    <row r="39" spans="3:12" x14ac:dyDescent="0.25">
      <c r="C39">
        <v>33</v>
      </c>
      <c r="D39">
        <f>[1]!T_B("R290",C39*100000)-273.15</f>
        <v>82.809166246518544</v>
      </c>
      <c r="E39">
        <f>[1]!h_L("R290",D39+273.15)</f>
        <v>448999.30565481755</v>
      </c>
      <c r="F39">
        <f>[1]!h_TP("R290",[1]!T_D("R290",C39*100000),C39*100000)</f>
        <v>628902.5070816105</v>
      </c>
      <c r="G39">
        <f t="shared" si="0"/>
        <v>457994.46572615718</v>
      </c>
      <c r="H39">
        <f t="shared" si="1"/>
        <v>466989.62579749688</v>
      </c>
      <c r="I39">
        <f t="shared" si="2"/>
        <v>484979.94594017614</v>
      </c>
      <c r="J39">
        <f t="shared" si="3"/>
        <v>520960.58622553473</v>
      </c>
      <c r="K39">
        <f t="shared" si="4"/>
        <v>556941.22651089332</v>
      </c>
      <c r="L39">
        <f t="shared" si="5"/>
        <v>592921.86679625185</v>
      </c>
    </row>
    <row r="40" spans="3:12" x14ac:dyDescent="0.25">
      <c r="C40">
        <v>34</v>
      </c>
      <c r="D40">
        <f>[1]!T_B("R290",C40*100000)-273.15</f>
        <v>84.427735538092122</v>
      </c>
      <c r="E40">
        <f>[1]!h_L("R290",D40+273.15)</f>
        <v>456062.25353537535</v>
      </c>
      <c r="F40">
        <f>[1]!h_TP("R290",[1]!T_D("R290",C40*100000),C40*100000)</f>
        <v>627850.85152540985</v>
      </c>
      <c r="G40">
        <f t="shared" si="0"/>
        <v>464651.68343487708</v>
      </c>
      <c r="H40">
        <f t="shared" si="1"/>
        <v>473241.11333437881</v>
      </c>
      <c r="I40">
        <f t="shared" si="2"/>
        <v>490419.97313338227</v>
      </c>
      <c r="J40">
        <f t="shared" si="3"/>
        <v>524777.69273138919</v>
      </c>
      <c r="K40">
        <f t="shared" si="4"/>
        <v>559135.412329396</v>
      </c>
      <c r="L40">
        <f t="shared" si="5"/>
        <v>593493.13192740292</v>
      </c>
    </row>
    <row r="41" spans="3:12" x14ac:dyDescent="0.25">
      <c r="C41">
        <v>35</v>
      </c>
      <c r="D41">
        <f>[1]!T_B("R290",C41*100000)-273.15</f>
        <v>86.009334911576616</v>
      </c>
      <c r="E41">
        <f>[1]!h_L("R290",D41+273.15)</f>
        <v>463250.21875346772</v>
      </c>
      <c r="F41">
        <f>[1]!h_TP("R290",[1]!T_D("R290",C41*100000),C41*100000)</f>
        <v>626525.5715289372</v>
      </c>
      <c r="G41">
        <f t="shared" si="0"/>
        <v>471413.9863922412</v>
      </c>
      <c r="H41">
        <f t="shared" si="1"/>
        <v>479577.75403101469</v>
      </c>
      <c r="I41">
        <f t="shared" si="2"/>
        <v>495905.28930856159</v>
      </c>
      <c r="J41">
        <f t="shared" si="3"/>
        <v>528560.35986365553</v>
      </c>
      <c r="K41">
        <f t="shared" si="4"/>
        <v>561215.43041874946</v>
      </c>
      <c r="L41">
        <f t="shared" si="5"/>
        <v>593870.50097384327</v>
      </c>
    </row>
    <row r="42" spans="3:12" x14ac:dyDescent="0.25">
      <c r="C42">
        <v>36</v>
      </c>
      <c r="D42">
        <f>[1]!T_B("R290",C42*100000)-273.15</f>
        <v>87.555658576231735</v>
      </c>
      <c r="E42">
        <f>[1]!h_L("R290",D42+273.15)</f>
        <v>470608.64366299182</v>
      </c>
      <c r="F42">
        <f>[1]!h_TP("R290",[1]!T_D("R290",C42*100000),C42*100000)</f>
        <v>624893.73567336716</v>
      </c>
      <c r="G42">
        <f t="shared" si="0"/>
        <v>478322.89826351061</v>
      </c>
      <c r="H42">
        <f t="shared" si="1"/>
        <v>486037.15286402934</v>
      </c>
      <c r="I42">
        <f t="shared" si="2"/>
        <v>501465.66206506686</v>
      </c>
      <c r="J42">
        <f t="shared" si="3"/>
        <v>532322.68046714191</v>
      </c>
      <c r="K42">
        <f t="shared" si="4"/>
        <v>563179.69886921707</v>
      </c>
      <c r="L42">
        <f t="shared" si="5"/>
        <v>594036.71727129212</v>
      </c>
    </row>
    <row r="43" spans="3:12" x14ac:dyDescent="0.25">
      <c r="C43">
        <v>37</v>
      </c>
      <c r="D43">
        <f>[1]!T_B("R290",C43*100000)-273.15</f>
        <v>89.068275600327183</v>
      </c>
      <c r="E43">
        <f>[1]!h_L("R290",D43+273.15)</f>
        <v>478197.98265719187</v>
      </c>
      <c r="F43">
        <f>[1]!h_TP("R290",[1]!T_D("R290",C43*100000),C43*100000)</f>
        <v>622915.52695769968</v>
      </c>
      <c r="G43">
        <f t="shared" si="0"/>
        <v>485433.85987221723</v>
      </c>
      <c r="H43">
        <f t="shared" si="1"/>
        <v>492669.73708724265</v>
      </c>
      <c r="I43">
        <f t="shared" si="2"/>
        <v>507141.49151729344</v>
      </c>
      <c r="J43">
        <f t="shared" si="3"/>
        <v>536085.00037739496</v>
      </c>
      <c r="K43">
        <f t="shared" si="4"/>
        <v>565028.50923749653</v>
      </c>
      <c r="L43">
        <f t="shared" si="5"/>
        <v>593972.01809759811</v>
      </c>
    </row>
    <row r="44" spans="3:12" x14ac:dyDescent="0.25">
      <c r="C44">
        <v>38</v>
      </c>
      <c r="D44">
        <f>[1]!T_B("R290",C44*100000)-273.15</f>
        <v>90.548642481471234</v>
      </c>
      <c r="E44">
        <f>[1]!h_L("R290",D44+273.15)</f>
        <v>486111.78031293233</v>
      </c>
      <c r="F44">
        <f>[1]!h_TP("R290",[1]!T_D("R290",C44*100000),C44*100000)</f>
        <v>620536.82074692042</v>
      </c>
      <c r="G44">
        <f t="shared" si="0"/>
        <v>492833.03233463172</v>
      </c>
      <c r="H44">
        <f t="shared" si="1"/>
        <v>499554.28435633116</v>
      </c>
      <c r="I44">
        <f t="shared" si="2"/>
        <v>512996.78839972994</v>
      </c>
      <c r="J44">
        <f t="shared" si="3"/>
        <v>539881.79648652754</v>
      </c>
      <c r="K44">
        <f t="shared" si="4"/>
        <v>566766.80457332521</v>
      </c>
      <c r="L44">
        <f t="shared" si="5"/>
        <v>593651.81266012276</v>
      </c>
    </row>
    <row r="45" spans="3:12" x14ac:dyDescent="0.25">
      <c r="C45">
        <v>39</v>
      </c>
      <c r="D45">
        <f>[1]!T_B("R290",C45*100000)-273.15</f>
        <v>91.998114150662502</v>
      </c>
      <c r="E45">
        <f>[1]!h_L("R290",D45+273.15)</f>
        <v>494497.58670667041</v>
      </c>
      <c r="F45">
        <f>[1]!h_TP("R290",[1]!T_D("R290",C45*100000),C45*100000)</f>
        <v>617693.24514729832</v>
      </c>
      <c r="G45">
        <f t="shared" si="0"/>
        <v>500657.36962870182</v>
      </c>
      <c r="H45">
        <f t="shared" si="1"/>
        <v>506817.15255073318</v>
      </c>
      <c r="I45">
        <f t="shared" si="2"/>
        <v>519136.71839479601</v>
      </c>
      <c r="J45">
        <f t="shared" si="3"/>
        <v>543775.85008292156</v>
      </c>
      <c r="K45">
        <f t="shared" si="4"/>
        <v>568414.98177104711</v>
      </c>
      <c r="L45">
        <f t="shared" si="5"/>
        <v>593054.11345917278</v>
      </c>
    </row>
    <row r="46" spans="3:12" x14ac:dyDescent="0.25">
      <c r="C46">
        <v>40</v>
      </c>
      <c r="D46">
        <f>[1]!T_B("R290",C46*100000)-273.15</f>
        <v>93.417953639617565</v>
      </c>
      <c r="E46">
        <f>[1]!h_L("R290",D46+273.15)</f>
        <v>503635.77302756807</v>
      </c>
      <c r="F46">
        <f>[1]!h_TP("R290",[1]!T_D("R290",C46*100000),C46*100000)</f>
        <v>614304.08228194842</v>
      </c>
      <c r="G46">
        <f t="shared" si="0"/>
        <v>509169.18849028711</v>
      </c>
      <c r="H46">
        <f t="shared" si="1"/>
        <v>514702.6039530061</v>
      </c>
      <c r="I46">
        <f t="shared" si="2"/>
        <v>525769.43487844418</v>
      </c>
      <c r="J46">
        <f t="shared" si="3"/>
        <v>547903.09672932024</v>
      </c>
      <c r="K46">
        <f t="shared" si="4"/>
        <v>570036.7585801963</v>
      </c>
      <c r="L46">
        <f t="shared" si="5"/>
        <v>592170.42043107236</v>
      </c>
    </row>
    <row r="47" spans="3:12" x14ac:dyDescent="0.25">
      <c r="C47">
        <v>41</v>
      </c>
      <c r="D47">
        <f>[1]!T_B("R290",C47*100000)-273.15</f>
        <v>94.80934060244266</v>
      </c>
      <c r="E47">
        <f>[1]!h_L("R290",D47+273.15)</f>
        <v>514197.15050395194</v>
      </c>
      <c r="F47">
        <f>[1]!h_TP("R290",[1]!T_D("R290",C47*100000),C47*100000)</f>
        <v>610282.05801583757</v>
      </c>
      <c r="G47">
        <f t="shared" si="0"/>
        <v>519001.39587954624</v>
      </c>
      <c r="H47">
        <f t="shared" si="1"/>
        <v>523805.64125514048</v>
      </c>
      <c r="I47">
        <f t="shared" si="2"/>
        <v>533414.13200632902</v>
      </c>
      <c r="J47">
        <f t="shared" si="3"/>
        <v>552631.11350870621</v>
      </c>
      <c r="K47">
        <f t="shared" si="4"/>
        <v>571848.09501108329</v>
      </c>
      <c r="L47">
        <f t="shared" si="5"/>
        <v>591065.07651346049</v>
      </c>
    </row>
    <row r="48" spans="3:12" x14ac:dyDescent="0.25">
      <c r="C48">
        <v>42</v>
      </c>
      <c r="D48">
        <f>[1]!T_B("R290",C48*100000)-273.15</f>
        <v>96.173378851450707</v>
      </c>
      <c r="E48">
        <f>[1]!h_L("R290",D48+273.15)</f>
        <v>529056.50285881385</v>
      </c>
      <c r="F48">
        <f>[1]!h_TP("R290",[1]!T_D("R290",C48*100000),C48*100000)</f>
        <v>605565.53542211524</v>
      </c>
      <c r="G48">
        <f t="shared" si="0"/>
        <v>532881.95448697894</v>
      </c>
      <c r="H48">
        <f t="shared" si="1"/>
        <v>536707.40611514403</v>
      </c>
      <c r="I48">
        <f t="shared" si="2"/>
        <v>544358.30937147408</v>
      </c>
      <c r="J48">
        <f t="shared" si="3"/>
        <v>559660.11588413443</v>
      </c>
      <c r="K48">
        <f t="shared" si="4"/>
        <v>574961.92239679466</v>
      </c>
      <c r="L48">
        <f t="shared" si="5"/>
        <v>590263.72890945501</v>
      </c>
    </row>
    <row r="49" spans="3:12" x14ac:dyDescent="0.25">
      <c r="C49">
        <v>42.55</v>
      </c>
      <c r="D49">
        <f>[1]!T_B("R290",C49*100000)-273.15</f>
        <v>96.700006103515648</v>
      </c>
      <c r="E49">
        <f>[1]!h_L("R290",D49+273.15)</f>
        <v>535514.56219636544</v>
      </c>
      <c r="F49">
        <f>[1]!h_TP("R290",[1]!T_D("R290",C49*100000),C49*100000)</f>
        <v>597514.77102916851</v>
      </c>
      <c r="G49">
        <f t="shared" si="0"/>
        <v>538614.5726380056</v>
      </c>
      <c r="H49">
        <f t="shared" si="1"/>
        <v>541714.58307964576</v>
      </c>
      <c r="I49">
        <f t="shared" si="2"/>
        <v>547914.60396292608</v>
      </c>
      <c r="J49">
        <f t="shared" si="3"/>
        <v>560314.64572948671</v>
      </c>
      <c r="K49">
        <f t="shared" si="4"/>
        <v>572714.68749604723</v>
      </c>
      <c r="L49">
        <f t="shared" si="5"/>
        <v>585114.72926260787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workbookViewId="0">
      <selection activeCell="H36" sqref="H36"/>
    </sheetView>
  </sheetViews>
  <sheetFormatPr defaultRowHeight="15" x14ac:dyDescent="0.25"/>
  <sheetData>
    <row r="1" spans="1:11" x14ac:dyDescent="0.25">
      <c r="A1" t="s">
        <v>113</v>
      </c>
      <c r="C1" t="s">
        <v>96</v>
      </c>
    </row>
    <row r="2" spans="1:11" x14ac:dyDescent="0.25">
      <c r="A2" t="s">
        <v>97</v>
      </c>
      <c r="B2" t="s">
        <v>114</v>
      </c>
    </row>
    <row r="5" spans="1:11" x14ac:dyDescent="0.25">
      <c r="A5" t="s">
        <v>115</v>
      </c>
      <c r="C5" s="15">
        <v>0</v>
      </c>
    </row>
    <row r="6" spans="1:11" x14ac:dyDescent="0.25">
      <c r="A6" t="s">
        <v>101</v>
      </c>
      <c r="C6" s="15">
        <v>400</v>
      </c>
    </row>
    <row r="7" spans="1:11" x14ac:dyDescent="0.25">
      <c r="A7" t="s">
        <v>103</v>
      </c>
      <c r="C7" t="s">
        <v>104</v>
      </c>
    </row>
    <row r="8" spans="1:11" x14ac:dyDescent="0.25">
      <c r="A8" t="s">
        <v>105</v>
      </c>
      <c r="C8" s="15">
        <v>5</v>
      </c>
    </row>
    <row r="11" spans="1:11" x14ac:dyDescent="0.25"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85</v>
      </c>
      <c r="B12" s="15">
        <v>4.6469063740398502</v>
      </c>
      <c r="C12" s="15">
        <v>0.16580679166364701</v>
      </c>
      <c r="D12" s="15">
        <v>-2.9030983349169499E-2</v>
      </c>
      <c r="E12" s="15">
        <v>2.0859729359939401E-3</v>
      </c>
      <c r="F12" s="15">
        <v>-8.3934549397265599E-4</v>
      </c>
      <c r="G12" s="15">
        <v>-2.07690824575803E-4</v>
      </c>
      <c r="H12" s="15">
        <v>8.7755863122988195E-6</v>
      </c>
      <c r="I12" s="15">
        <v>-1.1029426209773301E-5</v>
      </c>
      <c r="J12" s="15">
        <v>-4.9037791326663698E-6</v>
      </c>
      <c r="K12" s="15">
        <v>9.9850461869696907E-7</v>
      </c>
    </row>
    <row r="14" spans="1:11" x14ac:dyDescent="0.25">
      <c r="A14" t="s">
        <v>86</v>
      </c>
      <c r="B14" s="15">
        <v>0.314042282599585</v>
      </c>
      <c r="C14" s="15">
        <v>-7.2950205240369303E-3</v>
      </c>
      <c r="D14" s="15">
        <v>1.2129688330037899E-2</v>
      </c>
      <c r="E14" s="15">
        <v>-1.3700753200123099E-4</v>
      </c>
      <c r="F14" s="15">
        <v>1.7331312700175999E-4</v>
      </c>
      <c r="G14" s="15">
        <v>-1.05954902709276E-15</v>
      </c>
      <c r="H14" s="15">
        <v>4.5749705319082901E-18</v>
      </c>
      <c r="I14" s="15">
        <v>5.89317000029781E-7</v>
      </c>
      <c r="J14" s="15">
        <v>-1.1596900001994101E-7</v>
      </c>
      <c r="K14" s="15">
        <v>1.3948840000092199E-6</v>
      </c>
    </row>
    <row r="16" spans="1:11" x14ac:dyDescent="0.25">
      <c r="A16" t="s">
        <v>87</v>
      </c>
      <c r="B16" s="15">
        <v>1.9068201742602999</v>
      </c>
      <c r="C16" s="15">
        <v>1.56357485970456E-3</v>
      </c>
      <c r="D16" s="15">
        <v>4.6268024585269701E-4</v>
      </c>
      <c r="E16" s="15">
        <v>-1.18462928337558E-6</v>
      </c>
      <c r="F16" s="15">
        <v>-8.0619861424568797E-5</v>
      </c>
      <c r="G16" s="15">
        <v>9.1587626998964605E-5</v>
      </c>
      <c r="H16" s="15">
        <v>4.04487683900944E-7</v>
      </c>
      <c r="I16" s="15">
        <v>2.6203355446515101E-6</v>
      </c>
      <c r="J16" s="15">
        <v>4.6586899628912504E-6</v>
      </c>
      <c r="K16" s="15">
        <v>9.1760516974975198E-7</v>
      </c>
    </row>
    <row r="18" spans="1:11" x14ac:dyDescent="0.25">
      <c r="A18" t="s">
        <v>88</v>
      </c>
      <c r="B18" s="15">
        <v>12.1617251447607</v>
      </c>
      <c r="C18" s="15">
        <v>0.39532357830185999</v>
      </c>
      <c r="D18" s="15">
        <v>5.8751580377400404E-3</v>
      </c>
      <c r="E18" s="15">
        <v>4.1954441631929396E-3</v>
      </c>
      <c r="F18" s="15">
        <v>6.0095909859343201E-4</v>
      </c>
      <c r="G18" s="15">
        <v>-5.1330017329901095E-4</v>
      </c>
      <c r="H18" s="15">
        <v>1.5542152917093699E-5</v>
      </c>
      <c r="I18" s="15">
        <v>4.6704979460196101E-6</v>
      </c>
      <c r="J18" s="15">
        <v>-9.7087551874362206E-6</v>
      </c>
      <c r="K18" s="15">
        <v>1.69652358093483E-6</v>
      </c>
    </row>
    <row r="20" spans="1:11" x14ac:dyDescent="0.25">
      <c r="B20" t="s">
        <v>89</v>
      </c>
    </row>
    <row r="22" spans="1:11" x14ac:dyDescent="0.25">
      <c r="B22" t="s">
        <v>90</v>
      </c>
    </row>
    <row r="23" spans="1:11" x14ac:dyDescent="0.25">
      <c r="B23" t="s">
        <v>91</v>
      </c>
    </row>
    <row r="24" spans="1:11" x14ac:dyDescent="0.25">
      <c r="B24" t="s">
        <v>92</v>
      </c>
    </row>
    <row r="26" spans="1:11" x14ac:dyDescent="0.25">
      <c r="A2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6"/>
  <sheetViews>
    <sheetView workbookViewId="0">
      <selection activeCell="Q19" sqref="Q19"/>
    </sheetView>
  </sheetViews>
  <sheetFormatPr defaultRowHeight="15" x14ac:dyDescent="0.25"/>
  <sheetData>
    <row r="1" spans="1:11" x14ac:dyDescent="0.25">
      <c r="A1" t="s">
        <v>74</v>
      </c>
      <c r="C1" t="s">
        <v>96</v>
      </c>
    </row>
    <row r="2" spans="1:11" x14ac:dyDescent="0.25">
      <c r="A2" t="s">
        <v>97</v>
      </c>
      <c r="B2" t="s">
        <v>98</v>
      </c>
    </row>
    <row r="5" spans="1:11" x14ac:dyDescent="0.25">
      <c r="A5" t="s">
        <v>99</v>
      </c>
      <c r="C5" t="s">
        <v>100</v>
      </c>
    </row>
    <row r="6" spans="1:11" x14ac:dyDescent="0.25">
      <c r="A6" t="s">
        <v>101</v>
      </c>
      <c r="C6" t="s">
        <v>102</v>
      </c>
    </row>
    <row r="7" spans="1:11" x14ac:dyDescent="0.25">
      <c r="A7" t="s">
        <v>103</v>
      </c>
      <c r="C7" t="s">
        <v>104</v>
      </c>
    </row>
    <row r="8" spans="1:11" x14ac:dyDescent="0.25">
      <c r="A8" t="s">
        <v>105</v>
      </c>
      <c r="C8" t="s">
        <v>106</v>
      </c>
    </row>
    <row r="11" spans="1:11" x14ac:dyDescent="0.25"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107</v>
      </c>
      <c r="B12">
        <v>5.324182879606</v>
      </c>
      <c r="C12">
        <v>0.19091683842400001</v>
      </c>
      <c r="D12">
        <v>-3.5913164647E-2</v>
      </c>
      <c r="E12">
        <v>2.4092244929999999E-3</v>
      </c>
      <c r="F12">
        <v>-1.072343202E-3</v>
      </c>
      <c r="G12">
        <v>-1.76152463E-4</v>
      </c>
      <c r="H12">
        <v>1.0085066E-5</v>
      </c>
      <c r="I12">
        <v>-1.3620245E-5</v>
      </c>
      <c r="J12">
        <v>-4.3741859999999996E-6</v>
      </c>
      <c r="K12">
        <v>7.5665100000000002E-7</v>
      </c>
    </row>
    <row r="14" spans="1:11" x14ac:dyDescent="0.25">
      <c r="A14" t="s">
        <v>108</v>
      </c>
      <c r="B14">
        <v>0.36286360109999999</v>
      </c>
      <c r="C14">
        <v>-8.2732819179999993E-3</v>
      </c>
      <c r="D14">
        <v>1.4027896240000001E-2</v>
      </c>
      <c r="E14">
        <v>-1.53769793E-4</v>
      </c>
      <c r="F14">
        <v>1.9519762899999999E-4</v>
      </c>
      <c r="G14">
        <v>0</v>
      </c>
      <c r="H14">
        <v>0</v>
      </c>
      <c r="I14">
        <v>5.6901899999999997E-7</v>
      </c>
      <c r="J14">
        <v>-9.8622999999999996E-8</v>
      </c>
      <c r="K14">
        <v>1.6111529999999999E-6</v>
      </c>
    </row>
    <row r="16" spans="1:11" x14ac:dyDescent="0.25">
      <c r="A16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8" spans="1:11" x14ac:dyDescent="0.25">
      <c r="A18" t="s">
        <v>110</v>
      </c>
      <c r="B18">
        <v>13.945422356947001</v>
      </c>
      <c r="C18">
        <v>0.45697797073300001</v>
      </c>
      <c r="D18">
        <v>-1.4319069829999999E-3</v>
      </c>
      <c r="E18">
        <v>4.9157216579999996E-3</v>
      </c>
      <c r="F18">
        <v>3.2516508299999997E-4</v>
      </c>
      <c r="G18">
        <v>-4.2760676200000002E-4</v>
      </c>
      <c r="H18">
        <v>1.8202106999999999E-5</v>
      </c>
      <c r="I18">
        <v>1.1716609999999999E-6</v>
      </c>
      <c r="J18">
        <v>-7.6628870000000002E-6</v>
      </c>
      <c r="K18">
        <v>1.0499469999999999E-6</v>
      </c>
    </row>
    <row r="20" spans="1:11" x14ac:dyDescent="0.25">
      <c r="B20" t="s">
        <v>89</v>
      </c>
    </row>
    <row r="22" spans="1:11" x14ac:dyDescent="0.25">
      <c r="B22" t="s">
        <v>111</v>
      </c>
    </row>
    <row r="23" spans="1:11" x14ac:dyDescent="0.25">
      <c r="B23" t="s">
        <v>91</v>
      </c>
    </row>
    <row r="24" spans="1:11" x14ac:dyDescent="0.25">
      <c r="B24" t="s">
        <v>92</v>
      </c>
    </row>
    <row r="26" spans="1:11" x14ac:dyDescent="0.25">
      <c r="A2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3:F22"/>
  <sheetViews>
    <sheetView workbookViewId="0">
      <selection activeCell="D6" sqref="D6"/>
    </sheetView>
  </sheetViews>
  <sheetFormatPr defaultRowHeight="15" x14ac:dyDescent="0.25"/>
  <cols>
    <col min="3" max="3" width="34" customWidth="1"/>
    <col min="4" max="4" width="53" customWidth="1"/>
    <col min="5" max="5" width="17.5703125" customWidth="1"/>
    <col min="6" max="6" width="23.85546875" customWidth="1"/>
  </cols>
  <sheetData>
    <row r="3" spans="3:6" ht="18" thickBot="1" x14ac:dyDescent="0.3">
      <c r="C3" s="1" t="s">
        <v>0</v>
      </c>
    </row>
    <row r="4" spans="3:6" ht="18" thickBot="1" x14ac:dyDescent="0.3">
      <c r="C4" s="2"/>
      <c r="D4" s="3" t="s">
        <v>1</v>
      </c>
      <c r="E4" s="4" t="s">
        <v>2</v>
      </c>
      <c r="F4" s="5" t="s">
        <v>3</v>
      </c>
    </row>
    <row r="5" spans="3:6" ht="21" thickBot="1" x14ac:dyDescent="0.3">
      <c r="C5" s="41" t="s">
        <v>4</v>
      </c>
      <c r="D5" s="6" t="s">
        <v>5</v>
      </c>
      <c r="E5" s="7" t="s">
        <v>6</v>
      </c>
      <c r="F5" s="8" t="s">
        <v>6</v>
      </c>
    </row>
    <row r="6" spans="3:6" ht="21" thickBot="1" x14ac:dyDescent="0.3">
      <c r="C6" s="42"/>
      <c r="D6" s="6" t="s">
        <v>7</v>
      </c>
      <c r="E6" s="7" t="s">
        <v>8</v>
      </c>
      <c r="F6" s="8" t="s">
        <v>8</v>
      </c>
    </row>
    <row r="7" spans="3:6" ht="21" thickBot="1" x14ac:dyDescent="0.3">
      <c r="C7" s="42"/>
      <c r="D7" s="6" t="s">
        <v>9</v>
      </c>
      <c r="E7" s="7" t="s">
        <v>10</v>
      </c>
      <c r="F7" s="8" t="s">
        <v>11</v>
      </c>
    </row>
    <row r="8" spans="3:6" ht="18" thickBot="1" x14ac:dyDescent="0.3">
      <c r="C8" s="42"/>
      <c r="D8" s="6" t="s">
        <v>12</v>
      </c>
      <c r="E8" s="7" t="s">
        <v>13</v>
      </c>
      <c r="F8" s="8" t="s">
        <v>14</v>
      </c>
    </row>
    <row r="9" spans="3:6" ht="17.25" x14ac:dyDescent="0.25">
      <c r="C9" s="42"/>
      <c r="D9" s="44" t="s">
        <v>15</v>
      </c>
      <c r="E9" s="9" t="s">
        <v>16</v>
      </c>
      <c r="F9" s="10" t="s">
        <v>18</v>
      </c>
    </row>
    <row r="10" spans="3:6" ht="18" thickBot="1" x14ac:dyDescent="0.3">
      <c r="C10" s="42"/>
      <c r="D10" s="45"/>
      <c r="E10" s="7" t="s">
        <v>17</v>
      </c>
      <c r="F10" s="8" t="s">
        <v>19</v>
      </c>
    </row>
    <row r="11" spans="3:6" ht="18" thickBot="1" x14ac:dyDescent="0.3">
      <c r="C11" s="43"/>
      <c r="D11" s="6" t="s">
        <v>20</v>
      </c>
      <c r="E11" s="7" t="s">
        <v>21</v>
      </c>
      <c r="F11" s="8" t="s">
        <v>22</v>
      </c>
    </row>
    <row r="12" spans="3:6" ht="18" thickBot="1" x14ac:dyDescent="0.3">
      <c r="C12" s="46" t="s">
        <v>23</v>
      </c>
      <c r="D12" s="11" t="s">
        <v>12</v>
      </c>
      <c r="E12" s="7" t="s">
        <v>24</v>
      </c>
      <c r="F12" s="8" t="s">
        <v>25</v>
      </c>
    </row>
    <row r="13" spans="3:6" ht="17.25" x14ac:dyDescent="0.25">
      <c r="C13" s="47"/>
      <c r="D13" s="49" t="s">
        <v>15</v>
      </c>
      <c r="E13" s="9" t="s">
        <v>26</v>
      </c>
      <c r="F13" s="10" t="s">
        <v>28</v>
      </c>
    </row>
    <row r="14" spans="3:6" ht="18" thickBot="1" x14ac:dyDescent="0.3">
      <c r="C14" s="47"/>
      <c r="D14" s="50"/>
      <c r="E14" s="7" t="s">
        <v>27</v>
      </c>
      <c r="F14" s="8" t="s">
        <v>29</v>
      </c>
    </row>
    <row r="15" spans="3:6" ht="18" thickBot="1" x14ac:dyDescent="0.3">
      <c r="C15" s="47"/>
      <c r="D15" s="11" t="s">
        <v>20</v>
      </c>
      <c r="E15" s="7" t="s">
        <v>30</v>
      </c>
      <c r="F15" s="8" t="s">
        <v>31</v>
      </c>
    </row>
    <row r="16" spans="3:6" ht="18" thickBot="1" x14ac:dyDescent="0.3">
      <c r="C16" s="47"/>
      <c r="D16" s="11" t="s">
        <v>32</v>
      </c>
      <c r="E16" s="7" t="s">
        <v>33</v>
      </c>
      <c r="F16" s="8" t="s">
        <v>33</v>
      </c>
    </row>
    <row r="17" spans="3:6" ht="18" thickBot="1" x14ac:dyDescent="0.3">
      <c r="C17" s="48"/>
      <c r="D17" s="11" t="s">
        <v>34</v>
      </c>
      <c r="E17" s="7" t="s">
        <v>35</v>
      </c>
      <c r="F17" s="8" t="s">
        <v>36</v>
      </c>
    </row>
    <row r="18" spans="3:6" ht="18" thickBot="1" x14ac:dyDescent="0.3">
      <c r="C18" s="51" t="s">
        <v>37</v>
      </c>
      <c r="D18" s="12" t="s">
        <v>38</v>
      </c>
      <c r="E18" s="7" t="s">
        <v>39</v>
      </c>
      <c r="F18" s="8" t="s">
        <v>40</v>
      </c>
    </row>
    <row r="19" spans="3:6" ht="18" thickBot="1" x14ac:dyDescent="0.3">
      <c r="C19" s="52"/>
      <c r="D19" s="12" t="s">
        <v>41</v>
      </c>
      <c r="E19" s="7" t="s">
        <v>42</v>
      </c>
      <c r="F19" s="8" t="s">
        <v>43</v>
      </c>
    </row>
    <row r="20" spans="3:6" ht="17.25" x14ac:dyDescent="0.25">
      <c r="C20" s="52"/>
      <c r="D20" s="54" t="s">
        <v>44</v>
      </c>
      <c r="E20" s="35" t="s">
        <v>45</v>
      </c>
      <c r="F20" s="36"/>
    </row>
    <row r="21" spans="3:6" ht="17.25" x14ac:dyDescent="0.25">
      <c r="C21" s="52"/>
      <c r="D21" s="55"/>
      <c r="E21" s="37" t="s">
        <v>46</v>
      </c>
      <c r="F21" s="38"/>
    </row>
    <row r="22" spans="3:6" ht="18" thickBot="1" x14ac:dyDescent="0.3">
      <c r="C22" s="53"/>
      <c r="D22" s="56"/>
      <c r="E22" s="39" t="s">
        <v>47</v>
      </c>
      <c r="F22" s="40"/>
    </row>
  </sheetData>
  <mergeCells count="9">
    <mergeCell ref="E20:F20"/>
    <mergeCell ref="E21:F21"/>
    <mergeCell ref="E22:F22"/>
    <mergeCell ref="C5:C11"/>
    <mergeCell ref="D9:D10"/>
    <mergeCell ref="C12:C17"/>
    <mergeCell ref="D13:D14"/>
    <mergeCell ref="C18:C22"/>
    <mergeCell ref="D20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Evaporator</vt:lpstr>
      <vt:lpstr>Summary</vt:lpstr>
      <vt:lpstr>P-h data</vt:lpstr>
      <vt:lpstr>R290data</vt:lpstr>
      <vt:lpstr>ZB09KAU</vt:lpstr>
      <vt:lpstr>ZB10KAU</vt:lpstr>
      <vt:lpstr>20171020</vt:lpstr>
      <vt:lpstr>P-h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2017-10-26T10:49:41Z</dcterms:modified>
</cp:coreProperties>
</file>