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Klebig\Desktop\TimBAgit\Results\"/>
    </mc:Choice>
  </mc:AlternateContent>
  <bookViews>
    <workbookView xWindow="0" yWindow="0" windowWidth="28800" windowHeight="12210" activeTab="1"/>
  </bookViews>
  <sheets>
    <sheet name="Formula" sheetId="3" r:id="rId1"/>
    <sheet name="Comparison Evap - Cond - Comp" sheetId="17" r:id="rId2"/>
  </sheets>
  <externalReferences>
    <externalReference r:id="rId3"/>
    <externalReference r:id="rId4"/>
    <externalReference r:id="rId5"/>
  </externalReferences>
  <definedNames>
    <definedName name="_c0">[1]Poli!$B$4</definedName>
    <definedName name="_c1">[1]Poli!$B$5</definedName>
    <definedName name="_c10">[1]Poli!$B$14</definedName>
    <definedName name="_c11">[1]Poli!$B$15</definedName>
    <definedName name="_c12">[1]Poli!$B$16</definedName>
    <definedName name="_c13">[1]Poli!$B$17</definedName>
    <definedName name="_c14">[1]Poli!$B$18</definedName>
    <definedName name="_c15">[1]Poli!$B$19</definedName>
    <definedName name="_c16">[1]Poli!$B$20</definedName>
    <definedName name="_c17">[1]Poli!$B$21</definedName>
    <definedName name="_c18">[1]Poli!$B$22</definedName>
    <definedName name="_c19">[1]Poli!$B$23</definedName>
    <definedName name="_c2">[1]Poli!$B$6</definedName>
    <definedName name="_c3">[1]Poli!$B$7</definedName>
    <definedName name="_c4">[1]Poli!$B$8</definedName>
    <definedName name="_c5">[1]Poli!$B$9</definedName>
    <definedName name="_c6">[1]Poli!$B$10</definedName>
    <definedName name="_c7">[1]Poli!$B$11</definedName>
    <definedName name="_c8">[1]Poli!$B$12</definedName>
    <definedName name="_c9">[1]Poli!$B$13</definedName>
    <definedName name="_p0">[1]Poli!$C$4</definedName>
    <definedName name="_p1">[1]Poli!$C$5</definedName>
    <definedName name="_p10">[1]Poli!$C$14</definedName>
    <definedName name="_p11">[1]Poli!$C$15</definedName>
    <definedName name="_p12">[1]Poli!$C$16</definedName>
    <definedName name="_p13">[1]Poli!$C$17</definedName>
    <definedName name="_p14">[1]Poli!$C$18</definedName>
    <definedName name="_p15">[1]Poli!$C$19</definedName>
    <definedName name="_p16">[1]Poli!$C$20</definedName>
    <definedName name="_p17">[1]Poli!$C$21</definedName>
    <definedName name="_p18">[1]Poli!$C$22</definedName>
    <definedName name="_p19">[1]Poli!$C$23</definedName>
    <definedName name="_p2">[1]Poli!$C$6</definedName>
    <definedName name="_p3">[1]Poli!$C$7</definedName>
    <definedName name="_p4">[1]Poli!$C$8</definedName>
    <definedName name="_p5">[1]Poli!$C$9</definedName>
    <definedName name="_p6">[1]Poli!$C$10</definedName>
    <definedName name="_p7">[1]Poli!$C$11</definedName>
    <definedName name="_p8">[1]Poli!$C$12</definedName>
    <definedName name="_p9">[1]Poli!$C$13</definedName>
    <definedName name="_q0">[2]Polinomials!$N$3</definedName>
    <definedName name="_q1">[2]Polinomials!$O$3</definedName>
    <definedName name="_q10">[2]Polinomials!$X$3</definedName>
    <definedName name="_q11">[2]Polinomials!$Y$3</definedName>
    <definedName name="_q12">[2]Polinomials!$Z$3</definedName>
    <definedName name="_q13">[2]Polinomials!$AA$3</definedName>
    <definedName name="_q14">[2]Polinomials!$AB$3</definedName>
    <definedName name="_q15">[2]Polinomials!$AC$3</definedName>
    <definedName name="_q16">[2]Polinomials!$AD$3</definedName>
    <definedName name="_q17">[2]Polinomials!$AE$3</definedName>
    <definedName name="_q18">[2]Polinomials!$AF$3</definedName>
    <definedName name="_q19">[2]Polinomials!$AG$3</definedName>
    <definedName name="_q2">[2]Polinomials!$P$3</definedName>
    <definedName name="_q3">[2]Polinomials!$Q$3</definedName>
    <definedName name="_q4">[2]Polinomials!$R$3</definedName>
    <definedName name="_q5">[2]Polinomials!$S$3</definedName>
    <definedName name="_q6">[2]Polinomials!$T$3</definedName>
    <definedName name="_q7">[2]Polinomials!$U$3</definedName>
    <definedName name="_q8">[2]Polinomials!$V$3</definedName>
    <definedName name="_q9">[2]Polinomials!$W$3</definedName>
    <definedName name="BKup">[1]DataSupport!$A$2:$A$3</definedName>
    <definedName name="p" localSheetId="1">'Comparison Evap - Cond - Comp'!$G$48:$G$102</definedName>
    <definedName name="Pres1" localSheetId="1">'Comparison Evap - Cond - Comp'!$P$23</definedName>
    <definedName name="pres2" localSheetId="1">'Comparison Evap - Cond - Comp'!$P$24</definedName>
    <definedName name="pres3" localSheetId="1">'Comparison Evap - Cond - Comp'!$P$25</definedName>
    <definedName name="pres4" localSheetId="1">'Comparison Evap - Cond - Comp'!$P$26</definedName>
    <definedName name="pres5" localSheetId="1">'Comparison Evap - Cond - Comp'!$P$27</definedName>
    <definedName name="pres6" localSheetId="1">'Comparison Evap - Cond - Comp'!#REF!</definedName>
    <definedName name="pres7" localSheetId="1">'Comparison Evap - Cond - Comp'!$N$8</definedName>
    <definedName name="pres8" localSheetId="1">'Comparison Evap - Cond - Comp'!$N$9</definedName>
    <definedName name="pres9" localSheetId="1">'Comparison Evap - Cond - Comp'!$N$10</definedName>
    <definedName name="press_3M1">'Comparison Evap - Cond - Comp'!$T$13</definedName>
    <definedName name="press_3M2">'Comparison Evap - Cond - Comp'!$T$14</definedName>
    <definedName name="press_3M3">'Comparison Evap - Cond - Comp'!$T$15</definedName>
    <definedName name="press_3M4">'Comparison Evap - Cond - Comp'!$T$16</definedName>
    <definedName name="press_3M5">'Comparison Evap - Cond - Comp'!$T$17</definedName>
    <definedName name="press_3M6">'Comparison Evap - Cond - Comp'!$T$18</definedName>
    <definedName name="press_3M7">'Comparison Evap - Cond - Comp'!$T$19</definedName>
    <definedName name="press_3M8">'Comparison Evap - Cond - Comp'!$T$20</definedName>
    <definedName name="press_3M9">'Comparison Evap - Cond - Comp'!$T$21</definedName>
    <definedName name="press_hc1">'Comparison Evap - Cond - Comp'!$Q$13</definedName>
    <definedName name="press_hc2">'Comparison Evap - Cond - Comp'!$Q$14</definedName>
    <definedName name="press_hc3">'Comparison Evap - Cond - Comp'!$Q$15</definedName>
    <definedName name="press_hc4">'Comparison Evap - Cond - Comp'!$Q$16</definedName>
    <definedName name="press_hc5">'Comparison Evap - Cond - Comp'!$Q$17</definedName>
    <definedName name="press_hc6">'Comparison Evap - Cond - Comp'!$Q$18</definedName>
    <definedName name="press_hc7">'Comparison Evap - Cond - Comp'!$Q$19</definedName>
    <definedName name="press_hc8">'Comparison Evap - Cond - Comp'!$Q$20</definedName>
    <definedName name="press_hc9">'Comparison Evap - Cond - Comp'!$Q$21</definedName>
    <definedName name="rho_3M1">'Comparison Evap - Cond - Comp'!$U$13</definedName>
    <definedName name="rho_3M2">'Comparison Evap - Cond - Comp'!$U$14</definedName>
    <definedName name="rho_3M3">'Comparison Evap - Cond - Comp'!$U$15</definedName>
    <definedName name="rho_3M4">'Comparison Evap - Cond - Comp'!$U$16</definedName>
    <definedName name="rho_3M5">'Comparison Evap - Cond - Comp'!$U$17</definedName>
    <definedName name="rho_3M6">'Comparison Evap - Cond - Comp'!$U$18</definedName>
    <definedName name="rho_3M7">'Comparison Evap - Cond - Comp'!$U$19</definedName>
    <definedName name="rho_3M8">'Comparison Evap - Cond - Comp'!$U$20</definedName>
    <definedName name="rho_3M9">'Comparison Evap - Cond - Comp'!$U$21</definedName>
    <definedName name="rho_hc1">'Comparison Evap - Cond - Comp'!$R$13</definedName>
    <definedName name="rho_hc2">'Comparison Evap - Cond - Comp'!$R$14</definedName>
    <definedName name="rho_hc3">'Comparison Evap - Cond - Comp'!$R$15</definedName>
    <definedName name="rho_hc4">'Comparison Evap - Cond - Comp'!$R$16</definedName>
    <definedName name="rho_hc5">'Comparison Evap - Cond - Comp'!$R$17</definedName>
    <definedName name="rho_hc6">'Comparison Evap - Cond - Comp'!$R$18</definedName>
    <definedName name="rho_hc7">'Comparison Evap - Cond - Comp'!$R$19</definedName>
    <definedName name="rho_hc8">'Comparison Evap - Cond - Comp'!$R$20</definedName>
    <definedName name="rho_hc9">'Comparison Evap - Cond - Comp'!$R$21</definedName>
    <definedName name="solver_adj" localSheetId="1" hidden="1">'Comparison Evap - Cond - Comp'!$B$31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'Comparison Evap - Cond - Comp'!$C$31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'Comparison Evap - Cond - Comp'!$K$31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hs1" localSheetId="1" hidden="1">'Comparison Evap - Cond - Comp'!$D$31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1.300932</definedName>
    <definedName name="solver_ver" localSheetId="1" hidden="1">3</definedName>
    <definedName name="T" localSheetId="1">'Comparison Evap - Cond - Comp'!$E$48:$E$102</definedName>
    <definedName name="Tbiv">[1]DataSupport!$B$2:$B$17</definedName>
    <definedName name="TC" localSheetId="1">'Comparison Evap - Cond - Comp'!$F$48:$F$102</definedName>
    <definedName name="u" localSheetId="1">'Comparison Evap - Cond - Comp'!$A$12:$A$102</definedName>
    <definedName name="visc_3M1">'Comparison Evap - Cond - Comp'!$S$13</definedName>
    <definedName name="visc_3M2">'Comparison Evap - Cond - Comp'!$S$14</definedName>
    <definedName name="visc_3M3">'Comparison Evap - Cond - Comp'!$S$15</definedName>
    <definedName name="visc_3M4">'Comparison Evap - Cond - Comp'!$S$16</definedName>
    <definedName name="visc_3M5">'Comparison Evap - Cond - Comp'!$S$17</definedName>
    <definedName name="visc_3M6">'Comparison Evap - Cond - Comp'!$S$18</definedName>
    <definedName name="visc_3M7">'Comparison Evap - Cond - Comp'!$S$19</definedName>
    <definedName name="visc_3M8">'Comparison Evap - Cond - Comp'!$S$20</definedName>
    <definedName name="visc_3M9">'Comparison Evap - Cond - Comp'!$S$21</definedName>
    <definedName name="visc_hc1">'Comparison Evap - Cond - Comp'!$P$13</definedName>
    <definedName name="visc_hc2">'Comparison Evap - Cond - Comp'!$P$14</definedName>
    <definedName name="visc_hc3">'Comparison Evap - Cond - Comp'!$P$15</definedName>
    <definedName name="visc_hc4">'Comparison Evap - Cond - Comp'!$P$16</definedName>
    <definedName name="visc_hc5">'Comparison Evap - Cond - Comp'!$P$17</definedName>
    <definedName name="visc_hc6">'Comparison Evap - Cond - Comp'!$P$18</definedName>
    <definedName name="visc_hc7">'Comparison Evap - Cond - Comp'!$P$19</definedName>
    <definedName name="visc_hc8">'Comparison Evap - Cond - Comp'!$P$20</definedName>
    <definedName name="visc_hc9">'Comparison Evap - Cond - Comp'!$P$21</definedName>
    <definedName name="visc1" localSheetId="1">'Comparison Evap - Cond - Comp'!$O$22</definedName>
    <definedName name="visc2" localSheetId="1">'Comparison Evap - Cond - Comp'!$O$24</definedName>
    <definedName name="visc3" localSheetId="1">'Comparison Evap - Cond - Comp'!$O$25</definedName>
    <definedName name="visc4" localSheetId="1">'Comparison Evap - Cond - Comp'!$O$26</definedName>
    <definedName name="visc5" localSheetId="1">'Comparison Evap - Cond - Comp'!$O$27</definedName>
    <definedName name="visc6" localSheetId="1">'Comparison Evap - Cond - Comp'!#REF!</definedName>
    <definedName name="visc7" localSheetId="1">'Comparison Evap - Cond - Comp'!$M$8</definedName>
    <definedName name="visc8" localSheetId="1">'Comparison Evap - Cond - Comp'!$M$9</definedName>
    <definedName name="visc9" localSheetId="1">'Comparison Evap - Cond - Comp'!$M$10</definedName>
    <definedName name="w" localSheetId="1">'Comparison Evap - Cond - Comp'!$D$48:$D$102</definedName>
  </definedNames>
  <calcPr calcId="171027"/>
</workbook>
</file>

<file path=xl/calcChain.xml><?xml version="1.0" encoding="utf-8"?>
<calcChain xmlns="http://schemas.openxmlformats.org/spreadsheetml/2006/main">
  <c r="E40" i="17" l="1"/>
  <c r="F42" i="17" l="1"/>
  <c r="F40" i="17"/>
  <c r="F37" i="17"/>
  <c r="F35" i="17"/>
  <c r="E37" i="17"/>
  <c r="C20" i="17"/>
  <c r="G9" i="17"/>
  <c r="G28" i="17"/>
  <c r="F28" i="17" s="1"/>
  <c r="M28" i="17" s="1"/>
  <c r="F41" i="17" s="1"/>
  <c r="F43" i="17" s="1"/>
  <c r="G17" i="17"/>
  <c r="F17" i="17" s="1"/>
  <c r="M17" i="17" s="1"/>
  <c r="F36" i="17" s="1"/>
  <c r="F38" i="17" s="1"/>
  <c r="C28" i="17"/>
  <c r="C17" i="17"/>
  <c r="F44" i="17" l="1"/>
  <c r="I43" i="17"/>
  <c r="I44" i="17" s="1"/>
  <c r="F39" i="17"/>
  <c r="J17" i="17"/>
  <c r="J28" i="17"/>
  <c r="D28" i="17"/>
  <c r="K28" i="17" s="1"/>
  <c r="D17" i="17"/>
  <c r="K17" i="17" s="1"/>
  <c r="Q25" i="17"/>
  <c r="Q26" i="17"/>
  <c r="D42" i="17"/>
  <c r="D40" i="17"/>
  <c r="Q24" i="17"/>
  <c r="D37" i="17" l="1"/>
  <c r="D45" i="17" s="1"/>
  <c r="D35" i="17"/>
  <c r="E42" i="17"/>
  <c r="E35" i="17"/>
  <c r="P28" i="17"/>
  <c r="G31" i="17"/>
  <c r="F31" i="17" s="1"/>
  <c r="G25" i="17"/>
  <c r="F25" i="17" s="1"/>
  <c r="J25" i="17" s="1"/>
  <c r="C31" i="17"/>
  <c r="C25" i="17"/>
  <c r="G20" i="17"/>
  <c r="F20" i="17" s="1"/>
  <c r="M20" i="17" l="1"/>
  <c r="E36" i="17" s="1"/>
  <c r="E38" i="17" s="1"/>
  <c r="H38" i="17" s="1"/>
  <c r="H39" i="17" s="1"/>
  <c r="E45" i="17"/>
  <c r="J20" i="17"/>
  <c r="D31" i="17"/>
  <c r="K31" i="17" s="1"/>
  <c r="M31" i="17"/>
  <c r="E41" i="17" s="1"/>
  <c r="E43" i="17" s="1"/>
  <c r="H43" i="17" s="1"/>
  <c r="J31" i="17"/>
  <c r="D25" i="17"/>
  <c r="K25" i="17" s="1"/>
  <c r="M25" i="17"/>
  <c r="D41" i="17" s="1"/>
  <c r="D43" i="17" s="1"/>
  <c r="D20" i="17"/>
  <c r="E39" i="17" l="1"/>
  <c r="G43" i="17"/>
  <c r="G44" i="17" s="1"/>
  <c r="J43" i="17"/>
  <c r="I38" i="17"/>
  <c r="I39" i="17" s="1"/>
  <c r="F46" i="17"/>
  <c r="F45" i="17"/>
  <c r="E44" i="17"/>
  <c r="E46" i="17"/>
  <c r="D44" i="17"/>
  <c r="C14" i="17"/>
  <c r="H44" i="17" l="1"/>
  <c r="H46" i="17"/>
  <c r="J44" i="17"/>
  <c r="G14" i="17"/>
  <c r="F14" i="17" s="1"/>
  <c r="J14" i="17" s="1"/>
  <c r="D6" i="17" l="1"/>
  <c r="D4" i="17"/>
  <c r="D2" i="17"/>
  <c r="F4" i="17"/>
  <c r="F2" i="17"/>
  <c r="F6" i="17" l="1"/>
  <c r="E6" i="17" s="1"/>
  <c r="E2" i="17"/>
  <c r="E4" i="17"/>
  <c r="H28" i="17" l="1"/>
  <c r="I28" i="17" s="1"/>
  <c r="L28" i="17" s="1"/>
  <c r="H17" i="17"/>
  <c r="I17" i="17" s="1"/>
  <c r="L17" i="17" s="1"/>
  <c r="H25" i="17"/>
  <c r="I25" i="17" s="1"/>
  <c r="L25" i="17" s="1"/>
  <c r="H14" i="17"/>
  <c r="I14" i="17" s="1"/>
  <c r="H31" i="17"/>
  <c r="I31" i="17" s="1"/>
  <c r="L31" i="17" s="1"/>
  <c r="H20" i="17"/>
  <c r="I20" i="17" s="1"/>
  <c r="L20" i="17" s="1"/>
  <c r="M14" i="17" l="1"/>
  <c r="D36" i="17" s="1"/>
  <c r="D38" i="17" s="1"/>
  <c r="D14" i="17"/>
  <c r="K14" i="17" s="1"/>
  <c r="G38" i="17" l="1"/>
  <c r="G39" i="17" s="1"/>
  <c r="J38" i="17"/>
  <c r="I46" i="17"/>
  <c r="D39" i="17"/>
  <c r="D46" i="17"/>
  <c r="L14" i="17"/>
  <c r="G46" i="17" l="1"/>
  <c r="J39" i="17"/>
  <c r="J46" i="17"/>
  <c r="K20" i="17"/>
</calcChain>
</file>

<file path=xl/sharedStrings.xml><?xml version="1.0" encoding="utf-8"?>
<sst xmlns="http://schemas.openxmlformats.org/spreadsheetml/2006/main" count="171" uniqueCount="85">
  <si>
    <t>T(K)</t>
  </si>
  <si>
    <t>T(°C)</t>
  </si>
  <si>
    <t>P (bar)</t>
  </si>
  <si>
    <t>ρ=</t>
  </si>
  <si>
    <t>ω</t>
  </si>
  <si>
    <t>μ</t>
  </si>
  <si>
    <t>coeff#</t>
  </si>
  <si>
    <t>Press</t>
  </si>
  <si>
    <t>Density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</si>
  <si>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</si>
  <si>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</si>
  <si>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</si>
  <si>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</si>
  <si>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</si>
  <si>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</si>
  <si>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</si>
  <si>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</si>
  <si>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</si>
  <si>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Kinematic Visc</t>
  </si>
  <si>
    <t xml:space="preserve">Ln(Ln(μ+0.7+e^(-μ)Ko(μ+1.244068))) </t>
  </si>
  <si>
    <t>Log(P)=</t>
  </si>
  <si>
    <t>pres eqn</t>
  </si>
  <si>
    <t>ml</t>
  </si>
  <si>
    <t>R290 w/ Hatcol4467</t>
  </si>
  <si>
    <t>R290 w/ 3MAF</t>
  </si>
  <si>
    <t>DF Solubility 3MAF VS Hatcol4467</t>
  </si>
  <si>
    <t>Refrigerant / Oil</t>
  </si>
  <si>
    <t>Conditions</t>
  </si>
  <si>
    <t>Properties</t>
  </si>
  <si>
    <t>Refrigerant in oil (g)</t>
  </si>
  <si>
    <t>v=</t>
  </si>
  <si>
    <t>density r290=</t>
  </si>
  <si>
    <t>(average from 20°C to 40°C)</t>
  </si>
  <si>
    <t>Viscosity (cSt)</t>
  </si>
  <si>
    <t>Density (g/cm³)</t>
  </si>
  <si>
    <t>Solubility (%)</t>
  </si>
  <si>
    <t>DF Qty of refrigerant  3MAF VS Hatcol4467 (g)</t>
  </si>
  <si>
    <t>HATCOL4467</t>
  </si>
  <si>
    <t>3MAF</t>
  </si>
  <si>
    <t>SC</t>
  </si>
  <si>
    <t>SH</t>
  </si>
  <si>
    <t>Oil Temp (Comp)</t>
  </si>
  <si>
    <t>T [K]</t>
  </si>
  <si>
    <t>T [°C]</t>
  </si>
  <si>
    <t>Evaporator</t>
  </si>
  <si>
    <t>Compressor</t>
  </si>
  <si>
    <t>p [bar]</t>
  </si>
  <si>
    <t>Condensor</t>
  </si>
  <si>
    <t>USE SOLVER</t>
  </si>
  <si>
    <t>visc eqn</t>
  </si>
  <si>
    <t>1. Set conditions</t>
  </si>
  <si>
    <t>2. Use solver</t>
  </si>
  <si>
    <t>2.1. on press eqn</t>
  </si>
  <si>
    <t>2.2. on visc eqn</t>
  </si>
  <si>
    <t>100% Oil in Evaporator</t>
  </si>
  <si>
    <t>100% Oil in Compressor</t>
  </si>
  <si>
    <t>R290</t>
  </si>
  <si>
    <t>Oil Volume</t>
  </si>
  <si>
    <t>Temp [°C]</t>
  </si>
  <si>
    <t>Density [kg/m³]</t>
  </si>
  <si>
    <t>x% Oil in Evap - x% Oil in Comp</t>
  </si>
  <si>
    <t>% Oil in Evaporator</t>
  </si>
  <si>
    <t>% Oil in Compressor</t>
  </si>
  <si>
    <t>%</t>
  </si>
  <si>
    <t>[g/ml]</t>
  </si>
  <si>
    <t>Refrigerant Mass</t>
  </si>
  <si>
    <t>m=</t>
  </si>
  <si>
    <t>g</t>
  </si>
  <si>
    <t>Refrigerant in oil (%)</t>
  </si>
  <si>
    <t>Oil location</t>
  </si>
  <si>
    <t>Assumption:</t>
  </si>
  <si>
    <t>Refrigerant solved in Oil has the same density as the oil</t>
  </si>
  <si>
    <t>No pressure drop</t>
  </si>
  <si>
    <r>
      <t>visc (diff)</t>
    </r>
    <r>
      <rPr>
        <b/>
        <vertAlign val="superscript"/>
        <sz val="10"/>
        <rFont val="Calibri"/>
        <family val="2"/>
        <scheme val="minor"/>
      </rPr>
      <t>2</t>
    </r>
  </si>
  <si>
    <r>
      <t>P (diff)</t>
    </r>
    <r>
      <rPr>
        <b/>
        <vertAlign val="superscript"/>
        <sz val="10"/>
        <rFont val="Calibri"/>
        <family val="2"/>
        <scheme val="minor"/>
      </rPr>
      <t>2</t>
    </r>
  </si>
  <si>
    <t>x% Oil in Evap</t>
  </si>
  <si>
    <t>x% Oil in Comp</t>
  </si>
  <si>
    <t>% Oil in Condensor</t>
  </si>
  <si>
    <t>Incompressible</t>
  </si>
  <si>
    <t>Same speed everywhere</t>
  </si>
  <si>
    <t>p [Pa]</t>
  </si>
  <si>
    <t>100% Oil in Condensor</t>
  </si>
  <si>
    <t>if you just change the distribution</t>
  </si>
  <si>
    <t>3. you don’t have to use Solver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</si>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</sst>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* #,##0.00_);_(* \(#,##0.00\);_(* &quot;-&quot;??_);_(@_)"/>
    <numFmt numFmtId="167" formatCode="0.000"/>
    <numFmt numFmtId="168" formatCode="0.0"/>
    <numFmt numFmtId="169" formatCode="0.0000"/>
    <numFmt numFmtId="170" formatCode="0.00000E+00"/>
    <numFmt numFmtId="171" formatCode="_([$€-2]* #,##0.00_);_([$€-2]* \(#,##0.00\);_([$€-2]* &quot;-&quot;??_)"/>
    <numFmt numFmtId="172" formatCode="0.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New York"/>
      <family val="2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0033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0" fontId="2" fillId="0" borderId="0"/>
    <xf numFmtId="0" fontId="2" fillId="0" borderId="0"/>
    <xf numFmtId="0" fontId="3" fillId="2" borderId="1" applyNumberFormat="0" applyFont="0" applyAlignment="0" applyProtection="0"/>
    <xf numFmtId="9" fontId="4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4" fillId="0" borderId="0"/>
    <xf numFmtId="0" fontId="8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0" fillId="8" borderId="19" applyNumberFormat="0" applyAlignment="0" applyProtection="0"/>
    <xf numFmtId="0" fontId="12" fillId="0" borderId="0"/>
  </cellStyleXfs>
  <cellXfs count="151">
    <xf numFmtId="0" fontId="0" fillId="0" borderId="0" xfId="0"/>
    <xf numFmtId="0" fontId="5" fillId="0" borderId="0" xfId="0" applyFont="1" applyFill="1" applyBorder="1"/>
    <xf numFmtId="0" fontId="5" fillId="6" borderId="0" xfId="0" applyFont="1" applyFill="1" applyBorder="1"/>
    <xf numFmtId="0" fontId="5" fillId="7" borderId="0" xfId="0" applyFont="1" applyFill="1" applyBorder="1"/>
    <xf numFmtId="170" fontId="6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170" fontId="5" fillId="6" borderId="0" xfId="0" applyNumberFormat="1" applyFont="1" applyFill="1" applyBorder="1" applyAlignment="1">
      <alignment horizontal="center" wrapText="1"/>
    </xf>
    <xf numFmtId="170" fontId="5" fillId="7" borderId="0" xfId="0" applyNumberFormat="1" applyFont="1" applyFill="1" applyBorder="1" applyAlignment="1">
      <alignment horizontal="center" wrapText="1"/>
    </xf>
    <xf numFmtId="0" fontId="11" fillId="9" borderId="9" xfId="0" applyFont="1" applyFill="1" applyBorder="1"/>
    <xf numFmtId="0" fontId="11" fillId="9" borderId="22" xfId="0" quotePrefix="1" applyFont="1" applyFill="1" applyBorder="1" applyAlignment="1">
      <alignment horizontal="center"/>
    </xf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12" borderId="23" xfId="0" applyFill="1" applyBorder="1"/>
    <xf numFmtId="0" fontId="0" fillId="12" borderId="24" xfId="0" applyFill="1" applyBorder="1"/>
    <xf numFmtId="0" fontId="1" fillId="3" borderId="9" xfId="0" applyFont="1" applyFill="1" applyBorder="1"/>
    <xf numFmtId="0" fontId="10" fillId="8" borderId="19" xfId="22" applyAlignment="1">
      <alignment horizontal="right" vertical="center" wrapText="1"/>
    </xf>
    <xf numFmtId="0" fontId="10" fillId="8" borderId="19" xfId="22" applyAlignment="1">
      <alignment horizontal="left" vertical="center" wrapText="1"/>
    </xf>
    <xf numFmtId="0" fontId="5" fillId="6" borderId="29" xfId="0" applyFont="1" applyFill="1" applyBorder="1"/>
    <xf numFmtId="0" fontId="5" fillId="7" borderId="29" xfId="0" applyFont="1" applyFill="1" applyBorder="1"/>
    <xf numFmtId="170" fontId="6" fillId="0" borderId="29" xfId="0" applyNumberFormat="1" applyFont="1" applyFill="1" applyBorder="1"/>
    <xf numFmtId="0" fontId="5" fillId="12" borderId="31" xfId="0" applyFont="1" applyFill="1" applyBorder="1" applyAlignment="1">
      <alignment horizontal="center"/>
    </xf>
    <xf numFmtId="0" fontId="5" fillId="12" borderId="30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5" fillId="6" borderId="36" xfId="0" applyFont="1" applyFill="1" applyBorder="1" applyAlignment="1">
      <alignment horizontal="center"/>
    </xf>
    <xf numFmtId="0" fontId="5" fillId="6" borderId="37" xfId="0" quotePrefix="1" applyFont="1" applyFill="1" applyBorder="1" applyAlignment="1">
      <alignment horizontal="center"/>
    </xf>
    <xf numFmtId="0" fontId="0" fillId="6" borderId="0" xfId="0" applyFill="1" applyBorder="1"/>
    <xf numFmtId="0" fontId="0" fillId="7" borderId="0" xfId="0" applyFill="1" applyBorder="1"/>
    <xf numFmtId="0" fontId="10" fillId="8" borderId="19" xfId="22" applyAlignment="1">
      <alignment horizontal="center" vertical="center" wrapText="1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72" fontId="0" fillId="5" borderId="11" xfId="4" applyNumberFormat="1" applyFont="1" applyFill="1" applyBorder="1" applyAlignment="1">
      <alignment horizontal="center"/>
    </xf>
    <xf numFmtId="172" fontId="0" fillId="5" borderId="16" xfId="4" applyNumberFormat="1" applyFont="1" applyFill="1" applyBorder="1" applyAlignment="1">
      <alignment horizontal="center"/>
    </xf>
    <xf numFmtId="2" fontId="0" fillId="5" borderId="26" xfId="4" applyNumberFormat="1" applyFont="1" applyFill="1" applyBorder="1" applyAlignment="1">
      <alignment horizontal="center"/>
    </xf>
    <xf numFmtId="2" fontId="0" fillId="5" borderId="17" xfId="4" applyNumberFormat="1" applyFon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15" xfId="0" applyNumberFormat="1" applyFill="1" applyBorder="1" applyAlignment="1">
      <alignment horizontal="center"/>
    </xf>
    <xf numFmtId="2" fontId="0" fillId="12" borderId="11" xfId="0" applyNumberFormat="1" applyFill="1" applyBorder="1" applyAlignment="1">
      <alignment horizontal="center"/>
    </xf>
    <xf numFmtId="2" fontId="0" fillId="12" borderId="16" xfId="0" applyNumberFormat="1" applyFill="1" applyBorder="1" applyAlignment="1">
      <alignment horizontal="center"/>
    </xf>
    <xf numFmtId="172" fontId="0" fillId="12" borderId="11" xfId="4" applyNumberFormat="1" applyFont="1" applyFill="1" applyBorder="1" applyAlignment="1">
      <alignment horizontal="center"/>
    </xf>
    <xf numFmtId="172" fontId="0" fillId="12" borderId="16" xfId="4" applyNumberFormat="1" applyFont="1" applyFill="1" applyBorder="1" applyAlignment="1">
      <alignment horizontal="center"/>
    </xf>
    <xf numFmtId="2" fontId="1" fillId="3" borderId="20" xfId="0" applyNumberFormat="1" applyFont="1" applyFill="1" applyBorder="1" applyAlignment="1">
      <alignment horizontal="center"/>
    </xf>
    <xf numFmtId="2" fontId="1" fillId="3" borderId="21" xfId="0" applyNumberFormat="1" applyFont="1" applyFill="1" applyBorder="1" applyAlignment="1">
      <alignment horizontal="center"/>
    </xf>
    <xf numFmtId="0" fontId="0" fillId="12" borderId="40" xfId="0" applyFill="1" applyBorder="1"/>
    <xf numFmtId="2" fontId="0" fillId="12" borderId="17" xfId="4" applyNumberFormat="1" applyFont="1" applyFill="1" applyBorder="1" applyAlignment="1">
      <alignment horizontal="center"/>
    </xf>
    <xf numFmtId="0" fontId="11" fillId="9" borderId="10" xfId="0" applyFont="1" applyFill="1" applyBorder="1"/>
    <xf numFmtId="0" fontId="0" fillId="5" borderId="40" xfId="0" applyFill="1" applyBorder="1"/>
    <xf numFmtId="0" fontId="11" fillId="9" borderId="41" xfId="0" quotePrefix="1" applyFont="1" applyFill="1" applyBorder="1" applyAlignment="1">
      <alignment horizontal="center"/>
    </xf>
    <xf numFmtId="2" fontId="0" fillId="12" borderId="26" xfId="4" applyNumberFormat="1" applyFont="1" applyFill="1" applyBorder="1" applyAlignment="1">
      <alignment horizontal="center"/>
    </xf>
    <xf numFmtId="9" fontId="0" fillId="12" borderId="25" xfId="4" applyFont="1" applyFill="1" applyBorder="1" applyAlignment="1">
      <alignment horizontal="center"/>
    </xf>
    <xf numFmtId="10" fontId="1" fillId="3" borderId="20" xfId="4" applyNumberFormat="1" applyFont="1" applyFill="1" applyBorder="1" applyAlignment="1">
      <alignment horizontal="center"/>
    </xf>
    <xf numFmtId="10" fontId="1" fillId="3" borderId="21" xfId="4" applyNumberFormat="1" applyFont="1" applyFill="1" applyBorder="1" applyAlignment="1">
      <alignment horizontal="center"/>
    </xf>
    <xf numFmtId="9" fontId="0" fillId="12" borderId="5" xfId="4" applyFont="1" applyFill="1" applyBorder="1" applyAlignment="1">
      <alignment horizontal="center"/>
    </xf>
    <xf numFmtId="0" fontId="1" fillId="3" borderId="33" xfId="0" applyFont="1" applyFill="1" applyBorder="1"/>
    <xf numFmtId="167" fontId="5" fillId="4" borderId="7" xfId="0" applyNumberFormat="1" applyFont="1" applyFill="1" applyBorder="1" applyAlignment="1">
      <alignment horizontal="center"/>
    </xf>
    <xf numFmtId="0" fontId="0" fillId="13" borderId="28" xfId="0" applyFill="1" applyBorder="1"/>
    <xf numFmtId="0" fontId="0" fillId="16" borderId="28" xfId="0" applyFill="1" applyBorder="1"/>
    <xf numFmtId="0" fontId="0" fillId="18" borderId="28" xfId="0" applyFill="1" applyBorder="1"/>
    <xf numFmtId="0" fontId="0" fillId="14" borderId="28" xfId="0" applyFill="1" applyBorder="1"/>
    <xf numFmtId="0" fontId="0" fillId="17" borderId="28" xfId="0" applyFill="1" applyBorder="1"/>
    <xf numFmtId="0" fontId="0" fillId="20" borderId="28" xfId="0" applyFill="1" applyBorder="1"/>
    <xf numFmtId="0" fontId="0" fillId="20" borderId="43" xfId="0" applyFill="1" applyBorder="1"/>
    <xf numFmtId="0" fontId="1" fillId="21" borderId="38" xfId="0" applyFont="1" applyFill="1" applyBorder="1" applyAlignment="1">
      <alignment horizontal="center"/>
    </xf>
    <xf numFmtId="0" fontId="1" fillId="21" borderId="32" xfId="0" applyFont="1" applyFill="1" applyBorder="1" applyAlignment="1">
      <alignment horizontal="center"/>
    </xf>
    <xf numFmtId="0" fontId="0" fillId="23" borderId="11" xfId="0" applyFill="1" applyBorder="1" applyAlignment="1">
      <alignment horizontal="right"/>
    </xf>
    <xf numFmtId="0" fontId="0" fillId="23" borderId="11" xfId="0" applyFill="1" applyBorder="1" applyAlignment="1">
      <alignment horizontal="center"/>
    </xf>
    <xf numFmtId="0" fontId="0" fillId="23" borderId="11" xfId="0" applyFill="1" applyBorder="1"/>
    <xf numFmtId="0" fontId="10" fillId="0" borderId="19" xfId="22" applyFill="1" applyAlignment="1">
      <alignment horizontal="left" vertical="center" wrapText="1"/>
    </xf>
    <xf numFmtId="0" fontId="0" fillId="0" borderId="29" xfId="0" applyBorder="1"/>
    <xf numFmtId="9" fontId="0" fillId="15" borderId="6" xfId="4" applyFont="1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/>
    <xf numFmtId="0" fontId="0" fillId="22" borderId="0" xfId="0" applyFill="1"/>
    <xf numFmtId="0" fontId="0" fillId="22" borderId="0" xfId="0" applyFill="1" applyAlignment="1">
      <alignment horizontal="center"/>
    </xf>
    <xf numFmtId="0" fontId="1" fillId="22" borderId="0" xfId="0" applyFont="1" applyFill="1"/>
    <xf numFmtId="0" fontId="0" fillId="22" borderId="0" xfId="0" applyFill="1" applyBorder="1" applyAlignment="1">
      <alignment horizontal="left"/>
    </xf>
    <xf numFmtId="0" fontId="1" fillId="6" borderId="0" xfId="0" applyFont="1" applyFill="1"/>
    <xf numFmtId="0" fontId="14" fillId="6" borderId="0" xfId="0" applyFont="1" applyFill="1" applyBorder="1" applyAlignment="1">
      <alignment horizontal="left"/>
    </xf>
    <xf numFmtId="0" fontId="14" fillId="6" borderId="0" xfId="0" applyFont="1" applyFill="1"/>
    <xf numFmtId="0" fontId="13" fillId="7" borderId="34" xfId="0" applyFont="1" applyFill="1" applyBorder="1" applyAlignment="1">
      <alignment horizontal="left"/>
    </xf>
    <xf numFmtId="0" fontId="0" fillId="7" borderId="34" xfId="0" applyFill="1" applyBorder="1" applyAlignment="1">
      <alignment horizontal="left"/>
    </xf>
    <xf numFmtId="0" fontId="0" fillId="7" borderId="35" xfId="0" applyFill="1" applyBorder="1" applyAlignment="1">
      <alignment horizontal="left"/>
    </xf>
    <xf numFmtId="0" fontId="13" fillId="25" borderId="34" xfId="0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0" fontId="0" fillId="25" borderId="34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5" fillId="24" borderId="36" xfId="0" applyFont="1" applyFill="1" applyBorder="1" applyAlignment="1">
      <alignment horizontal="center"/>
    </xf>
    <xf numFmtId="0" fontId="5" fillId="24" borderId="8" xfId="0" applyFont="1" applyFill="1" applyBorder="1" applyAlignment="1">
      <alignment horizontal="center"/>
    </xf>
    <xf numFmtId="168" fontId="5" fillId="4" borderId="7" xfId="0" applyNumberFormat="1" applyFont="1" applyFill="1" applyBorder="1" applyAlignment="1">
      <alignment horizontal="center"/>
    </xf>
    <xf numFmtId="169" fontId="0" fillId="4" borderId="7" xfId="0" applyNumberFormat="1" applyFill="1" applyBorder="1" applyAlignment="1">
      <alignment horizontal="center"/>
    </xf>
    <xf numFmtId="0" fontId="5" fillId="26" borderId="14" xfId="0" applyFont="1" applyFill="1" applyBorder="1" applyAlignment="1">
      <alignment horizontal="center"/>
    </xf>
    <xf numFmtId="0" fontId="5" fillId="26" borderId="36" xfId="0" applyFont="1" applyFill="1" applyBorder="1" applyAlignment="1">
      <alignment horizontal="center"/>
    </xf>
    <xf numFmtId="2" fontId="7" fillId="26" borderId="46" xfId="0" applyNumberFormat="1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1" fillId="19" borderId="33" xfId="0" applyFont="1" applyFill="1" applyBorder="1" applyAlignment="1">
      <alignment horizontal="left"/>
    </xf>
    <xf numFmtId="0" fontId="7" fillId="4" borderId="42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38" xfId="0" quotePrefix="1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26" borderId="23" xfId="0" applyFont="1" applyFill="1" applyBorder="1" applyAlignment="1">
      <alignment horizontal="center"/>
    </xf>
    <xf numFmtId="0" fontId="7" fillId="26" borderId="38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24" borderId="38" xfId="0" applyFont="1" applyFill="1" applyBorder="1" applyAlignment="1">
      <alignment horizontal="center"/>
    </xf>
    <xf numFmtId="0" fontId="7" fillId="24" borderId="32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15" borderId="33" xfId="0" applyFont="1" applyFill="1" applyBorder="1" applyAlignment="1">
      <alignment horizontal="left"/>
    </xf>
    <xf numFmtId="2" fontId="0" fillId="5" borderId="11" xfId="4" applyNumberFormat="1" applyFont="1" applyFill="1" applyBorder="1" applyAlignment="1">
      <alignment horizontal="center"/>
    </xf>
    <xf numFmtId="2" fontId="0" fillId="12" borderId="11" xfId="4" applyNumberFormat="1" applyFont="1" applyFill="1" applyBorder="1" applyAlignment="1">
      <alignment horizontal="center"/>
    </xf>
    <xf numFmtId="0" fontId="11" fillId="9" borderId="3" xfId="0" quotePrefix="1" applyFont="1" applyFill="1" applyBorder="1" applyAlignment="1">
      <alignment horizontal="center"/>
    </xf>
    <xf numFmtId="0" fontId="11" fillId="9" borderId="4" xfId="0" quotePrefix="1" applyFont="1" applyFill="1" applyBorder="1" applyAlignment="1">
      <alignment horizontal="center"/>
    </xf>
    <xf numFmtId="2" fontId="0" fillId="5" borderId="16" xfId="4" applyNumberFormat="1" applyFont="1" applyFill="1" applyBorder="1" applyAlignment="1">
      <alignment horizontal="center"/>
    </xf>
    <xf numFmtId="2" fontId="0" fillId="12" borderId="16" xfId="4" applyNumberFormat="1" applyFont="1" applyFill="1" applyBorder="1" applyAlignment="1">
      <alignment horizontal="center"/>
    </xf>
    <xf numFmtId="10" fontId="1" fillId="22" borderId="0" xfId="4" applyNumberFormat="1" applyFont="1" applyFill="1" applyBorder="1" applyAlignment="1">
      <alignment horizontal="center"/>
    </xf>
    <xf numFmtId="9" fontId="0" fillId="5" borderId="26" xfId="4" applyFont="1" applyFill="1" applyBorder="1" applyAlignment="1">
      <alignment horizontal="center"/>
    </xf>
    <xf numFmtId="9" fontId="0" fillId="5" borderId="17" xfId="4" applyFont="1" applyFill="1" applyBorder="1" applyAlignment="1">
      <alignment horizontal="center"/>
    </xf>
    <xf numFmtId="9" fontId="0" fillId="15" borderId="27" xfId="4" applyFont="1" applyFill="1" applyBorder="1" applyAlignment="1">
      <alignment horizontal="center"/>
    </xf>
    <xf numFmtId="0" fontId="1" fillId="21" borderId="23" xfId="0" applyFont="1" applyFill="1" applyBorder="1"/>
    <xf numFmtId="2" fontId="1" fillId="3" borderId="47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0" fontId="1" fillId="27" borderId="33" xfId="0" applyFont="1" applyFill="1" applyBorder="1" applyAlignment="1">
      <alignment horizontal="left"/>
    </xf>
    <xf numFmtId="0" fontId="13" fillId="26" borderId="34" xfId="0" applyFont="1" applyFill="1" applyBorder="1" applyAlignment="1">
      <alignment horizontal="left"/>
    </xf>
    <xf numFmtId="0" fontId="0" fillId="26" borderId="34" xfId="0" applyFill="1" applyBorder="1" applyAlignment="1">
      <alignment horizontal="left"/>
    </xf>
    <xf numFmtId="0" fontId="0" fillId="26" borderId="35" xfId="0" applyFill="1" applyBorder="1" applyAlignment="1">
      <alignment horizontal="left"/>
    </xf>
    <xf numFmtId="0" fontId="10" fillId="22" borderId="19" xfId="22" applyFill="1" applyAlignment="1">
      <alignment horizontal="right" vertical="center" wrapText="1"/>
    </xf>
    <xf numFmtId="0" fontId="0" fillId="23" borderId="0" xfId="0" applyFill="1" applyBorder="1" applyAlignment="1">
      <alignment horizontal="center"/>
    </xf>
    <xf numFmtId="0" fontId="0" fillId="23" borderId="12" xfId="0" applyFill="1" applyBorder="1" applyAlignment="1">
      <alignment horizontal="center"/>
    </xf>
    <xf numFmtId="0" fontId="0" fillId="23" borderId="0" xfId="0" applyFill="1" applyBorder="1"/>
    <xf numFmtId="9" fontId="0" fillId="23" borderId="12" xfId="4" applyFont="1" applyFill="1" applyBorder="1" applyAlignment="1">
      <alignment horizontal="center"/>
    </xf>
    <xf numFmtId="0" fontId="0" fillId="23" borderId="36" xfId="0" applyFill="1" applyBorder="1"/>
    <xf numFmtId="9" fontId="0" fillId="23" borderId="8" xfId="4" applyFont="1" applyFill="1" applyBorder="1" applyAlignment="1">
      <alignment horizontal="center"/>
    </xf>
    <xf numFmtId="172" fontId="0" fillId="19" borderId="15" xfId="4" applyNumberFormat="1" applyFont="1" applyFill="1" applyBorder="1" applyAlignment="1">
      <alignment horizontal="center"/>
    </xf>
    <xf numFmtId="172" fontId="0" fillId="19" borderId="11" xfId="4" applyNumberFormat="1" applyFont="1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172" fontId="0" fillId="15" borderId="17" xfId="4" applyNumberFormat="1" applyFont="1" applyFill="1" applyBorder="1" applyAlignment="1">
      <alignment horizontal="center"/>
    </xf>
    <xf numFmtId="172" fontId="0" fillId="15" borderId="5" xfId="4" applyNumberFormat="1" applyFont="1" applyFill="1" applyBorder="1" applyAlignment="1">
      <alignment horizontal="center"/>
    </xf>
  </cellXfs>
  <cellStyles count="24">
    <cellStyle name="Comma 2" xfId="5"/>
    <cellStyle name="Comma 3" xfId="6"/>
    <cellStyle name="Euro" xfId="7"/>
    <cellStyle name="Hyperlink 2" xfId="8"/>
    <cellStyle name="Normal" xfId="0" builtinId="0"/>
    <cellStyle name="Normal 19" xfId="23"/>
    <cellStyle name="Normal 2" xfId="1"/>
    <cellStyle name="Normal 2 2" xfId="2"/>
    <cellStyle name="Normal 2 3" xfId="9"/>
    <cellStyle name="Normal 2 4" xfId="10"/>
    <cellStyle name="Normal 2 5" xfId="11"/>
    <cellStyle name="Normal 2 6" xfId="12"/>
    <cellStyle name="Normal 2 7" xfId="13"/>
    <cellStyle name="Normal 3" xfId="14"/>
    <cellStyle name="Normal 4" xfId="15"/>
    <cellStyle name="Normal 5" xfId="16"/>
    <cellStyle name="Note 2" xfId="3"/>
    <cellStyle name="Output" xfId="22" builtinId="21"/>
    <cellStyle name="Percent" xfId="4" builtinId="5"/>
    <cellStyle name="Percent 2" xfId="17"/>
    <cellStyle name="Percent 3" xfId="18"/>
    <cellStyle name="Percent 4" xfId="19"/>
    <cellStyle name="Standard 2" xfId="20"/>
    <cellStyle name="Währung 2" xfId="21"/>
  </cellStyles>
  <dxfs count="0"/>
  <tableStyles count="0" defaultTableStyle="TableStyleMedium9" defaultPivotStyle="PivotStyleLight16"/>
  <colors>
    <mruColors>
      <color rgb="FFFF6600"/>
      <color rgb="FFFFFFCC"/>
      <color rgb="FF0033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12</xdr:col>
      <xdr:colOff>0</xdr:colOff>
      <xdr:row>21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38100"/>
          <a:ext cx="7229475" cy="403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19049</xdr:colOff>
      <xdr:row>0</xdr:row>
      <xdr:rowOff>83344</xdr:rowOff>
    </xdr:from>
    <xdr:to>
      <xdr:col>29</xdr:col>
      <xdr:colOff>14541</xdr:colOff>
      <xdr:row>22</xdr:row>
      <xdr:rowOff>115094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05674" y="83344"/>
          <a:ext cx="10318211" cy="422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595314</xdr:colOff>
      <xdr:row>1</xdr:row>
      <xdr:rowOff>119062</xdr:rowOff>
    </xdr:from>
    <xdr:to>
      <xdr:col>27</xdr:col>
      <xdr:colOff>483395</xdr:colOff>
      <xdr:row>21</xdr:row>
      <xdr:rowOff>61912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703595" y="309562"/>
          <a:ext cx="7174706" cy="3752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83344</xdr:colOff>
      <xdr:row>21</xdr:row>
      <xdr:rowOff>95250</xdr:rowOff>
    </xdr:from>
    <xdr:to>
      <xdr:col>11</xdr:col>
      <xdr:colOff>178594</xdr:colOff>
      <xdr:row>46</xdr:row>
      <xdr:rowOff>9525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3344" y="4095750"/>
          <a:ext cx="6774656" cy="467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2012_03_Green%20HP_F7Project/30_Engineering%20Tests/VI%20Testing%20ZH18KVE-TFD/R290CVS_optimizationPoint_v4%20(2)_J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-srv04\Marketing\Air_Conditioning\10_Market_Research_Analysis\Efficiency_Simulations\Seasonal_Effy_Calculator_v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Emerson/REFLIB%20for%20EXCEL/AddIn/Refli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 Sizing"/>
      <sheetName val="Charts"/>
      <sheetName val="Scroll optimization"/>
      <sheetName val="Tbiv optimization"/>
      <sheetName val="Envelope"/>
      <sheetName val="DataSupport"/>
      <sheetName val="Poli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Gas</v>
          </cell>
          <cell r="B2">
            <v>-10</v>
          </cell>
        </row>
        <row r="3">
          <cell r="A3" t="str">
            <v>Elect.</v>
          </cell>
          <cell r="B3">
            <v>-9</v>
          </cell>
        </row>
        <row r="4">
          <cell r="B4">
            <v>-8</v>
          </cell>
        </row>
        <row r="5">
          <cell r="B5">
            <v>-7</v>
          </cell>
        </row>
        <row r="6">
          <cell r="B6">
            <v>-6</v>
          </cell>
        </row>
        <row r="7">
          <cell r="B7">
            <v>-5</v>
          </cell>
        </row>
        <row r="8">
          <cell r="B8">
            <v>-4</v>
          </cell>
        </row>
        <row r="9">
          <cell r="B9">
            <v>-3</v>
          </cell>
        </row>
        <row r="10">
          <cell r="B10">
            <v>-2</v>
          </cell>
        </row>
        <row r="11">
          <cell r="B11">
            <v>-1</v>
          </cell>
        </row>
        <row r="12">
          <cell r="B12">
            <v>0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3</v>
          </cell>
        </row>
        <row r="16">
          <cell r="B16">
            <v>4</v>
          </cell>
        </row>
        <row r="17">
          <cell r="B17">
            <v>5</v>
          </cell>
        </row>
      </sheetData>
      <sheetData sheetId="6">
        <row r="4">
          <cell r="B4">
            <v>490.31216451803448</v>
          </cell>
          <cell r="C4">
            <v>-203.33137699773701</v>
          </cell>
        </row>
        <row r="5">
          <cell r="B5">
            <v>0</v>
          </cell>
          <cell r="C5">
            <v>-4.6582441544393429</v>
          </cell>
        </row>
        <row r="6">
          <cell r="B6">
            <v>-72.686799543263334</v>
          </cell>
          <cell r="C6">
            <v>31.948566883991774</v>
          </cell>
        </row>
        <row r="7">
          <cell r="B7">
            <v>2.9712190256183355</v>
          </cell>
          <cell r="C7">
            <v>0.12077231115200358</v>
          </cell>
        </row>
        <row r="8">
          <cell r="B8">
            <v>-0.37721366861210193</v>
          </cell>
          <cell r="C8">
            <v>0.1620973833694927</v>
          </cell>
        </row>
        <row r="9">
          <cell r="B9">
            <v>9.5208278818854811E-2</v>
          </cell>
          <cell r="C9">
            <v>-4.7466990110215865E-3</v>
          </cell>
        </row>
        <row r="10">
          <cell r="B10">
            <v>5.3923780243409214E-3</v>
          </cell>
          <cell r="C10">
            <v>2.4894871406027433E-3</v>
          </cell>
        </row>
        <row r="11">
          <cell r="B11">
            <v>1.0720106690248643</v>
          </cell>
          <cell r="C11">
            <v>-0.18230883070453394</v>
          </cell>
        </row>
        <row r="12">
          <cell r="B12">
            <v>1.3268035257991369</v>
          </cell>
          <cell r="C12">
            <v>-0.67224356447482236</v>
          </cell>
        </row>
        <row r="13">
          <cell r="B13">
            <v>0</v>
          </cell>
          <cell r="C13">
            <v>4.7797735703412033E-5</v>
          </cell>
        </row>
        <row r="14">
          <cell r="B14">
            <v>-3.0396948883989002E-4</v>
          </cell>
          <cell r="C14">
            <v>2.9329312300426903E-5</v>
          </cell>
        </row>
        <row r="15">
          <cell r="B15">
            <v>-2.6877649159323846E-2</v>
          </cell>
          <cell r="C15">
            <v>0</v>
          </cell>
        </row>
        <row r="16">
          <cell r="B16">
            <v>8.9200098909859491E-4</v>
          </cell>
          <cell r="C16">
            <v>-2.7104520836763366E-5</v>
          </cell>
        </row>
        <row r="17">
          <cell r="B17">
            <v>2.811381690911079E-2</v>
          </cell>
          <cell r="C17">
            <v>-6.2494449392300495E-3</v>
          </cell>
        </row>
        <row r="18">
          <cell r="B18">
            <v>0</v>
          </cell>
          <cell r="C18">
            <v>0</v>
          </cell>
        </row>
        <row r="19">
          <cell r="B19">
            <v>-1.4960934451481114E-4</v>
          </cell>
          <cell r="C19">
            <v>1.2611929607565223E-4</v>
          </cell>
        </row>
        <row r="20">
          <cell r="B20">
            <v>-7.7316284839527875E-3</v>
          </cell>
          <cell r="C20">
            <v>6.9902013693392863E-3</v>
          </cell>
        </row>
        <row r="21">
          <cell r="B21">
            <v>0</v>
          </cell>
          <cell r="C21">
            <v>6.7268051442888621E-7</v>
          </cell>
        </row>
        <row r="22">
          <cell r="B22">
            <v>-7.0056404718148246E-7</v>
          </cell>
          <cell r="C22">
            <v>0</v>
          </cell>
        </row>
        <row r="23">
          <cell r="B23">
            <v>0</v>
          </cell>
          <cell r="C23">
            <v>-1.8465025289600378E-9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ER_SEER"/>
      <sheetName val="ESEER_SEER_VS"/>
      <sheetName val="ESEER_SEER_VZH"/>
      <sheetName val="NPV"/>
      <sheetName val="SCOP"/>
      <sheetName val="SEER_VZH-stat088"/>
      <sheetName val="VZH088"/>
      <sheetName val="SEER_VZH-stat117"/>
      <sheetName val="VZH117"/>
      <sheetName val="SEER_VZH-stat170"/>
      <sheetName val="VZH170"/>
      <sheetName val="SCOP_data"/>
      <sheetName val="SEER_data"/>
      <sheetName val="DataSupport"/>
      <sheetName val="Polinomials"/>
      <sheetName val="Scenarios"/>
      <sheetName val="ZPV063"/>
      <sheetName val="ZPV60"/>
      <sheetName val="ZPV tested data"/>
      <sheetName val="Comparison"/>
      <sheetName val="ESEER_SEER_d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N3">
            <v>-259141.53720850567</v>
          </cell>
          <cell r="O3">
            <v>0</v>
          </cell>
          <cell r="P3">
            <v>8403.6118979638632</v>
          </cell>
          <cell r="Q3">
            <v>5.8582403977959627</v>
          </cell>
          <cell r="R3">
            <v>0</v>
          </cell>
          <cell r="S3">
            <v>0.80857320361051999</v>
          </cell>
          <cell r="T3">
            <v>0</v>
          </cell>
          <cell r="U3">
            <v>-21.440169764202253</v>
          </cell>
          <cell r="V3">
            <v>-86.30510977934486</v>
          </cell>
          <cell r="W3">
            <v>0</v>
          </cell>
          <cell r="X3">
            <v>-3.6724590857065372E-3</v>
          </cell>
          <cell r="Y3">
            <v>0.16392146168397734</v>
          </cell>
          <cell r="Z3">
            <v>0</v>
          </cell>
          <cell r="AA3">
            <v>0.11314745217966472</v>
          </cell>
          <cell r="AB3">
            <v>0</v>
          </cell>
          <cell r="AC3">
            <v>0</v>
          </cell>
          <cell r="AD3">
            <v>0.27787634205474276</v>
          </cell>
          <cell r="AE3">
            <v>-3.7829487256094508E-5</v>
          </cell>
          <cell r="AF3">
            <v>1.3865246623739489E-5</v>
          </cell>
          <cell r="AG3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definedNames>
      <definedName name="p_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="80" zoomScaleNormal="80" workbookViewId="0">
      <selection activeCell="E52" sqref="E5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53"/>
  <sheetViews>
    <sheetView tabSelected="1" zoomScale="70" zoomScaleNormal="70" workbookViewId="0">
      <selection activeCell="C13" sqref="C13"/>
    </sheetView>
  </sheetViews>
  <sheetFormatPr defaultRowHeight="15"/>
  <cols>
    <col min="1" max="1" width="39.28515625" customWidth="1"/>
    <col min="2" max="2" width="19.85546875" bestFit="1" customWidth="1"/>
    <col min="3" max="3" width="55" bestFit="1" customWidth="1"/>
    <col min="4" max="4" width="27.42578125" bestFit="1" customWidth="1"/>
    <col min="5" max="5" width="28.5703125" bestFit="1" customWidth="1"/>
    <col min="6" max="6" width="27.42578125" bestFit="1" customWidth="1"/>
    <col min="7" max="7" width="17.7109375" bestFit="1" customWidth="1"/>
    <col min="8" max="8" width="21" bestFit="1" customWidth="1"/>
    <col min="9" max="9" width="18.5703125" bestFit="1" customWidth="1"/>
    <col min="10" max="10" width="28.7109375" bestFit="1" customWidth="1"/>
    <col min="11" max="11" width="15.42578125" customWidth="1"/>
    <col min="12" max="12" width="11.7109375" bestFit="1" customWidth="1"/>
    <col min="13" max="13" width="9.7109375" bestFit="1" customWidth="1"/>
    <col min="14" max="14" width="15" bestFit="1" customWidth="1"/>
    <col min="15" max="15" width="11.5703125" bestFit="1" customWidth="1"/>
    <col min="16" max="16" width="17.28515625" bestFit="1" customWidth="1"/>
    <col min="17" max="17" width="12.5703125" bestFit="1" customWidth="1"/>
    <col min="18" max="18" width="12.42578125" bestFit="1" customWidth="1"/>
    <col min="19" max="20" width="12.5703125" bestFit="1" customWidth="1"/>
    <col min="21" max="21" width="12.42578125" bestFit="1" customWidth="1"/>
    <col min="22" max="22" width="12.5703125" bestFit="1" customWidth="1"/>
    <col min="23" max="24" width="11.7109375" bestFit="1" customWidth="1"/>
  </cols>
  <sheetData>
    <row r="1" spans="1:25">
      <c r="A1" s="79"/>
      <c r="B1" s="125" t="s">
        <v>27</v>
      </c>
      <c r="C1" s="69" t="s">
        <v>43</v>
      </c>
      <c r="D1" s="69" t="s">
        <v>42</v>
      </c>
      <c r="E1" s="69" t="s">
        <v>46</v>
      </c>
      <c r="F1" s="69" t="s">
        <v>80</v>
      </c>
      <c r="G1" s="70" t="s">
        <v>63</v>
      </c>
      <c r="H1" s="81" t="s">
        <v>57</v>
      </c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>
      <c r="A2" s="81" t="s">
        <v>50</v>
      </c>
      <c r="B2" s="62" t="s">
        <v>44</v>
      </c>
      <c r="C2" s="133">
        <v>-10</v>
      </c>
      <c r="D2" s="133">
        <f>C2+273.15</f>
        <v>263.14999999999998</v>
      </c>
      <c r="E2" s="133">
        <f>F2*10^-5</f>
        <v>3.4512025711321996</v>
      </c>
      <c r="F2" s="133">
        <f>[3]!p_B("R290",D2)</f>
        <v>345120.25711321994</v>
      </c>
      <c r="G2" s="134"/>
      <c r="H2" s="17" t="s">
        <v>30</v>
      </c>
      <c r="I2" s="30">
        <v>470</v>
      </c>
      <c r="J2" s="18" t="s">
        <v>22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5" ht="15.75" customHeight="1">
      <c r="A3" s="81" t="s">
        <v>51</v>
      </c>
      <c r="B3" s="63" t="s">
        <v>40</v>
      </c>
      <c r="C3" s="133">
        <v>10</v>
      </c>
      <c r="D3" s="133">
        <v>10</v>
      </c>
      <c r="E3" s="133"/>
      <c r="F3" s="133"/>
      <c r="G3" s="134"/>
      <c r="H3" s="81" t="s">
        <v>65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1:25">
      <c r="A4" s="81" t="s">
        <v>52</v>
      </c>
      <c r="B4" s="64" t="s">
        <v>47</v>
      </c>
      <c r="C4" s="133">
        <v>35</v>
      </c>
      <c r="D4" s="133">
        <f>C4+273.15</f>
        <v>308.14999999999998</v>
      </c>
      <c r="E4" s="133">
        <f t="shared" ref="E4:E6" si="0">F4*10^-5</f>
        <v>12.175094906787784</v>
      </c>
      <c r="F4" s="133">
        <f>[3]!p_B("R290",D4)</f>
        <v>1217509.4906787784</v>
      </c>
      <c r="G4" s="134"/>
      <c r="H4" s="71" t="s">
        <v>66</v>
      </c>
      <c r="I4" s="72">
        <v>150</v>
      </c>
      <c r="J4" s="73" t="s">
        <v>67</v>
      </c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25">
      <c r="A5" s="81" t="s">
        <v>53</v>
      </c>
      <c r="B5" s="65" t="s">
        <v>39</v>
      </c>
      <c r="C5" s="133">
        <v>0</v>
      </c>
      <c r="D5" s="133">
        <v>0</v>
      </c>
      <c r="E5" s="133"/>
      <c r="F5" s="133"/>
      <c r="G5" s="134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5">
      <c r="A6" s="81" t="s">
        <v>83</v>
      </c>
      <c r="B6" s="66" t="s">
        <v>41</v>
      </c>
      <c r="C6" s="133">
        <v>30</v>
      </c>
      <c r="D6" s="133">
        <f>C6+273.15</f>
        <v>303.14999999999998</v>
      </c>
      <c r="E6" s="133">
        <f t="shared" si="0"/>
        <v>3.4512025711321996</v>
      </c>
      <c r="F6" s="133">
        <f>F2</f>
        <v>345120.25711321994</v>
      </c>
      <c r="G6" s="134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1:25" ht="19.5" customHeight="1">
      <c r="A7" s="81" t="s">
        <v>82</v>
      </c>
      <c r="B7" s="67" t="s">
        <v>61</v>
      </c>
      <c r="C7" s="135"/>
      <c r="D7" s="135"/>
      <c r="E7" s="135"/>
      <c r="F7" s="135"/>
      <c r="G7" s="136">
        <v>0.1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>
      <c r="A8" s="79"/>
      <c r="B8" s="67" t="s">
        <v>77</v>
      </c>
      <c r="C8" s="135"/>
      <c r="D8" s="135"/>
      <c r="E8" s="135"/>
      <c r="F8" s="135"/>
      <c r="G8" s="136">
        <v>0.1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 spans="1:25" ht="15.75" thickBot="1">
      <c r="A9" s="79"/>
      <c r="B9" s="68" t="s">
        <v>62</v>
      </c>
      <c r="C9" s="137"/>
      <c r="D9" s="137"/>
      <c r="E9" s="137"/>
      <c r="F9" s="137"/>
      <c r="G9" s="138">
        <f>1-G8-G7</f>
        <v>0.8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 spans="1:25">
      <c r="A10" s="79"/>
      <c r="B10" s="79"/>
      <c r="C10" s="79"/>
      <c r="D10" s="79"/>
      <c r="E10" s="79"/>
      <c r="F10" s="79"/>
      <c r="G10" s="79"/>
      <c r="H10" s="80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 spans="1:25" ht="15.75" thickBot="1">
      <c r="A11" s="79"/>
      <c r="B11" s="81" t="s">
        <v>37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1" t="s">
        <v>37</v>
      </c>
      <c r="Q11" s="79"/>
      <c r="R11" s="79"/>
      <c r="S11" s="81" t="s">
        <v>38</v>
      </c>
      <c r="T11" s="79"/>
      <c r="U11" s="79"/>
      <c r="V11" s="79"/>
      <c r="W11" s="79"/>
      <c r="X11" s="79"/>
      <c r="Y11" s="79"/>
    </row>
    <row r="12" spans="1:25" ht="15.75" thickBot="1">
      <c r="A12" s="79"/>
      <c r="B12" s="102" t="s">
        <v>44</v>
      </c>
      <c r="C12" s="86" t="s">
        <v>48</v>
      </c>
      <c r="D12" s="87"/>
      <c r="E12" s="87"/>
      <c r="F12" s="87"/>
      <c r="G12" s="87"/>
      <c r="H12" s="87"/>
      <c r="I12" s="86" t="s">
        <v>48</v>
      </c>
      <c r="J12" s="87"/>
      <c r="K12" s="87"/>
      <c r="L12" s="87"/>
      <c r="M12" s="88"/>
      <c r="N12" s="79"/>
      <c r="O12" s="22" t="s">
        <v>6</v>
      </c>
      <c r="P12" s="19" t="s">
        <v>18</v>
      </c>
      <c r="Q12" s="20" t="s">
        <v>7</v>
      </c>
      <c r="R12" s="21" t="s">
        <v>8</v>
      </c>
      <c r="S12" s="19" t="s">
        <v>18</v>
      </c>
      <c r="T12" s="20" t="s">
        <v>7</v>
      </c>
      <c r="U12" s="21" t="s">
        <v>8</v>
      </c>
      <c r="V12" s="79"/>
      <c r="W12" s="79"/>
      <c r="X12" s="79"/>
      <c r="Y12" s="79"/>
    </row>
    <row r="13" spans="1:25" ht="15.75">
      <c r="A13" s="79"/>
      <c r="B13" s="103" t="s">
        <v>5</v>
      </c>
      <c r="C13" s="104" t="s">
        <v>84</v>
      </c>
      <c r="D13" s="105" t="s">
        <v>49</v>
      </c>
      <c r="E13" s="106" t="s">
        <v>4</v>
      </c>
      <c r="F13" s="107" t="s">
        <v>0</v>
      </c>
      <c r="G13" s="108" t="s">
        <v>1</v>
      </c>
      <c r="H13" s="108" t="s">
        <v>2</v>
      </c>
      <c r="I13" s="109" t="s">
        <v>20</v>
      </c>
      <c r="J13" s="110" t="s">
        <v>21</v>
      </c>
      <c r="K13" s="111" t="s">
        <v>73</v>
      </c>
      <c r="L13" s="112" t="s">
        <v>74</v>
      </c>
      <c r="M13" s="113" t="s">
        <v>3</v>
      </c>
      <c r="N13" s="82"/>
      <c r="O13" s="23" t="s">
        <v>9</v>
      </c>
      <c r="P13" s="7">
        <v>19.314499999999999</v>
      </c>
      <c r="Q13" s="8">
        <v>5.4186100000000001</v>
      </c>
      <c r="R13" s="4">
        <v>1.2115100000000001</v>
      </c>
      <c r="S13" s="2">
        <v>21.245699999999999</v>
      </c>
      <c r="T13" s="3">
        <v>5.1420399999999997</v>
      </c>
      <c r="U13" s="1">
        <v>1.2474700000000001</v>
      </c>
      <c r="V13" s="79"/>
      <c r="W13" s="79"/>
      <c r="X13" s="79"/>
      <c r="Y13" s="79"/>
    </row>
    <row r="14" spans="1:25" ht="15.75" thickBot="1">
      <c r="A14" s="79"/>
      <c r="B14" s="96">
        <v>3.7156662825747904</v>
      </c>
      <c r="C14" s="26">
        <f>LN(LN(B14+0.7+EXP(-B14)*BESSELK(B14+1.244068,0)))</f>
        <v>0.39553597656855888</v>
      </c>
      <c r="D14" s="27">
        <f>visc_hc1+visc_hc2*LN(F14)+visc_hc3*LN(F14)^2+E14*(visc_hc4+visc_hc5*LN(F14)+visc_hc6*LN(F14)^2)+E14^2*(visc_hc7+visc_hc8*LN(F14)+visc_hc9*LN(F14)^2)</f>
        <v>0.39553555238720195</v>
      </c>
      <c r="E14" s="61">
        <v>0.35361269914083598</v>
      </c>
      <c r="F14" s="98">
        <f>G14+273.15</f>
        <v>263.14999999999998</v>
      </c>
      <c r="G14" s="99">
        <f>C2</f>
        <v>-10</v>
      </c>
      <c r="H14" s="100">
        <f>E2</f>
        <v>3.4512025711321996</v>
      </c>
      <c r="I14" s="26">
        <f>LOG(H14)</f>
        <v>0.53797045130625343</v>
      </c>
      <c r="J14" s="101">
        <f>press_hc1+press_hc2/F14+press_hc3/(F14^2)+LOG(E14)*(press_hc4+press_hc5/F14+press_hc6/(F14^2))+LOG(E14)^2*(press_hc7+press_hc8/F14+press_hc9/(F14^2))</f>
        <v>0.53945783809355929</v>
      </c>
      <c r="K14" s="94">
        <f>(C14-D14)^2</f>
        <v>1.7992982356557089E-13</v>
      </c>
      <c r="L14" s="95">
        <f>(I14-J14)^2</f>
        <v>2.212319455052067E-6</v>
      </c>
      <c r="M14" s="97">
        <f>(rho_hc1+rho_hc2*F14+rho_hc3*F14^2)+(E14)*(rho_hc4+rho_hc5*F14+rho_hc6*F14^2)+((E14)^2)*(rho_hc7+rho_hc8*F14+rho_hc9*F14^2)</f>
        <v>0.78754710847798315</v>
      </c>
      <c r="N14" s="77"/>
      <c r="O14" s="23" t="s">
        <v>10</v>
      </c>
      <c r="P14" s="7">
        <v>-3.1118199999999998</v>
      </c>
      <c r="Q14" s="8">
        <v>-1539.69</v>
      </c>
      <c r="R14" s="4">
        <v>-8.3845000000000002E-4</v>
      </c>
      <c r="S14" s="2">
        <v>-3.4821399999999998</v>
      </c>
      <c r="T14" s="3">
        <v>-1395.63</v>
      </c>
      <c r="U14" s="1">
        <v>-1.09E-3</v>
      </c>
      <c r="V14" s="79"/>
      <c r="W14" s="79"/>
      <c r="X14" s="79"/>
      <c r="Y14" s="79"/>
    </row>
    <row r="15" spans="1:25" ht="15.75" thickBot="1">
      <c r="A15" s="79"/>
      <c r="B15" s="128" t="s">
        <v>47</v>
      </c>
      <c r="C15" s="129" t="s">
        <v>48</v>
      </c>
      <c r="D15" s="130"/>
      <c r="E15" s="130"/>
      <c r="F15" s="130"/>
      <c r="G15" s="130"/>
      <c r="H15" s="130"/>
      <c r="I15" s="129" t="s">
        <v>48</v>
      </c>
      <c r="J15" s="130"/>
      <c r="K15" s="130"/>
      <c r="L15" s="130"/>
      <c r="M15" s="131"/>
      <c r="N15" s="77"/>
      <c r="O15" s="23" t="s">
        <v>11</v>
      </c>
      <c r="P15" s="7">
        <v>0</v>
      </c>
      <c r="Q15" s="8">
        <v>68731.899999999994</v>
      </c>
      <c r="R15" s="4">
        <v>1.8236E-7</v>
      </c>
      <c r="S15" s="28">
        <v>0</v>
      </c>
      <c r="T15" s="29">
        <v>49374.2</v>
      </c>
      <c r="U15" s="6">
        <v>5.6199999999999998E-7</v>
      </c>
      <c r="V15" s="79"/>
      <c r="W15" s="79"/>
      <c r="X15" s="79"/>
      <c r="Y15" s="79"/>
    </row>
    <row r="16" spans="1:25" ht="15.75">
      <c r="A16" s="79"/>
      <c r="B16" s="103" t="s">
        <v>5</v>
      </c>
      <c r="C16" s="104" t="s">
        <v>19</v>
      </c>
      <c r="D16" s="105" t="s">
        <v>49</v>
      </c>
      <c r="E16" s="106" t="s">
        <v>4</v>
      </c>
      <c r="F16" s="107" t="s">
        <v>0</v>
      </c>
      <c r="G16" s="108" t="s">
        <v>1</v>
      </c>
      <c r="H16" s="108" t="s">
        <v>2</v>
      </c>
      <c r="I16" s="109" t="s">
        <v>20</v>
      </c>
      <c r="J16" s="110" t="s">
        <v>21</v>
      </c>
      <c r="K16" s="111" t="s">
        <v>73</v>
      </c>
      <c r="L16" s="112" t="s">
        <v>74</v>
      </c>
      <c r="M16" s="113" t="s">
        <v>3</v>
      </c>
      <c r="N16" s="78"/>
      <c r="O16" s="23" t="s">
        <v>12</v>
      </c>
      <c r="P16" s="7">
        <v>5.5114999999999998</v>
      </c>
      <c r="Q16" s="8">
        <v>1.8588800000000001</v>
      </c>
      <c r="R16" s="4">
        <v>4.5602700000000003E-2</v>
      </c>
      <c r="S16" s="24">
        <v>6.3581300000000001</v>
      </c>
      <c r="T16" s="25">
        <v>1.6598299999999999</v>
      </c>
      <c r="U16" s="5">
        <v>-0.94299999999999995</v>
      </c>
      <c r="V16" s="79"/>
      <c r="W16" s="79"/>
      <c r="X16" s="79"/>
      <c r="Y16" s="79"/>
    </row>
    <row r="17" spans="1:25" ht="15.75" thickBot="1">
      <c r="A17" s="79"/>
      <c r="B17" s="96">
        <v>0.88551996628435836</v>
      </c>
      <c r="C17" s="26">
        <f>LN(LN(B17+0.7+EXP(-B17)*BESSELK(B17+1.244068,0)))</f>
        <v>-0.72177012989726108</v>
      </c>
      <c r="D17" s="27">
        <f>visc_hc1+visc_hc2*LN(F17)+visc_hc3*LN(F17)^2+E17*(visc_hc4+visc_hc5*LN(F17)+visc_hc6*LN(F17)^2)+E17^2*(visc_hc7+visc_hc8*LN(F17)+visc_hc9*LN(F17)^2)</f>
        <v>-0.72176989156671845</v>
      </c>
      <c r="E17" s="61">
        <v>0.37064824700902232</v>
      </c>
      <c r="F17" s="98">
        <f>G17+273.15</f>
        <v>308.14999999999998</v>
      </c>
      <c r="G17" s="99">
        <f>C4</f>
        <v>35</v>
      </c>
      <c r="H17" s="100">
        <f>E4</f>
        <v>12.175094906787784</v>
      </c>
      <c r="I17" s="26">
        <f>LOG(H17)</f>
        <v>1.0854723552939476</v>
      </c>
      <c r="J17" s="101">
        <f>press_hc1+press_hc2/F17+press_hc3/(F17^2)+LOG(E17)*(press_hc4+press_hc5/F17+press_hc6/(F17^2))+LOG(E17)^2*(press_hc7+press_hc8/F17+press_hc9/(F17^2))</f>
        <v>1.0854726834852526</v>
      </c>
      <c r="K17" s="94">
        <f>(C17-D17)^2</f>
        <v>5.6801447552482496E-14</v>
      </c>
      <c r="L17" s="95">
        <f>(I17-J17)^2</f>
        <v>1.0770953269156015E-13</v>
      </c>
      <c r="M17" s="97">
        <f>(rho_hc1+rho_hc2*F17+rho_hc3*F17^2)+(E17)*(rho_hc4+rho_hc5*F17+rho_hc6*F17^2)+((E17)^2)*(rho_hc7+rho_hc8*F17+rho_hc9*F17^2)</f>
        <v>0.73429631041617294</v>
      </c>
      <c r="N17" s="78"/>
      <c r="O17" s="23" t="s">
        <v>13</v>
      </c>
      <c r="P17" s="7">
        <v>-1.7501899999999999</v>
      </c>
      <c r="Q17" s="8">
        <v>-892.73199999999997</v>
      </c>
      <c r="R17" s="4">
        <v>-4.6536199999999998E-3</v>
      </c>
      <c r="S17" s="24">
        <v>-2.07159</v>
      </c>
      <c r="T17" s="25">
        <v>-790.24</v>
      </c>
      <c r="U17" s="5">
        <v>2.0200000000000001E-3</v>
      </c>
      <c r="V17" s="79"/>
      <c r="W17" s="79"/>
      <c r="X17" s="79"/>
      <c r="Y17" s="79"/>
    </row>
    <row r="18" spans="1:25" ht="15.75" thickBot="1">
      <c r="A18" s="79"/>
      <c r="B18" s="114" t="s">
        <v>45</v>
      </c>
      <c r="C18" s="89" t="s">
        <v>48</v>
      </c>
      <c r="D18" s="90"/>
      <c r="E18" s="91"/>
      <c r="F18" s="90"/>
      <c r="G18" s="90"/>
      <c r="H18" s="90"/>
      <c r="I18" s="89" t="s">
        <v>48</v>
      </c>
      <c r="J18" s="92"/>
      <c r="K18" s="92"/>
      <c r="L18" s="92"/>
      <c r="M18" s="93"/>
      <c r="N18" s="78"/>
      <c r="O18" s="23" t="s">
        <v>14</v>
      </c>
      <c r="P18" s="7">
        <v>0</v>
      </c>
      <c r="Q18" s="8">
        <v>99709.4</v>
      </c>
      <c r="R18" s="4">
        <v>6.9773899999999996E-6</v>
      </c>
      <c r="S18" s="24">
        <v>0</v>
      </c>
      <c r="T18" s="25">
        <v>87022.7</v>
      </c>
      <c r="U18" s="5">
        <v>-4.16E-6</v>
      </c>
      <c r="V18" s="79"/>
      <c r="W18" s="79"/>
      <c r="X18" s="79"/>
      <c r="Y18" s="79"/>
    </row>
    <row r="19" spans="1:25" ht="15.75">
      <c r="A19" s="79"/>
      <c r="B19" s="103" t="s">
        <v>5</v>
      </c>
      <c r="C19" s="104" t="s">
        <v>19</v>
      </c>
      <c r="D19" s="105" t="s">
        <v>49</v>
      </c>
      <c r="E19" s="106" t="s">
        <v>4</v>
      </c>
      <c r="F19" s="107" t="s">
        <v>0</v>
      </c>
      <c r="G19" s="108" t="s">
        <v>1</v>
      </c>
      <c r="H19" s="108" t="s">
        <v>2</v>
      </c>
      <c r="I19" s="109" t="s">
        <v>20</v>
      </c>
      <c r="J19" s="110" t="s">
        <v>21</v>
      </c>
      <c r="K19" s="111" t="s">
        <v>73</v>
      </c>
      <c r="L19" s="112" t="s">
        <v>74</v>
      </c>
      <c r="M19" s="113" t="s">
        <v>3</v>
      </c>
      <c r="N19" s="78"/>
      <c r="O19" s="23" t="s">
        <v>15</v>
      </c>
      <c r="P19" s="7">
        <v>113.4</v>
      </c>
      <c r="Q19" s="8">
        <v>-1.8773999999999999E-2</v>
      </c>
      <c r="R19" s="4">
        <v>-1.32314</v>
      </c>
      <c r="S19" s="24">
        <v>3.3318099999999999</v>
      </c>
      <c r="T19" s="25">
        <v>-4.7913799999999999E-2</v>
      </c>
      <c r="U19" s="5">
        <v>1.5037499999999999</v>
      </c>
      <c r="V19" s="79"/>
      <c r="W19" s="79"/>
      <c r="X19" s="79"/>
      <c r="Y19" s="79"/>
    </row>
    <row r="20" spans="1:25" ht="15.75" thickBot="1">
      <c r="A20" s="79"/>
      <c r="B20" s="96">
        <v>38.658834461971644</v>
      </c>
      <c r="C20" s="26">
        <f>LN(LN(B20+0.7+EXP(-B20)*BESSELK(B20+1.244068,0)))</f>
        <v>1.3009326570800925</v>
      </c>
      <c r="D20" s="27">
        <f>visc_hc1+visc_hc2*LN(F20)+visc_hc3*LN(F20)^2+E20*(visc_hc4+visc_hc5*LN(F20)+visc_hc6*LN(F20)^2)+E20^2*(visc_hc7+visc_hc8*LN(F20)+visc_hc9*LN(F20)^2)</f>
        <v>1.3009317094785895</v>
      </c>
      <c r="E20" s="61">
        <v>4.9722037324963463E-2</v>
      </c>
      <c r="F20" s="98">
        <f>G20+273.15</f>
        <v>303.14999999999998</v>
      </c>
      <c r="G20" s="99">
        <f>C6</f>
        <v>30</v>
      </c>
      <c r="H20" s="100">
        <f>E6</f>
        <v>3.4512025711321996</v>
      </c>
      <c r="I20" s="26">
        <f>LOG(H20)</f>
        <v>0.53797045130625343</v>
      </c>
      <c r="J20" s="101">
        <f>press_hc1+press_hc2/F20+press_hc3/(F20^2)+LOG(E20)*(press_hc4+press_hc5/F20+press_hc6/(F20^2))+LOG(E20)^2*(press_hc7+press_hc8/F20+press_hc9/(F20^2))</f>
        <v>0.58057296518744061</v>
      </c>
      <c r="K20" s="94">
        <f>(C20-D20)^2</f>
        <v>8.9794860856927835E-13</v>
      </c>
      <c r="L20" s="95">
        <f>(I20-J20)^2</f>
        <v>1.8149741889967471E-3</v>
      </c>
      <c r="M20" s="97">
        <f>(rho_hc1+rho_hc2*F20+rho_hc3*F20^2)+(E20)*(rho_hc4+rho_hc5*F20+rho_hc6*F20^2)+((E20)^2)*(rho_hc7+rho_hc8*F20+rho_hc9*F20^2)</f>
        <v>0.93869958647910234</v>
      </c>
      <c r="N20" s="78"/>
      <c r="O20" s="23" t="s">
        <v>16</v>
      </c>
      <c r="P20" s="7">
        <v>-20.460599999999999</v>
      </c>
      <c r="Q20" s="8">
        <v>-141.49100000000001</v>
      </c>
      <c r="R20" s="4">
        <v>1.10445E-2</v>
      </c>
      <c r="S20" s="24">
        <v>-0.31683600000000001</v>
      </c>
      <c r="T20" s="25">
        <v>-126.464</v>
      </c>
      <c r="U20" s="5">
        <v>-8.3300000000000006E-3</v>
      </c>
      <c r="V20" s="79"/>
      <c r="W20" s="79"/>
      <c r="X20" s="79"/>
      <c r="Y20" s="79"/>
    </row>
    <row r="21" spans="1: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8"/>
      <c r="O21" s="23" t="s">
        <v>17</v>
      </c>
      <c r="P21" s="7">
        <v>0</v>
      </c>
      <c r="Q21" s="8">
        <v>17125.900000000001</v>
      </c>
      <c r="R21" s="4">
        <v>-1.9386799999999999E-5</v>
      </c>
      <c r="S21" s="24">
        <v>0</v>
      </c>
      <c r="T21" s="25">
        <v>15314.3</v>
      </c>
      <c r="U21" s="5">
        <v>1.3499999999999999E-5</v>
      </c>
      <c r="V21" s="79"/>
      <c r="W21" s="79"/>
      <c r="X21" s="79"/>
      <c r="Y21" s="79"/>
    </row>
    <row r="22" spans="1:25" ht="15.75" thickBot="1">
      <c r="A22" s="79"/>
      <c r="B22" s="81" t="s">
        <v>38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81" t="s">
        <v>56</v>
      </c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 spans="1:25" ht="15.75" thickBot="1">
      <c r="A23" s="79"/>
      <c r="B23" s="102" t="s">
        <v>44</v>
      </c>
      <c r="C23" s="86" t="s">
        <v>48</v>
      </c>
      <c r="D23" s="87"/>
      <c r="E23" s="87"/>
      <c r="F23" s="87"/>
      <c r="G23" s="87"/>
      <c r="H23" s="87"/>
      <c r="I23" s="86" t="s">
        <v>48</v>
      </c>
      <c r="J23" s="87"/>
      <c r="K23" s="87"/>
      <c r="L23" s="87"/>
      <c r="M23" s="88"/>
      <c r="N23" s="79"/>
      <c r="O23" s="75" t="s">
        <v>58</v>
      </c>
      <c r="P23" s="75" t="s">
        <v>59</v>
      </c>
      <c r="Q23" s="75" t="s">
        <v>64</v>
      </c>
      <c r="R23" s="79"/>
      <c r="S23" s="79"/>
      <c r="T23" s="79"/>
      <c r="U23" s="79"/>
      <c r="V23" s="79"/>
      <c r="W23" s="79"/>
      <c r="X23" s="79"/>
      <c r="Y23" s="79"/>
    </row>
    <row r="24" spans="1:25" ht="15.75">
      <c r="A24" s="79"/>
      <c r="B24" s="103" t="s">
        <v>5</v>
      </c>
      <c r="C24" s="104" t="s">
        <v>19</v>
      </c>
      <c r="D24" s="105" t="s">
        <v>49</v>
      </c>
      <c r="E24" s="106" t="s">
        <v>4</v>
      </c>
      <c r="F24" s="107" t="s">
        <v>0</v>
      </c>
      <c r="G24" s="108" t="s">
        <v>1</v>
      </c>
      <c r="H24" s="108" t="s">
        <v>2</v>
      </c>
      <c r="I24" s="109" t="s">
        <v>20</v>
      </c>
      <c r="J24" s="110" t="s">
        <v>21</v>
      </c>
      <c r="K24" s="111" t="s">
        <v>73</v>
      </c>
      <c r="L24" s="112" t="s">
        <v>74</v>
      </c>
      <c r="M24" s="113" t="s">
        <v>3</v>
      </c>
      <c r="N24" s="82"/>
      <c r="O24">
        <v>-7</v>
      </c>
      <c r="P24">
        <v>0.1196</v>
      </c>
      <c r="Q24">
        <f>P24*1000/(1000*10^3)</f>
        <v>1.1959999999999999E-4</v>
      </c>
      <c r="R24" s="79"/>
      <c r="S24" s="79"/>
      <c r="T24" s="79"/>
      <c r="U24" s="79"/>
      <c r="V24" s="79"/>
      <c r="W24" s="79"/>
      <c r="X24" s="79"/>
      <c r="Y24" s="79"/>
    </row>
    <row r="25" spans="1:25" ht="15.75" thickBot="1">
      <c r="A25" s="79"/>
      <c r="B25" s="96">
        <v>1.9545539022374974</v>
      </c>
      <c r="C25" s="26">
        <f>LN(LN(B25+0.7+EXP(-B25)*BESSELK(B25+1.244068,0)))</f>
        <v>-2.2501133414041339E-2</v>
      </c>
      <c r="D25" s="27">
        <f>visc_3M1+visc_3M2*LN(F25)+visc_3M3*LN(F25)^2+E25*(visc_3M4+visc_3M5*LN(F25)+visc_3M6*LN(F25)^2)+E25^2*(visc_3M7+visc_3M8*LN(F25)+visc_3M9*LN(F25)^2)</f>
        <v>-2.2501332664878582E-2</v>
      </c>
      <c r="E25" s="61">
        <v>0.41002513715170685</v>
      </c>
      <c r="F25" s="98">
        <f>G25+273.15</f>
        <v>263.14999999999998</v>
      </c>
      <c r="G25" s="99">
        <f>C2</f>
        <v>-10</v>
      </c>
      <c r="H25" s="100">
        <f>E2</f>
        <v>3.4512025711321996</v>
      </c>
      <c r="I25" s="26">
        <f>LOG(H25)</f>
        <v>0.53797045130625343</v>
      </c>
      <c r="J25" s="101">
        <f>press_3M1+press_3M2/F25+press_3M3/(F25^2)+LOG(E25)*(press_3M4+press_3M5/F25+press_3M6/(F25^2))+LOG(E25)^2*(press_3M7+press_3M8/F25+press_3M9/(F25^2))</f>
        <v>0.53890567082598062</v>
      </c>
      <c r="K25" s="94">
        <f>(C25-D25)^2</f>
        <v>3.9700896141907362E-14</v>
      </c>
      <c r="L25" s="95">
        <f>(I25-J25)^2</f>
        <v>8.7463555007876131E-7</v>
      </c>
      <c r="M25" s="97">
        <f>(rho_3M1+rho_3M2*F25+rho_3M3*F25^2)+(E25)*(rho_3M4+rho_3M5*F25+rho_3M6*F25^2)+((E25)^2)*(rho_3M7+rho_3M8*F25+rho_3M9*F25^2)</f>
        <v>0.75418921246920168</v>
      </c>
      <c r="N25" s="77"/>
      <c r="O25">
        <v>30</v>
      </c>
      <c r="Q25">
        <f t="shared" ref="Q25:Q26" si="1">P25*1000/(1000*10^3)</f>
        <v>0</v>
      </c>
      <c r="R25" s="79"/>
      <c r="S25" s="79"/>
      <c r="T25" s="79"/>
      <c r="U25" s="79"/>
      <c r="V25" s="79"/>
      <c r="W25" s="79"/>
      <c r="X25" s="79"/>
      <c r="Y25" s="79"/>
    </row>
    <row r="26" spans="1:25" ht="15.75" thickBot="1">
      <c r="A26" s="79"/>
      <c r="B26" s="128" t="s">
        <v>47</v>
      </c>
      <c r="C26" s="129" t="s">
        <v>48</v>
      </c>
      <c r="D26" s="130"/>
      <c r="E26" s="130"/>
      <c r="F26" s="130"/>
      <c r="G26" s="130"/>
      <c r="H26" s="130"/>
      <c r="I26" s="129" t="s">
        <v>48</v>
      </c>
      <c r="J26" s="130"/>
      <c r="K26" s="130"/>
      <c r="L26" s="130"/>
      <c r="M26" s="131"/>
      <c r="N26" s="77"/>
      <c r="O26">
        <v>-5</v>
      </c>
      <c r="P26">
        <v>0.112</v>
      </c>
      <c r="Q26">
        <f t="shared" si="1"/>
        <v>1.12E-4</v>
      </c>
      <c r="R26" s="79"/>
      <c r="S26" s="79"/>
      <c r="T26" s="79"/>
      <c r="U26" s="79"/>
      <c r="V26" s="79"/>
      <c r="W26" s="79"/>
      <c r="X26" s="79"/>
      <c r="Y26" s="79"/>
    </row>
    <row r="27" spans="1:25" ht="15.75">
      <c r="A27" s="79"/>
      <c r="B27" s="103" t="s">
        <v>5</v>
      </c>
      <c r="C27" s="104" t="s">
        <v>19</v>
      </c>
      <c r="D27" s="105" t="s">
        <v>49</v>
      </c>
      <c r="E27" s="106" t="s">
        <v>4</v>
      </c>
      <c r="F27" s="107" t="s">
        <v>0</v>
      </c>
      <c r="G27" s="108" t="s">
        <v>1</v>
      </c>
      <c r="H27" s="108" t="s">
        <v>2</v>
      </c>
      <c r="I27" s="109" t="s">
        <v>20</v>
      </c>
      <c r="J27" s="110" t="s">
        <v>21</v>
      </c>
      <c r="K27" s="111" t="s">
        <v>73</v>
      </c>
      <c r="L27" s="112" t="s">
        <v>74</v>
      </c>
      <c r="M27" s="113" t="s">
        <v>3</v>
      </c>
      <c r="N27" s="78"/>
      <c r="R27" s="79"/>
      <c r="S27" s="79"/>
      <c r="T27" s="79"/>
      <c r="U27" s="79"/>
      <c r="V27" s="79"/>
      <c r="W27" s="79"/>
      <c r="X27" s="79"/>
      <c r="Y27" s="79"/>
    </row>
    <row r="28" spans="1:25" ht="17.25" customHeight="1" thickBot="1">
      <c r="A28" s="79"/>
      <c r="B28" s="96">
        <v>0.86799413213171484</v>
      </c>
      <c r="C28" s="26">
        <f>LN(LN(B28+0.7+EXP(-B28)*BESSELK(B28+1.244068,0)))</f>
        <v>-0.7422556027138103</v>
      </c>
      <c r="D28" s="27">
        <f>visc_3M1+visc_3M2*LN(F28)+visc_3M3*LN(F28)^2+E28*(visc_3M4+visc_3M5*LN(F28)+visc_3M6*LN(F28)^2)+E28^2*(visc_3M7+visc_3M8*LN(F28)+visc_3M9*LN(F28)^2)</f>
        <v>-0.74225634500260829</v>
      </c>
      <c r="E28" s="61">
        <v>0.41649389769737499</v>
      </c>
      <c r="F28" s="98">
        <f>G28+273.15</f>
        <v>308.14999999999998</v>
      </c>
      <c r="G28" s="99">
        <f>C4</f>
        <v>35</v>
      </c>
      <c r="H28" s="100">
        <f>E4</f>
        <v>12.175094906787784</v>
      </c>
      <c r="I28" s="26">
        <f>LOG(H28)</f>
        <v>1.0854723552939476</v>
      </c>
      <c r="J28" s="101">
        <f>press_3M1+press_3M2/F28+press_3M3/(F28^2)+LOG(E28)*(press_3M4+press_3M5/F28+press_3M6/(F28^2))+LOG(E28)^2*(press_3M7+press_3M8/F28+press_3M9/(F28^2))</f>
        <v>1.0854725485939474</v>
      </c>
      <c r="K28" s="94">
        <f>(C28-D28)^2</f>
        <v>5.509926596118605E-13</v>
      </c>
      <c r="L28" s="95">
        <f>(I28-J28)^2</f>
        <v>3.7364889916671292E-14</v>
      </c>
      <c r="M28" s="97">
        <f>(rho_3M1+rho_3M2*F28+rho_3M3*F28^2)+(E28)*(rho_3M4+rho_3M5*F28+rho_3M6*F28^2)+((E28)^2)*(rho_3M7+rho_3M8*F28+rho_3M9*F28^2)</f>
        <v>0.70487721396542857</v>
      </c>
      <c r="N28" s="78"/>
      <c r="O28" s="132" t="s">
        <v>31</v>
      </c>
      <c r="P28" s="74">
        <f>AVERAGE(0.5004,0.4644)</f>
        <v>0.48239999999999994</v>
      </c>
      <c r="Q28" s="74" t="s">
        <v>32</v>
      </c>
      <c r="R28" s="79"/>
      <c r="S28" s="79"/>
      <c r="T28" s="79"/>
      <c r="U28" s="79"/>
      <c r="V28" s="79"/>
      <c r="W28" s="79"/>
      <c r="X28" s="79"/>
      <c r="Y28" s="79"/>
    </row>
    <row r="29" spans="1:25" ht="15.75" thickBot="1">
      <c r="A29" s="79"/>
      <c r="B29" s="114" t="s">
        <v>45</v>
      </c>
      <c r="C29" s="89" t="s">
        <v>48</v>
      </c>
      <c r="D29" s="90"/>
      <c r="E29" s="91"/>
      <c r="F29" s="90"/>
      <c r="G29" s="90"/>
      <c r="H29" s="90"/>
      <c r="I29" s="89" t="s">
        <v>48</v>
      </c>
      <c r="J29" s="92"/>
      <c r="K29" s="92"/>
      <c r="L29" s="92"/>
      <c r="M29" s="93"/>
      <c r="N29" s="78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 spans="1:25" ht="15.75">
      <c r="A30" s="79"/>
      <c r="B30" s="103" t="s">
        <v>5</v>
      </c>
      <c r="C30" s="104" t="s">
        <v>19</v>
      </c>
      <c r="D30" s="105" t="s">
        <v>49</v>
      </c>
      <c r="E30" s="106" t="s">
        <v>4</v>
      </c>
      <c r="F30" s="107" t="s">
        <v>0</v>
      </c>
      <c r="G30" s="108" t="s">
        <v>1</v>
      </c>
      <c r="H30" s="108" t="s">
        <v>2</v>
      </c>
      <c r="I30" s="109" t="s">
        <v>20</v>
      </c>
      <c r="J30" s="110" t="s">
        <v>21</v>
      </c>
      <c r="K30" s="111" t="s">
        <v>73</v>
      </c>
      <c r="L30" s="112" t="s">
        <v>74</v>
      </c>
      <c r="M30" s="113" t="s">
        <v>3</v>
      </c>
      <c r="N30" s="78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 spans="1:25" ht="15.75" thickBot="1">
      <c r="A31" s="79"/>
      <c r="B31" s="96">
        <v>17.733273283250597</v>
      </c>
      <c r="C31" s="26">
        <f>LN(LN(B31+0.7+EXP(-B31)*BESSELK(B31+1.244068,0)))</f>
        <v>1.069580708430611</v>
      </c>
      <c r="D31" s="27">
        <f>visc_3M1+visc_3M2*LN(F31)+visc_3M3*LN(F31)^2+E31*(visc_3M4+visc_3M5*LN(F31)+visc_3M6*LN(F31)^2)+E31^2*(visc_3M7+visc_3M8*LN(F31)+visc_3M9*LN(F31)^2)</f>
        <v>1.0695814441454565</v>
      </c>
      <c r="E31" s="61">
        <v>5.1541915863975558E-2</v>
      </c>
      <c r="F31" s="98">
        <f>G31+273.15</f>
        <v>303.14999999999998</v>
      </c>
      <c r="G31" s="99">
        <f>C6</f>
        <v>30</v>
      </c>
      <c r="H31" s="100">
        <f>E6</f>
        <v>3.4512025711321996</v>
      </c>
      <c r="I31" s="26">
        <f>LOG(H31)</f>
        <v>0.53797045130625343</v>
      </c>
      <c r="J31" s="101">
        <f>press_3M1+press_3M2/F31+press_3M3/(F31^2)+LOG(E31)*(press_3M4+press_3M5/F31+press_3M6/(F31^2))+LOG(E31)^2*(press_3M7+press_3M8/F31+press_3M9/(F31^2))</f>
        <v>0.58057387891376599</v>
      </c>
      <c r="K31" s="94">
        <f>(C31-D31)^2</f>
        <v>5.412763338744706E-13</v>
      </c>
      <c r="L31" s="95">
        <f>(I31-J31)^2</f>
        <v>1.815052043908564E-3</v>
      </c>
      <c r="M31" s="97">
        <f>(rho_3M1+rho_3M2*F31+rho_3M3*F31^2)+(E31)*(rho_3M4+rho_3M5*F31+rho_3M6*F31^2)+((E31)^2)*(rho_3M7+rho_3M8*F31+rho_3M9*F31^2)</f>
        <v>0.93252014025495222</v>
      </c>
      <c r="N31" s="78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 spans="1: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8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 spans="1:25" ht="15.75" thickBot="1">
      <c r="A33" s="79"/>
      <c r="B33" s="79"/>
      <c r="C33" s="79"/>
      <c r="D33" s="147" t="s">
        <v>69</v>
      </c>
      <c r="E33" s="148"/>
      <c r="F33" s="148"/>
      <c r="G33" s="148"/>
      <c r="H33" s="148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 spans="1:25" ht="15.75" thickBot="1">
      <c r="A34" s="79"/>
      <c r="B34" s="9" t="s">
        <v>26</v>
      </c>
      <c r="C34" s="52" t="s">
        <v>28</v>
      </c>
      <c r="D34" s="54" t="s">
        <v>54</v>
      </c>
      <c r="E34" s="10" t="s">
        <v>55</v>
      </c>
      <c r="F34" s="10" t="s">
        <v>81</v>
      </c>
      <c r="G34" s="117" t="s">
        <v>75</v>
      </c>
      <c r="H34" s="117" t="s">
        <v>76</v>
      </c>
      <c r="I34" s="117" t="s">
        <v>76</v>
      </c>
      <c r="J34" s="118" t="s">
        <v>60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 spans="1:25">
      <c r="A35" s="83" t="s">
        <v>70</v>
      </c>
      <c r="B35" s="141" t="s">
        <v>23</v>
      </c>
      <c r="C35" s="11" t="s">
        <v>33</v>
      </c>
      <c r="D35" s="31">
        <f>B14</f>
        <v>3.7156662825747904</v>
      </c>
      <c r="E35" s="32">
        <f>B20</f>
        <v>38.658834461971644</v>
      </c>
      <c r="F35" s="32">
        <f>B17</f>
        <v>0.88551996628435836</v>
      </c>
      <c r="G35" s="34"/>
      <c r="H35" s="34"/>
      <c r="I35" s="34"/>
      <c r="J35" s="35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 spans="1:25">
      <c r="A36" s="84" t="s">
        <v>71</v>
      </c>
      <c r="B36" s="142"/>
      <c r="C36" s="12" t="s">
        <v>34</v>
      </c>
      <c r="D36" s="33">
        <f>M14</f>
        <v>0.78754710847798315</v>
      </c>
      <c r="E36" s="34">
        <f>M20</f>
        <v>0.93869958647910234</v>
      </c>
      <c r="F36" s="34">
        <f>M17</f>
        <v>0.73429631041617294</v>
      </c>
      <c r="G36" s="34"/>
      <c r="H36" s="34"/>
      <c r="I36" s="34"/>
      <c r="J36" s="35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 spans="1:25">
      <c r="A37" s="85" t="s">
        <v>72</v>
      </c>
      <c r="B37" s="142"/>
      <c r="C37" s="12" t="s">
        <v>35</v>
      </c>
      <c r="D37" s="139">
        <f>E14</f>
        <v>0.35361269914083598</v>
      </c>
      <c r="E37" s="140">
        <f>E20</f>
        <v>4.9722037324963463E-2</v>
      </c>
      <c r="F37" s="140">
        <f>E17</f>
        <v>0.37064824700902232</v>
      </c>
      <c r="G37" s="36"/>
      <c r="H37" s="36"/>
      <c r="I37" s="36"/>
      <c r="J37" s="37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 spans="1:25">
      <c r="A38" s="85" t="s">
        <v>78</v>
      </c>
      <c r="B38" s="142"/>
      <c r="C38" s="53" t="s">
        <v>29</v>
      </c>
      <c r="D38" s="38">
        <f>I2*D36*D37</f>
        <v>130.88872960284638</v>
      </c>
      <c r="E38" s="39">
        <f>I2*E36*E37</f>
        <v>21.936806261645597</v>
      </c>
      <c r="F38" s="39">
        <f>I2*F36*F37</f>
        <v>127.91785091324529</v>
      </c>
      <c r="G38" s="115">
        <f>D38*G7</f>
        <v>13.08887296028464</v>
      </c>
      <c r="H38" s="115">
        <f>E38*G9</f>
        <v>17.549445009316479</v>
      </c>
      <c r="I38" s="115">
        <f>F38*G8</f>
        <v>12.791785091324529</v>
      </c>
      <c r="J38" s="119">
        <f>D38*G7+E38*G9+F38*G8</f>
        <v>43.430103060925646</v>
      </c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 spans="1:25" ht="15.75" thickBot="1">
      <c r="A39" s="85" t="s">
        <v>79</v>
      </c>
      <c r="B39" s="143"/>
      <c r="C39" s="13" t="s">
        <v>68</v>
      </c>
      <c r="D39" s="122">
        <f>D38/I4</f>
        <v>0.87259153068564255</v>
      </c>
      <c r="E39" s="123">
        <f>E38/I4</f>
        <v>0.14624537507763732</v>
      </c>
      <c r="F39" s="123">
        <f>F38/I4</f>
        <v>0.85278567275496864</v>
      </c>
      <c r="G39" s="149">
        <f>G38/I4</f>
        <v>8.7259153068564257E-2</v>
      </c>
      <c r="H39" s="149">
        <f>H38/I4</f>
        <v>0.11699630006210986</v>
      </c>
      <c r="I39" s="149">
        <f>I38/I4</f>
        <v>8.5278567275496861E-2</v>
      </c>
      <c r="J39" s="124">
        <f>J38/I4</f>
        <v>0.28953402040617099</v>
      </c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 spans="1:25">
      <c r="A40" s="79"/>
      <c r="B40" s="144" t="s">
        <v>24</v>
      </c>
      <c r="C40" s="14" t="s">
        <v>33</v>
      </c>
      <c r="D40" s="40">
        <f>B25</f>
        <v>1.9545539022374974</v>
      </c>
      <c r="E40" s="41">
        <f>B31</f>
        <v>17.733273283250597</v>
      </c>
      <c r="F40" s="41">
        <f>B28</f>
        <v>0.86799413213171484</v>
      </c>
      <c r="G40" s="41"/>
      <c r="H40" s="41"/>
      <c r="I40" s="41"/>
      <c r="J40" s="42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 spans="1:25">
      <c r="A41" s="79"/>
      <c r="B41" s="145"/>
      <c r="C41" s="15" t="s">
        <v>34</v>
      </c>
      <c r="D41" s="43">
        <f>M25</f>
        <v>0.75418921246920168</v>
      </c>
      <c r="E41" s="44">
        <f>M31</f>
        <v>0.93252014025495222</v>
      </c>
      <c r="F41" s="44">
        <f>M28</f>
        <v>0.70487721396542857</v>
      </c>
      <c r="G41" s="44"/>
      <c r="H41" s="44"/>
      <c r="I41" s="44"/>
      <c r="J41" s="45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 spans="1:25">
      <c r="A42" s="79"/>
      <c r="B42" s="145"/>
      <c r="C42" s="15" t="s">
        <v>35</v>
      </c>
      <c r="D42" s="139">
        <f>E25</f>
        <v>0.41002513715170685</v>
      </c>
      <c r="E42" s="140">
        <f>E31</f>
        <v>5.1541915863975558E-2</v>
      </c>
      <c r="F42" s="140">
        <f>E28</f>
        <v>0.41649389769737499</v>
      </c>
      <c r="G42" s="46"/>
      <c r="H42" s="46"/>
      <c r="I42" s="46"/>
      <c r="J42" s="47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 spans="1:25">
      <c r="A43" s="79"/>
      <c r="B43" s="145"/>
      <c r="C43" s="50" t="s">
        <v>29</v>
      </c>
      <c r="D43" s="55">
        <f>I2*D41*D42</f>
        <v>145.34117158208042</v>
      </c>
      <c r="E43" s="51">
        <f>I2*E41*E42</f>
        <v>22.590021066927214</v>
      </c>
      <c r="F43" s="51">
        <f>I2*F41*F42</f>
        <v>137.9812173739881</v>
      </c>
      <c r="G43" s="116">
        <f>D43*G7</f>
        <v>14.534117158208042</v>
      </c>
      <c r="H43" s="116">
        <f>E43*G9</f>
        <v>18.072016853541772</v>
      </c>
      <c r="I43" s="116">
        <f>F43*G8</f>
        <v>13.798121737398811</v>
      </c>
      <c r="J43" s="120">
        <f>D43*G7+E43*G9+F43*G8</f>
        <v>46.404255749148625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 spans="1:25" ht="15.75" thickBot="1">
      <c r="A44" s="79"/>
      <c r="B44" s="146"/>
      <c r="C44" s="50" t="s">
        <v>68</v>
      </c>
      <c r="D44" s="56">
        <f>D43/I4</f>
        <v>0.96894114388053609</v>
      </c>
      <c r="E44" s="59">
        <f>E43/I4</f>
        <v>0.15060014044618142</v>
      </c>
      <c r="F44" s="59">
        <f>F43/I4</f>
        <v>0.91987478249325405</v>
      </c>
      <c r="G44" s="150">
        <f>G43/I4</f>
        <v>9.689411438805362E-2</v>
      </c>
      <c r="H44" s="150">
        <f>H43/I4</f>
        <v>0.12048011235694514</v>
      </c>
      <c r="I44" s="150">
        <f>I43/I4</f>
        <v>9.1987478249325405E-2</v>
      </c>
      <c r="J44" s="76">
        <f>J43/I4</f>
        <v>0.30936170499432419</v>
      </c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 spans="1:25" ht="15.75" thickBot="1">
      <c r="A45" s="79"/>
      <c r="B45" s="79"/>
      <c r="C45" s="60" t="s">
        <v>25</v>
      </c>
      <c r="D45" s="57">
        <f>D42/D37-1</f>
        <v>0.15953170841413433</v>
      </c>
      <c r="E45" s="58">
        <f t="shared" ref="E45:F45" si="2">E42/E37-1</f>
        <v>3.6601045269285537E-2</v>
      </c>
      <c r="F45" s="58">
        <f t="shared" si="2"/>
        <v>0.12369045600055584</v>
      </c>
      <c r="G45" s="121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 spans="1:25" ht="15.75" thickBot="1">
      <c r="A46" s="79"/>
      <c r="B46" s="79"/>
      <c r="C46" s="16" t="s">
        <v>36</v>
      </c>
      <c r="D46" s="48">
        <f>D43-D38</f>
        <v>14.452441979234038</v>
      </c>
      <c r="E46" s="126">
        <f t="shared" ref="E46" si="3">E43-E38</f>
        <v>0.65321480528161757</v>
      </c>
      <c r="F46" s="126">
        <f t="shared" ref="F46" si="4">F43-F38</f>
        <v>10.063366460742813</v>
      </c>
      <c r="G46" s="48">
        <f>G43-G38</f>
        <v>1.4452441979234028</v>
      </c>
      <c r="H46" s="127">
        <f>H43-H38</f>
        <v>0.52257184422529335</v>
      </c>
      <c r="I46" s="127">
        <f t="shared" ref="I46" si="5">I43-I38</f>
        <v>1.0063366460742813</v>
      </c>
      <c r="J46" s="49">
        <f t="shared" ref="J46" si="6">J43-J38</f>
        <v>2.9741526882229792</v>
      </c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 spans="1: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 spans="1: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 spans="1: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 spans="1:2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 spans="1:2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 spans="1:2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 spans="1:2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</sheetData>
  <mergeCells count="3">
    <mergeCell ref="B35:B39"/>
    <mergeCell ref="B40:B44"/>
    <mergeCell ref="D33:H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75</vt:i4>
      </vt:variant>
    </vt:vector>
  </HeadingPairs>
  <TitlesOfParts>
    <vt:vector size="77" baseType="lpstr">
      <vt:lpstr>Formula</vt:lpstr>
      <vt:lpstr>Comparison Evap - Cond - Comp</vt:lpstr>
      <vt:lpstr>'Comparison Evap - Cond - Comp'!p</vt:lpstr>
      <vt:lpstr>'Comparison Evap - Cond - Comp'!Pres1</vt:lpstr>
      <vt:lpstr>'Comparison Evap - Cond - Comp'!pres2</vt:lpstr>
      <vt:lpstr>'Comparison Evap - Cond - Comp'!pres3</vt:lpstr>
      <vt:lpstr>'Comparison Evap - Cond - Comp'!pres4</vt:lpstr>
      <vt:lpstr>'Comparison Evap - Cond - Comp'!pres5</vt:lpstr>
      <vt:lpstr>'Comparison Evap - Cond - Comp'!pres7</vt:lpstr>
      <vt:lpstr>'Comparison Evap - Cond - Comp'!pres8</vt:lpstr>
      <vt:lpstr>'Comparison Evap - Cond - Comp'!pres9</vt:lpstr>
      <vt:lpstr>press_3M1</vt:lpstr>
      <vt:lpstr>press_3M2</vt:lpstr>
      <vt:lpstr>press_3M3</vt:lpstr>
      <vt:lpstr>press_3M4</vt:lpstr>
      <vt:lpstr>press_3M5</vt:lpstr>
      <vt:lpstr>press_3M6</vt:lpstr>
      <vt:lpstr>press_3M7</vt:lpstr>
      <vt:lpstr>press_3M8</vt:lpstr>
      <vt:lpstr>press_3M9</vt:lpstr>
      <vt:lpstr>press_hc1</vt:lpstr>
      <vt:lpstr>press_hc2</vt:lpstr>
      <vt:lpstr>press_hc3</vt:lpstr>
      <vt:lpstr>press_hc4</vt:lpstr>
      <vt:lpstr>press_hc5</vt:lpstr>
      <vt:lpstr>press_hc6</vt:lpstr>
      <vt:lpstr>press_hc7</vt:lpstr>
      <vt:lpstr>press_hc8</vt:lpstr>
      <vt:lpstr>press_hc9</vt:lpstr>
      <vt:lpstr>rho_3M1</vt:lpstr>
      <vt:lpstr>rho_3M2</vt:lpstr>
      <vt:lpstr>rho_3M3</vt:lpstr>
      <vt:lpstr>rho_3M4</vt:lpstr>
      <vt:lpstr>rho_3M5</vt:lpstr>
      <vt:lpstr>rho_3M6</vt:lpstr>
      <vt:lpstr>rho_3M7</vt:lpstr>
      <vt:lpstr>rho_3M8</vt:lpstr>
      <vt:lpstr>rho_3M9</vt:lpstr>
      <vt:lpstr>rho_hc1</vt:lpstr>
      <vt:lpstr>rho_hc2</vt:lpstr>
      <vt:lpstr>rho_hc3</vt:lpstr>
      <vt:lpstr>rho_hc4</vt:lpstr>
      <vt:lpstr>rho_hc5</vt:lpstr>
      <vt:lpstr>rho_hc6</vt:lpstr>
      <vt:lpstr>rho_hc7</vt:lpstr>
      <vt:lpstr>rho_hc8</vt:lpstr>
      <vt:lpstr>rho_hc9</vt:lpstr>
      <vt:lpstr>'Comparison Evap - Cond - Comp'!T</vt:lpstr>
      <vt:lpstr>'Comparison Evap - Cond - Comp'!TC</vt:lpstr>
      <vt:lpstr>'Comparison Evap - Cond - Comp'!u</vt:lpstr>
      <vt:lpstr>visc_3M1</vt:lpstr>
      <vt:lpstr>visc_3M2</vt:lpstr>
      <vt:lpstr>visc_3M3</vt:lpstr>
      <vt:lpstr>visc_3M4</vt:lpstr>
      <vt:lpstr>visc_3M5</vt:lpstr>
      <vt:lpstr>visc_3M6</vt:lpstr>
      <vt:lpstr>visc_3M7</vt:lpstr>
      <vt:lpstr>visc_3M8</vt:lpstr>
      <vt:lpstr>visc_3M9</vt:lpstr>
      <vt:lpstr>visc_hc1</vt:lpstr>
      <vt:lpstr>visc_hc2</vt:lpstr>
      <vt:lpstr>visc_hc3</vt:lpstr>
      <vt:lpstr>visc_hc4</vt:lpstr>
      <vt:lpstr>visc_hc5</vt:lpstr>
      <vt:lpstr>visc_hc6</vt:lpstr>
      <vt:lpstr>visc_hc7</vt:lpstr>
      <vt:lpstr>visc_hc8</vt:lpstr>
      <vt:lpstr>visc_hc9</vt:lpstr>
      <vt:lpstr>'Comparison Evap - Cond - Comp'!visc1</vt:lpstr>
      <vt:lpstr>'Comparison Evap - Cond - Comp'!visc2</vt:lpstr>
      <vt:lpstr>'Comparison Evap - Cond - Comp'!visc3</vt:lpstr>
      <vt:lpstr>'Comparison Evap - Cond - Comp'!visc4</vt:lpstr>
      <vt:lpstr>'Comparison Evap - Cond - Comp'!visc5</vt:lpstr>
      <vt:lpstr>'Comparison Evap - Cond - Comp'!visc7</vt:lpstr>
      <vt:lpstr>'Comparison Evap - Cond - Comp'!visc8</vt:lpstr>
      <vt:lpstr>'Comparison Evap - Cond - Comp'!visc9</vt:lpstr>
      <vt:lpstr>'Comparison Evap - Cond - Comp'!w</vt:lpstr>
    </vt:vector>
  </TitlesOfParts>
  <Company>Emerson Climate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Hajra, Mehdi [COMRES/REF/WLK]</dc:creator>
  <cp:lastModifiedBy>Klebig, Tim [COMRES/EUR/AAC]</cp:lastModifiedBy>
  <dcterms:created xsi:type="dcterms:W3CDTF">2013-10-03T07:58:26Z</dcterms:created>
  <dcterms:modified xsi:type="dcterms:W3CDTF">2018-04-12T17:40:18Z</dcterms:modified>
</cp:coreProperties>
</file>