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1.xml" ContentType="application/vnd.openxmlformats-officedocument.drawingml.chart+xml"/>
  <Override PartName="/xl/drawings/drawing16.xml" ContentType="application/vnd.openxmlformats-officedocument.drawingml.chartshapes+xml"/>
  <Override PartName="/xl/charts/chart12.xml" ContentType="application/vnd.openxmlformats-officedocument.drawingml.chart+xml"/>
  <Override PartName="/xl/drawings/drawing17.xml" ContentType="application/vnd.openxmlformats-officedocument.drawingml.chartshapes+xml"/>
  <Override PartName="/xl/charts/chart13.xml" ContentType="application/vnd.openxmlformats-officedocument.drawingml.chart+xml"/>
  <Override PartName="/xl/drawings/drawing18.xml" ContentType="application/vnd.openxmlformats-officedocument.drawingml.chartshapes+xml"/>
  <Override PartName="/xl/charts/chart14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5.xml" ContentType="application/vnd.openxmlformats-officedocument.drawingml.chart+xml"/>
  <Override PartName="/xl/drawings/drawing21.xml" ContentType="application/vnd.openxmlformats-officedocument.drawing+xml"/>
  <Override PartName="/xl/charts/chart16.xml" ContentType="application/vnd.openxmlformats-officedocument.drawingml.chart+xml"/>
  <Override PartName="/xl/drawings/drawing22.xml" ContentType="application/vnd.openxmlformats-officedocument.drawingml.chartshapes+xml"/>
  <Override PartName="/xl/charts/chart17.xml" ContentType="application/vnd.openxmlformats-officedocument.drawingml.chart+xml"/>
  <Override PartName="/xl/drawings/drawing2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aac-srv04\IntSol\IntSol Documents\30_Projects\2017_04 IDC 3x150\50_Solution_Engineering\08 Analysis and Modelling\Impact of refrigerant charge\"/>
    </mc:Choice>
  </mc:AlternateContent>
  <bookViews>
    <workbookView xWindow="0" yWindow="0" windowWidth="28800" windowHeight="12210"/>
  </bookViews>
  <sheets>
    <sheet name="Example" sheetId="8" r:id="rId1"/>
    <sheet name="Sheet1" sheetId="15" r:id="rId2"/>
    <sheet name="Coefficients" sheetId="3" r:id="rId3"/>
    <sheet name="Calculation" sheetId="7" r:id="rId4"/>
    <sheet name="Calculation (2.5 l)" sheetId="9" r:id="rId5"/>
    <sheet name="Calculation (1.5 l)" sheetId="10" r:id="rId6"/>
    <sheet name="Calculation (1l)" sheetId="12" r:id="rId7"/>
    <sheet name="Summary 2.5-1 l" sheetId="11" r:id="rId8"/>
    <sheet name="1.5 l (New Env. May 2015)" sheetId="14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c0">[1]Poli!$B$4</definedName>
    <definedName name="_c1">[1]Poli!$B$5</definedName>
    <definedName name="_c10">[1]Poli!$B$14</definedName>
    <definedName name="_c11">[1]Poli!$B$15</definedName>
    <definedName name="_c12">[1]Poli!$B$16</definedName>
    <definedName name="_c13">[1]Poli!$B$17</definedName>
    <definedName name="_c14">[1]Poli!$B$18</definedName>
    <definedName name="_c15">[1]Poli!$B$19</definedName>
    <definedName name="_c16">[1]Poli!$B$20</definedName>
    <definedName name="_c17">[1]Poli!$B$21</definedName>
    <definedName name="_c18">[1]Poli!$B$22</definedName>
    <definedName name="_c19">[1]Poli!$B$23</definedName>
    <definedName name="_c2">[1]Poli!$B$6</definedName>
    <definedName name="_c3">[1]Poli!$B$7</definedName>
    <definedName name="_c4">[1]Poli!$B$8</definedName>
    <definedName name="_c5">[1]Poli!$B$9</definedName>
    <definedName name="_c6">[1]Poli!$B$10</definedName>
    <definedName name="_c7">[1]Poli!$B$11</definedName>
    <definedName name="_c8">[1]Poli!$B$12</definedName>
    <definedName name="_c9">[1]Poli!$B$13</definedName>
    <definedName name="_p0">[1]Poli!$C$4</definedName>
    <definedName name="_p1">[1]Poli!$C$5</definedName>
    <definedName name="_p10">[1]Poli!$C$14</definedName>
    <definedName name="_p11">[1]Poli!$C$15</definedName>
    <definedName name="_p12">[1]Poli!$C$16</definedName>
    <definedName name="_p13">[1]Poli!$C$17</definedName>
    <definedName name="_p14">[1]Poli!$C$18</definedName>
    <definedName name="_p15">[1]Poli!$C$19</definedName>
    <definedName name="_p16">[1]Poli!$C$20</definedName>
    <definedName name="_p17">[1]Poli!$C$21</definedName>
    <definedName name="_p18">[1]Poli!$C$22</definedName>
    <definedName name="_p19">[1]Poli!$C$23</definedName>
    <definedName name="_p2">[1]Poli!$C$6</definedName>
    <definedName name="_p3">[1]Poli!$C$7</definedName>
    <definedName name="_p4">[1]Poli!$C$8</definedName>
    <definedName name="_p5">[1]Poli!$C$9</definedName>
    <definedName name="_p6">[1]Poli!$C$10</definedName>
    <definedName name="_p7">[1]Poli!$C$11</definedName>
    <definedName name="_p8">[1]Poli!$C$12</definedName>
    <definedName name="_p9">[1]Poli!$C$13</definedName>
    <definedName name="_q0">[2]Polinomials!$N$3</definedName>
    <definedName name="_q1">[2]Polinomials!$O$3</definedName>
    <definedName name="_q10">[2]Polinomials!$X$3</definedName>
    <definedName name="_q11">[2]Polinomials!$Y$3</definedName>
    <definedName name="_q12">[2]Polinomials!$Z$3</definedName>
    <definedName name="_q13">[2]Polinomials!$AA$3</definedName>
    <definedName name="_q14">[2]Polinomials!$AB$3</definedName>
    <definedName name="_q15">[2]Polinomials!$AC$3</definedName>
    <definedName name="_q16">[2]Polinomials!$AD$3</definedName>
    <definedName name="_q17">[2]Polinomials!$AE$3</definedName>
    <definedName name="_q18">[2]Polinomials!$AF$3</definedName>
    <definedName name="_q19">[2]Polinomials!$AG$3</definedName>
    <definedName name="_q2">[2]Polinomials!$P$3</definedName>
    <definedName name="_q3">[2]Polinomials!$Q$3</definedName>
    <definedName name="_q4">[2]Polinomials!$R$3</definedName>
    <definedName name="_q5">[2]Polinomials!$S$3</definedName>
    <definedName name="_q6">[2]Polinomials!$T$3</definedName>
    <definedName name="_q7">[2]Polinomials!$U$3</definedName>
    <definedName name="_q8">[2]Polinomials!$V$3</definedName>
    <definedName name="_q9">[2]Polinomials!$W$3</definedName>
    <definedName name="BKup">[1]DataSupport!$A$2:$A$3</definedName>
    <definedName name="p" localSheetId="0">Example!$G$12:$G$94</definedName>
    <definedName name="Pres1" localSheetId="0">Example!$N$2</definedName>
    <definedName name="pres2" localSheetId="0">Example!$N$3</definedName>
    <definedName name="pres3" localSheetId="0">Example!$N$4</definedName>
    <definedName name="pres4" localSheetId="0">Example!$N$5</definedName>
    <definedName name="pres5" localSheetId="0">Example!$N$6</definedName>
    <definedName name="pres6" localSheetId="0">Example!$N$7</definedName>
    <definedName name="pres7" localSheetId="0">Example!$N$8</definedName>
    <definedName name="pres8" localSheetId="0">Example!$N$9</definedName>
    <definedName name="pres9" localSheetId="0">Example!$N$10</definedName>
    <definedName name="solver_adj" localSheetId="3" hidden="1">Calculation!$B$29</definedName>
    <definedName name="solver_adj" localSheetId="5" hidden="1">'Calculation (1.5 l)'!#REF!</definedName>
    <definedName name="solver_adj" localSheetId="6" hidden="1">'Calculation (1l)'!#REF!</definedName>
    <definedName name="solver_adj" localSheetId="4" hidden="1">'Calculation (2.5 l)'!#REF!</definedName>
    <definedName name="solver_adj" localSheetId="0" hidden="1">Example!$A$12:$A$23,Example!$D$12:$D$23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4" hidden="1">0.0001</definedName>
    <definedName name="solver_cvg" localSheetId="0" hidden="1">0.000001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4" hidden="1">1</definedName>
    <definedName name="solver_drv" localSheetId="0" hidden="1">2</definedName>
    <definedName name="solver_eng" localSheetId="0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4" hidden="1">1</definedName>
    <definedName name="solver_est" localSheetId="0" hidden="1">1</definedName>
    <definedName name="solver_itr" localSheetId="3" hidden="1">100</definedName>
    <definedName name="solver_itr" localSheetId="5" hidden="1">100</definedName>
    <definedName name="solver_itr" localSheetId="6" hidden="1">100</definedName>
    <definedName name="solver_itr" localSheetId="4" hidden="1">100</definedName>
    <definedName name="solver_itr" localSheetId="0" hidden="1">20000</definedName>
    <definedName name="solver_lhs1" localSheetId="3" hidden="1">Calculation!$B$29</definedName>
    <definedName name="solver_lhs1" localSheetId="5" hidden="1">'Calculation (1.5 l)'!#REF!</definedName>
    <definedName name="solver_lhs1" localSheetId="6" hidden="1">'Calculation (1l)'!#REF!</definedName>
    <definedName name="solver_lhs1" localSheetId="4" hidden="1">'Calculation (2.5 l)'!#REF!</definedName>
    <definedName name="solver_lhs1" localSheetId="0" hidden="1">Example!$D$12:$D$66</definedName>
    <definedName name="solver_lhs2" localSheetId="0" hidden="1">Example!$D$12:$D$66</definedName>
    <definedName name="solver_lhs3" localSheetId="0" hidden="1">Example!$A$12:$A$71</definedName>
    <definedName name="solver_lhs4" localSheetId="0" hidden="1">Example!$D$12:$D$88</definedName>
    <definedName name="solver_lhs5" localSheetId="0" hidden="1">Example!$D$12:$D$88</definedName>
    <definedName name="solver_lin" localSheetId="3" hidden="1">2</definedName>
    <definedName name="solver_lin" localSheetId="5" hidden="1">2</definedName>
    <definedName name="solver_lin" localSheetId="6" hidden="1">2</definedName>
    <definedName name="solver_lin" localSheetId="4" hidden="1">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3" hidden="1">2</definedName>
    <definedName name="solver_neg" localSheetId="5" hidden="1">2</definedName>
    <definedName name="solver_neg" localSheetId="6" hidden="1">2</definedName>
    <definedName name="solver_neg" localSheetId="4" hidden="1">2</definedName>
    <definedName name="solver_neg" localSheetId="0" hidden="1">2</definedName>
    <definedName name="solver_nod" localSheetId="0" hidden="1">2147483647</definedName>
    <definedName name="solver_num" localSheetId="3" hidden="1">1</definedName>
    <definedName name="solver_num" localSheetId="5" hidden="1">1</definedName>
    <definedName name="solver_num" localSheetId="6" hidden="1">1</definedName>
    <definedName name="solver_num" localSheetId="4" hidden="1">1</definedName>
    <definedName name="solver_num" localSheetId="0" hidden="1">0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4" hidden="1">1</definedName>
    <definedName name="solver_nwt" localSheetId="0" hidden="1">1</definedName>
    <definedName name="solver_opt" localSheetId="3" hidden="1">Calculation!$B$28</definedName>
    <definedName name="solver_opt" localSheetId="5" hidden="1">'Calculation (1.5 l)'!#REF!</definedName>
    <definedName name="solver_opt" localSheetId="6" hidden="1">'Calculation (1l)'!#REF!</definedName>
    <definedName name="solver_opt" localSheetId="4" hidden="1">'Calculation (2.5 l)'!#REF!</definedName>
    <definedName name="solver_opt" localSheetId="0" hidden="1">Example!$J$7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pre" localSheetId="4" hidden="1">0.000001</definedName>
    <definedName name="solver_pre" localSheetId="0" hidden="1">0.000000001</definedName>
    <definedName name="solver_rbv" localSheetId="0" hidden="1">2</definedName>
    <definedName name="solver_rel1" localSheetId="3" hidden="1">3</definedName>
    <definedName name="solver_rel1" localSheetId="5" hidden="1">3</definedName>
    <definedName name="solver_rel1" localSheetId="6" hidden="1">3</definedName>
    <definedName name="solver_rel1" localSheetId="4" hidden="1">3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hs1" localSheetId="3" hidden="1">0</definedName>
    <definedName name="solver_rhs1" localSheetId="5" hidden="1">0</definedName>
    <definedName name="solver_rhs1" localSheetId="6" hidden="1">0</definedName>
    <definedName name="solver_rhs1" localSheetId="4" hidden="1">0</definedName>
    <definedName name="solver_rhs1" localSheetId="0" hidden="1">0</definedName>
    <definedName name="solver_rhs2" localSheetId="0" hidden="1">0.0001</definedName>
    <definedName name="solver_rhs3" localSheetId="0" hidden="1">0.0001</definedName>
    <definedName name="solver_rhs4" localSheetId="0" hidden="1">0.99999</definedName>
    <definedName name="solver_rhs5" localSheetId="0" hidden="1">0.00001</definedName>
    <definedName name="solver_rlx" localSheetId="0" hidden="1">2</definedName>
    <definedName name="solver_rsd" localSheetId="0" hidden="1">0</definedName>
    <definedName name="solver_scl" localSheetId="3" hidden="1">2</definedName>
    <definedName name="solver_scl" localSheetId="5" hidden="1">2</definedName>
    <definedName name="solver_scl" localSheetId="6" hidden="1">2</definedName>
    <definedName name="solver_scl" localSheetId="4" hidden="1">2</definedName>
    <definedName name="solver_scl" localSheetId="0" hidden="1">1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4" hidden="1">2</definedName>
    <definedName name="solver_sho" localSheetId="0" hidden="1">2</definedName>
    <definedName name="solver_ssz" localSheetId="0" hidden="1">100</definedName>
    <definedName name="solver_tim" localSheetId="3" hidden="1">100</definedName>
    <definedName name="solver_tim" localSheetId="5" hidden="1">100</definedName>
    <definedName name="solver_tim" localSheetId="6" hidden="1">100</definedName>
    <definedName name="solver_tim" localSheetId="4" hidden="1">100</definedName>
    <definedName name="solver_tim" localSheetId="0" hidden="1">120</definedName>
    <definedName name="solver_tol" localSheetId="3" hidden="1">0.05</definedName>
    <definedName name="solver_tol" localSheetId="5" hidden="1">0.05</definedName>
    <definedName name="solver_tol" localSheetId="6" hidden="1">0.05</definedName>
    <definedName name="solver_tol" localSheetId="4" hidden="1">0.05</definedName>
    <definedName name="solver_tol" localSheetId="0" hidden="1">0.04</definedName>
    <definedName name="solver_typ" localSheetId="3" hidden="1">3</definedName>
    <definedName name="solver_typ" localSheetId="5" hidden="1">3</definedName>
    <definedName name="solver_typ" localSheetId="6" hidden="1">3</definedName>
    <definedName name="solver_typ" localSheetId="4" hidden="1">3</definedName>
    <definedName name="solver_typ" localSheetId="0" hidden="1">2</definedName>
    <definedName name="solver_val" localSheetId="3" hidden="1">0.4183</definedName>
    <definedName name="solver_val" localSheetId="5" hidden="1">0.4183</definedName>
    <definedName name="solver_val" localSheetId="6" hidden="1">0.4183</definedName>
    <definedName name="solver_val" localSheetId="4" hidden="1">0.4183</definedName>
    <definedName name="solver_val" localSheetId="0" hidden="1">0</definedName>
    <definedName name="solver_ver" localSheetId="0" hidden="1">3</definedName>
    <definedName name="T" localSheetId="0">Example!$E$12:$E$94</definedName>
    <definedName name="Tbiv">[1]DataSupport!$B$2:$B$17</definedName>
    <definedName name="TC" localSheetId="0">Example!$F$12:$F$94</definedName>
    <definedName name="test" localSheetId="0">Example!$G$2</definedName>
    <definedName name="TF" localSheetId="0">Example!#REF!</definedName>
    <definedName name="u" localSheetId="0">Example!$A$12:$A$94</definedName>
    <definedName name="visc1" localSheetId="0">Example!$M$2</definedName>
    <definedName name="visc2" localSheetId="0">Example!$M$3</definedName>
    <definedName name="visc3" localSheetId="0">Example!$M$4</definedName>
    <definedName name="visc4" localSheetId="0">Example!$M$5</definedName>
    <definedName name="visc5" localSheetId="0">Example!$M$6</definedName>
    <definedName name="visc6" localSheetId="0">Example!$M$7</definedName>
    <definedName name="visc7" localSheetId="0">Example!$M$8</definedName>
    <definedName name="visc8" localSheetId="0">Example!$M$9</definedName>
    <definedName name="visc9" localSheetId="0">Example!$M$10</definedName>
    <definedName name="w" localSheetId="0">Example!$D$12:$D$94</definedName>
  </definedNames>
  <calcPr calcId="171027"/>
</workbook>
</file>

<file path=xl/calcChain.xml><?xml version="1.0" encoding="utf-8"?>
<calcChain xmlns="http://schemas.openxmlformats.org/spreadsheetml/2006/main">
  <c r="T23" i="8" l="1"/>
  <c r="T22" i="8"/>
  <c r="T21" i="8"/>
  <c r="R23" i="8"/>
  <c r="R21" i="8"/>
  <c r="R22" i="8"/>
  <c r="T13" i="8" l="1"/>
  <c r="T14" i="8"/>
  <c r="T15" i="8"/>
  <c r="T16" i="8"/>
  <c r="T17" i="8"/>
  <c r="T18" i="8"/>
  <c r="T19" i="8"/>
  <c r="T20" i="8"/>
  <c r="T12" i="8"/>
  <c r="F13" i="8"/>
  <c r="F14" i="8"/>
  <c r="F15" i="8"/>
  <c r="F16" i="8"/>
  <c r="F17" i="8"/>
  <c r="F18" i="8"/>
  <c r="F19" i="8"/>
  <c r="F20" i="8"/>
  <c r="F21" i="8"/>
  <c r="G21" i="8"/>
  <c r="F22" i="8"/>
  <c r="G22" i="8"/>
  <c r="F23" i="8"/>
  <c r="G23" i="8"/>
  <c r="F24" i="8"/>
  <c r="G24" i="8"/>
  <c r="F25" i="8"/>
  <c r="G25" i="8"/>
  <c r="F26" i="8"/>
  <c r="G26" i="8"/>
  <c r="F27" i="8"/>
  <c r="G27" i="8"/>
  <c r="F28" i="8"/>
  <c r="G28" i="8"/>
  <c r="F29" i="8"/>
  <c r="G29" i="8"/>
  <c r="F30" i="8"/>
  <c r="G30" i="8"/>
  <c r="F31" i="8"/>
  <c r="G31" i="8"/>
  <c r="F32" i="8"/>
  <c r="G32" i="8"/>
  <c r="F33" i="8"/>
  <c r="G33" i="8"/>
  <c r="F34" i="8"/>
  <c r="G34" i="8"/>
  <c r="F35" i="8"/>
  <c r="G35" i="8"/>
  <c r="F36" i="8"/>
  <c r="G36" i="8"/>
  <c r="F37" i="8"/>
  <c r="G37" i="8"/>
  <c r="F38" i="8"/>
  <c r="G38" i="8"/>
  <c r="F39" i="8"/>
  <c r="G39" i="8"/>
  <c r="F40" i="8"/>
  <c r="G40" i="8"/>
  <c r="F41" i="8"/>
  <c r="G41" i="8"/>
  <c r="F42" i="8"/>
  <c r="G42" i="8"/>
  <c r="F43" i="8"/>
  <c r="G43" i="8"/>
  <c r="F44" i="8"/>
  <c r="G44" i="8"/>
  <c r="F45" i="8"/>
  <c r="G45" i="8"/>
  <c r="F46" i="8"/>
  <c r="G46" i="8"/>
  <c r="F47" i="8"/>
  <c r="G47" i="8"/>
  <c r="F48" i="8"/>
  <c r="G48" i="8"/>
  <c r="F49" i="8"/>
  <c r="G49" i="8"/>
  <c r="F50" i="8"/>
  <c r="G50" i="8"/>
  <c r="F51" i="8"/>
  <c r="G51" i="8"/>
  <c r="F52" i="8"/>
  <c r="G52" i="8"/>
  <c r="F53" i="8"/>
  <c r="G53" i="8"/>
  <c r="F54" i="8"/>
  <c r="G54" i="8"/>
  <c r="F55" i="8"/>
  <c r="G55" i="8"/>
  <c r="F56" i="8"/>
  <c r="G56" i="8"/>
  <c r="F57" i="8"/>
  <c r="G57" i="8"/>
  <c r="F58" i="8"/>
  <c r="G58" i="8"/>
  <c r="F59" i="8"/>
  <c r="G59" i="8"/>
  <c r="F60" i="8"/>
  <c r="G60" i="8"/>
  <c r="F61" i="8"/>
  <c r="G61" i="8"/>
  <c r="F62" i="8"/>
  <c r="G62" i="8"/>
  <c r="F63" i="8"/>
  <c r="G63" i="8"/>
  <c r="F64" i="8"/>
  <c r="G64" i="8"/>
  <c r="F65" i="8"/>
  <c r="G65" i="8"/>
  <c r="F66" i="8"/>
  <c r="G66" i="8"/>
  <c r="F12" i="8"/>
  <c r="R18" i="8"/>
  <c r="R15" i="8"/>
  <c r="R19" i="8"/>
  <c r="R20" i="8"/>
  <c r="R17" i="8"/>
  <c r="R14" i="8"/>
  <c r="R16" i="8"/>
  <c r="G17" i="8" l="1"/>
  <c r="G20" i="8"/>
  <c r="G16" i="8"/>
  <c r="G19" i="8"/>
  <c r="G15" i="8"/>
  <c r="G18" i="8"/>
  <c r="G14" i="8"/>
  <c r="E12" i="8"/>
  <c r="X28" i="14" l="1"/>
  <c r="V28" i="14"/>
  <c r="W28" i="14"/>
  <c r="V29" i="14"/>
  <c r="W29" i="14"/>
  <c r="U30" i="14"/>
  <c r="V30" i="14"/>
  <c r="W30" i="14"/>
  <c r="V31" i="14"/>
  <c r="W31" i="14"/>
  <c r="V32" i="14"/>
  <c r="W32" i="14"/>
  <c r="V33" i="14"/>
  <c r="W33" i="14"/>
  <c r="V34" i="14"/>
  <c r="W34" i="14"/>
  <c r="V35" i="14"/>
  <c r="W35" i="14"/>
  <c r="U36" i="14"/>
  <c r="V36" i="14"/>
  <c r="W36" i="14"/>
  <c r="U37" i="14"/>
  <c r="V37" i="14"/>
  <c r="W37" i="14"/>
  <c r="V38" i="14"/>
  <c r="V40" i="14"/>
  <c r="W40" i="14"/>
  <c r="V41" i="14"/>
  <c r="W41" i="14"/>
  <c r="U42" i="14"/>
  <c r="V42" i="14"/>
  <c r="W42" i="14"/>
  <c r="U43" i="14"/>
  <c r="V43" i="14"/>
  <c r="W43" i="14"/>
  <c r="U44" i="14"/>
  <c r="V44" i="14"/>
  <c r="W44" i="14"/>
  <c r="U45" i="14"/>
  <c r="V45" i="14"/>
  <c r="W45" i="14"/>
  <c r="U46" i="14"/>
  <c r="V46" i="14"/>
  <c r="W46" i="14"/>
  <c r="U47" i="14"/>
  <c r="V47" i="14"/>
  <c r="W47" i="14"/>
  <c r="V27" i="14"/>
  <c r="W27" i="14"/>
  <c r="U27" i="14"/>
  <c r="R29" i="12"/>
  <c r="Y46" i="7"/>
  <c r="V17" i="9"/>
  <c r="R23" i="9"/>
  <c r="V27" i="9"/>
  <c r="V26" i="12"/>
  <c r="V18" i="12"/>
  <c r="Y50" i="7"/>
  <c r="R20" i="10"/>
  <c r="V27" i="10"/>
  <c r="F34" i="14"/>
  <c r="R25" i="12"/>
  <c r="R29" i="9"/>
  <c r="V24" i="10"/>
  <c r="V16" i="10"/>
  <c r="R16" i="12"/>
  <c r="Y41" i="7"/>
  <c r="R13" i="8"/>
  <c r="R14" i="10"/>
  <c r="R20" i="12"/>
  <c r="Y53" i="7"/>
  <c r="Y45" i="7"/>
  <c r="V30" i="9"/>
  <c r="V29" i="9"/>
  <c r="R22" i="10"/>
  <c r="R28" i="12"/>
  <c r="V28" i="12"/>
  <c r="R20" i="9"/>
  <c r="R26" i="10"/>
  <c r="V17" i="12"/>
  <c r="V13" i="12"/>
  <c r="R17" i="9"/>
  <c r="V23" i="10"/>
  <c r="D25" i="7"/>
  <c r="V16" i="9"/>
  <c r="V21" i="12"/>
  <c r="R25" i="9"/>
  <c r="Y54" i="7"/>
  <c r="R23" i="10"/>
  <c r="V14" i="12"/>
  <c r="R26" i="9"/>
  <c r="V29" i="12"/>
  <c r="V14" i="9"/>
  <c r="R15" i="12"/>
  <c r="Y44" i="7"/>
  <c r="R12" i="8"/>
  <c r="R19" i="12"/>
  <c r="Y52" i="7"/>
  <c r="V18" i="10"/>
  <c r="R24" i="9"/>
  <c r="R12" i="9"/>
  <c r="V22" i="10"/>
  <c r="R21" i="10"/>
  <c r="R13" i="10"/>
  <c r="F32" i="14"/>
  <c r="F33" i="14"/>
  <c r="Y43" i="7"/>
  <c r="V12" i="12"/>
  <c r="L33" i="14"/>
  <c r="V13" i="9"/>
  <c r="R16" i="9"/>
  <c r="V19" i="10"/>
  <c r="V25" i="12"/>
  <c r="V16" i="12"/>
  <c r="Y40" i="7"/>
  <c r="V21" i="9"/>
  <c r="R27" i="9"/>
  <c r="R12" i="10"/>
  <c r="R15" i="10"/>
  <c r="V14" i="10"/>
  <c r="R18" i="12"/>
  <c r="V20" i="12"/>
  <c r="V12" i="9"/>
  <c r="R16" i="10"/>
  <c r="V28" i="10"/>
  <c r="Y55" i="7"/>
  <c r="V15" i="9"/>
  <c r="R21" i="9"/>
  <c r="R17" i="10"/>
  <c r="V21" i="10"/>
  <c r="R29" i="10"/>
  <c r="R15" i="9"/>
  <c r="V19" i="9"/>
  <c r="Y37" i="7"/>
  <c r="Y39" i="7"/>
  <c r="R18" i="9"/>
  <c r="R24" i="12"/>
  <c r="V20" i="9"/>
  <c r="R24" i="10"/>
  <c r="R13" i="9"/>
  <c r="R28" i="9"/>
  <c r="V29" i="10"/>
  <c r="R22" i="9"/>
  <c r="V24" i="9"/>
  <c r="R28" i="10"/>
  <c r="Y47" i="7"/>
  <c r="V30" i="10"/>
  <c r="V15" i="12"/>
  <c r="L34" i="14"/>
  <c r="V28" i="9"/>
  <c r="V13" i="10"/>
  <c r="R19" i="9"/>
  <c r="V12" i="10"/>
  <c r="V22" i="12"/>
  <c r="V27" i="12"/>
  <c r="Y51" i="7"/>
  <c r="R30" i="9"/>
  <c r="R30" i="10"/>
  <c r="V20" i="10"/>
  <c r="L32" i="14"/>
  <c r="Y38" i="7"/>
  <c r="V18" i="9"/>
  <c r="R13" i="12"/>
  <c r="R14" i="12"/>
  <c r="V30" i="12"/>
  <c r="R14" i="9"/>
  <c r="Y48" i="7"/>
  <c r="V26" i="9"/>
  <c r="R21" i="12"/>
  <c r="V22" i="9"/>
  <c r="Y49" i="7"/>
  <c r="R19" i="10"/>
  <c r="V23" i="9"/>
  <c r="R17" i="12"/>
  <c r="Y42" i="7"/>
  <c r="R27" i="10"/>
  <c r="V15" i="10"/>
  <c r="V26" i="10"/>
  <c r="R30" i="12"/>
  <c r="V19" i="12"/>
  <c r="V25" i="9"/>
  <c r="R12" i="12"/>
  <c r="V23" i="12"/>
  <c r="R22" i="12"/>
  <c r="V24" i="12"/>
  <c r="R18" i="10"/>
  <c r="R26" i="12"/>
  <c r="R23" i="12"/>
  <c r="V25" i="10"/>
  <c r="R27" i="12"/>
  <c r="V17" i="10"/>
  <c r="R25" i="10"/>
  <c r="G13" i="8" l="1"/>
  <c r="G12" i="8"/>
  <c r="F27" i="14"/>
  <c r="C27" i="14"/>
  <c r="G27" i="14" s="1"/>
  <c r="B27" i="14"/>
  <c r="D26" i="14"/>
  <c r="C26" i="14"/>
  <c r="G26" i="14" s="1"/>
  <c r="B26" i="14"/>
  <c r="F25" i="14"/>
  <c r="C25" i="14"/>
  <c r="G25" i="14" s="1"/>
  <c r="B25" i="14"/>
  <c r="F24" i="14"/>
  <c r="C24" i="14"/>
  <c r="G24" i="14" s="1"/>
  <c r="B24" i="14"/>
  <c r="F23" i="14"/>
  <c r="C23" i="14"/>
  <c r="G23" i="14" s="1"/>
  <c r="B23" i="14"/>
  <c r="F22" i="14"/>
  <c r="C22" i="14"/>
  <c r="G22" i="14" s="1"/>
  <c r="B22" i="14"/>
  <c r="F21" i="14"/>
  <c r="C21" i="14"/>
  <c r="G21" i="14" s="1"/>
  <c r="B21" i="14"/>
  <c r="F20" i="14"/>
  <c r="C20" i="14"/>
  <c r="G20" i="14" s="1"/>
  <c r="B20" i="14"/>
  <c r="F19" i="14"/>
  <c r="C19" i="14"/>
  <c r="G19" i="14" s="1"/>
  <c r="B19" i="14"/>
  <c r="F18" i="14"/>
  <c r="C18" i="14"/>
  <c r="G18" i="14" s="1"/>
  <c r="B18" i="14"/>
  <c r="F17" i="14"/>
  <c r="C17" i="14"/>
  <c r="G17" i="14" s="1"/>
  <c r="B17" i="14"/>
  <c r="E16" i="14"/>
  <c r="C16" i="14"/>
  <c r="G16" i="14" s="1"/>
  <c r="B16" i="14"/>
  <c r="E15" i="14"/>
  <c r="C15" i="14"/>
  <c r="G15" i="14" s="1"/>
  <c r="B15" i="14"/>
  <c r="E14" i="14"/>
  <c r="C14" i="14"/>
  <c r="G14" i="14" s="1"/>
  <c r="B14" i="14"/>
  <c r="E13" i="14"/>
  <c r="C13" i="14"/>
  <c r="G13" i="14" s="1"/>
  <c r="B13" i="14"/>
  <c r="E12" i="14"/>
  <c r="C12" i="14"/>
  <c r="G12" i="14" s="1"/>
  <c r="B12" i="14"/>
  <c r="E11" i="14"/>
  <c r="C11" i="14"/>
  <c r="G11" i="14" s="1"/>
  <c r="B11" i="14"/>
  <c r="E10" i="14"/>
  <c r="C10" i="14"/>
  <c r="G10" i="14" s="1"/>
  <c r="B10" i="14"/>
  <c r="E9" i="14"/>
  <c r="C9" i="14"/>
  <c r="G9" i="14" s="1"/>
  <c r="B9" i="14"/>
  <c r="E8" i="14"/>
  <c r="C8" i="14"/>
  <c r="G8" i="14" s="1"/>
  <c r="B8" i="14"/>
  <c r="E7" i="14"/>
  <c r="C7" i="14"/>
  <c r="G7" i="14" s="1"/>
  <c r="B7" i="14"/>
  <c r="E6" i="14"/>
  <c r="C6" i="14"/>
  <c r="G6" i="14" s="1"/>
  <c r="B6" i="14"/>
  <c r="E5" i="14"/>
  <c r="C5" i="14"/>
  <c r="G5" i="14" s="1"/>
  <c r="B5" i="14"/>
  <c r="E4" i="14"/>
  <c r="C4" i="14"/>
  <c r="G4" i="14" s="1"/>
  <c r="B4" i="14"/>
  <c r="E3" i="14"/>
  <c r="C3" i="14"/>
  <c r="G3" i="14" s="1"/>
  <c r="B3" i="14"/>
  <c r="E34" i="14" l="1"/>
  <c r="G34" i="14" s="1"/>
  <c r="E32" i="14"/>
  <c r="E33" i="14"/>
  <c r="G33" i="14" s="1"/>
  <c r="K33" i="14" s="1"/>
  <c r="J32" i="14" l="1"/>
  <c r="G32" i="14"/>
  <c r="T6" i="11" l="1"/>
  <c r="T7" i="11"/>
  <c r="T8" i="11"/>
  <c r="T9" i="11"/>
  <c r="T10" i="11"/>
  <c r="T5" i="11"/>
  <c r="B18" i="11"/>
  <c r="E18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9" i="11"/>
  <c r="E20" i="11"/>
  <c r="E21" i="11"/>
  <c r="E22" i="11"/>
  <c r="E23" i="11"/>
  <c r="E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9" i="11"/>
  <c r="B20" i="11"/>
  <c r="B21" i="11"/>
  <c r="B22" i="11"/>
  <c r="B23" i="11"/>
  <c r="B5" i="11"/>
  <c r="Z30" i="12" l="1"/>
  <c r="J23" i="11" s="1"/>
  <c r="Y30" i="12"/>
  <c r="I23" i="11" s="1"/>
  <c r="U30" i="12" l="1"/>
  <c r="D23" i="11" l="1"/>
  <c r="Z29" i="12"/>
  <c r="J22" i="11" s="1"/>
  <c r="Y29" i="12"/>
  <c r="I22" i="11" s="1"/>
  <c r="U29" i="12"/>
  <c r="D22" i="11" l="1"/>
  <c r="F23" i="11"/>
  <c r="Z28" i="12"/>
  <c r="J21" i="11" s="1"/>
  <c r="Y28" i="12"/>
  <c r="I21" i="11" s="1"/>
  <c r="U28" i="12"/>
  <c r="D21" i="11" l="1"/>
  <c r="F22" i="11"/>
  <c r="Z27" i="12"/>
  <c r="J20" i="11" s="1"/>
  <c r="Y27" i="12"/>
  <c r="I20" i="11" s="1"/>
  <c r="U27" i="12"/>
  <c r="D20" i="11" l="1"/>
  <c r="F21" i="11"/>
  <c r="Z26" i="12"/>
  <c r="J19" i="11" s="1"/>
  <c r="Y26" i="12"/>
  <c r="I19" i="11" s="1"/>
  <c r="U26" i="12"/>
  <c r="D19" i="11" l="1"/>
  <c r="F20" i="11"/>
  <c r="Z25" i="12"/>
  <c r="J18" i="11" s="1"/>
  <c r="Y25" i="12"/>
  <c r="I18" i="11" s="1"/>
  <c r="U25" i="12"/>
  <c r="D18" i="11" l="1"/>
  <c r="F19" i="11"/>
  <c r="Z24" i="12"/>
  <c r="J17" i="11" s="1"/>
  <c r="Y24" i="12"/>
  <c r="I17" i="11" s="1"/>
  <c r="U24" i="12"/>
  <c r="D17" i="11" l="1"/>
  <c r="F18" i="11"/>
  <c r="Z23" i="12"/>
  <c r="J16" i="11" s="1"/>
  <c r="Y23" i="12"/>
  <c r="I16" i="11" s="1"/>
  <c r="U23" i="12"/>
  <c r="D16" i="11" l="1"/>
  <c r="F17" i="11"/>
  <c r="Z22" i="12"/>
  <c r="J15" i="11" s="1"/>
  <c r="Y22" i="12"/>
  <c r="I15" i="11" s="1"/>
  <c r="U22" i="12"/>
  <c r="F16" i="11" l="1"/>
  <c r="D15" i="11"/>
  <c r="Z21" i="12"/>
  <c r="J14" i="11" s="1"/>
  <c r="Y21" i="12"/>
  <c r="I14" i="11" s="1"/>
  <c r="F15" i="11" l="1"/>
  <c r="U21" i="12"/>
  <c r="D14" i="11" l="1"/>
  <c r="Z20" i="12"/>
  <c r="J13" i="11" s="1"/>
  <c r="Y20" i="12"/>
  <c r="I13" i="11" s="1"/>
  <c r="F14" i="11" l="1"/>
  <c r="U20" i="12"/>
  <c r="D13" i="11" l="1"/>
  <c r="Z19" i="12"/>
  <c r="J12" i="11" s="1"/>
  <c r="Y19" i="12"/>
  <c r="I12" i="11" s="1"/>
  <c r="F13" i="11" l="1"/>
  <c r="U19" i="12"/>
  <c r="D12" i="11" l="1"/>
  <c r="Z18" i="12"/>
  <c r="J11" i="11" s="1"/>
  <c r="Y18" i="12"/>
  <c r="I11" i="11" s="1"/>
  <c r="U18" i="12"/>
  <c r="D11" i="11" l="1"/>
  <c r="F12" i="11"/>
  <c r="Z17" i="12"/>
  <c r="J10" i="11" s="1"/>
  <c r="Y17" i="12"/>
  <c r="I10" i="11" s="1"/>
  <c r="U17" i="12"/>
  <c r="D10" i="11" l="1"/>
  <c r="F11" i="11"/>
  <c r="Z16" i="12"/>
  <c r="J9" i="11" s="1"/>
  <c r="Y16" i="12"/>
  <c r="I9" i="11" s="1"/>
  <c r="U16" i="12"/>
  <c r="D9" i="11" l="1"/>
  <c r="F10" i="11"/>
  <c r="Z15" i="12"/>
  <c r="J8" i="11" s="1"/>
  <c r="Y15" i="12"/>
  <c r="I8" i="11" s="1"/>
  <c r="F9" i="11" l="1"/>
  <c r="U15" i="12"/>
  <c r="D8" i="11" l="1"/>
  <c r="Z14" i="12"/>
  <c r="J7" i="11" s="1"/>
  <c r="Y14" i="12"/>
  <c r="I7" i="11" s="1"/>
  <c r="F8" i="11" l="1"/>
  <c r="U14" i="12"/>
  <c r="D7" i="11" l="1"/>
  <c r="Z13" i="12"/>
  <c r="J6" i="11" s="1"/>
  <c r="Y13" i="12"/>
  <c r="I6" i="11" s="1"/>
  <c r="F7" i="11" l="1"/>
  <c r="U13" i="12"/>
  <c r="D6" i="11" l="1"/>
  <c r="Z12" i="12"/>
  <c r="J5" i="11" s="1"/>
  <c r="Y12" i="12"/>
  <c r="I5" i="11" s="1"/>
  <c r="U12" i="12"/>
  <c r="F6" i="11" l="1"/>
  <c r="D5" i="11"/>
  <c r="R7" i="12"/>
  <c r="R6" i="12"/>
  <c r="P4" i="12"/>
  <c r="P5" i="12" s="1"/>
  <c r="T3" i="12"/>
  <c r="R3" i="12"/>
  <c r="Z30" i="10"/>
  <c r="Y30" i="10"/>
  <c r="F5" i="11" l="1"/>
  <c r="W30" i="12"/>
  <c r="G23" i="11" s="1"/>
  <c r="W29" i="12"/>
  <c r="G22" i="11" s="1"/>
  <c r="W28" i="12"/>
  <c r="G21" i="11" s="1"/>
  <c r="W27" i="12"/>
  <c r="G20" i="11" s="1"/>
  <c r="W26" i="12"/>
  <c r="G19" i="11" s="1"/>
  <c r="W25" i="12"/>
  <c r="G18" i="11" s="1"/>
  <c r="W24" i="12"/>
  <c r="G17" i="11" s="1"/>
  <c r="W23" i="12"/>
  <c r="G16" i="11" s="1"/>
  <c r="W22" i="12"/>
  <c r="G15" i="11" s="1"/>
  <c r="W21" i="12"/>
  <c r="G14" i="11" s="1"/>
  <c r="W20" i="12"/>
  <c r="G13" i="11" s="1"/>
  <c r="W19" i="12"/>
  <c r="G12" i="11" s="1"/>
  <c r="W18" i="12"/>
  <c r="G11" i="11" s="1"/>
  <c r="W17" i="12"/>
  <c r="G10" i="11" s="1"/>
  <c r="W16" i="12"/>
  <c r="G9" i="11" s="1"/>
  <c r="W15" i="12"/>
  <c r="G8" i="11" s="1"/>
  <c r="W14" i="12"/>
  <c r="G7" i="11" s="1"/>
  <c r="W13" i="12"/>
  <c r="G6" i="11" s="1"/>
  <c r="W12" i="12"/>
  <c r="G5" i="11" s="1"/>
  <c r="U30" i="10"/>
  <c r="Z29" i="10" l="1"/>
  <c r="Y29" i="10"/>
  <c r="U29" i="10"/>
  <c r="Z28" i="10" l="1"/>
  <c r="Y28" i="10"/>
  <c r="U28" i="10"/>
  <c r="Z27" i="10" l="1"/>
  <c r="Y27" i="10"/>
  <c r="U27" i="10" l="1"/>
  <c r="Z26" i="10" l="1"/>
  <c r="Y26" i="10"/>
  <c r="U26" i="10" l="1"/>
  <c r="Z25" i="10" l="1"/>
  <c r="Y25" i="10"/>
  <c r="U25" i="10" l="1"/>
  <c r="Z24" i="10" l="1"/>
  <c r="Y24" i="10"/>
  <c r="U24" i="10" l="1"/>
  <c r="Z23" i="10" l="1"/>
  <c r="Y23" i="10"/>
  <c r="U23" i="10" l="1"/>
  <c r="Z22" i="10" l="1"/>
  <c r="Y22" i="10"/>
  <c r="U22" i="10" l="1"/>
  <c r="Z21" i="10" l="1"/>
  <c r="Y21" i="10"/>
  <c r="U21" i="10" l="1"/>
  <c r="Z20" i="10" l="1"/>
  <c r="Y20" i="10"/>
  <c r="U20" i="10" l="1"/>
  <c r="Z19" i="10" l="1"/>
  <c r="Y19" i="10"/>
  <c r="U19" i="10" l="1"/>
  <c r="Z18" i="10" l="1"/>
  <c r="Y18" i="10"/>
  <c r="U18" i="10" l="1"/>
  <c r="Z17" i="10" l="1"/>
  <c r="Y17" i="10"/>
  <c r="U17" i="10"/>
  <c r="Z16" i="10" l="1"/>
  <c r="Y16" i="10"/>
  <c r="U16" i="10"/>
  <c r="Z15" i="10" l="1"/>
  <c r="Y15" i="10"/>
  <c r="U15" i="10" l="1"/>
  <c r="Z14" i="10" l="1"/>
  <c r="Y14" i="10"/>
  <c r="U14" i="10" l="1"/>
  <c r="Z13" i="10" l="1"/>
  <c r="Y13" i="10"/>
  <c r="U13" i="10" l="1"/>
  <c r="Z12" i="10" l="1"/>
  <c r="Y12" i="10"/>
  <c r="U12" i="10" l="1"/>
  <c r="R7" i="10" l="1"/>
  <c r="R6" i="10"/>
  <c r="P4" i="10"/>
  <c r="P5" i="10" s="1"/>
  <c r="T3" i="10"/>
  <c r="R3" i="10"/>
  <c r="Y15" i="9"/>
  <c r="W12" i="10" l="1"/>
  <c r="W30" i="10"/>
  <c r="W29" i="10"/>
  <c r="W28" i="10"/>
  <c r="W27" i="10"/>
  <c r="W26" i="10"/>
  <c r="W25" i="10"/>
  <c r="W24" i="10"/>
  <c r="W23" i="10"/>
  <c r="W22" i="10"/>
  <c r="W21" i="10"/>
  <c r="W20" i="10"/>
  <c r="W19" i="10"/>
  <c r="W18" i="10"/>
  <c r="W17" i="10"/>
  <c r="W16" i="10"/>
  <c r="W15" i="10"/>
  <c r="W14" i="10"/>
  <c r="W13" i="10"/>
  <c r="Z13" i="9" l="1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12" i="9"/>
  <c r="Y13" i="9"/>
  <c r="Y14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12" i="9"/>
  <c r="R3" i="9"/>
  <c r="T3" i="9"/>
  <c r="R7" i="9"/>
  <c r="R6" i="9"/>
  <c r="U13" i="9" l="1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12" i="9"/>
  <c r="P4" i="9"/>
  <c r="P5" i="9" s="1"/>
  <c r="AC37" i="7"/>
  <c r="AD37" i="7" s="1"/>
  <c r="W12" i="9" l="1"/>
  <c r="W29" i="9"/>
  <c r="W27" i="9"/>
  <c r="W25" i="9"/>
  <c r="W23" i="9"/>
  <c r="W21" i="9"/>
  <c r="W19" i="9"/>
  <c r="W17" i="9"/>
  <c r="W15" i="9"/>
  <c r="W13" i="9"/>
  <c r="W30" i="9"/>
  <c r="W28" i="9"/>
  <c r="W26" i="9"/>
  <c r="W24" i="9"/>
  <c r="W22" i="9"/>
  <c r="W20" i="9"/>
  <c r="W18" i="9"/>
  <c r="W16" i="9"/>
  <c r="W14" i="9"/>
  <c r="H66" i="8"/>
  <c r="E66" i="8"/>
  <c r="I66" i="8" s="1"/>
  <c r="B66" i="8"/>
  <c r="H65" i="8"/>
  <c r="E65" i="8"/>
  <c r="L65" i="8" s="1"/>
  <c r="B65" i="8"/>
  <c r="H64" i="8"/>
  <c r="E64" i="8"/>
  <c r="I64" i="8" s="1"/>
  <c r="B64" i="8"/>
  <c r="H63" i="8"/>
  <c r="E63" i="8"/>
  <c r="I63" i="8" s="1"/>
  <c r="B63" i="8"/>
  <c r="H62" i="8"/>
  <c r="E62" i="8"/>
  <c r="L62" i="8" s="1"/>
  <c r="B62" i="8"/>
  <c r="H61" i="8"/>
  <c r="E61" i="8"/>
  <c r="I61" i="8" s="1"/>
  <c r="B61" i="8"/>
  <c r="H60" i="8"/>
  <c r="E60" i="8"/>
  <c r="L60" i="8" s="1"/>
  <c r="B60" i="8"/>
  <c r="H59" i="8"/>
  <c r="E59" i="8"/>
  <c r="I59" i="8" s="1"/>
  <c r="B59" i="8"/>
  <c r="H58" i="8"/>
  <c r="E58" i="8"/>
  <c r="L58" i="8" s="1"/>
  <c r="B58" i="8"/>
  <c r="H57" i="8"/>
  <c r="E57" i="8"/>
  <c r="I57" i="8" s="1"/>
  <c r="B57" i="8"/>
  <c r="H56" i="8"/>
  <c r="E56" i="8"/>
  <c r="L56" i="8" s="1"/>
  <c r="B56" i="8"/>
  <c r="H55" i="8"/>
  <c r="E55" i="8"/>
  <c r="I55" i="8" s="1"/>
  <c r="B55" i="8"/>
  <c r="H54" i="8"/>
  <c r="E54" i="8"/>
  <c r="L54" i="8" s="1"/>
  <c r="B54" i="8"/>
  <c r="H53" i="8"/>
  <c r="E53" i="8"/>
  <c r="I53" i="8" s="1"/>
  <c r="B53" i="8"/>
  <c r="H52" i="8"/>
  <c r="E52" i="8"/>
  <c r="L52" i="8" s="1"/>
  <c r="B52" i="8"/>
  <c r="H51" i="8"/>
  <c r="E51" i="8"/>
  <c r="I51" i="8" s="1"/>
  <c r="B51" i="8"/>
  <c r="H50" i="8"/>
  <c r="E50" i="8"/>
  <c r="L50" i="8" s="1"/>
  <c r="B50" i="8"/>
  <c r="H49" i="8"/>
  <c r="E49" i="8"/>
  <c r="I49" i="8" s="1"/>
  <c r="B49" i="8"/>
  <c r="H48" i="8"/>
  <c r="E48" i="8"/>
  <c r="L48" i="8" s="1"/>
  <c r="B48" i="8"/>
  <c r="H47" i="8"/>
  <c r="E47" i="8"/>
  <c r="I47" i="8" s="1"/>
  <c r="B47" i="8"/>
  <c r="H46" i="8"/>
  <c r="E46" i="8"/>
  <c r="L46" i="8" s="1"/>
  <c r="B46" i="8"/>
  <c r="H45" i="8"/>
  <c r="E45" i="8"/>
  <c r="I45" i="8" s="1"/>
  <c r="B45" i="8"/>
  <c r="H44" i="8"/>
  <c r="E44" i="8"/>
  <c r="L44" i="8" s="1"/>
  <c r="B44" i="8"/>
  <c r="H43" i="8"/>
  <c r="E43" i="8"/>
  <c r="I43" i="8" s="1"/>
  <c r="B43" i="8"/>
  <c r="H42" i="8"/>
  <c r="E42" i="8"/>
  <c r="L42" i="8" s="1"/>
  <c r="B42" i="8"/>
  <c r="H41" i="8"/>
  <c r="E41" i="8"/>
  <c r="I41" i="8" s="1"/>
  <c r="B41" i="8"/>
  <c r="H40" i="8"/>
  <c r="E40" i="8"/>
  <c r="L40" i="8" s="1"/>
  <c r="B40" i="8"/>
  <c r="H39" i="8"/>
  <c r="E39" i="8"/>
  <c r="L39" i="8" s="1"/>
  <c r="B39" i="8"/>
  <c r="H38" i="8"/>
  <c r="E38" i="8"/>
  <c r="I38" i="8" s="1"/>
  <c r="B38" i="8"/>
  <c r="H37" i="8"/>
  <c r="E37" i="8"/>
  <c r="I37" i="8" s="1"/>
  <c r="B37" i="8"/>
  <c r="H36" i="8"/>
  <c r="E36" i="8"/>
  <c r="L36" i="8" s="1"/>
  <c r="B36" i="8"/>
  <c r="H35" i="8"/>
  <c r="E35" i="8"/>
  <c r="L35" i="8" s="1"/>
  <c r="B35" i="8"/>
  <c r="H34" i="8"/>
  <c r="E34" i="8"/>
  <c r="I34" i="8" s="1"/>
  <c r="B34" i="8"/>
  <c r="H33" i="8"/>
  <c r="E33" i="8"/>
  <c r="I33" i="8" s="1"/>
  <c r="B33" i="8"/>
  <c r="H32" i="8"/>
  <c r="E32" i="8"/>
  <c r="L32" i="8" s="1"/>
  <c r="B32" i="8"/>
  <c r="H31" i="8"/>
  <c r="E31" i="8"/>
  <c r="L31" i="8" s="1"/>
  <c r="B31" i="8"/>
  <c r="H30" i="8"/>
  <c r="E30" i="8"/>
  <c r="I30" i="8" s="1"/>
  <c r="B30" i="8"/>
  <c r="H29" i="8"/>
  <c r="E29" i="8"/>
  <c r="I29" i="8" s="1"/>
  <c r="B29" i="8"/>
  <c r="H28" i="8"/>
  <c r="E28" i="8"/>
  <c r="L28" i="8" s="1"/>
  <c r="B28" i="8"/>
  <c r="H27" i="8"/>
  <c r="E27" i="8"/>
  <c r="L27" i="8" s="1"/>
  <c r="B27" i="8"/>
  <c r="H26" i="8"/>
  <c r="E26" i="8"/>
  <c r="I26" i="8" s="1"/>
  <c r="B26" i="8"/>
  <c r="H25" i="8"/>
  <c r="E25" i="8"/>
  <c r="L25" i="8" s="1"/>
  <c r="B25" i="8"/>
  <c r="H24" i="8"/>
  <c r="E24" i="8"/>
  <c r="I24" i="8" s="1"/>
  <c r="B24" i="8"/>
  <c r="H23" i="8"/>
  <c r="E23" i="8"/>
  <c r="L23" i="8" s="1"/>
  <c r="U23" i="8" s="1"/>
  <c r="W23" i="8" s="1"/>
  <c r="B23" i="8"/>
  <c r="H22" i="8"/>
  <c r="E22" i="8"/>
  <c r="I22" i="8" s="1"/>
  <c r="B22" i="8"/>
  <c r="H21" i="8"/>
  <c r="E21" i="8"/>
  <c r="L21" i="8" s="1"/>
  <c r="U21" i="8" s="1"/>
  <c r="W21" i="8" s="1"/>
  <c r="B21" i="8"/>
  <c r="H20" i="8"/>
  <c r="E20" i="8"/>
  <c r="I20" i="8" s="1"/>
  <c r="B20" i="8"/>
  <c r="H19" i="8"/>
  <c r="E19" i="8"/>
  <c r="L19" i="8" s="1"/>
  <c r="U19" i="8" s="1"/>
  <c r="W19" i="8" s="1"/>
  <c r="B19" i="8"/>
  <c r="H18" i="8"/>
  <c r="E18" i="8"/>
  <c r="I18" i="8" s="1"/>
  <c r="B18" i="8"/>
  <c r="H17" i="8"/>
  <c r="E17" i="8"/>
  <c r="L17" i="8" s="1"/>
  <c r="U17" i="8" s="1"/>
  <c r="W17" i="8" s="1"/>
  <c r="B17" i="8"/>
  <c r="H16" i="8"/>
  <c r="E16" i="8"/>
  <c r="I16" i="8" s="1"/>
  <c r="B16" i="8"/>
  <c r="H15" i="8"/>
  <c r="E15" i="8"/>
  <c r="I15" i="8" s="1"/>
  <c r="B15" i="8"/>
  <c r="H14" i="8"/>
  <c r="E14" i="8"/>
  <c r="L14" i="8" s="1"/>
  <c r="U14" i="8" s="1"/>
  <c r="W14" i="8" s="1"/>
  <c r="X14" i="8" s="1"/>
  <c r="B14" i="8"/>
  <c r="H13" i="8"/>
  <c r="E13" i="8"/>
  <c r="L13" i="8" s="1"/>
  <c r="U13" i="8" s="1"/>
  <c r="W13" i="8" s="1"/>
  <c r="B13" i="8"/>
  <c r="H12" i="8"/>
  <c r="B12" i="8"/>
  <c r="K37" i="8" l="1"/>
  <c r="K45" i="8"/>
  <c r="K53" i="8"/>
  <c r="K61" i="8"/>
  <c r="K64" i="8"/>
  <c r="K43" i="8"/>
  <c r="K47" i="8"/>
  <c r="K51" i="8"/>
  <c r="K55" i="8"/>
  <c r="K59" i="8"/>
  <c r="K63" i="8"/>
  <c r="C66" i="8"/>
  <c r="J66" i="8" s="1"/>
  <c r="K33" i="8"/>
  <c r="K41" i="8"/>
  <c r="K49" i="8"/>
  <c r="X17" i="12"/>
  <c r="AA17" i="12" s="1"/>
  <c r="AC17" i="12" s="1"/>
  <c r="X28" i="12"/>
  <c r="H21" i="11" s="1"/>
  <c r="X23" i="12"/>
  <c r="H16" i="11" s="1"/>
  <c r="X19" i="12"/>
  <c r="AA19" i="12" s="1"/>
  <c r="AC19" i="12" s="1"/>
  <c r="X27" i="12"/>
  <c r="AA27" i="12" s="1"/>
  <c r="AC27" i="12" s="1"/>
  <c r="X13" i="12"/>
  <c r="AA13" i="12" s="1"/>
  <c r="AC13" i="12" s="1"/>
  <c r="X14" i="12"/>
  <c r="AA14" i="12" s="1"/>
  <c r="AC14" i="12" s="1"/>
  <c r="X21" i="12"/>
  <c r="AA21" i="12" s="1"/>
  <c r="AC21" i="12" s="1"/>
  <c r="X25" i="12"/>
  <c r="AA25" i="12" s="1"/>
  <c r="AC25" i="12" s="1"/>
  <c r="K66" i="8"/>
  <c r="K57" i="8"/>
  <c r="AA28" i="12"/>
  <c r="AC28" i="12" s="1"/>
  <c r="K15" i="8"/>
  <c r="X13" i="9"/>
  <c r="AA13" i="9" s="1"/>
  <c r="AC13" i="9" s="1"/>
  <c r="X13" i="10"/>
  <c r="AA13" i="10" s="1"/>
  <c r="AC13" i="10" s="1"/>
  <c r="X17" i="9"/>
  <c r="AA17" i="9" s="1"/>
  <c r="AC17" i="9" s="1"/>
  <c r="X17" i="10"/>
  <c r="AA17" i="10" s="1"/>
  <c r="AC17" i="10" s="1"/>
  <c r="X19" i="9"/>
  <c r="AA19" i="9" s="1"/>
  <c r="AC19" i="9" s="1"/>
  <c r="X19" i="10"/>
  <c r="AA19" i="10" s="1"/>
  <c r="AC19" i="10" s="1"/>
  <c r="X21" i="9"/>
  <c r="AA21" i="9" s="1"/>
  <c r="AC21" i="9" s="1"/>
  <c r="X21" i="10"/>
  <c r="AA21" i="10" s="1"/>
  <c r="AC21" i="10" s="1"/>
  <c r="X23" i="9"/>
  <c r="AA23" i="9" s="1"/>
  <c r="AC23" i="9" s="1"/>
  <c r="X23" i="10"/>
  <c r="AA23" i="10" s="1"/>
  <c r="AC23" i="10" s="1"/>
  <c r="X25" i="9"/>
  <c r="AA25" i="9" s="1"/>
  <c r="AC25" i="9" s="1"/>
  <c r="X25" i="10"/>
  <c r="AA25" i="10" s="1"/>
  <c r="AC25" i="10" s="1"/>
  <c r="X27" i="9"/>
  <c r="AA27" i="9" s="1"/>
  <c r="AC27" i="9" s="1"/>
  <c r="X27" i="10"/>
  <c r="AA27" i="10" s="1"/>
  <c r="AC27" i="10" s="1"/>
  <c r="X14" i="9"/>
  <c r="AA14" i="9" s="1"/>
  <c r="AC14" i="9" s="1"/>
  <c r="X14" i="10"/>
  <c r="AA14" i="10" s="1"/>
  <c r="AC14" i="10" s="1"/>
  <c r="X28" i="9"/>
  <c r="AA28" i="9" s="1"/>
  <c r="AC28" i="9" s="1"/>
  <c r="X28" i="10"/>
  <c r="AA28" i="10" s="1"/>
  <c r="AC28" i="10" s="1"/>
  <c r="K34" i="8"/>
  <c r="K38" i="8"/>
  <c r="K29" i="8"/>
  <c r="I12" i="8"/>
  <c r="K12" i="8" s="1"/>
  <c r="L12" i="8"/>
  <c r="U12" i="8" s="1"/>
  <c r="W12" i="8" s="1"/>
  <c r="K16" i="8"/>
  <c r="K18" i="8"/>
  <c r="K20" i="8"/>
  <c r="K22" i="8"/>
  <c r="K24" i="8"/>
  <c r="K30" i="8"/>
  <c r="K26" i="8"/>
  <c r="I13" i="8"/>
  <c r="K13" i="8" s="1"/>
  <c r="I14" i="8"/>
  <c r="K14" i="8" s="1"/>
  <c r="I17" i="8"/>
  <c r="K17" i="8" s="1"/>
  <c r="I19" i="8"/>
  <c r="K19" i="8" s="1"/>
  <c r="I21" i="8"/>
  <c r="K21" i="8" s="1"/>
  <c r="I23" i="8"/>
  <c r="K23" i="8" s="1"/>
  <c r="I25" i="8"/>
  <c r="K25" i="8" s="1"/>
  <c r="I27" i="8"/>
  <c r="K27" i="8" s="1"/>
  <c r="I28" i="8"/>
  <c r="K28" i="8" s="1"/>
  <c r="I31" i="8"/>
  <c r="K31" i="8" s="1"/>
  <c r="I32" i="8"/>
  <c r="K32" i="8" s="1"/>
  <c r="I35" i="8"/>
  <c r="K35" i="8" s="1"/>
  <c r="I36" i="8"/>
  <c r="K36" i="8" s="1"/>
  <c r="I39" i="8"/>
  <c r="K39" i="8" s="1"/>
  <c r="I40" i="8"/>
  <c r="K40" i="8" s="1"/>
  <c r="I42" i="8"/>
  <c r="K42" i="8" s="1"/>
  <c r="I44" i="8"/>
  <c r="K44" i="8" s="1"/>
  <c r="I46" i="8"/>
  <c r="K46" i="8" s="1"/>
  <c r="I48" i="8"/>
  <c r="K48" i="8" s="1"/>
  <c r="I50" i="8"/>
  <c r="K50" i="8" s="1"/>
  <c r="I52" i="8"/>
  <c r="K52" i="8" s="1"/>
  <c r="I54" i="8"/>
  <c r="K54" i="8" s="1"/>
  <c r="I56" i="8"/>
  <c r="K56" i="8" s="1"/>
  <c r="I58" i="8"/>
  <c r="K58" i="8" s="1"/>
  <c r="I60" i="8"/>
  <c r="K60" i="8" s="1"/>
  <c r="I62" i="8"/>
  <c r="K62" i="8" s="1"/>
  <c r="I65" i="8"/>
  <c r="K65" i="8" s="1"/>
  <c r="C12" i="8"/>
  <c r="J12" i="8" s="1"/>
  <c r="C13" i="8"/>
  <c r="J13" i="8" s="1"/>
  <c r="C14" i="8"/>
  <c r="J14" i="8" s="1"/>
  <c r="C15" i="8"/>
  <c r="J15" i="8" s="1"/>
  <c r="L15" i="8"/>
  <c r="U15" i="8" s="1"/>
  <c r="W15" i="8" s="1"/>
  <c r="C16" i="8"/>
  <c r="J16" i="8" s="1"/>
  <c r="L16" i="8"/>
  <c r="U16" i="8" s="1"/>
  <c r="W16" i="8" s="1"/>
  <c r="C17" i="8"/>
  <c r="J17" i="8" s="1"/>
  <c r="C18" i="8"/>
  <c r="J18" i="8" s="1"/>
  <c r="L18" i="8"/>
  <c r="U18" i="8" s="1"/>
  <c r="W18" i="8" s="1"/>
  <c r="C19" i="8"/>
  <c r="J19" i="8" s="1"/>
  <c r="C20" i="8"/>
  <c r="J20" i="8" s="1"/>
  <c r="L20" i="8"/>
  <c r="U20" i="8" s="1"/>
  <c r="W20" i="8" s="1"/>
  <c r="C21" i="8"/>
  <c r="J21" i="8" s="1"/>
  <c r="C22" i="8"/>
  <c r="J22" i="8" s="1"/>
  <c r="L22" i="8"/>
  <c r="U22" i="8" s="1"/>
  <c r="W22" i="8" s="1"/>
  <c r="C23" i="8"/>
  <c r="J23" i="8" s="1"/>
  <c r="C24" i="8"/>
  <c r="J24" i="8" s="1"/>
  <c r="L24" i="8"/>
  <c r="C25" i="8"/>
  <c r="J25" i="8" s="1"/>
  <c r="C26" i="8"/>
  <c r="J26" i="8" s="1"/>
  <c r="L26" i="8"/>
  <c r="C27" i="8"/>
  <c r="J27" i="8" s="1"/>
  <c r="C28" i="8"/>
  <c r="J28" i="8" s="1"/>
  <c r="C29" i="8"/>
  <c r="J29" i="8" s="1"/>
  <c r="L29" i="8"/>
  <c r="C30" i="8"/>
  <c r="J30" i="8" s="1"/>
  <c r="L30" i="8"/>
  <c r="C31" i="8"/>
  <c r="J31" i="8" s="1"/>
  <c r="C32" i="8"/>
  <c r="J32" i="8" s="1"/>
  <c r="C33" i="8"/>
  <c r="J33" i="8" s="1"/>
  <c r="L33" i="8"/>
  <c r="C34" i="8"/>
  <c r="J34" i="8" s="1"/>
  <c r="L34" i="8"/>
  <c r="C35" i="8"/>
  <c r="J35" i="8" s="1"/>
  <c r="C36" i="8"/>
  <c r="J36" i="8" s="1"/>
  <c r="C37" i="8"/>
  <c r="J37" i="8" s="1"/>
  <c r="L37" i="8"/>
  <c r="C38" i="8"/>
  <c r="J38" i="8" s="1"/>
  <c r="L38" i="8"/>
  <c r="C39" i="8"/>
  <c r="J39" i="8" s="1"/>
  <c r="C40" i="8"/>
  <c r="J40" i="8" s="1"/>
  <c r="C41" i="8"/>
  <c r="J41" i="8" s="1"/>
  <c r="L41" i="8"/>
  <c r="C42" i="8"/>
  <c r="J42" i="8" s="1"/>
  <c r="C43" i="8"/>
  <c r="J43" i="8" s="1"/>
  <c r="L43" i="8"/>
  <c r="C44" i="8"/>
  <c r="J44" i="8" s="1"/>
  <c r="C45" i="8"/>
  <c r="J45" i="8" s="1"/>
  <c r="L45" i="8"/>
  <c r="C46" i="8"/>
  <c r="J46" i="8" s="1"/>
  <c r="C47" i="8"/>
  <c r="J47" i="8" s="1"/>
  <c r="L47" i="8"/>
  <c r="C48" i="8"/>
  <c r="J48" i="8" s="1"/>
  <c r="C49" i="8"/>
  <c r="J49" i="8" s="1"/>
  <c r="L49" i="8"/>
  <c r="C50" i="8"/>
  <c r="J50" i="8" s="1"/>
  <c r="C51" i="8"/>
  <c r="J51" i="8" s="1"/>
  <c r="L51" i="8"/>
  <c r="C52" i="8"/>
  <c r="J52" i="8" s="1"/>
  <c r="C53" i="8"/>
  <c r="J53" i="8" s="1"/>
  <c r="L53" i="8"/>
  <c r="C54" i="8"/>
  <c r="J54" i="8" s="1"/>
  <c r="C55" i="8"/>
  <c r="J55" i="8" s="1"/>
  <c r="L55" i="8"/>
  <c r="C56" i="8"/>
  <c r="J56" i="8" s="1"/>
  <c r="C57" i="8"/>
  <c r="J57" i="8" s="1"/>
  <c r="L57" i="8"/>
  <c r="C58" i="8"/>
  <c r="J58" i="8" s="1"/>
  <c r="C59" i="8"/>
  <c r="J59" i="8" s="1"/>
  <c r="L59" i="8"/>
  <c r="C60" i="8"/>
  <c r="J60" i="8" s="1"/>
  <c r="C61" i="8"/>
  <c r="J61" i="8" s="1"/>
  <c r="L61" i="8"/>
  <c r="C62" i="8"/>
  <c r="J62" i="8" s="1"/>
  <c r="C63" i="8"/>
  <c r="J63" i="8" s="1"/>
  <c r="L63" i="8"/>
  <c r="C64" i="8"/>
  <c r="J64" i="8" s="1"/>
  <c r="L64" i="8"/>
  <c r="C65" i="8"/>
  <c r="J65" i="8" s="1"/>
  <c r="L66" i="8"/>
  <c r="AA23" i="12" l="1"/>
  <c r="AC23" i="12" s="1"/>
  <c r="J9" i="8"/>
  <c r="K9" i="8"/>
  <c r="H7" i="11"/>
  <c r="H14" i="11"/>
  <c r="H20" i="11"/>
  <c r="H10" i="11"/>
  <c r="H18" i="11"/>
  <c r="H6" i="11"/>
  <c r="X12" i="9"/>
  <c r="AA12" i="9" s="1"/>
  <c r="AC12" i="9" s="1"/>
  <c r="H12" i="11"/>
  <c r="X24" i="12"/>
  <c r="H17" i="11" s="1"/>
  <c r="X26" i="12"/>
  <c r="X29" i="12"/>
  <c r="AA29" i="12" s="1"/>
  <c r="AC29" i="12" s="1"/>
  <c r="X20" i="12"/>
  <c r="AA20" i="12" s="1"/>
  <c r="AC20" i="12" s="1"/>
  <c r="X18" i="12"/>
  <c r="H11" i="11" s="1"/>
  <c r="X22" i="12"/>
  <c r="AA22" i="12" s="1"/>
  <c r="AC22" i="12" s="1"/>
  <c r="X30" i="12"/>
  <c r="AA30" i="12" s="1"/>
  <c r="AC30" i="12" s="1"/>
  <c r="X16" i="12"/>
  <c r="H9" i="11" s="1"/>
  <c r="AA24" i="12"/>
  <c r="AC24" i="12" s="1"/>
  <c r="AA26" i="12"/>
  <c r="AC26" i="12" s="1"/>
  <c r="H19" i="11"/>
  <c r="X15" i="10"/>
  <c r="AA15" i="10" s="1"/>
  <c r="AC15" i="10" s="1"/>
  <c r="X15" i="12"/>
  <c r="X12" i="10"/>
  <c r="AA12" i="10" s="1"/>
  <c r="AC12" i="10" s="1"/>
  <c r="X12" i="12"/>
  <c r="H5" i="11" s="1"/>
  <c r="X24" i="9"/>
  <c r="AA24" i="9" s="1"/>
  <c r="AC24" i="9" s="1"/>
  <c r="X24" i="10"/>
  <c r="AA24" i="10" s="1"/>
  <c r="AC24" i="10" s="1"/>
  <c r="X20" i="9"/>
  <c r="AA20" i="9" s="1"/>
  <c r="AC20" i="9" s="1"/>
  <c r="X20" i="10"/>
  <c r="AA20" i="10" s="1"/>
  <c r="AC20" i="10" s="1"/>
  <c r="X16" i="9"/>
  <c r="AA16" i="9" s="1"/>
  <c r="AC16" i="9" s="1"/>
  <c r="X16" i="10"/>
  <c r="AA16" i="10" s="1"/>
  <c r="AC16" i="10" s="1"/>
  <c r="X30" i="9"/>
  <c r="AA30" i="9" s="1"/>
  <c r="AC30" i="9" s="1"/>
  <c r="X30" i="10"/>
  <c r="AA30" i="10" s="1"/>
  <c r="AC30" i="10" s="1"/>
  <c r="X29" i="9"/>
  <c r="AA29" i="9" s="1"/>
  <c r="AC29" i="9" s="1"/>
  <c r="X29" i="10"/>
  <c r="AA29" i="10" s="1"/>
  <c r="AC29" i="10" s="1"/>
  <c r="X26" i="9"/>
  <c r="AA26" i="9" s="1"/>
  <c r="AC26" i="9" s="1"/>
  <c r="X26" i="10"/>
  <c r="AA26" i="10" s="1"/>
  <c r="AC26" i="10" s="1"/>
  <c r="X22" i="9"/>
  <c r="AA22" i="9" s="1"/>
  <c r="AC22" i="9" s="1"/>
  <c r="X22" i="10"/>
  <c r="AA22" i="10" s="1"/>
  <c r="AC22" i="10" s="1"/>
  <c r="X18" i="9"/>
  <c r="AA18" i="9" s="1"/>
  <c r="AC18" i="9" s="1"/>
  <c r="X18" i="10"/>
  <c r="AA18" i="10" s="1"/>
  <c r="AC18" i="10" s="1"/>
  <c r="X15" i="9"/>
  <c r="AA15" i="9" s="1"/>
  <c r="AC15" i="9" s="1"/>
  <c r="J7" i="8" l="1"/>
  <c r="H15" i="11"/>
  <c r="H13" i="11"/>
  <c r="AA18" i="12"/>
  <c r="AC18" i="12" s="1"/>
  <c r="AA16" i="12"/>
  <c r="AC16" i="12" s="1"/>
  <c r="H22" i="11"/>
  <c r="H23" i="11"/>
  <c r="AA15" i="12"/>
  <c r="AC15" i="12" s="1"/>
  <c r="H8" i="11"/>
  <c r="X31" i="12"/>
  <c r="AA12" i="12"/>
  <c r="AC12" i="12" s="1"/>
  <c r="X31" i="10"/>
  <c r="X31" i="9"/>
  <c r="AB13" i="9" s="1"/>
  <c r="AD13" i="9" s="1"/>
  <c r="K6" i="11" s="1"/>
  <c r="L6" i="11" s="1"/>
  <c r="AC47" i="7"/>
  <c r="AD47" i="7" s="1"/>
  <c r="AB30" i="12" l="1"/>
  <c r="AD30" i="12" s="1"/>
  <c r="O23" i="11" s="1"/>
  <c r="P23" i="11" s="1"/>
  <c r="AB29" i="12"/>
  <c r="AD29" i="12" s="1"/>
  <c r="O22" i="11" s="1"/>
  <c r="P22" i="11" s="1"/>
  <c r="AB28" i="12"/>
  <c r="AD28" i="12" s="1"/>
  <c r="O21" i="11" s="1"/>
  <c r="P21" i="11" s="1"/>
  <c r="AB27" i="12"/>
  <c r="AD27" i="12" s="1"/>
  <c r="O20" i="11" s="1"/>
  <c r="P20" i="11" s="1"/>
  <c r="AB26" i="12"/>
  <c r="AD26" i="12" s="1"/>
  <c r="O19" i="11" s="1"/>
  <c r="P19" i="11" s="1"/>
  <c r="AB25" i="12"/>
  <c r="AD25" i="12" s="1"/>
  <c r="O18" i="11" s="1"/>
  <c r="P18" i="11" s="1"/>
  <c r="AB24" i="12"/>
  <c r="AD24" i="12" s="1"/>
  <c r="O17" i="11" s="1"/>
  <c r="P17" i="11" s="1"/>
  <c r="AB23" i="12"/>
  <c r="AD23" i="12" s="1"/>
  <c r="O16" i="11" s="1"/>
  <c r="P16" i="11" s="1"/>
  <c r="AB22" i="12"/>
  <c r="AD22" i="12" s="1"/>
  <c r="O15" i="11" s="1"/>
  <c r="P15" i="11" s="1"/>
  <c r="AB21" i="12"/>
  <c r="AD21" i="12" s="1"/>
  <c r="O14" i="11" s="1"/>
  <c r="P14" i="11" s="1"/>
  <c r="AB20" i="12"/>
  <c r="AD20" i="12" s="1"/>
  <c r="O13" i="11" s="1"/>
  <c r="P13" i="11" s="1"/>
  <c r="AB19" i="12"/>
  <c r="AD19" i="12" s="1"/>
  <c r="O12" i="11" s="1"/>
  <c r="P12" i="11" s="1"/>
  <c r="AB18" i="12"/>
  <c r="AD18" i="12" s="1"/>
  <c r="O11" i="11" s="1"/>
  <c r="P11" i="11" s="1"/>
  <c r="AB17" i="12"/>
  <c r="AD17" i="12" s="1"/>
  <c r="O10" i="11" s="1"/>
  <c r="P10" i="11" s="1"/>
  <c r="AB16" i="12"/>
  <c r="AD16" i="12" s="1"/>
  <c r="O9" i="11" s="1"/>
  <c r="P9" i="11" s="1"/>
  <c r="AB15" i="12"/>
  <c r="AD15" i="12" s="1"/>
  <c r="O8" i="11" s="1"/>
  <c r="P8" i="11" s="1"/>
  <c r="AB14" i="12"/>
  <c r="AD14" i="12" s="1"/>
  <c r="O7" i="11" s="1"/>
  <c r="P7" i="11" s="1"/>
  <c r="AB13" i="12"/>
  <c r="AD13" i="12" s="1"/>
  <c r="O6" i="11" s="1"/>
  <c r="P6" i="11" s="1"/>
  <c r="AB12" i="12"/>
  <c r="AD12" i="12" s="1"/>
  <c r="O5" i="11" s="1"/>
  <c r="P5" i="11" s="1"/>
  <c r="AB30" i="10"/>
  <c r="AD30" i="10" s="1"/>
  <c r="AB29" i="10"/>
  <c r="AD29" i="10" s="1"/>
  <c r="AB28" i="10"/>
  <c r="AD28" i="10" s="1"/>
  <c r="AB27" i="10"/>
  <c r="AD27" i="10" s="1"/>
  <c r="AB26" i="10"/>
  <c r="AD26" i="10" s="1"/>
  <c r="AB25" i="10"/>
  <c r="AD25" i="10" s="1"/>
  <c r="AB24" i="10"/>
  <c r="AD24" i="10" s="1"/>
  <c r="AB23" i="10"/>
  <c r="AD23" i="10" s="1"/>
  <c r="AB22" i="10"/>
  <c r="AD22" i="10" s="1"/>
  <c r="AB21" i="10"/>
  <c r="AD21" i="10" s="1"/>
  <c r="AB20" i="10"/>
  <c r="AD20" i="10" s="1"/>
  <c r="AB19" i="10"/>
  <c r="AD19" i="10" s="1"/>
  <c r="AB18" i="10"/>
  <c r="AD18" i="10" s="1"/>
  <c r="AB17" i="10"/>
  <c r="AD17" i="10" s="1"/>
  <c r="AB16" i="10"/>
  <c r="AD16" i="10" s="1"/>
  <c r="AB15" i="10"/>
  <c r="AD15" i="10" s="1"/>
  <c r="AB14" i="10"/>
  <c r="AD14" i="10" s="1"/>
  <c r="AB13" i="10"/>
  <c r="AD13" i="10" s="1"/>
  <c r="AB12" i="10"/>
  <c r="AB17" i="9"/>
  <c r="AD17" i="9" s="1"/>
  <c r="K10" i="11" s="1"/>
  <c r="L10" i="11" s="1"/>
  <c r="AB25" i="9"/>
  <c r="AD25" i="9" s="1"/>
  <c r="K18" i="11" s="1"/>
  <c r="L18" i="11" s="1"/>
  <c r="AB21" i="9"/>
  <c r="AD21" i="9" s="1"/>
  <c r="K14" i="11" s="1"/>
  <c r="L14" i="11" s="1"/>
  <c r="AB14" i="9"/>
  <c r="AD14" i="9" s="1"/>
  <c r="K7" i="11" s="1"/>
  <c r="L7" i="11" s="1"/>
  <c r="AB29" i="9"/>
  <c r="AD29" i="9" s="1"/>
  <c r="K22" i="11" s="1"/>
  <c r="L22" i="11" s="1"/>
  <c r="AB22" i="9"/>
  <c r="AD22" i="9" s="1"/>
  <c r="K15" i="11" s="1"/>
  <c r="L15" i="11" s="1"/>
  <c r="AB18" i="9"/>
  <c r="AD18" i="9" s="1"/>
  <c r="K11" i="11" s="1"/>
  <c r="L11" i="11" s="1"/>
  <c r="AB26" i="9"/>
  <c r="AD26" i="9" s="1"/>
  <c r="K19" i="11" s="1"/>
  <c r="L19" i="11" s="1"/>
  <c r="AB15" i="9"/>
  <c r="AD15" i="9" s="1"/>
  <c r="K8" i="11" s="1"/>
  <c r="L8" i="11" s="1"/>
  <c r="AB30" i="9"/>
  <c r="AD30" i="9" s="1"/>
  <c r="K23" i="11" s="1"/>
  <c r="L23" i="11" s="1"/>
  <c r="AB19" i="9"/>
  <c r="AD19" i="9" s="1"/>
  <c r="K12" i="11" s="1"/>
  <c r="L12" i="11" s="1"/>
  <c r="AB27" i="9"/>
  <c r="AD27" i="9" s="1"/>
  <c r="K20" i="11" s="1"/>
  <c r="L20" i="11" s="1"/>
  <c r="AB23" i="9"/>
  <c r="AD23" i="9" s="1"/>
  <c r="K16" i="11" s="1"/>
  <c r="L16" i="11" s="1"/>
  <c r="AB20" i="9"/>
  <c r="AD20" i="9" s="1"/>
  <c r="K13" i="11" s="1"/>
  <c r="L13" i="11" s="1"/>
  <c r="AB12" i="9"/>
  <c r="AB28" i="9"/>
  <c r="AD28" i="9" s="1"/>
  <c r="K21" i="11" s="1"/>
  <c r="L21" i="11" s="1"/>
  <c r="AB16" i="9"/>
  <c r="AD16" i="9" s="1"/>
  <c r="K9" i="11" s="1"/>
  <c r="L9" i="11" s="1"/>
  <c r="AB24" i="9"/>
  <c r="AD24" i="9" s="1"/>
  <c r="K17" i="11" s="1"/>
  <c r="L17" i="11" s="1"/>
  <c r="C33" i="7"/>
  <c r="AC38" i="7"/>
  <c r="AD38" i="7" s="1"/>
  <c r="AC39" i="7"/>
  <c r="AD39" i="7" s="1"/>
  <c r="AC40" i="7"/>
  <c r="AD40" i="7" s="1"/>
  <c r="AC41" i="7"/>
  <c r="AD41" i="7" s="1"/>
  <c r="AC42" i="7"/>
  <c r="AD42" i="7" s="1"/>
  <c r="AC43" i="7"/>
  <c r="AD43" i="7" s="1"/>
  <c r="AC44" i="7"/>
  <c r="AD44" i="7" s="1"/>
  <c r="AC45" i="7"/>
  <c r="AD45" i="7" s="1"/>
  <c r="AC46" i="7"/>
  <c r="AD46" i="7" s="1"/>
  <c r="AC48" i="7"/>
  <c r="AD48" i="7" s="1"/>
  <c r="AC49" i="7"/>
  <c r="AD49" i="7" s="1"/>
  <c r="AC50" i="7"/>
  <c r="AD50" i="7" s="1"/>
  <c r="AC51" i="7"/>
  <c r="AD51" i="7" s="1"/>
  <c r="AC52" i="7"/>
  <c r="AD52" i="7" s="1"/>
  <c r="AC53" i="7"/>
  <c r="AD53" i="7" s="1"/>
  <c r="AC54" i="7"/>
  <c r="AD54" i="7" s="1"/>
  <c r="AC55" i="7"/>
  <c r="AD55" i="7" s="1"/>
  <c r="B26" i="7"/>
  <c r="M7" i="11" l="1"/>
  <c r="N7" i="11" s="1"/>
  <c r="X31" i="14"/>
  <c r="M8" i="11"/>
  <c r="N8" i="11" s="1"/>
  <c r="X32" i="14"/>
  <c r="M12" i="11"/>
  <c r="N12" i="11" s="1"/>
  <c r="X36" i="14"/>
  <c r="M16" i="11"/>
  <c r="N16" i="11" s="1"/>
  <c r="X40" i="14"/>
  <c r="M20" i="11"/>
  <c r="N20" i="11" s="1"/>
  <c r="X44" i="14"/>
  <c r="M11" i="11"/>
  <c r="N11" i="11" s="1"/>
  <c r="X35" i="14"/>
  <c r="M19" i="11"/>
  <c r="N19" i="11" s="1"/>
  <c r="X43" i="14"/>
  <c r="M9" i="11"/>
  <c r="N9" i="11" s="1"/>
  <c r="X33" i="14"/>
  <c r="M13" i="11"/>
  <c r="N13" i="11" s="1"/>
  <c r="X37" i="14"/>
  <c r="M17" i="11"/>
  <c r="N17" i="11" s="1"/>
  <c r="X41" i="14"/>
  <c r="M21" i="11"/>
  <c r="N21" i="11" s="1"/>
  <c r="X45" i="14"/>
  <c r="M15" i="11"/>
  <c r="N15" i="11" s="1"/>
  <c r="X39" i="14"/>
  <c r="M23" i="11"/>
  <c r="N23" i="11" s="1"/>
  <c r="X47" i="14"/>
  <c r="M6" i="11"/>
  <c r="N6" i="11" s="1"/>
  <c r="X30" i="14"/>
  <c r="M10" i="11"/>
  <c r="N10" i="11" s="1"/>
  <c r="X34" i="14"/>
  <c r="M14" i="11"/>
  <c r="N14" i="11" s="1"/>
  <c r="X38" i="14"/>
  <c r="M18" i="11"/>
  <c r="N18" i="11" s="1"/>
  <c r="X42" i="14"/>
  <c r="M22" i="11"/>
  <c r="N22" i="11" s="1"/>
  <c r="X46" i="14"/>
  <c r="AD12" i="10"/>
  <c r="AD12" i="9"/>
  <c r="K5" i="11" s="1"/>
  <c r="L5" i="11" s="1"/>
  <c r="B33" i="7"/>
  <c r="C23" i="7"/>
  <c r="B31" i="7" s="1"/>
  <c r="M5" i="11" l="1"/>
  <c r="N5" i="11" s="1"/>
  <c r="X29" i="14"/>
  <c r="C32" i="7"/>
  <c r="B28" i="7"/>
  <c r="C31" i="7"/>
  <c r="N25" i="7"/>
  <c r="B32" i="7"/>
  <c r="N26" i="7" l="1"/>
  <c r="N28" i="7" s="1"/>
</calcChain>
</file>

<file path=xl/comments1.xml><?xml version="1.0" encoding="utf-8"?>
<comments xmlns="http://schemas.openxmlformats.org/spreadsheetml/2006/main">
  <authors>
    <author>Oliver Newton</author>
  </authors>
  <commentList>
    <comment ref="J9" authorId="0" shapeId="0">
      <text>
        <r>
          <rPr>
            <b/>
            <sz val="9"/>
            <color indexed="81"/>
            <rFont val="Tahoma"/>
            <family val="2"/>
          </rPr>
          <t>Oliver Newton:</t>
        </r>
        <r>
          <rPr>
            <sz val="9"/>
            <color indexed="81"/>
            <rFont val="Tahoma"/>
            <family val="2"/>
          </rPr>
          <t xml:space="preserve">
Goal seek these cells to zero.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A32" authorId="0" shapeId="0">
      <text>
        <r>
          <rPr>
            <b/>
            <sz val="11"/>
            <color indexed="81"/>
            <rFont val="Tahoma"/>
            <family val="2"/>
          </rPr>
          <t>Independent Term of Viscosity Equation</t>
        </r>
      </text>
    </comment>
    <comment ref="A33" authorId="0" shapeId="0">
      <text>
        <r>
          <rPr>
            <b/>
            <sz val="12"/>
            <color indexed="81"/>
            <rFont val="Tahoma"/>
            <family val="2"/>
          </rPr>
          <t>dt: Dependent Term Viscosity Equation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<sst xmlns="http://schemas.openxmlformats.org/spreadsheetml/2006/main" count="434" uniqueCount="145">
  <si>
    <t>R290</t>
  </si>
  <si>
    <t>Po</t>
  </si>
  <si>
    <t>To</t>
  </si>
  <si>
    <t>Tc</t>
  </si>
  <si>
    <t>SH</t>
  </si>
  <si>
    <t>(bar)</t>
  </si>
  <si>
    <t>(K)</t>
  </si>
  <si>
    <t>?</t>
  </si>
  <si>
    <t>T(K)</t>
  </si>
  <si>
    <t>T(°C)</t>
  </si>
  <si>
    <t>P (bar)</t>
  </si>
  <si>
    <t>ρ=</t>
  </si>
  <si>
    <t>ω</t>
  </si>
  <si>
    <t>μ</t>
  </si>
  <si>
    <t>ω  (wt ref)</t>
  </si>
  <si>
    <t>T</t>
  </si>
  <si>
    <t>ρ (g/mL)</t>
  </si>
  <si>
    <t>μ (cSt)</t>
  </si>
  <si>
    <t xml:space="preserve">ω </t>
  </si>
  <si>
    <t>(°C)</t>
  </si>
  <si>
    <t>(wt% R290)</t>
  </si>
  <si>
    <t>Initial</t>
  </si>
  <si>
    <t>ρ(gr/ml)</t>
  </si>
  <si>
    <t>Toil</t>
  </si>
  <si>
    <t>Envelope</t>
  </si>
  <si>
    <t>Sanitary Water</t>
  </si>
  <si>
    <t>Design point</t>
  </si>
  <si>
    <t>Optimization</t>
  </si>
  <si>
    <t>HCOP 3.5 (A7/W55)</t>
  </si>
  <si>
    <t>Working Conditions</t>
  </si>
  <si>
    <t>55-61</t>
  </si>
  <si>
    <t>57-66</t>
  </si>
  <si>
    <t>59-72</t>
  </si>
  <si>
    <t>52-60</t>
  </si>
  <si>
    <t>41-48</t>
  </si>
  <si>
    <t>50-55</t>
  </si>
  <si>
    <t>50-60</t>
  </si>
  <si>
    <t>42-46</t>
  </si>
  <si>
    <t>coeff#</t>
  </si>
  <si>
    <t>Press</t>
  </si>
  <si>
    <t>Density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</si>
  <si>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</si>
  <si>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</si>
  <si>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</si>
  <si>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</si>
  <si>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</si>
  <si>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</si>
  <si>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</si>
  <si>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</si>
  <si>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</si>
  <si>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Kinematic Visc</t>
  </si>
  <si>
    <t>gr/ml</t>
  </si>
  <si>
    <t>(wt ref)</t>
  </si>
  <si>
    <t>(gr/ml)</t>
  </si>
  <si>
    <t>(cSt)</t>
  </si>
  <si>
    <t>Inputs</t>
  </si>
  <si>
    <t>°C</t>
  </si>
  <si>
    <t>K</t>
  </si>
  <si>
    <t>Bar</t>
  </si>
  <si>
    <t>Oil Temp.</t>
  </si>
  <si>
    <t>Log (Po)</t>
  </si>
  <si>
    <t>Solubility - Log (Po)</t>
  </si>
  <si>
    <r>
      <t xml:space="preserve">Solver: Value equal of </t>
    </r>
    <r>
      <rPr>
        <b/>
        <sz val="12"/>
        <rFont val="Calibri"/>
        <family val="2"/>
        <scheme val="minor"/>
      </rPr>
      <t>Log (Po)</t>
    </r>
    <r>
      <rPr>
        <b/>
        <sz val="12"/>
        <color theme="4"/>
        <rFont val="Calibri"/>
        <family val="2"/>
        <scheme val="minor"/>
      </rPr>
      <t xml:space="preserve"> changing </t>
    </r>
    <r>
      <rPr>
        <b/>
        <sz val="12"/>
        <color rgb="FF00B050"/>
        <rFont val="Calibri"/>
        <family val="2"/>
        <scheme val="minor"/>
      </rPr>
      <t>Solubility (wt ref)</t>
    </r>
  </si>
  <si>
    <t>Viscosity it: a1 + a2Loge(T) a3Loge^2(T) +wa4…</t>
  </si>
  <si>
    <t xml:space="preserve">Viscosity dt: </t>
  </si>
  <si>
    <t>fi (constant)</t>
  </si>
  <si>
    <t>e</t>
  </si>
  <si>
    <t>Hatcol4467</t>
  </si>
  <si>
    <t>Reference</t>
  </si>
  <si>
    <r>
      <t>Solver: Value equal of</t>
    </r>
    <r>
      <rPr>
        <b/>
        <sz val="12"/>
        <rFont val="Calibri"/>
        <family val="2"/>
        <scheme val="minor"/>
      </rPr>
      <t xml:space="preserve"> viscosity it</t>
    </r>
    <r>
      <rPr>
        <b/>
        <sz val="12"/>
        <color theme="4"/>
        <rFont val="Calibri"/>
        <family val="2"/>
        <scheme val="minor"/>
      </rPr>
      <t xml:space="preserve"> changing viscosity</t>
    </r>
    <r>
      <rPr>
        <b/>
        <sz val="12"/>
        <color rgb="FF00B050"/>
        <rFont val="Calibri"/>
        <family val="2"/>
        <scheme val="minor"/>
      </rPr>
      <t xml:space="preserve"> (cSt)</t>
    </r>
  </si>
  <si>
    <t>Oil</t>
  </si>
  <si>
    <t>liters</t>
  </si>
  <si>
    <t>Grams (Oil)</t>
  </si>
  <si>
    <t>gr (R290)</t>
  </si>
  <si>
    <t>(gr)</t>
  </si>
  <si>
    <t>"SS"=</t>
  </si>
  <si>
    <t xml:space="preserve">Ln(Ln(μ+0.7+e^(-μ)Ko(μ+1.244068))) </t>
  </si>
  <si>
    <t>=visc1+visc2*LN(T)+visc3*LN(T)^2+w*(visc4+visc5*LN(T)+visc6*LN(T)^2)+w^2*(visc7+visc8*LN(T)+visc9*LN(T)^2)</t>
  </si>
  <si>
    <t>Log(P)=</t>
  </si>
  <si>
    <t>pres eqn</t>
  </si>
  <si>
    <r>
      <t>visc (diff)</t>
    </r>
    <r>
      <rPr>
        <vertAlign val="superscript"/>
        <sz val="10"/>
        <rFont val="Calibri"/>
        <family val="2"/>
        <scheme val="minor"/>
      </rPr>
      <t>2</t>
    </r>
  </si>
  <si>
    <r>
      <t>P (diff)</t>
    </r>
    <r>
      <rPr>
        <vertAlign val="superscript"/>
        <sz val="10"/>
        <rFont val="Calibri"/>
        <family val="2"/>
        <scheme val="minor"/>
      </rPr>
      <t>2</t>
    </r>
  </si>
  <si>
    <t>Tref</t>
  </si>
  <si>
    <t>ml</t>
  </si>
  <si>
    <t>R290 low side</t>
  </si>
  <si>
    <t>R290 LD</t>
  </si>
  <si>
    <t>HS Free Volume</t>
  </si>
  <si>
    <t>LS Free Volume</t>
  </si>
  <si>
    <t>ρref</t>
  </si>
  <si>
    <t>(Kg/m3)</t>
  </si>
  <si>
    <t>ρoil</t>
  </si>
  <si>
    <t xml:space="preserve"> (wt ref)</t>
  </si>
  <si>
    <t>m3</t>
  </si>
  <si>
    <t>Max</t>
  </si>
  <si>
    <t>Max Oil</t>
  </si>
  <si>
    <t>Max 290</t>
  </si>
  <si>
    <t>(ckts)</t>
  </si>
  <si>
    <t>10K SH</t>
  </si>
  <si>
    <t>2.5 liters Oil</t>
  </si>
  <si>
    <t>1.5 liters Oil</t>
  </si>
  <si>
    <t>R290 LS</t>
  </si>
  <si>
    <t>1 liter Oil</t>
  </si>
  <si>
    <t>Max. R290
inside Oil</t>
  </si>
  <si>
    <t>Max. R290
Inside Oil</t>
  </si>
  <si>
    <t>R290
LS</t>
  </si>
  <si>
    <t>OCR</t>
  </si>
  <si>
    <t>(Kg)</t>
  </si>
  <si>
    <t>(%)</t>
  </si>
  <si>
    <t>Oil
System</t>
  </si>
  <si>
    <t>Ref Charge
System</t>
  </si>
  <si>
    <t>1% OCR</t>
  </si>
  <si>
    <t>4% OCR</t>
  </si>
  <si>
    <t>to</t>
  </si>
  <si>
    <t>tc</t>
  </si>
  <si>
    <t>t1</t>
  </si>
  <si>
    <t>Map -Reference (Non EVI - 3000 rpm)</t>
  </si>
  <si>
    <t>Tv</t>
  </si>
  <si>
    <t>Experimental</t>
  </si>
  <si>
    <t>Target</t>
  </si>
  <si>
    <t>Deviation</t>
  </si>
  <si>
    <t>3000 rpm</t>
  </si>
  <si>
    <t>6000 rpm</t>
  </si>
  <si>
    <t>speed</t>
  </si>
  <si>
    <t>HCap</t>
  </si>
  <si>
    <t>P</t>
  </si>
  <si>
    <t>HCOP</t>
  </si>
  <si>
    <t>Qo</t>
  </si>
  <si>
    <t>Q in W</t>
  </si>
  <si>
    <t>P in W</t>
  </si>
  <si>
    <t>rpm</t>
  </si>
  <si>
    <t>W</t>
  </si>
  <si>
    <t>10 K sh, 5/5/0 K (Dt/sh7/sc)</t>
  </si>
  <si>
    <t>to/tc in °C</t>
  </si>
  <si>
    <t>Mass R290 inside the Oil</t>
  </si>
  <si>
    <t>Working Conditions -Reference</t>
  </si>
  <si>
    <t>3000-4500 rpm</t>
  </si>
  <si>
    <t>7200 rpm</t>
  </si>
  <si>
    <t>1800 rpm</t>
  </si>
  <si>
    <t>Gr R290 in Oil</t>
  </si>
  <si>
    <t>Evap T</t>
  </si>
  <si>
    <t>Evap P</t>
  </si>
  <si>
    <t>Oil T</t>
  </si>
  <si>
    <t>Dilution</t>
  </si>
  <si>
    <t>Oil volume (L)</t>
  </si>
  <si>
    <t>mR290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</si>
</sst>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0000"/>
    <numFmt numFmtId="168" formatCode="0.0000000000"/>
    <numFmt numFmtId="169" formatCode="0.00000E+00"/>
    <numFmt numFmtId="170" formatCode="0.0000000"/>
    <numFmt numFmtId="171" formatCode="0\ %"/>
    <numFmt numFmtId="172" formatCode="_-* #,##0.00\ _€_-;\-* #,##0.00\ _€_-;_-* &quot;-&quot;??\ _€_-;_-@_-"/>
    <numFmt numFmtId="173" formatCode="_([$€-2]* #,##0.00_);_([$€-2]* \(#,##0.00\);_([$€-2]* &quot;-&quot;??_)"/>
    <numFmt numFmtId="174" formatCode="_-* #,##0.00\ &quot;€&quot;_-;\-* #,##0.00\ &quot;€&quot;_-;_-* &quot;-&quot;??\ &quot;€&quot;_-;_-@_-"/>
    <numFmt numFmtId="175" formatCode="#,##0.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mbria"/>
      <family val="1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Calibri"/>
      <family val="2"/>
    </font>
    <font>
      <b/>
      <sz val="12"/>
      <color theme="4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b/>
      <sz val="12"/>
      <color indexed="81"/>
      <name val="Tahoma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FF0000"/>
      <name val="Cambria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0000"/>
        <bgColor rgb="FF000000"/>
      </patternFill>
    </fill>
  </fills>
  <borders count="3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2">
    <xf numFmtId="0" fontId="0" fillId="0" borderId="0"/>
    <xf numFmtId="0" fontId="5" fillId="0" borderId="0"/>
    <xf numFmtId="0" fontId="5" fillId="0" borderId="0"/>
    <xf numFmtId="0" fontId="6" fillId="2" borderId="1" applyNumberFormat="0" applyFont="0" applyAlignment="0" applyProtection="0"/>
    <xf numFmtId="9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172" fontId="7" fillId="0" borderId="0" applyFont="0" applyFill="0" applyBorder="0" applyAlignment="0" applyProtection="0"/>
    <xf numFmtId="173" fontId="5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7" fillId="0" borderId="0"/>
    <xf numFmtId="0" fontId="34" fillId="0" borderId="0"/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" fillId="0" borderId="0"/>
    <xf numFmtId="174" fontId="5" fillId="0" borderId="0" applyFont="0" applyFill="0" applyBorder="0" applyAlignment="0" applyProtection="0"/>
  </cellStyleXfs>
  <cellXfs count="229">
    <xf numFmtId="0" fontId="0" fillId="0" borderId="0" xfId="0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Border="1"/>
    <xf numFmtId="0" fontId="3" fillId="0" borderId="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10" fontId="9" fillId="0" borderId="22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0" fontId="9" fillId="0" borderId="12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0" xfId="0" applyFont="1" applyFill="1"/>
    <xf numFmtId="1" fontId="0" fillId="0" borderId="0" xfId="0" applyNumberFormat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11" fontId="0" fillId="0" borderId="0" xfId="0" applyNumberFormat="1"/>
    <xf numFmtId="11" fontId="11" fillId="0" borderId="12" xfId="0" applyNumberFormat="1" applyFont="1" applyBorder="1" applyAlignment="1">
      <alignment horizontal="center" wrapText="1"/>
    </xf>
    <xf numFmtId="0" fontId="10" fillId="0" borderId="10" xfId="0" applyFont="1" applyBorder="1"/>
    <xf numFmtId="0" fontId="10" fillId="0" borderId="11" xfId="0" applyFont="1" applyBorder="1"/>
    <xf numFmtId="0" fontId="10" fillId="0" borderId="9" xfId="0" applyFont="1" applyBorder="1"/>
    <xf numFmtId="0" fontId="12" fillId="0" borderId="0" xfId="0" applyFont="1" applyFill="1" applyBorder="1" applyAlignment="1">
      <alignment horizontal="center"/>
    </xf>
    <xf numFmtId="0" fontId="1" fillId="0" borderId="0" xfId="0" applyFont="1"/>
    <xf numFmtId="0" fontId="10" fillId="0" borderId="0" xfId="0" applyFont="1" applyBorder="1" applyAlignment="1">
      <alignment horizontal="center"/>
    </xf>
    <xf numFmtId="11" fontId="11" fillId="0" borderId="0" xfId="0" applyNumberFormat="1" applyFont="1" applyBorder="1" applyAlignment="1">
      <alignment horizontal="center" wrapText="1"/>
    </xf>
    <xf numFmtId="0" fontId="10" fillId="0" borderId="0" xfId="0" applyFont="1" applyBorder="1"/>
    <xf numFmtId="0" fontId="12" fillId="3" borderId="0" xfId="0" applyFont="1" applyFill="1" applyBorder="1" applyAlignment="1">
      <alignment horizontal="center"/>
    </xf>
    <xf numFmtId="2" fontId="11" fillId="3" borderId="0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7" borderId="0" xfId="0" applyNumberFormat="1" applyFill="1" applyAlignment="1">
      <alignment horizontal="center" vertical="center"/>
    </xf>
    <xf numFmtId="0" fontId="13" fillId="0" borderId="0" xfId="0" applyFont="1"/>
    <xf numFmtId="168" fontId="11" fillId="0" borderId="0" xfId="0" applyNumberFormat="1" applyFont="1" applyBorder="1" applyAlignment="1">
      <alignment horizontal="center" wrapText="1"/>
    </xf>
    <xf numFmtId="0" fontId="0" fillId="7" borderId="0" xfId="0" applyFill="1"/>
    <xf numFmtId="167" fontId="0" fillId="5" borderId="0" xfId="0" applyNumberFormat="1" applyFill="1" applyAlignment="1">
      <alignment horizontal="center" vertical="center"/>
    </xf>
    <xf numFmtId="11" fontId="0" fillId="5" borderId="0" xfId="0" applyNumberFormat="1" applyFill="1"/>
    <xf numFmtId="0" fontId="19" fillId="0" borderId="0" xfId="0" applyFont="1"/>
    <xf numFmtId="166" fontId="1" fillId="6" borderId="0" xfId="0" applyNumberFormat="1" applyFont="1" applyFill="1" applyAlignment="1">
      <alignment horizontal="center" vertical="center"/>
    </xf>
    <xf numFmtId="167" fontId="1" fillId="6" borderId="0" xfId="0" applyNumberFormat="1" applyFont="1" applyFill="1" applyAlignment="1">
      <alignment horizontal="center" vertical="center"/>
    </xf>
    <xf numFmtId="0" fontId="1" fillId="3" borderId="0" xfId="0" applyFont="1" applyFill="1" applyAlignment="1"/>
    <xf numFmtId="0" fontId="0" fillId="0" borderId="0" xfId="0" applyAlignment="1"/>
    <xf numFmtId="0" fontId="10" fillId="0" borderId="0" xfId="0" applyFont="1" applyFill="1" applyBorder="1" applyAlignment="1"/>
    <xf numFmtId="2" fontId="1" fillId="6" borderId="0" xfId="0" applyNumberFormat="1" applyFont="1" applyFill="1" applyAlignment="1">
      <alignment horizontal="center" vertical="center"/>
    </xf>
    <xf numFmtId="0" fontId="21" fillId="0" borderId="0" xfId="0" applyFont="1" applyFill="1" applyBorder="1"/>
    <xf numFmtId="0" fontId="21" fillId="0" borderId="0" xfId="0" applyFont="1" applyFill="1" applyBorder="1" applyAlignment="1">
      <alignment horizontal="center"/>
    </xf>
    <xf numFmtId="0" fontId="21" fillId="8" borderId="0" xfId="0" applyFont="1" applyFill="1" applyBorder="1"/>
    <xf numFmtId="0" fontId="21" fillId="9" borderId="0" xfId="0" applyFont="1" applyFill="1" applyBorder="1"/>
    <xf numFmtId="169" fontId="22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169" fontId="21" fillId="0" borderId="0" xfId="0" applyNumberFormat="1" applyFont="1" applyFill="1" applyBorder="1" applyAlignment="1">
      <alignment horizontal="center" wrapText="1"/>
    </xf>
    <xf numFmtId="169" fontId="21" fillId="8" borderId="0" xfId="0" applyNumberFormat="1" applyFont="1" applyFill="1" applyBorder="1" applyAlignment="1">
      <alignment horizontal="center" wrapText="1"/>
    </xf>
    <xf numFmtId="169" fontId="21" fillId="9" borderId="0" xfId="0" applyNumberFormat="1" applyFont="1" applyFill="1" applyBorder="1" applyAlignment="1">
      <alignment horizontal="center" wrapText="1"/>
    </xf>
    <xf numFmtId="169" fontId="11" fillId="0" borderId="0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right"/>
    </xf>
    <xf numFmtId="0" fontId="0" fillId="8" borderId="14" xfId="0" applyFill="1" applyBorder="1"/>
    <xf numFmtId="0" fontId="0" fillId="9" borderId="11" xfId="0" applyFill="1" applyBorder="1"/>
    <xf numFmtId="0" fontId="0" fillId="0" borderId="23" xfId="0" applyBorder="1"/>
    <xf numFmtId="169" fontId="21" fillId="0" borderId="22" xfId="0" applyNumberFormat="1" applyFont="1" applyFill="1" applyBorder="1" applyAlignment="1">
      <alignment horizontal="center" wrapText="1"/>
    </xf>
    <xf numFmtId="0" fontId="21" fillId="10" borderId="0" xfId="0" applyFont="1" applyFill="1" applyBorder="1"/>
    <xf numFmtId="0" fontId="21" fillId="8" borderId="13" xfId="0" applyFont="1" applyFill="1" applyBorder="1" applyAlignment="1">
      <alignment horizontal="right"/>
    </xf>
    <xf numFmtId="0" fontId="21" fillId="8" borderId="11" xfId="0" quotePrefix="1" applyFont="1" applyFill="1" applyBorder="1"/>
    <xf numFmtId="0" fontId="21" fillId="5" borderId="0" xfId="0" applyFont="1" applyFill="1" applyBorder="1" applyAlignment="1">
      <alignment horizontal="center"/>
    </xf>
    <xf numFmtId="0" fontId="21" fillId="9" borderId="13" xfId="0" applyFont="1" applyFill="1" applyBorder="1" applyAlignment="1">
      <alignment horizontal="right"/>
    </xf>
    <xf numFmtId="0" fontId="21" fillId="9" borderId="11" xfId="0" applyFont="1" applyFill="1" applyBorder="1"/>
    <xf numFmtId="0" fontId="21" fillId="8" borderId="24" xfId="0" applyFont="1" applyFill="1" applyBorder="1"/>
    <xf numFmtId="0" fontId="21" fillId="9" borderId="12" xfId="0" applyFont="1" applyFill="1" applyBorder="1"/>
    <xf numFmtId="165" fontId="21" fillId="10" borderId="0" xfId="0" applyNumberFormat="1" applyFont="1" applyFill="1" applyBorder="1" applyAlignment="1">
      <alignment horizontal="center"/>
    </xf>
    <xf numFmtId="0" fontId="21" fillId="8" borderId="26" xfId="0" quotePrefix="1" applyFont="1" applyFill="1" applyBorder="1" applyAlignment="1">
      <alignment horizontal="left"/>
    </xf>
    <xf numFmtId="164" fontId="21" fillId="5" borderId="0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166" fontId="0" fillId="0" borderId="0" xfId="0" applyNumberFormat="1"/>
    <xf numFmtId="0" fontId="24" fillId="0" borderId="0" xfId="0" applyFont="1" applyFill="1" applyBorder="1" applyAlignment="1">
      <alignment horizontal="center"/>
    </xf>
    <xf numFmtId="170" fontId="21" fillId="8" borderId="0" xfId="0" applyNumberFormat="1" applyFont="1" applyFill="1" applyBorder="1"/>
    <xf numFmtId="170" fontId="21" fillId="8" borderId="26" xfId="0" quotePrefix="1" applyNumberFormat="1" applyFont="1" applyFill="1" applyBorder="1" applyAlignment="1">
      <alignment horizontal="left"/>
    </xf>
    <xf numFmtId="170" fontId="21" fillId="0" borderId="0" xfId="0" applyNumberFormat="1" applyFont="1" applyFill="1" applyBorder="1"/>
    <xf numFmtId="170" fontId="21" fillId="0" borderId="0" xfId="0" quotePrefix="1" applyNumberFormat="1" applyFont="1" applyFill="1" applyBorder="1" applyAlignment="1">
      <alignment horizontal="left"/>
    </xf>
    <xf numFmtId="164" fontId="21" fillId="0" borderId="0" xfId="0" applyNumberFormat="1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0" xfId="0" quotePrefix="1" applyFont="1" applyFill="1" applyBorder="1"/>
    <xf numFmtId="164" fontId="25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0" fontId="9" fillId="0" borderId="0" xfId="0" applyNumberFormat="1" applyFont="1" applyBorder="1" applyAlignment="1">
      <alignment horizontal="center"/>
    </xf>
    <xf numFmtId="0" fontId="10" fillId="0" borderId="0" xfId="0" applyFont="1" applyFill="1" applyBorder="1"/>
    <xf numFmtId="11" fontId="11" fillId="0" borderId="0" xfId="0" applyNumberFormat="1" applyFont="1" applyFill="1" applyBorder="1" applyAlignment="1">
      <alignment horizontal="center" wrapText="1"/>
    </xf>
    <xf numFmtId="0" fontId="0" fillId="6" borderId="0" xfId="0" applyFill="1"/>
    <xf numFmtId="167" fontId="0" fillId="6" borderId="0" xfId="0" applyNumberFormat="1" applyFill="1" applyAlignment="1">
      <alignment horizontal="center" vertical="center"/>
    </xf>
    <xf numFmtId="2" fontId="24" fillId="3" borderId="0" xfId="0" applyNumberFormat="1" applyFont="1" applyFill="1" applyBorder="1" applyAlignment="1">
      <alignment horizontal="center"/>
    </xf>
    <xf numFmtId="165" fontId="28" fillId="10" borderId="0" xfId="0" applyNumberFormat="1" applyFont="1" applyFill="1" applyBorder="1" applyAlignment="1">
      <alignment horizontal="center"/>
    </xf>
    <xf numFmtId="0" fontId="28" fillId="8" borderId="0" xfId="0" applyFont="1" applyFill="1" applyBorder="1"/>
    <xf numFmtId="0" fontId="28" fillId="8" borderId="26" xfId="0" quotePrefix="1" applyFont="1" applyFill="1" applyBorder="1" applyAlignment="1">
      <alignment horizontal="left"/>
    </xf>
    <xf numFmtId="164" fontId="28" fillId="5" borderId="0" xfId="0" applyNumberFormat="1" applyFont="1" applyFill="1" applyBorder="1" applyAlignment="1">
      <alignment horizontal="center"/>
    </xf>
    <xf numFmtId="0" fontId="28" fillId="0" borderId="0" xfId="0" applyFont="1" applyFill="1" applyBorder="1"/>
    <xf numFmtId="0" fontId="28" fillId="9" borderId="0" xfId="0" applyFont="1" applyFill="1" applyBorder="1"/>
    <xf numFmtId="166" fontId="20" fillId="0" borderId="0" xfId="0" applyNumberFormat="1" applyFont="1"/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20" fillId="0" borderId="0" xfId="0" applyNumberFormat="1" applyFont="1" applyAlignment="1">
      <alignment horizontal="center"/>
    </xf>
    <xf numFmtId="0" fontId="0" fillId="4" borderId="0" xfId="0" applyFill="1" applyAlignment="1">
      <alignment horizontal="center" vertical="center"/>
    </xf>
    <xf numFmtId="0" fontId="29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 vertical="center"/>
    </xf>
    <xf numFmtId="166" fontId="0" fillId="4" borderId="0" xfId="0" applyNumberFormat="1" applyFill="1" applyBorder="1" applyAlignment="1">
      <alignment horizontal="center" vertical="center"/>
    </xf>
    <xf numFmtId="10" fontId="0" fillId="4" borderId="0" xfId="4" applyNumberFormat="1" applyFont="1" applyFill="1" applyBorder="1" applyAlignment="1">
      <alignment horizontal="center" vertical="center"/>
    </xf>
    <xf numFmtId="1" fontId="0" fillId="4" borderId="22" xfId="0" applyNumberFormat="1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  <xf numFmtId="1" fontId="0" fillId="4" borderId="25" xfId="0" applyNumberFormat="1" applyFill="1" applyBorder="1" applyAlignment="1">
      <alignment horizontal="center" vertical="center"/>
    </xf>
    <xf numFmtId="166" fontId="0" fillId="4" borderId="25" xfId="0" applyNumberFormat="1" applyFill="1" applyBorder="1" applyAlignment="1">
      <alignment horizontal="center" vertical="center"/>
    </xf>
    <xf numFmtId="10" fontId="0" fillId="4" borderId="25" xfId="4" applyNumberFormat="1" applyFont="1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" fontId="0" fillId="4" borderId="23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1" fontId="0" fillId="4" borderId="15" xfId="0" applyNumberFormat="1" applyFill="1" applyBorder="1" applyAlignment="1">
      <alignment horizontal="center" vertical="center"/>
    </xf>
    <xf numFmtId="1" fontId="0" fillId="4" borderId="17" xfId="0" applyNumberFormat="1" applyFill="1" applyBorder="1" applyAlignment="1">
      <alignment horizontal="center" vertical="center"/>
    </xf>
    <xf numFmtId="1" fontId="0" fillId="4" borderId="24" xfId="0" applyNumberForma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 vertical="center" wrapText="1"/>
    </xf>
    <xf numFmtId="0" fontId="30" fillId="4" borderId="23" xfId="0" applyFont="1" applyFill="1" applyBorder="1" applyAlignment="1">
      <alignment horizontal="center" vertical="center"/>
    </xf>
    <xf numFmtId="0" fontId="30" fillId="4" borderId="0" xfId="0" applyFont="1" applyFill="1" applyBorder="1" applyAlignment="1">
      <alignment horizontal="center" vertical="center"/>
    </xf>
    <xf numFmtId="2" fontId="30" fillId="4" borderId="0" xfId="0" applyNumberFormat="1" applyFont="1" applyFill="1" applyBorder="1" applyAlignment="1">
      <alignment horizontal="center" vertical="center"/>
    </xf>
    <xf numFmtId="1" fontId="30" fillId="4" borderId="0" xfId="0" applyNumberFormat="1" applyFont="1" applyFill="1" applyBorder="1" applyAlignment="1">
      <alignment horizontal="center" vertical="center"/>
    </xf>
    <xf numFmtId="166" fontId="30" fillId="4" borderId="0" xfId="0" applyNumberFormat="1" applyFont="1" applyFill="1" applyBorder="1" applyAlignment="1">
      <alignment horizontal="center" vertical="center"/>
    </xf>
    <xf numFmtId="10" fontId="30" fillId="4" borderId="0" xfId="4" applyNumberFormat="1" applyFont="1" applyFill="1" applyBorder="1" applyAlignment="1">
      <alignment horizontal="center" vertical="center"/>
    </xf>
    <xf numFmtId="1" fontId="30" fillId="4" borderId="23" xfId="0" applyNumberFormat="1" applyFont="1" applyFill="1" applyBorder="1" applyAlignment="1">
      <alignment horizontal="center" vertical="center"/>
    </xf>
    <xf numFmtId="1" fontId="30" fillId="4" borderId="22" xfId="0" applyNumberFormat="1" applyFont="1" applyFill="1" applyBorder="1" applyAlignment="1">
      <alignment horizontal="center" vertical="center"/>
    </xf>
    <xf numFmtId="0" fontId="12" fillId="4" borderId="17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/>
    </xf>
    <xf numFmtId="1" fontId="0" fillId="4" borderId="16" xfId="0" applyNumberFormat="1" applyFill="1" applyBorder="1" applyAlignment="1">
      <alignment horizontal="center" vertical="center"/>
    </xf>
    <xf numFmtId="166" fontId="0" fillId="4" borderId="16" xfId="0" applyNumberFormat="1" applyFill="1" applyBorder="1" applyAlignment="1">
      <alignment horizontal="center" vertical="center"/>
    </xf>
    <xf numFmtId="10" fontId="0" fillId="4" borderId="16" xfId="4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1" fillId="4" borderId="0" xfId="0" applyFont="1" applyFill="1" applyBorder="1" applyAlignment="1"/>
    <xf numFmtId="0" fontId="1" fillId="4" borderId="0" xfId="0" applyFont="1" applyFill="1" applyBorder="1" applyAlignment="1">
      <alignment horizontal="center" vertical="center"/>
    </xf>
    <xf numFmtId="1" fontId="0" fillId="0" borderId="0" xfId="0" applyNumberFormat="1"/>
    <xf numFmtId="0" fontId="22" fillId="4" borderId="0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1" fillId="0" borderId="2" xfId="0" applyFont="1" applyBorder="1" applyAlignment="1">
      <alignment horizontal="left"/>
    </xf>
    <xf numFmtId="0" fontId="32" fillId="0" borderId="3" xfId="0" applyFont="1" applyBorder="1"/>
    <xf numFmtId="0" fontId="32" fillId="0" borderId="4" xfId="0" applyFont="1" applyBorder="1"/>
    <xf numFmtId="0" fontId="33" fillId="0" borderId="2" xfId="0" applyFont="1" applyBorder="1" applyAlignment="1">
      <alignment horizontal="left"/>
    </xf>
    <xf numFmtId="0" fontId="0" fillId="0" borderId="27" xfId="0" applyBorder="1"/>
    <xf numFmtId="0" fontId="19" fillId="0" borderId="28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19" fillId="0" borderId="29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9" xfId="0" applyBorder="1"/>
    <xf numFmtId="0" fontId="0" fillId="0" borderId="28" xfId="0" applyBorder="1"/>
    <xf numFmtId="1" fontId="19" fillId="0" borderId="28" xfId="0" applyNumberFormat="1" applyFont="1" applyBorder="1" applyAlignment="1">
      <alignment horizontal="center"/>
    </xf>
    <xf numFmtId="1" fontId="19" fillId="0" borderId="18" xfId="0" applyNumberFormat="1" applyFont="1" applyBorder="1" applyAlignment="1">
      <alignment horizontal="center"/>
    </xf>
    <xf numFmtId="2" fontId="19" fillId="0" borderId="29" xfId="0" applyNumberFormat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171" fontId="0" fillId="0" borderId="28" xfId="4" applyNumberFormat="1" applyFont="1" applyBorder="1" applyAlignment="1">
      <alignment horizontal="center"/>
    </xf>
    <xf numFmtId="171" fontId="0" fillId="0" borderId="29" xfId="0" applyNumberFormat="1" applyBorder="1" applyAlignment="1">
      <alignment horizontal="center"/>
    </xf>
    <xf numFmtId="1" fontId="4" fillId="0" borderId="27" xfId="0" applyNumberFormat="1" applyFon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171" fontId="0" fillId="0" borderId="28" xfId="0" applyNumberFormat="1" applyBorder="1" applyAlignment="1">
      <alignment horizontal="center"/>
    </xf>
    <xf numFmtId="171" fontId="0" fillId="0" borderId="29" xfId="4" applyNumberFormat="1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1" fontId="19" fillId="0" borderId="5" xfId="0" applyNumberFormat="1" applyFont="1" applyBorder="1" applyAlignment="1">
      <alignment horizontal="center"/>
    </xf>
    <xf numFmtId="1" fontId="19" fillId="0" borderId="6" xfId="0" applyNumberFormat="1" applyFont="1" applyBorder="1" applyAlignment="1">
      <alignment horizontal="center"/>
    </xf>
    <xf numFmtId="2" fontId="19" fillId="0" borderId="7" xfId="0" applyNumberFormat="1" applyFont="1" applyBorder="1" applyAlignment="1">
      <alignment horizontal="center"/>
    </xf>
    <xf numFmtId="0" fontId="0" fillId="0" borderId="5" xfId="0" applyBorder="1"/>
    <xf numFmtId="0" fontId="0" fillId="0" borderId="7" xfId="0" applyBorder="1"/>
    <xf numFmtId="171" fontId="0" fillId="0" borderId="5" xfId="0" applyNumberFormat="1" applyBorder="1"/>
    <xf numFmtId="171" fontId="0" fillId="0" borderId="7" xfId="0" applyNumberFormat="1" applyBorder="1"/>
    <xf numFmtId="175" fontId="12" fillId="0" borderId="0" xfId="0" applyNumberFormat="1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175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75" fontId="12" fillId="0" borderId="30" xfId="0" applyNumberFormat="1" applyFont="1" applyFill="1" applyBorder="1" applyAlignment="1">
      <alignment horizontal="center"/>
    </xf>
    <xf numFmtId="165" fontId="12" fillId="0" borderId="30" xfId="0" applyNumberFormat="1" applyFont="1" applyFill="1" applyBorder="1" applyAlignment="1">
      <alignment horizontal="center"/>
    </xf>
    <xf numFmtId="175" fontId="12" fillId="0" borderId="31" xfId="0" applyNumberFormat="1" applyFont="1" applyFill="1" applyBorder="1" applyAlignment="1">
      <alignment horizontal="center"/>
    </xf>
    <xf numFmtId="1" fontId="12" fillId="11" borderId="32" xfId="0" applyNumberFormat="1" applyFont="1" applyFill="1" applyBorder="1" applyAlignment="1">
      <alignment horizontal="center"/>
    </xf>
    <xf numFmtId="175" fontId="8" fillId="0" borderId="33" xfId="0" applyNumberFormat="1" applyFont="1" applyFill="1" applyBorder="1" applyAlignment="1">
      <alignment horizontal="center"/>
    </xf>
    <xf numFmtId="1" fontId="8" fillId="11" borderId="26" xfId="0" applyNumberFormat="1" applyFont="1" applyFill="1" applyBorder="1" applyAlignment="1">
      <alignment horizontal="center"/>
    </xf>
    <xf numFmtId="175" fontId="12" fillId="12" borderId="34" xfId="0" applyNumberFormat="1" applyFont="1" applyFill="1" applyBorder="1" applyAlignment="1">
      <alignment horizontal="center"/>
    </xf>
    <xf numFmtId="1" fontId="12" fillId="12" borderId="13" xfId="0" applyNumberFormat="1" applyFont="1" applyFill="1" applyBorder="1" applyAlignment="1">
      <alignment horizontal="center"/>
    </xf>
    <xf numFmtId="175" fontId="12" fillId="0" borderId="18" xfId="0" applyNumberFormat="1" applyFont="1" applyFill="1" applyBorder="1" applyAlignment="1">
      <alignment horizontal="center"/>
    </xf>
    <xf numFmtId="1" fontId="12" fillId="11" borderId="35" xfId="0" applyNumberFormat="1" applyFont="1" applyFill="1" applyBorder="1" applyAlignment="1">
      <alignment horizontal="center"/>
    </xf>
    <xf numFmtId="175" fontId="8" fillId="0" borderId="36" xfId="0" applyNumberFormat="1" applyFont="1" applyFill="1" applyBorder="1" applyAlignment="1">
      <alignment horizontal="center"/>
    </xf>
    <xf numFmtId="1" fontId="8" fillId="11" borderId="37" xfId="0" applyNumberFormat="1" applyFont="1" applyFill="1" applyBorder="1" applyAlignment="1">
      <alignment horizontal="center"/>
    </xf>
    <xf numFmtId="1" fontId="12" fillId="0" borderId="30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/>
    <xf numFmtId="166" fontId="0" fillId="0" borderId="0" xfId="0" applyNumberFormat="1" applyFill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164" fontId="20" fillId="0" borderId="0" xfId="0" applyNumberFormat="1" applyFont="1" applyFill="1"/>
    <xf numFmtId="166" fontId="20" fillId="0" borderId="0" xfId="0" applyNumberFormat="1" applyFont="1" applyFill="1"/>
    <xf numFmtId="0" fontId="9" fillId="0" borderId="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4" borderId="1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</cellXfs>
  <cellStyles count="22">
    <cellStyle name="Comma 2" xfId="5"/>
    <cellStyle name="Comma 3" xfId="6"/>
    <cellStyle name="Euro" xfId="7"/>
    <cellStyle name="Hyperlink 2" xfId="8"/>
    <cellStyle name="Normal" xfId="0" builtinId="0"/>
    <cellStyle name="Normal 2" xfId="1"/>
    <cellStyle name="Normal 2 2" xfId="2"/>
    <cellStyle name="Normal 2 3" xfId="9"/>
    <cellStyle name="Normal 2 4" xfId="10"/>
    <cellStyle name="Normal 2 5" xfId="11"/>
    <cellStyle name="Normal 2 6" xfId="12"/>
    <cellStyle name="Normal 2 7" xfId="13"/>
    <cellStyle name="Normal 3" xfId="14"/>
    <cellStyle name="Normal 4" xfId="15"/>
    <cellStyle name="Normal 5" xfId="16"/>
    <cellStyle name="Note 2" xfId="3"/>
    <cellStyle name="Percent" xfId="4" builtinId="5"/>
    <cellStyle name="Percent 2" xfId="17"/>
    <cellStyle name="Percent 3" xfId="18"/>
    <cellStyle name="Percent 4" xfId="19"/>
    <cellStyle name="Standard 2" xfId="20"/>
    <cellStyle name="Währung 2" xfId="21"/>
  </cellStyles>
  <dxfs count="0"/>
  <tableStyles count="0" defaultTableStyle="TableStyleMedium9" defaultPivotStyle="PivotStyleLight16"/>
  <colors>
    <mruColors>
      <color rgb="FFFF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EVI</a:t>
            </a:r>
            <a:r>
              <a:rPr lang="en-US" baseline="0"/>
              <a:t> Vs Non EVI (R290/R407C)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874446046395536E-2"/>
          <c:y val="6.3287521268822602E-2"/>
          <c:w val="0.88442609601189204"/>
          <c:h val="0.82944767486421167"/>
        </c:manualLayout>
      </c:layout>
      <c:scatterChart>
        <c:scatterStyle val="lineMarker"/>
        <c:varyColors val="0"/>
        <c:ser>
          <c:idx val="0"/>
          <c:order val="0"/>
          <c:tx>
            <c:v>ZH*KVE w/ EVI (R407C)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[5]DataSupport!$G$4:$G$11</c:f>
              <c:numCache>
                <c:formatCode>General</c:formatCode>
                <c:ptCount val="8"/>
                <c:pt idx="0">
                  <c:v>-25</c:v>
                </c:pt>
                <c:pt idx="1">
                  <c:v>-25</c:v>
                </c:pt>
                <c:pt idx="2">
                  <c:v>-15.4</c:v>
                </c:pt>
                <c:pt idx="3">
                  <c:v>17.5</c:v>
                </c:pt>
                <c:pt idx="4">
                  <c:v>25</c:v>
                </c:pt>
                <c:pt idx="5">
                  <c:v>25</c:v>
                </c:pt>
                <c:pt idx="6">
                  <c:v>-11</c:v>
                </c:pt>
                <c:pt idx="7">
                  <c:v>-25</c:v>
                </c:pt>
              </c:numCache>
            </c:numRef>
          </c:xVal>
          <c:yVal>
            <c:numRef>
              <c:f>[5]DataSupport!$H$4:$H$11</c:f>
              <c:numCache>
                <c:formatCode>General</c:formatCode>
                <c:ptCount val="8"/>
                <c:pt idx="0">
                  <c:v>17</c:v>
                </c:pt>
                <c:pt idx="1">
                  <c:v>56</c:v>
                </c:pt>
                <c:pt idx="2">
                  <c:v>67</c:v>
                </c:pt>
                <c:pt idx="3">
                  <c:v>67</c:v>
                </c:pt>
                <c:pt idx="4">
                  <c:v>58</c:v>
                </c:pt>
                <c:pt idx="5">
                  <c:v>39</c:v>
                </c:pt>
                <c:pt idx="6">
                  <c:v>17</c:v>
                </c:pt>
                <c:pt idx="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C-42BB-8A2E-7FE5B194AFF8}"/>
            </c:ext>
          </c:extLst>
        </c:ser>
        <c:ser>
          <c:idx val="1"/>
          <c:order val="1"/>
          <c:tx>
            <c:v>ZH*K4 (R407C)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[5]DataSupport!$J$4:$J$11</c:f>
              <c:numCache>
                <c:formatCode>General</c:formatCode>
                <c:ptCount val="8"/>
                <c:pt idx="0">
                  <c:v>-8</c:v>
                </c:pt>
                <c:pt idx="1">
                  <c:v>15</c:v>
                </c:pt>
                <c:pt idx="2">
                  <c:v>25</c:v>
                </c:pt>
                <c:pt idx="3">
                  <c:v>25</c:v>
                </c:pt>
                <c:pt idx="4">
                  <c:v>-2.2999999999999998</c:v>
                </c:pt>
                <c:pt idx="5">
                  <c:v>-22.5</c:v>
                </c:pt>
                <c:pt idx="6">
                  <c:v>-22.5</c:v>
                </c:pt>
                <c:pt idx="7">
                  <c:v>-8</c:v>
                </c:pt>
              </c:numCache>
            </c:numRef>
          </c:xVal>
          <c:yVal>
            <c:numRef>
              <c:f>[5]DataSupport!$K$4:$K$11</c:f>
              <c:numCache>
                <c:formatCode>General</c:formatCode>
                <c:ptCount val="8"/>
                <c:pt idx="0">
                  <c:v>66.8</c:v>
                </c:pt>
                <c:pt idx="1">
                  <c:v>66.8</c:v>
                </c:pt>
                <c:pt idx="2">
                  <c:v>60</c:v>
                </c:pt>
                <c:pt idx="3">
                  <c:v>40</c:v>
                </c:pt>
                <c:pt idx="4">
                  <c:v>22.8</c:v>
                </c:pt>
                <c:pt idx="5">
                  <c:v>22.8</c:v>
                </c:pt>
                <c:pt idx="6">
                  <c:v>51</c:v>
                </c:pt>
                <c:pt idx="7">
                  <c:v>66.8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C-42BB-8A2E-7FE5B194AFF8}"/>
            </c:ext>
          </c:extLst>
        </c:ser>
        <c:ser>
          <c:idx val="2"/>
          <c:order val="2"/>
          <c:tx>
            <c:v>Operating Conditions</c:v>
          </c:tx>
          <c:spPr>
            <a:ln w="50800" cmpd="tri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'[5]HP Sizing'!$J$8:$J$33</c:f>
              <c:numCache>
                <c:formatCode>General</c:formatCode>
                <c:ptCount val="26"/>
                <c:pt idx="0">
                  <c:v>-20</c:v>
                </c:pt>
                <c:pt idx="1">
                  <c:v>-18.920000000000002</c:v>
                </c:pt>
                <c:pt idx="2">
                  <c:v>-17.84</c:v>
                </c:pt>
                <c:pt idx="3">
                  <c:v>-16.759999999999998</c:v>
                </c:pt>
                <c:pt idx="4">
                  <c:v>-15.68</c:v>
                </c:pt>
                <c:pt idx="5">
                  <c:v>-14.6</c:v>
                </c:pt>
                <c:pt idx="6">
                  <c:v>-13.52</c:v>
                </c:pt>
                <c:pt idx="7">
                  <c:v>-12.44</c:v>
                </c:pt>
                <c:pt idx="8">
                  <c:v>-11.36</c:v>
                </c:pt>
                <c:pt idx="9">
                  <c:v>-10.28</c:v>
                </c:pt>
                <c:pt idx="10">
                  <c:v>-9.1999999999999993</c:v>
                </c:pt>
                <c:pt idx="11">
                  <c:v>-8.1199999999999992</c:v>
                </c:pt>
                <c:pt idx="12">
                  <c:v>-7.0399999999999991</c:v>
                </c:pt>
                <c:pt idx="13">
                  <c:v>-5.9600000000000009</c:v>
                </c:pt>
                <c:pt idx="14">
                  <c:v>-4.879999999999999</c:v>
                </c:pt>
                <c:pt idx="15">
                  <c:v>-3.8000000000000007</c:v>
                </c:pt>
                <c:pt idx="16">
                  <c:v>-2.7200000000000006</c:v>
                </c:pt>
                <c:pt idx="17">
                  <c:v>-1.6400000000000006</c:v>
                </c:pt>
                <c:pt idx="18">
                  <c:v>-0.5600000000000005</c:v>
                </c:pt>
                <c:pt idx="19">
                  <c:v>0.51999999999999957</c:v>
                </c:pt>
                <c:pt idx="20">
                  <c:v>1.5999999999999996</c:v>
                </c:pt>
                <c:pt idx="21">
                  <c:v>2.6799999999999997</c:v>
                </c:pt>
                <c:pt idx="22">
                  <c:v>3.76</c:v>
                </c:pt>
                <c:pt idx="23">
                  <c:v>4.84</c:v>
                </c:pt>
                <c:pt idx="24">
                  <c:v>5.92</c:v>
                </c:pt>
                <c:pt idx="25">
                  <c:v>7</c:v>
                </c:pt>
              </c:numCache>
            </c:numRef>
          </c:xVal>
          <c:yVal>
            <c:numRef>
              <c:f>'[5]HP Sizing'!$L$8:$L$33</c:f>
              <c:numCache>
                <c:formatCode>General</c:formatCode>
                <c:ptCount val="26"/>
                <c:pt idx="0">
                  <c:v>57.333333333333336</c:v>
                </c:pt>
                <c:pt idx="1">
                  <c:v>56.222222222222221</c:v>
                </c:pt>
                <c:pt idx="2">
                  <c:v>55.111111111111114</c:v>
                </c:pt>
                <c:pt idx="3">
                  <c:v>54</c:v>
                </c:pt>
                <c:pt idx="4">
                  <c:v>52.888888888888886</c:v>
                </c:pt>
                <c:pt idx="5">
                  <c:v>51.777777777777779</c:v>
                </c:pt>
                <c:pt idx="6">
                  <c:v>50.666666666666664</c:v>
                </c:pt>
                <c:pt idx="7">
                  <c:v>49.555555555555557</c:v>
                </c:pt>
                <c:pt idx="8">
                  <c:v>48.444444444444443</c:v>
                </c:pt>
                <c:pt idx="9">
                  <c:v>47.333333333333336</c:v>
                </c:pt>
                <c:pt idx="10">
                  <c:v>46.222222222222221</c:v>
                </c:pt>
                <c:pt idx="11">
                  <c:v>45.111111111111114</c:v>
                </c:pt>
                <c:pt idx="12">
                  <c:v>44</c:v>
                </c:pt>
                <c:pt idx="13">
                  <c:v>42.888888888888886</c:v>
                </c:pt>
                <c:pt idx="14">
                  <c:v>41.777777777777779</c:v>
                </c:pt>
                <c:pt idx="15">
                  <c:v>40.666666666666671</c:v>
                </c:pt>
                <c:pt idx="16">
                  <c:v>39.555555555555557</c:v>
                </c:pt>
                <c:pt idx="17">
                  <c:v>38.444444444444443</c:v>
                </c:pt>
                <c:pt idx="18">
                  <c:v>37.333333333333329</c:v>
                </c:pt>
                <c:pt idx="19">
                  <c:v>36.222222222222221</c:v>
                </c:pt>
                <c:pt idx="20">
                  <c:v>35.111111111111114</c:v>
                </c:pt>
                <c:pt idx="21">
                  <c:v>34</c:v>
                </c:pt>
                <c:pt idx="22">
                  <c:v>32.888888888888886</c:v>
                </c:pt>
                <c:pt idx="23">
                  <c:v>31.777777777777779</c:v>
                </c:pt>
                <c:pt idx="24">
                  <c:v>30.666666666666664</c:v>
                </c:pt>
                <c:pt idx="25">
                  <c:v>29.555555555555554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3C-42BB-8A2E-7FE5B194AFF8}"/>
            </c:ext>
          </c:extLst>
        </c:ser>
        <c:ser>
          <c:idx val="3"/>
          <c:order val="3"/>
          <c:tx>
            <c:strRef>
              <c:f>[5]DataSupport!$M$2</c:f>
              <c:strCache>
                <c:ptCount val="1"/>
                <c:pt idx="0">
                  <c:v>ZHV*KCU (R290)</c:v>
                </c:pt>
              </c:strCache>
            </c:strRef>
          </c:tx>
          <c:spPr>
            <a:ln w="444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[5]DataSupport!$M$4:$M$13</c:f>
              <c:numCache>
                <c:formatCode>General</c:formatCode>
                <c:ptCount val="10"/>
                <c:pt idx="0">
                  <c:v>-30</c:v>
                </c:pt>
                <c:pt idx="1">
                  <c:v>-9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-11</c:v>
                </c:pt>
                <c:pt idx="6">
                  <c:v>-30</c:v>
                </c:pt>
                <c:pt idx="7">
                  <c:v>-30</c:v>
                </c:pt>
              </c:numCache>
            </c:numRef>
          </c:xVal>
          <c:yVal>
            <c:numRef>
              <c:f>[5]DataSupport!$N$4:$N$13</c:f>
              <c:numCache>
                <c:formatCode>General</c:formatCode>
                <c:ptCount val="10"/>
                <c:pt idx="0">
                  <c:v>45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3C-42BB-8A2E-7FE5B194AFF8}"/>
            </c:ext>
          </c:extLst>
        </c:ser>
        <c:ser>
          <c:idx val="4"/>
          <c:order val="4"/>
          <c:tx>
            <c:strRef>
              <c:f>[5]DataSupport!$P$2</c:f>
              <c:strCache>
                <c:ptCount val="1"/>
                <c:pt idx="0">
                  <c:v>ZHW*KCU w/ EVI (R290)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[5]DataSupport!$P$4:$P$8</c:f>
              <c:numCache>
                <c:formatCode>General</c:formatCode>
                <c:ptCount val="5"/>
                <c:pt idx="0">
                  <c:v>-30</c:v>
                </c:pt>
                <c:pt idx="1">
                  <c:v>-30</c:v>
                </c:pt>
                <c:pt idx="2">
                  <c:v>-20</c:v>
                </c:pt>
                <c:pt idx="3">
                  <c:v>-9</c:v>
                </c:pt>
              </c:numCache>
            </c:numRef>
          </c:xVal>
          <c:yVal>
            <c:numRef>
              <c:f>[5]DataSupport!$Q$4:$Q$8</c:f>
              <c:numCache>
                <c:formatCode>General</c:formatCode>
                <c:ptCount val="5"/>
                <c:pt idx="0">
                  <c:v>45</c:v>
                </c:pt>
                <c:pt idx="1">
                  <c:v>65</c:v>
                </c:pt>
                <c:pt idx="2">
                  <c:v>70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3C-42BB-8A2E-7FE5B194AFF8}"/>
            </c:ext>
          </c:extLst>
        </c:ser>
        <c:ser>
          <c:idx val="5"/>
          <c:order val="5"/>
          <c:tx>
            <c:strRef>
              <c:f>[5]DataSupport!$S$2</c:f>
              <c:strCache>
                <c:ptCount val="1"/>
                <c:pt idx="0">
                  <c:v>ZH Quantum (R290 10K/5K)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Pt>
            <c:idx val="7"/>
            <c:bubble3D val="0"/>
            <c:spPr>
              <a:ln w="38100">
                <a:noFill/>
              </a:ln>
            </c:spPr>
            <c:extLst>
              <c:ext xmlns:c16="http://schemas.microsoft.com/office/drawing/2014/chart" uri="{C3380CC4-5D6E-409C-BE32-E72D297353CC}">
                <c16:uniqueId val="{00000006-D23C-42BB-8A2E-7FE5B194AFF8}"/>
              </c:ext>
            </c:extLst>
          </c:dPt>
          <c:xVal>
            <c:numRef>
              <c:f>[5]DataSupport!$S$4:$S$12</c:f>
              <c:numCache>
                <c:formatCode>General</c:formatCode>
                <c:ptCount val="9"/>
                <c:pt idx="0">
                  <c:v>-30</c:v>
                </c:pt>
                <c:pt idx="1">
                  <c:v>-10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-10</c:v>
                </c:pt>
                <c:pt idx="7">
                  <c:v>-30</c:v>
                </c:pt>
                <c:pt idx="8">
                  <c:v>-30</c:v>
                </c:pt>
              </c:numCache>
            </c:numRef>
          </c:xVal>
          <c:yVal>
            <c:numRef>
              <c:f>[5]DataSupport!$T$4:$T$12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31</c:v>
                </c:pt>
                <c:pt idx="3">
                  <c:v>42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45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3C-42BB-8A2E-7FE5B194AFF8}"/>
            </c:ext>
          </c:extLst>
        </c:ser>
        <c:ser>
          <c:idx val="7"/>
          <c:order val="6"/>
          <c:tx>
            <c:strRef>
              <c:f>[5]DataSupport!$W$2</c:f>
              <c:strCache>
                <c:ptCount val="1"/>
                <c:pt idx="0">
                  <c:v>ZH*KCU Quest (R290-10K)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[5]DataSupport!$W$13:$W$16</c:f>
              <c:numCache>
                <c:formatCode>General</c:formatCode>
                <c:ptCount val="4"/>
                <c:pt idx="0">
                  <c:v>-10</c:v>
                </c:pt>
                <c:pt idx="1">
                  <c:v>-15</c:v>
                </c:pt>
                <c:pt idx="2">
                  <c:v>-30</c:v>
                </c:pt>
                <c:pt idx="3">
                  <c:v>-30</c:v>
                </c:pt>
              </c:numCache>
            </c:numRef>
          </c:xVal>
          <c:yVal>
            <c:numRef>
              <c:f>[5]DataSupport!$X$13:$X$16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52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23C-42BB-8A2E-7FE5B194AFF8}"/>
            </c:ext>
          </c:extLst>
        </c:ser>
        <c:ser>
          <c:idx val="8"/>
          <c:order val="7"/>
          <c:tx>
            <c:strRef>
              <c:f>'[5]Envelope (2)'!$Q$9</c:f>
              <c:strCache>
                <c:ptCount val="1"/>
                <c:pt idx="0">
                  <c:v>Target (HCOP = 3.5)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'[5]Envelope (2)'!$T$9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23C-42BB-8A2E-7FE5B194AFF8}"/>
            </c:ext>
          </c:extLst>
        </c:ser>
        <c:ser>
          <c:idx val="9"/>
          <c:order val="8"/>
          <c:tx>
            <c:strRef>
              <c:f>'[5]Envelope (2)'!$Q$10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(2)'!$S$10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23C-42BB-8A2E-7FE5B194AFF8}"/>
            </c:ext>
          </c:extLst>
        </c:ser>
        <c:ser>
          <c:idx val="10"/>
          <c:order val="9"/>
          <c:tx>
            <c:strRef>
              <c:f>'[5]Envelope (2)'!$Q$11</c:f>
              <c:strCache>
                <c:ptCount val="1"/>
                <c:pt idx="0">
                  <c:v>Opimization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xVal>
          <c:yVal>
            <c:numRef>
              <c:f>'[5]Envelope (2)'!$T$11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23C-42BB-8A2E-7FE5B194AFF8}"/>
            </c:ext>
          </c:extLst>
        </c:ser>
        <c:ser>
          <c:idx val="6"/>
          <c:order val="10"/>
          <c:tx>
            <c:strRef>
              <c:f>'[5]Envelope (2)'!$Q$12</c:f>
              <c:strCache>
                <c:ptCount val="1"/>
                <c:pt idx="0">
                  <c:v>Sanitary Water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(2)'!$S$12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(2)'!$T$12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23C-42BB-8A2E-7FE5B194AFF8}"/>
            </c:ext>
          </c:extLst>
        </c:ser>
        <c:ser>
          <c:idx val="11"/>
          <c:order val="11"/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3659403952528504E-2"/>
                  <c:y val="-1.4498566749612959E-3"/>
                </c:manualLayout>
              </c:layout>
              <c:tx>
                <c:rich>
                  <a:bodyPr/>
                  <a:lstStyle/>
                  <a:p>
                    <a:pPr>
                      <a:defRPr sz="1100" b="1" i="0" strike="noStrike">
                        <a:solidFill>
                          <a:schemeClr val="accent2"/>
                        </a:solidFill>
                        <a:latin typeface="Calibri"/>
                      </a:defRPr>
                    </a:pPr>
                    <a:r>
                      <a:rPr lang="en-US" sz="1100" b="1" i="0" strike="noStrike">
                        <a:solidFill>
                          <a:schemeClr val="accent2"/>
                        </a:solidFill>
                        <a:latin typeface="Calibri"/>
                      </a:rPr>
                      <a:t>40.10</a:t>
                    </a:r>
                  </a:p>
                </c:rich>
              </c:tx>
              <c:spPr>
                <a:solidFill>
                  <a:sysClr val="window" lastClr="FFFFFF"/>
                </a:solidFill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23C-42BB-8A2E-7FE5B194AFF8}"/>
                </c:ext>
              </c:extLst>
            </c:dLbl>
            <c:dLbl>
              <c:idx val="1"/>
              <c:layout>
                <c:manualLayout>
                  <c:x val="-2.9600384328121232E-2"/>
                  <c:y val="2.896839184707908E-2"/>
                </c:manualLayout>
              </c:layout>
              <c:tx>
                <c:strRef>
                  <c:f>Calculation!$AD$38</c:f>
                  <c:strCache>
                    <c:ptCount val="1"/>
                    <c:pt idx="0">
                      <c:v>86.56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{7354C616-36B0-4317-9859-E8A0D73DBC16}</c15:txfldGUID>
                      <c15:f>Calculation!$AD$38</c15:f>
                      <c15:dlblFieldTableCache>
                        <c:ptCount val="1"/>
                        <c:pt idx="0">
                          <c:v>86.56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23C-42BB-8A2E-7FE5B194AFF8}"/>
                </c:ext>
              </c:extLst>
            </c:dLbl>
            <c:dLbl>
              <c:idx val="2"/>
              <c:layout>
                <c:manualLayout>
                  <c:x val="-4.5011785956737306E-3"/>
                  <c:y val="-2.5784455492593596E-2"/>
                </c:manualLayout>
              </c:layout>
              <c:tx>
                <c:strRef>
                  <c:f>Calculation!$AD$39</c:f>
                  <c:strCache>
                    <c:ptCount val="1"/>
                    <c:pt idx="0">
                      <c:v>217.12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{9EB7CE04-C343-4110-B27D-50D4EE69359F}</c15:txfldGUID>
                      <c15:f>Calculation!$AD$39</c15:f>
                      <c15:dlblFieldTableCache>
                        <c:ptCount val="1"/>
                        <c:pt idx="0">
                          <c:v>217.12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D23C-42BB-8A2E-7FE5B194AFF8}"/>
                </c:ext>
              </c:extLst>
            </c:dLbl>
            <c:dLbl>
              <c:idx val="3"/>
              <c:layout>
                <c:manualLayout>
                  <c:x val="-6.0493158513286027E-3"/>
                  <c:y val="2.2884742142671034E-2"/>
                </c:manualLayout>
              </c:layout>
              <c:tx>
                <c:strRef>
                  <c:f>Calculation!$AD$40</c:f>
                  <c:strCache>
                    <c:ptCount val="1"/>
                    <c:pt idx="0">
                      <c:v>320.17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{E00E4E81-E06F-4B37-9208-9E8C633F1D26}</c15:txfldGUID>
                      <c15:f>Calculation!$AD$40</c15:f>
                      <c15:dlblFieldTableCache>
                        <c:ptCount val="1"/>
                        <c:pt idx="0">
                          <c:v>320.17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D23C-42BB-8A2E-7FE5B194AFF8}"/>
                </c:ext>
              </c:extLst>
            </c:dLbl>
            <c:dLbl>
              <c:idx val="4"/>
              <c:layout>
                <c:manualLayout>
                  <c:x val="-2.9530413400188481E-3"/>
                  <c:y val="-2.5784455492593596E-2"/>
                </c:manualLayout>
              </c:layout>
              <c:tx>
                <c:strRef>
                  <c:f>Calculation!$AD$41</c:f>
                  <c:strCache>
                    <c:ptCount val="1"/>
                    <c:pt idx="0">
                      <c:v>200.30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{BAF7FABB-7ADD-4664-B642-D5F9743A3F47}</c15:txfldGUID>
                      <c15:f>Calculation!$AD$41</c15:f>
                      <c15:dlblFieldTableCache>
                        <c:ptCount val="1"/>
                        <c:pt idx="0">
                          <c:v>200.30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D23C-42BB-8A2E-7FE5B194AFF8}"/>
                </c:ext>
              </c:extLst>
            </c:dLbl>
            <c:dLbl>
              <c:idx val="5"/>
              <c:tx>
                <c:strRef>
                  <c:f>Calculation!$AD$42</c:f>
                  <c:strCache>
                    <c:ptCount val="1"/>
                    <c:pt idx="0">
                      <c:v>128.29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{E6E4FA0C-204C-4508-B317-C114C03634D4}</c15:txfldGUID>
                      <c15:f>Calculation!$AD$42</c15:f>
                      <c15:dlblFieldTableCache>
                        <c:ptCount val="1"/>
                        <c:pt idx="0">
                          <c:v>128.29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D23C-42BB-8A2E-7FE5B194AFF8}"/>
                </c:ext>
              </c:extLst>
            </c:dLbl>
            <c:dLbl>
              <c:idx val="6"/>
              <c:tx>
                <c:strRef>
                  <c:f>Calculation!$AD$43</c:f>
                  <c:strCache>
                    <c:ptCount val="1"/>
                    <c:pt idx="0">
                      <c:v>59.81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{41BE5026-A286-48F0-B4D0-91CBEE589322}</c15:txfldGUID>
                      <c15:f>Calculation!$AD$43</c15:f>
                      <c15:dlblFieldTableCache>
                        <c:ptCount val="1"/>
                        <c:pt idx="0">
                          <c:v>59.81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D23C-42BB-8A2E-7FE5B194AFF8}"/>
                </c:ext>
              </c:extLst>
            </c:dLbl>
            <c:dLbl>
              <c:idx val="7"/>
              <c:tx>
                <c:strRef>
                  <c:f>Calculation!$AD$44</c:f>
                  <c:strCache>
                    <c:ptCount val="1"/>
                    <c:pt idx="0">
                      <c:v>54.10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{82071DD4-C150-4198-9650-2B9339F2A35E}</c15:txfldGUID>
                      <c15:f>Calculation!$AD$44</c15:f>
                      <c15:dlblFieldTableCache>
                        <c:ptCount val="1"/>
                        <c:pt idx="0">
                          <c:v>54.10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D23C-42BB-8A2E-7FE5B194AFF8}"/>
                </c:ext>
              </c:extLst>
            </c:dLbl>
            <c:dLbl>
              <c:idx val="8"/>
              <c:tx>
                <c:strRef>
                  <c:f>Calculation!$AD$45</c:f>
                  <c:strCache>
                    <c:ptCount val="1"/>
                    <c:pt idx="0">
                      <c:v>45.75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{A96468FA-CD97-4351-A4E5-989B35371389}</c15:txfldGUID>
                      <c15:f>Calculation!$AD$45</c15:f>
                      <c15:dlblFieldTableCache>
                        <c:ptCount val="1"/>
                        <c:pt idx="0">
                          <c:v>45.75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D23C-42BB-8A2E-7FE5B194AFF8}"/>
                </c:ext>
              </c:extLst>
            </c:dLbl>
            <c:dLbl>
              <c:idx val="9"/>
              <c:layout>
                <c:manualLayout>
                  <c:x val="-6.5207541208183381E-2"/>
                  <c:y val="5.7802655984139778E-4"/>
                </c:manualLayout>
              </c:layout>
              <c:tx>
                <c:strRef>
                  <c:f>Calculation!$AD$46</c:f>
                  <c:strCache>
                    <c:ptCount val="1"/>
                    <c:pt idx="0">
                      <c:v>32.69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{6D06A0FB-0C18-4275-AA31-C094266E3174}</c15:txfldGUID>
                      <c15:f>Calculation!$AD$46</c15:f>
                      <c15:dlblFieldTableCache>
                        <c:ptCount val="1"/>
                        <c:pt idx="0">
                          <c:v>32.69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D23C-42BB-8A2E-7FE5B194AFF8}"/>
                </c:ext>
              </c:extLst>
            </c:dLbl>
            <c:dLbl>
              <c:idx val="10"/>
              <c:layout>
                <c:manualLayout>
                  <c:x val="2.9104980406311543E-3"/>
                  <c:y val="-2.5784455492593568E-2"/>
                </c:manualLayout>
              </c:layout>
              <c:tx>
                <c:strRef>
                  <c:f>Calculation!$AD$47</c:f>
                  <c:strCache>
                    <c:ptCount val="1"/>
                    <c:pt idx="0">
                      <c:v>32.69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{4EBCA5D9-4F17-4955-BB96-6D67D318AE3C}</c15:txfldGUID>
                      <c15:f>Calculation!$AD$47</c15:f>
                      <c15:dlblFieldTableCache>
                        <c:ptCount val="1"/>
                        <c:pt idx="0">
                          <c:v>32.69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D23C-42BB-8A2E-7FE5B194AFF8}"/>
                </c:ext>
              </c:extLst>
            </c:dLbl>
            <c:dLbl>
              <c:idx val="11"/>
              <c:layout>
                <c:manualLayout>
                  <c:x val="-6.2111266696873633E-2"/>
                  <c:y val="-1.4498566749612959E-3"/>
                </c:manualLayout>
              </c:layout>
              <c:tx>
                <c:strRef>
                  <c:f>Calculation!$AD$48</c:f>
                  <c:strCache>
                    <c:ptCount val="1"/>
                    <c:pt idx="0">
                      <c:v>32.69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{9DD7A76B-E2A4-4CF3-92CC-DF21022FCE25}</c15:txfldGUID>
                      <c15:f>Calculation!$AD$48</c15:f>
                      <c15:dlblFieldTableCache>
                        <c:ptCount val="1"/>
                        <c:pt idx="0">
                          <c:v>32.69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D23C-42BB-8A2E-7FE5B194AFF8}"/>
                </c:ext>
              </c:extLst>
            </c:dLbl>
            <c:dLbl>
              <c:idx val="12"/>
              <c:layout>
                <c:manualLayout>
                  <c:x val="-6.0563129441218791E-2"/>
                  <c:y val="-5.5056231445666836E-3"/>
                </c:manualLayout>
              </c:layout>
              <c:tx>
                <c:strRef>
                  <c:f>Calculation!$AD$49</c:f>
                  <c:strCache>
                    <c:ptCount val="1"/>
                    <c:pt idx="0">
                      <c:v>35.66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{036DEBFB-FB23-415C-9F85-8A44DB69E5C4}</c15:txfldGUID>
                      <c15:f>Calculation!$AD$49</c15:f>
                      <c15:dlblFieldTableCache>
                        <c:ptCount val="1"/>
                        <c:pt idx="0">
                          <c:v>35.66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D23C-42BB-8A2E-7FE5B194AFF8}"/>
                </c:ext>
              </c:extLst>
            </c:dLbl>
            <c:dLbl>
              <c:idx val="13"/>
              <c:layout>
                <c:manualLayout>
                  <c:x val="-6.3659403952528504E-2"/>
                  <c:y val="1.274532596865756E-2"/>
                </c:manualLayout>
              </c:layout>
              <c:tx>
                <c:strRef>
                  <c:f>Calculation!$AD$50</c:f>
                  <c:strCache>
                    <c:ptCount val="1"/>
                    <c:pt idx="0">
                      <c:v>49.74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{4048F88C-C41E-489C-AFCD-2D3898FA1F89}</c15:txfldGUID>
                      <c15:f>Calculation!$AD$50</c15:f>
                      <c15:dlblFieldTableCache>
                        <c:ptCount val="1"/>
                        <c:pt idx="0">
                          <c:v>49.74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D23C-42BB-8A2E-7FE5B194AFF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D23C-42BB-8A2E-7FE5B194AFF8}"/>
                </c:ext>
              </c:extLst>
            </c:dLbl>
            <c:dLbl>
              <c:idx val="15"/>
              <c:tx>
                <c:strRef>
                  <c:f>Calculation!$AD$52</c:f>
                  <c:strCache>
                    <c:ptCount val="1"/>
                    <c:pt idx="0">
                      <c:v>96.46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{CB6B01E2-525E-4CBF-9989-678A75CC9382}</c15:txfldGUID>
                      <c15:f>Calculation!$AD$52</c15:f>
                      <c15:dlblFieldTableCache>
                        <c:ptCount val="1"/>
                        <c:pt idx="0">
                          <c:v>96.46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D23C-42BB-8A2E-7FE5B194AFF8}"/>
                </c:ext>
              </c:extLst>
            </c:dLbl>
            <c:dLbl>
              <c:idx val="16"/>
              <c:tx>
                <c:strRef>
                  <c:f>Calculation!$AD$53</c:f>
                  <c:strCache>
                    <c:ptCount val="1"/>
                    <c:pt idx="0">
                      <c:v>94.65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{204E217D-4C01-4B0F-976A-664827630DC1}</c15:txfldGUID>
                      <c15:f>Calculation!$AD$53</c15:f>
                      <c15:dlblFieldTableCache>
                        <c:ptCount val="1"/>
                        <c:pt idx="0">
                          <c:v>94.65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D23C-42BB-8A2E-7FE5B194AFF8}"/>
                </c:ext>
              </c:extLst>
            </c:dLbl>
            <c:dLbl>
              <c:idx val="17"/>
              <c:layout>
                <c:manualLayout>
                  <c:x val="-6.2111266696873633E-2"/>
                  <c:y val="2.6057501187988288E-3"/>
                </c:manualLayout>
              </c:layout>
              <c:tx>
                <c:strRef>
                  <c:f>Calculation!$AD$54</c:f>
                  <c:strCache>
                    <c:ptCount val="1"/>
                    <c:pt idx="0">
                      <c:v>47.95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{2A039A7E-2217-4E10-917E-B580CC4C4B56}</c15:txfldGUID>
                      <c15:f>Calculation!$AD$54</c15:f>
                      <c15:dlblFieldTableCache>
                        <c:ptCount val="1"/>
                        <c:pt idx="0">
                          <c:v>47.95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D23C-42BB-8A2E-7FE5B194AFF8}"/>
                </c:ext>
              </c:extLst>
            </c:dLbl>
            <c:dLbl>
              <c:idx val="18"/>
              <c:layout>
                <c:manualLayout>
                  <c:x val="-1.0693727618293234E-2"/>
                  <c:y val="-2.3756731933636147E-2"/>
                </c:manualLayout>
              </c:layout>
              <c:tx>
                <c:strRef>
                  <c:f>Calculation!$AD$55</c:f>
                  <c:strCache>
                    <c:ptCount val="1"/>
                    <c:pt idx="0">
                      <c:v>146.28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{521B50BB-C6B1-4CC6-A9E3-6A2D1326EE7C}</c15:txfldGUID>
                      <c15:f>Calculation!$AD$55</c15:f>
                      <c15:dlblFieldTableCache>
                        <c:ptCount val="1"/>
                        <c:pt idx="0">
                          <c:v>146.28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D23C-42BB-8A2E-7FE5B194AFF8}"/>
                </c:ext>
              </c:extLst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200" b="1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Calculation!$W$37:$W$55</c:f>
              <c:numCache>
                <c:formatCode>General</c:formatCode>
                <c:ptCount val="19"/>
                <c:pt idx="0">
                  <c:v>-30</c:v>
                </c:pt>
                <c:pt idx="1">
                  <c:v>-11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-9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  <c:pt idx="10">
                  <c:v>-35</c:v>
                </c:pt>
                <c:pt idx="11">
                  <c:v>-30</c:v>
                </c:pt>
                <c:pt idx="12">
                  <c:v>-30</c:v>
                </c:pt>
                <c:pt idx="13">
                  <c:v>-18</c:v>
                </c:pt>
                <c:pt idx="14">
                  <c:v>-18</c:v>
                </c:pt>
                <c:pt idx="15">
                  <c:v>-5</c:v>
                </c:pt>
                <c:pt idx="16">
                  <c:v>0</c:v>
                </c:pt>
                <c:pt idx="17">
                  <c:v>-20</c:v>
                </c:pt>
                <c:pt idx="18">
                  <c:v>7</c:v>
                </c:pt>
              </c:numCache>
            </c:numRef>
          </c:xVal>
          <c:yVal>
            <c:numRef>
              <c:f>Calculation!$X$37:$X$55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65</c:v>
                </c:pt>
                <c:pt idx="10">
                  <c:v>50</c:v>
                </c:pt>
                <c:pt idx="11">
                  <c:v>45</c:v>
                </c:pt>
                <c:pt idx="12">
                  <c:v>35</c:v>
                </c:pt>
                <c:pt idx="13">
                  <c:v>62</c:v>
                </c:pt>
                <c:pt idx="14">
                  <c:v>58</c:v>
                </c:pt>
                <c:pt idx="15">
                  <c:v>43</c:v>
                </c:pt>
                <c:pt idx="16">
                  <c:v>56</c:v>
                </c:pt>
                <c:pt idx="17">
                  <c:v>57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23C-42BB-8A2E-7FE5B194A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5504"/>
        <c:axId val="89927680"/>
      </c:scatterChart>
      <c:valAx>
        <c:axId val="89925504"/>
        <c:scaling>
          <c:orientation val="minMax"/>
          <c:min val="-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Evaporating Temperature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89927680"/>
        <c:crosses val="autoZero"/>
        <c:crossBetween val="midCat"/>
        <c:majorUnit val="5"/>
        <c:minorUnit val="5"/>
      </c:valAx>
      <c:valAx>
        <c:axId val="8992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Condensing</a:t>
                </a:r>
                <a:r>
                  <a:rPr lang="en-US" sz="1400" baseline="0"/>
                  <a:t> Temperature (°C)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0509031198686385E-2"/>
              <c:y val="0.37416515243286896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89925504"/>
        <c:crossesAt val="-35"/>
        <c:crossBetween val="midCat"/>
        <c:minorUnit val="5"/>
      </c:valAx>
    </c:plotArea>
    <c:legend>
      <c:legendPos val="r"/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8.9530240301377267E-2"/>
          <c:y val="7.0924976623456273E-2"/>
          <c:w val="0.8739305510503137"/>
          <c:h val="5.255299321952492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Max mass (gr) R290 Inside the Oil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874446046395661E-2"/>
          <c:y val="6.3287521268822602E-2"/>
          <c:w val="0.88442609601189204"/>
          <c:h val="0.82944767486421167"/>
        </c:manualLayout>
      </c:layout>
      <c:scatterChart>
        <c:scatterStyle val="lineMarker"/>
        <c:varyColors val="0"/>
        <c:ser>
          <c:idx val="2"/>
          <c:order val="0"/>
          <c:tx>
            <c:v>Operating Conditions</c:v>
          </c:tx>
          <c:spPr>
            <a:ln w="50800" cmpd="tri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'[5]HP Sizing'!$J$8:$J$33</c:f>
              <c:numCache>
                <c:formatCode>General</c:formatCode>
                <c:ptCount val="26"/>
                <c:pt idx="0">
                  <c:v>-20</c:v>
                </c:pt>
                <c:pt idx="1">
                  <c:v>-18.920000000000002</c:v>
                </c:pt>
                <c:pt idx="2">
                  <c:v>-17.84</c:v>
                </c:pt>
                <c:pt idx="3">
                  <c:v>-16.759999999999998</c:v>
                </c:pt>
                <c:pt idx="4">
                  <c:v>-15.68</c:v>
                </c:pt>
                <c:pt idx="5">
                  <c:v>-14.6</c:v>
                </c:pt>
                <c:pt idx="6">
                  <c:v>-13.52</c:v>
                </c:pt>
                <c:pt idx="7">
                  <c:v>-12.44</c:v>
                </c:pt>
                <c:pt idx="8">
                  <c:v>-11.36</c:v>
                </c:pt>
                <c:pt idx="9">
                  <c:v>-10.28</c:v>
                </c:pt>
                <c:pt idx="10">
                  <c:v>-9.1999999999999993</c:v>
                </c:pt>
                <c:pt idx="11">
                  <c:v>-8.1199999999999992</c:v>
                </c:pt>
                <c:pt idx="12">
                  <c:v>-7.0399999999999991</c:v>
                </c:pt>
                <c:pt idx="13">
                  <c:v>-5.9600000000000009</c:v>
                </c:pt>
                <c:pt idx="14">
                  <c:v>-4.879999999999999</c:v>
                </c:pt>
                <c:pt idx="15">
                  <c:v>-3.8000000000000007</c:v>
                </c:pt>
                <c:pt idx="16">
                  <c:v>-2.7200000000000006</c:v>
                </c:pt>
                <c:pt idx="17">
                  <c:v>-1.6400000000000006</c:v>
                </c:pt>
                <c:pt idx="18">
                  <c:v>-0.5600000000000005</c:v>
                </c:pt>
                <c:pt idx="19">
                  <c:v>0.51999999999999957</c:v>
                </c:pt>
                <c:pt idx="20">
                  <c:v>1.5999999999999996</c:v>
                </c:pt>
                <c:pt idx="21">
                  <c:v>2.6799999999999997</c:v>
                </c:pt>
                <c:pt idx="22">
                  <c:v>3.76</c:v>
                </c:pt>
                <c:pt idx="23">
                  <c:v>4.84</c:v>
                </c:pt>
                <c:pt idx="24">
                  <c:v>5.92</c:v>
                </c:pt>
                <c:pt idx="25">
                  <c:v>7</c:v>
                </c:pt>
              </c:numCache>
            </c:numRef>
          </c:xVal>
          <c:yVal>
            <c:numRef>
              <c:f>'[5]HP Sizing'!$L$8:$L$33</c:f>
              <c:numCache>
                <c:formatCode>General</c:formatCode>
                <c:ptCount val="26"/>
                <c:pt idx="0">
                  <c:v>57.333333333333336</c:v>
                </c:pt>
                <c:pt idx="1">
                  <c:v>56.222222222222221</c:v>
                </c:pt>
                <c:pt idx="2">
                  <c:v>55.111111111111114</c:v>
                </c:pt>
                <c:pt idx="3">
                  <c:v>54</c:v>
                </c:pt>
                <c:pt idx="4">
                  <c:v>52.888888888888886</c:v>
                </c:pt>
                <c:pt idx="5">
                  <c:v>51.777777777777779</c:v>
                </c:pt>
                <c:pt idx="6">
                  <c:v>50.666666666666664</c:v>
                </c:pt>
                <c:pt idx="7">
                  <c:v>49.555555555555557</c:v>
                </c:pt>
                <c:pt idx="8">
                  <c:v>48.444444444444443</c:v>
                </c:pt>
                <c:pt idx="9">
                  <c:v>47.333333333333336</c:v>
                </c:pt>
                <c:pt idx="10">
                  <c:v>46.222222222222221</c:v>
                </c:pt>
                <c:pt idx="11">
                  <c:v>45.111111111111114</c:v>
                </c:pt>
                <c:pt idx="12">
                  <c:v>44</c:v>
                </c:pt>
                <c:pt idx="13">
                  <c:v>42.888888888888886</c:v>
                </c:pt>
                <c:pt idx="14">
                  <c:v>41.777777777777779</c:v>
                </c:pt>
                <c:pt idx="15">
                  <c:v>40.666666666666671</c:v>
                </c:pt>
                <c:pt idx="16">
                  <c:v>39.555555555555557</c:v>
                </c:pt>
                <c:pt idx="17">
                  <c:v>38.444444444444443</c:v>
                </c:pt>
                <c:pt idx="18">
                  <c:v>37.333333333333329</c:v>
                </c:pt>
                <c:pt idx="19">
                  <c:v>36.222222222222221</c:v>
                </c:pt>
                <c:pt idx="20">
                  <c:v>35.111111111111114</c:v>
                </c:pt>
                <c:pt idx="21">
                  <c:v>34</c:v>
                </c:pt>
                <c:pt idx="22">
                  <c:v>32.888888888888886</c:v>
                </c:pt>
                <c:pt idx="23">
                  <c:v>31.777777777777779</c:v>
                </c:pt>
                <c:pt idx="24">
                  <c:v>30.666666666666664</c:v>
                </c:pt>
                <c:pt idx="25">
                  <c:v>29.555555555555554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02-425E-9B8E-D3E152425D66}"/>
            </c:ext>
          </c:extLst>
        </c:ser>
        <c:ser>
          <c:idx val="3"/>
          <c:order val="1"/>
          <c:tx>
            <c:strRef>
              <c:f>[5]DataSupport!$M$2</c:f>
              <c:strCache>
                <c:ptCount val="1"/>
                <c:pt idx="0">
                  <c:v>ZHV*KCU (R290)</c:v>
                </c:pt>
              </c:strCache>
            </c:strRef>
          </c:tx>
          <c:spPr>
            <a:ln w="444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[5]DataSupport!$M$4:$M$13</c:f>
              <c:numCache>
                <c:formatCode>General</c:formatCode>
                <c:ptCount val="10"/>
                <c:pt idx="0">
                  <c:v>-30</c:v>
                </c:pt>
                <c:pt idx="1">
                  <c:v>-9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-11</c:v>
                </c:pt>
                <c:pt idx="6">
                  <c:v>-30</c:v>
                </c:pt>
                <c:pt idx="7">
                  <c:v>-30</c:v>
                </c:pt>
              </c:numCache>
            </c:numRef>
          </c:xVal>
          <c:yVal>
            <c:numRef>
              <c:f>[5]DataSupport!$N$4:$N$13</c:f>
              <c:numCache>
                <c:formatCode>General</c:formatCode>
                <c:ptCount val="10"/>
                <c:pt idx="0">
                  <c:v>45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2-425E-9B8E-D3E152425D66}"/>
            </c:ext>
          </c:extLst>
        </c:ser>
        <c:ser>
          <c:idx val="8"/>
          <c:order val="2"/>
          <c:tx>
            <c:strRef>
              <c:f>'[5]Envelope (2)'!$Q$9</c:f>
              <c:strCache>
                <c:ptCount val="1"/>
                <c:pt idx="0">
                  <c:v>Target (HCOP = 3.5)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'[5]Envelope (2)'!$T$9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02-425E-9B8E-D3E152425D66}"/>
            </c:ext>
          </c:extLst>
        </c:ser>
        <c:ser>
          <c:idx val="9"/>
          <c:order val="3"/>
          <c:tx>
            <c:strRef>
              <c:f>'[5]Envelope (2)'!$Q$10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(2)'!$S$10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02-425E-9B8E-D3E152425D66}"/>
            </c:ext>
          </c:extLst>
        </c:ser>
        <c:ser>
          <c:idx val="10"/>
          <c:order val="4"/>
          <c:tx>
            <c:strRef>
              <c:f>'[5]Envelope (2)'!$Q$11</c:f>
              <c:strCache>
                <c:ptCount val="1"/>
                <c:pt idx="0">
                  <c:v>Opimization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xVal>
          <c:yVal>
            <c:numRef>
              <c:f>'[5]Envelope (2)'!$T$11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02-425E-9B8E-D3E152425D66}"/>
            </c:ext>
          </c:extLst>
        </c:ser>
        <c:ser>
          <c:idx val="6"/>
          <c:order val="5"/>
          <c:tx>
            <c:strRef>
              <c:f>'[5]Envelope (2)'!$Q$12</c:f>
              <c:strCache>
                <c:ptCount val="1"/>
                <c:pt idx="0">
                  <c:v>Sanitary Water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(2)'!$S$12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(2)'!$T$12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02-425E-9B8E-D3E152425D66}"/>
            </c:ext>
          </c:extLst>
        </c:ser>
        <c:ser>
          <c:idx val="11"/>
          <c:order val="6"/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0484755906905522E-2"/>
                  <c:y val="-2.5148879379804045E-2"/>
                </c:manualLayout>
              </c:layout>
              <c:tx>
                <c:strRef>
                  <c:f>'Calculation (1.5 l)'!$AD$12</c:f>
                  <c:strCache>
                    <c:ptCount val="1"/>
                    <c:pt idx="0">
                      <c:v>55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{491F048A-A2AA-4827-95B0-0CD05DBEF143}</c15:txfldGUID>
                      <c15:f>'Calculation (1.5 l)'!$AD$12</c15:f>
                      <c15:dlblFieldTableCache>
                        <c:ptCount val="1"/>
                        <c:pt idx="0">
                          <c:v>55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102-425E-9B8E-D3E152425D66}"/>
                </c:ext>
              </c:extLst>
            </c:dLbl>
            <c:dLbl>
              <c:idx val="1"/>
              <c:layout>
                <c:manualLayout>
                  <c:x val="-2.8810834327737241E-2"/>
                  <c:y val="3.0428940592831202E-2"/>
                </c:manualLayout>
              </c:layout>
              <c:tx>
                <c:strRef>
                  <c:f>'Calculation (1.5 l)'!$AD$13</c:f>
                  <c:strCache>
                    <c:ptCount val="1"/>
                    <c:pt idx="0">
                      <c:v>68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{3D53C0C0-D2B0-4A75-8E2D-CDCFB859CBFA}</c15:txfldGUID>
                      <c15:f>'Calculation (1.5 l)'!$AD$13</c15:f>
                      <c15:dlblFieldTableCache>
                        <c:ptCount val="1"/>
                        <c:pt idx="0">
                          <c:v>68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102-425E-9B8E-D3E152425D66}"/>
                </c:ext>
              </c:extLst>
            </c:dLbl>
            <c:dLbl>
              <c:idx val="2"/>
              <c:layout>
                <c:manualLayout>
                  <c:x val="-4.1258467366058985E-3"/>
                  <c:y val="2.8291332132345234E-2"/>
                </c:manualLayout>
              </c:layout>
              <c:tx>
                <c:strRef>
                  <c:f>'Calculation (1.5 l)'!$AD$14</c:f>
                  <c:strCache>
                    <c:ptCount val="1"/>
                    <c:pt idx="0">
                      <c:v>84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{5C861DA5-C1CF-4A26-AC8F-942D5C0B16D7}</c15:txfldGUID>
                      <c15:f>'Calculation (1.5 l)'!$AD$14</c15:f>
                      <c15:dlblFieldTableCache>
                        <c:ptCount val="1"/>
                        <c:pt idx="0">
                          <c:v>84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102-425E-9B8E-D3E152425D66}"/>
                </c:ext>
              </c:extLst>
            </c:dLbl>
            <c:dLbl>
              <c:idx val="3"/>
              <c:layout>
                <c:manualLayout>
                  <c:x val="-2.5777094809510247E-3"/>
                  <c:y val="-2.9424264616402795E-2"/>
                </c:manualLayout>
              </c:layout>
              <c:tx>
                <c:strRef>
                  <c:f>'Calculation (1.5 l)'!$AD$15</c:f>
                  <c:strCache>
                    <c:ptCount val="1"/>
                    <c:pt idx="0">
                      <c:v>72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{F3112457-2C25-4A4E-91C0-AF8FF4BB0E4D}</c15:txfldGUID>
                      <c15:f>'Calculation (1.5 l)'!$AD$15</c15:f>
                      <c15:dlblFieldTableCache>
                        <c:ptCount val="1"/>
                        <c:pt idx="0">
                          <c:v>72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102-425E-9B8E-D3E152425D66}"/>
                </c:ext>
              </c:extLst>
            </c:dLbl>
            <c:dLbl>
              <c:idx val="4"/>
              <c:tx>
                <c:strRef>
                  <c:f>'Calculation (1.5 l)'!$AD$16</c:f>
                  <c:strCache>
                    <c:ptCount val="1"/>
                    <c:pt idx="0">
                      <c:v>91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{BD2274F8-2F8C-4D22-82FF-EF36A8E4B49C}</c15:txfldGUID>
                      <c15:f>'Calculation (1.5 l)'!$AD$16</c15:f>
                      <c15:dlblFieldTableCache>
                        <c:ptCount val="1"/>
                        <c:pt idx="0">
                          <c:v>91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102-425E-9B8E-D3E152425D66}"/>
                </c:ext>
              </c:extLst>
            </c:dLbl>
            <c:dLbl>
              <c:idx val="5"/>
              <c:tx>
                <c:strRef>
                  <c:f>'Calculation (1.5 l)'!$AD$17</c:f>
                  <c:strCache>
                    <c:ptCount val="1"/>
                    <c:pt idx="0">
                      <c:v>118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{750277F7-C100-453B-A264-36D7B789672E}</c15:txfldGUID>
                      <c15:f>'Calculation (1.5 l)'!$AD$17</c15:f>
                      <c15:dlblFieldTableCache>
                        <c:ptCount val="1"/>
                        <c:pt idx="0">
                          <c:v>118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102-425E-9B8E-D3E152425D66}"/>
                </c:ext>
              </c:extLst>
            </c:dLbl>
            <c:dLbl>
              <c:idx val="6"/>
              <c:layout>
                <c:manualLayout>
                  <c:x val="-2.2618285305117738E-2"/>
                  <c:y val="-5.9350614747579578E-2"/>
                </c:manualLayout>
              </c:layout>
              <c:tx>
                <c:strRef>
                  <c:f>'Calculation (1.5 l)'!$AD$18</c:f>
                  <c:strCache>
                    <c:ptCount val="1"/>
                    <c:pt idx="0">
                      <c:v>101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{ECE9CA7D-A01F-4A4B-B4C7-805BE21D055B}</c15:txfldGUID>
                      <c15:f>'Calculation (1.5 l)'!$AD$18</c15:f>
                      <c15:dlblFieldTableCache>
                        <c:ptCount val="1"/>
                        <c:pt idx="0">
                          <c:v>101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102-425E-9B8E-D3E152425D66}"/>
                </c:ext>
              </c:extLst>
            </c:dLbl>
            <c:dLbl>
              <c:idx val="7"/>
              <c:layout>
                <c:manualLayout>
                  <c:x val="-2.5714559816427493E-2"/>
                  <c:y val="-6.1488223208065552E-2"/>
                </c:manualLayout>
              </c:layout>
              <c:tx>
                <c:strRef>
                  <c:f>'Calculation (1.5 l)'!$AD$19</c:f>
                  <c:strCache>
                    <c:ptCount val="1"/>
                    <c:pt idx="0">
                      <c:v>135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{031F4330-C66B-4E0D-BD5A-FA6528873030}</c15:txfldGUID>
                      <c15:f>'Calculation (1.5 l)'!$AD$19</c15:f>
                      <c15:dlblFieldTableCache>
                        <c:ptCount val="1"/>
                        <c:pt idx="0">
                          <c:v>135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102-425E-9B8E-D3E152425D66}"/>
                </c:ext>
              </c:extLst>
            </c:dLbl>
            <c:dLbl>
              <c:idx val="8"/>
              <c:layout>
                <c:manualLayout>
                  <c:x val="-3.3455246094701872E-2"/>
                  <c:y val="-6.1488223208065552E-2"/>
                </c:manualLayout>
              </c:layout>
              <c:tx>
                <c:rich>
                  <a:bodyPr/>
                  <a:lstStyle/>
                  <a:p>
                    <a:pPr>
                      <a:defRPr sz="1600" b="0" i="0" strike="noStrike">
                        <a:solidFill>
                          <a:schemeClr val="accent2"/>
                        </a:solidFill>
                        <a:latin typeface="Calibri"/>
                      </a:defRPr>
                    </a:pPr>
                    <a:r>
                      <a:rPr lang="en-US" sz="1600" b="0" i="0" strike="noStrike">
                        <a:latin typeface="Calibri"/>
                      </a:rPr>
                      <a:t>28</a:t>
                    </a:r>
                  </a:p>
                </c:rich>
              </c:tx>
              <c:spPr>
                <a:solidFill>
                  <a:sysClr val="window" lastClr="FFFFFF"/>
                </a:solidFill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02-425E-9B8E-D3E152425D66}"/>
                </c:ext>
              </c:extLst>
            </c:dLbl>
            <c:dLbl>
              <c:idx val="9"/>
              <c:tx>
                <c:strRef>
                  <c:f>'Calculation (1.5 l)'!$AD$21</c:f>
                  <c:strCache>
                    <c:ptCount val="1"/>
                    <c:pt idx="0">
                      <c:v>44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{7592268E-779E-4E45-81C7-5EB23FCC312D}</c15:txfldGUID>
                      <c15:f>'Calculation (1.5 l)'!$AD$21</c15:f>
                      <c15:dlblFieldTableCache>
                        <c:ptCount val="1"/>
                        <c:pt idx="0">
                          <c:v>44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E102-425E-9B8E-D3E152425D66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02-425E-9B8E-D3E152425D66}"/>
                </c:ext>
              </c:extLst>
            </c:dLbl>
            <c:dLbl>
              <c:idx val="11"/>
              <c:layout>
                <c:manualLayout>
                  <c:x val="-5.2032893162560406E-2"/>
                  <c:y val="-1.6351863144583633E-3"/>
                </c:manualLayout>
              </c:layout>
              <c:tx>
                <c:strRef>
                  <c:f>'Calculation (1.5 l)'!$AD$23</c:f>
                  <c:strCache>
                    <c:ptCount val="1"/>
                    <c:pt idx="0">
                      <c:v>65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{7013C19D-791A-404E-99EF-E8D3E453F394}</c15:txfldGUID>
                      <c15:f>'Calculation (1.5 l)'!$AD$23</c15:f>
                      <c15:dlblFieldTableCache>
                        <c:ptCount val="1"/>
                        <c:pt idx="0">
                          <c:v>65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E102-425E-9B8E-D3E152425D66}"/>
                </c:ext>
              </c:extLst>
            </c:dLbl>
            <c:dLbl>
              <c:idx val="12"/>
              <c:layout>
                <c:manualLayout>
                  <c:x val="-4.5840344139940904E-2"/>
                  <c:y val="-3.7727947749443352E-3"/>
                </c:manualLayout>
              </c:layout>
              <c:tx>
                <c:strRef>
                  <c:f>'Calculation (1.5 l)'!$AD$24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{5F6BA8FB-6490-48B4-88A5-C2E7229E1CF8}</c15:txfldGUID>
                      <c15:f>'Calculation (1.5 l)'!$AD$24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E102-425E-9B8E-D3E152425D66}"/>
                </c:ext>
              </c:extLst>
            </c:dLbl>
            <c:dLbl>
              <c:idx val="13"/>
              <c:layout>
                <c:manualLayout>
                  <c:x val="-5.358103041821527E-2"/>
                  <c:y val="6.9152475274855225E-3"/>
                </c:manualLayout>
              </c:layout>
              <c:tx>
                <c:strRef>
                  <c:f>'Calculation (1.5 l)'!$AD$25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{5D738D95-D31E-4421-9926-4821C1CF215F}</c15:txfldGUID>
                      <c15:f>'Calculation (1.5 l)'!$AD$25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E102-425E-9B8E-D3E152425D6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102-425E-9B8E-D3E152425D66}"/>
                </c:ext>
              </c:extLst>
            </c:dLbl>
            <c:dLbl>
              <c:idx val="15"/>
              <c:tx>
                <c:strRef>
                  <c:f>'Calculation (1.5 l)'!$AD$27</c:f>
                  <c:strCache>
                    <c:ptCount val="1"/>
                    <c:pt idx="0">
                      <c:v>63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{C00CED30-F74E-41A6-A6F9-F403739D7BF2}</c15:txfldGUID>
                      <c15:f>'Calculation (1.5 l)'!$AD$27</c15:f>
                      <c15:dlblFieldTableCache>
                        <c:ptCount val="1"/>
                        <c:pt idx="0">
                          <c:v>63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E102-425E-9B8E-D3E152425D66}"/>
                </c:ext>
              </c:extLst>
            </c:dLbl>
            <c:dLbl>
              <c:idx val="16"/>
              <c:tx>
                <c:strRef>
                  <c:f>'Calculation (1.5 l)'!$AD$28</c:f>
                  <c:strCache>
                    <c:ptCount val="1"/>
                    <c:pt idx="0">
                      <c:v>63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{300CCFBC-4C33-4406-9BB9-B89340315943}</c15:txfldGUID>
                      <c15:f>'Calculation (1.5 l)'!$AD$28</c15:f>
                      <c15:dlblFieldTableCache>
                        <c:ptCount val="1"/>
                        <c:pt idx="0">
                          <c:v>63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102-425E-9B8E-D3E152425D66}"/>
                </c:ext>
              </c:extLst>
            </c:dLbl>
            <c:dLbl>
              <c:idx val="17"/>
              <c:layout>
                <c:manualLayout>
                  <c:x val="-4.5840344139940883E-2"/>
                  <c:y val="2.6153723671859301E-2"/>
                </c:manualLayout>
              </c:layout>
              <c:tx>
                <c:strRef>
                  <c:f>'Calculation (1.5 l)'!$AD$29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{3DF30DB0-9D0E-446A-A1F2-E89999D20F63}</c15:txfldGUID>
                      <c15:f>'Calculation (1.5 l)'!$AD$29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E102-425E-9B8E-D3E152425D66}"/>
                </c:ext>
              </c:extLst>
            </c:dLbl>
            <c:dLbl>
              <c:idx val="18"/>
              <c:layout>
                <c:manualLayout>
                  <c:x val="-1.4877599026843359E-2"/>
                  <c:y val="-2.7286487840290013E-2"/>
                </c:manualLayout>
              </c:layout>
              <c:tx>
                <c:strRef>
                  <c:f>'Calculation (1.5 l)'!$AD$30</c:f>
                  <c:strCache>
                    <c:ptCount val="1"/>
                    <c:pt idx="0">
                      <c:v>100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{1636BDF0-8B76-4B46-A989-4565193843C8}</c15:txfldGUID>
                      <c15:f>'Calculation (1.5 l)'!$AD$30</c15:f>
                      <c15:dlblFieldTableCache>
                        <c:ptCount val="1"/>
                        <c:pt idx="0">
                          <c:v>100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E102-425E-9B8E-D3E152425D66}"/>
                </c:ext>
              </c:extLst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600" b="1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'Calculation (1.5 l)'!$P$12:$P$30</c:f>
              <c:numCache>
                <c:formatCode>General</c:formatCode>
                <c:ptCount val="19"/>
                <c:pt idx="0">
                  <c:v>-30</c:v>
                </c:pt>
                <c:pt idx="1">
                  <c:v>-11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-9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  <c:pt idx="10">
                  <c:v>-35</c:v>
                </c:pt>
                <c:pt idx="11">
                  <c:v>-30</c:v>
                </c:pt>
                <c:pt idx="12">
                  <c:v>-30</c:v>
                </c:pt>
                <c:pt idx="13">
                  <c:v>-18</c:v>
                </c:pt>
                <c:pt idx="14">
                  <c:v>-18</c:v>
                </c:pt>
                <c:pt idx="15">
                  <c:v>-5</c:v>
                </c:pt>
                <c:pt idx="16">
                  <c:v>0</c:v>
                </c:pt>
                <c:pt idx="17">
                  <c:v>-20</c:v>
                </c:pt>
                <c:pt idx="18">
                  <c:v>7</c:v>
                </c:pt>
              </c:numCache>
            </c:numRef>
          </c:xVal>
          <c:yVal>
            <c:numRef>
              <c:f>'Calculation (1.5 l)'!$Q$12:$Q$30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65</c:v>
                </c:pt>
                <c:pt idx="10">
                  <c:v>50</c:v>
                </c:pt>
                <c:pt idx="11">
                  <c:v>45</c:v>
                </c:pt>
                <c:pt idx="12">
                  <c:v>35</c:v>
                </c:pt>
                <c:pt idx="13">
                  <c:v>62</c:v>
                </c:pt>
                <c:pt idx="14">
                  <c:v>58</c:v>
                </c:pt>
                <c:pt idx="15">
                  <c:v>43</c:v>
                </c:pt>
                <c:pt idx="16">
                  <c:v>56</c:v>
                </c:pt>
                <c:pt idx="17">
                  <c:v>57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102-425E-9B8E-D3E152425D66}"/>
            </c:ext>
          </c:extLst>
        </c:ser>
        <c:ser>
          <c:idx val="0"/>
          <c:order val="7"/>
          <c:marker>
            <c:symbol val="none"/>
          </c:marker>
          <c:xVal>
            <c:numRef>
              <c:f>'Calculation (2.5 l)'!$AH$11:$AH$14</c:f>
              <c:numCache>
                <c:formatCode>General</c:formatCode>
                <c:ptCount val="4"/>
                <c:pt idx="0">
                  <c:v>-30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</c:numCache>
            </c:numRef>
          </c:xVal>
          <c:yVal>
            <c:numRef>
              <c:f>'Calculation (2.5 l)'!$AI$11:$AI$14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70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102-425E-9B8E-D3E15242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910976"/>
        <c:axId val="125093376"/>
      </c:scatterChart>
      <c:valAx>
        <c:axId val="124910976"/>
        <c:scaling>
          <c:orientation val="minMax"/>
          <c:min val="-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Evaporating Temperature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5093376"/>
        <c:crosses val="autoZero"/>
        <c:crossBetween val="midCat"/>
        <c:majorUnit val="5"/>
        <c:minorUnit val="5"/>
      </c:valAx>
      <c:valAx>
        <c:axId val="125093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Condensing</a:t>
                </a:r>
                <a:r>
                  <a:rPr lang="en-US" sz="1400" baseline="0"/>
                  <a:t> Temperature (°C)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0509031198686385E-2"/>
              <c:y val="0.37416515243286896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4910976"/>
        <c:crossesAt val="-35"/>
        <c:crossBetween val="midCat"/>
        <c:minorUnit val="5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9.2632553985743202E-2"/>
          <c:y val="0.80412470908747868"/>
          <c:w val="0.20714149621005026"/>
          <c:h val="0.13148564292950654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EVI</a:t>
            </a:r>
            <a:r>
              <a:rPr lang="en-US" baseline="0"/>
              <a:t> Vs Non EVI (R290/R407C)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874446046395661E-2"/>
          <c:y val="6.3287521268822602E-2"/>
          <c:w val="0.88442609601189204"/>
          <c:h val="0.82944767486421167"/>
        </c:manualLayout>
      </c:layout>
      <c:scatterChart>
        <c:scatterStyle val="lineMarker"/>
        <c:varyColors val="0"/>
        <c:ser>
          <c:idx val="0"/>
          <c:order val="0"/>
          <c:tx>
            <c:v>ZH*KVE w/ EVI (R407C)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[5]DataSupport!$G$4:$G$11</c:f>
              <c:numCache>
                <c:formatCode>General</c:formatCode>
                <c:ptCount val="8"/>
                <c:pt idx="0">
                  <c:v>-25</c:v>
                </c:pt>
                <c:pt idx="1">
                  <c:v>-25</c:v>
                </c:pt>
                <c:pt idx="2">
                  <c:v>-15.4</c:v>
                </c:pt>
                <c:pt idx="3">
                  <c:v>17.5</c:v>
                </c:pt>
                <c:pt idx="4">
                  <c:v>25</c:v>
                </c:pt>
                <c:pt idx="5">
                  <c:v>25</c:v>
                </c:pt>
                <c:pt idx="6">
                  <c:v>-11</c:v>
                </c:pt>
                <c:pt idx="7">
                  <c:v>-25</c:v>
                </c:pt>
              </c:numCache>
            </c:numRef>
          </c:xVal>
          <c:yVal>
            <c:numRef>
              <c:f>[5]DataSupport!$H$4:$H$11</c:f>
              <c:numCache>
                <c:formatCode>General</c:formatCode>
                <c:ptCount val="8"/>
                <c:pt idx="0">
                  <c:v>17</c:v>
                </c:pt>
                <c:pt idx="1">
                  <c:v>56</c:v>
                </c:pt>
                <c:pt idx="2">
                  <c:v>67</c:v>
                </c:pt>
                <c:pt idx="3">
                  <c:v>67</c:v>
                </c:pt>
                <c:pt idx="4">
                  <c:v>58</c:v>
                </c:pt>
                <c:pt idx="5">
                  <c:v>39</c:v>
                </c:pt>
                <c:pt idx="6">
                  <c:v>17</c:v>
                </c:pt>
                <c:pt idx="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B-447C-8B73-ED5E2C917D38}"/>
            </c:ext>
          </c:extLst>
        </c:ser>
        <c:ser>
          <c:idx val="1"/>
          <c:order val="1"/>
          <c:tx>
            <c:v>ZH*K4 (R407C)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[5]DataSupport!$J$4:$J$11</c:f>
              <c:numCache>
                <c:formatCode>General</c:formatCode>
                <c:ptCount val="8"/>
                <c:pt idx="0">
                  <c:v>-8</c:v>
                </c:pt>
                <c:pt idx="1">
                  <c:v>15</c:v>
                </c:pt>
                <c:pt idx="2">
                  <c:v>25</c:v>
                </c:pt>
                <c:pt idx="3">
                  <c:v>25</c:v>
                </c:pt>
                <c:pt idx="4">
                  <c:v>-2.2999999999999998</c:v>
                </c:pt>
                <c:pt idx="5">
                  <c:v>-22.5</c:v>
                </c:pt>
                <c:pt idx="6">
                  <c:v>-22.5</c:v>
                </c:pt>
                <c:pt idx="7">
                  <c:v>-8</c:v>
                </c:pt>
              </c:numCache>
            </c:numRef>
          </c:xVal>
          <c:yVal>
            <c:numRef>
              <c:f>[5]DataSupport!$K$4:$K$11</c:f>
              <c:numCache>
                <c:formatCode>General</c:formatCode>
                <c:ptCount val="8"/>
                <c:pt idx="0">
                  <c:v>66.8</c:v>
                </c:pt>
                <c:pt idx="1">
                  <c:v>66.8</c:v>
                </c:pt>
                <c:pt idx="2">
                  <c:v>60</c:v>
                </c:pt>
                <c:pt idx="3">
                  <c:v>40</c:v>
                </c:pt>
                <c:pt idx="4">
                  <c:v>22.8</c:v>
                </c:pt>
                <c:pt idx="5">
                  <c:v>22.8</c:v>
                </c:pt>
                <c:pt idx="6">
                  <c:v>51</c:v>
                </c:pt>
                <c:pt idx="7">
                  <c:v>66.8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7B-447C-8B73-ED5E2C917D38}"/>
            </c:ext>
          </c:extLst>
        </c:ser>
        <c:ser>
          <c:idx val="2"/>
          <c:order val="2"/>
          <c:tx>
            <c:v>Operating Conditions</c:v>
          </c:tx>
          <c:spPr>
            <a:ln w="50800" cmpd="tri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'[5]HP Sizing'!$J$8:$J$33</c:f>
              <c:numCache>
                <c:formatCode>General</c:formatCode>
                <c:ptCount val="26"/>
                <c:pt idx="0">
                  <c:v>-20</c:v>
                </c:pt>
                <c:pt idx="1">
                  <c:v>-18.920000000000002</c:v>
                </c:pt>
                <c:pt idx="2">
                  <c:v>-17.84</c:v>
                </c:pt>
                <c:pt idx="3">
                  <c:v>-16.759999999999998</c:v>
                </c:pt>
                <c:pt idx="4">
                  <c:v>-15.68</c:v>
                </c:pt>
                <c:pt idx="5">
                  <c:v>-14.6</c:v>
                </c:pt>
                <c:pt idx="6">
                  <c:v>-13.52</c:v>
                </c:pt>
                <c:pt idx="7">
                  <c:v>-12.44</c:v>
                </c:pt>
                <c:pt idx="8">
                  <c:v>-11.36</c:v>
                </c:pt>
                <c:pt idx="9">
                  <c:v>-10.28</c:v>
                </c:pt>
                <c:pt idx="10">
                  <c:v>-9.1999999999999993</c:v>
                </c:pt>
                <c:pt idx="11">
                  <c:v>-8.1199999999999992</c:v>
                </c:pt>
                <c:pt idx="12">
                  <c:v>-7.0399999999999991</c:v>
                </c:pt>
                <c:pt idx="13">
                  <c:v>-5.9600000000000009</c:v>
                </c:pt>
                <c:pt idx="14">
                  <c:v>-4.879999999999999</c:v>
                </c:pt>
                <c:pt idx="15">
                  <c:v>-3.8000000000000007</c:v>
                </c:pt>
                <c:pt idx="16">
                  <c:v>-2.7200000000000006</c:v>
                </c:pt>
                <c:pt idx="17">
                  <c:v>-1.6400000000000006</c:v>
                </c:pt>
                <c:pt idx="18">
                  <c:v>-0.5600000000000005</c:v>
                </c:pt>
                <c:pt idx="19">
                  <c:v>0.51999999999999957</c:v>
                </c:pt>
                <c:pt idx="20">
                  <c:v>1.5999999999999996</c:v>
                </c:pt>
                <c:pt idx="21">
                  <c:v>2.6799999999999997</c:v>
                </c:pt>
                <c:pt idx="22">
                  <c:v>3.76</c:v>
                </c:pt>
                <c:pt idx="23">
                  <c:v>4.84</c:v>
                </c:pt>
                <c:pt idx="24">
                  <c:v>5.92</c:v>
                </c:pt>
                <c:pt idx="25">
                  <c:v>7</c:v>
                </c:pt>
              </c:numCache>
            </c:numRef>
          </c:xVal>
          <c:yVal>
            <c:numRef>
              <c:f>'[5]HP Sizing'!$L$8:$L$33</c:f>
              <c:numCache>
                <c:formatCode>General</c:formatCode>
                <c:ptCount val="26"/>
                <c:pt idx="0">
                  <c:v>57.333333333333336</c:v>
                </c:pt>
                <c:pt idx="1">
                  <c:v>56.222222222222221</c:v>
                </c:pt>
                <c:pt idx="2">
                  <c:v>55.111111111111114</c:v>
                </c:pt>
                <c:pt idx="3">
                  <c:v>54</c:v>
                </c:pt>
                <c:pt idx="4">
                  <c:v>52.888888888888886</c:v>
                </c:pt>
                <c:pt idx="5">
                  <c:v>51.777777777777779</c:v>
                </c:pt>
                <c:pt idx="6">
                  <c:v>50.666666666666664</c:v>
                </c:pt>
                <c:pt idx="7">
                  <c:v>49.555555555555557</c:v>
                </c:pt>
                <c:pt idx="8">
                  <c:v>48.444444444444443</c:v>
                </c:pt>
                <c:pt idx="9">
                  <c:v>47.333333333333336</c:v>
                </c:pt>
                <c:pt idx="10">
                  <c:v>46.222222222222221</c:v>
                </c:pt>
                <c:pt idx="11">
                  <c:v>45.111111111111114</c:v>
                </c:pt>
                <c:pt idx="12">
                  <c:v>44</c:v>
                </c:pt>
                <c:pt idx="13">
                  <c:v>42.888888888888886</c:v>
                </c:pt>
                <c:pt idx="14">
                  <c:v>41.777777777777779</c:v>
                </c:pt>
                <c:pt idx="15">
                  <c:v>40.666666666666671</c:v>
                </c:pt>
                <c:pt idx="16">
                  <c:v>39.555555555555557</c:v>
                </c:pt>
                <c:pt idx="17">
                  <c:v>38.444444444444443</c:v>
                </c:pt>
                <c:pt idx="18">
                  <c:v>37.333333333333329</c:v>
                </c:pt>
                <c:pt idx="19">
                  <c:v>36.222222222222221</c:v>
                </c:pt>
                <c:pt idx="20">
                  <c:v>35.111111111111114</c:v>
                </c:pt>
                <c:pt idx="21">
                  <c:v>34</c:v>
                </c:pt>
                <c:pt idx="22">
                  <c:v>32.888888888888886</c:v>
                </c:pt>
                <c:pt idx="23">
                  <c:v>31.777777777777779</c:v>
                </c:pt>
                <c:pt idx="24">
                  <c:v>30.666666666666664</c:v>
                </c:pt>
                <c:pt idx="25">
                  <c:v>29.555555555555554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7B-447C-8B73-ED5E2C917D38}"/>
            </c:ext>
          </c:extLst>
        </c:ser>
        <c:ser>
          <c:idx val="3"/>
          <c:order val="3"/>
          <c:tx>
            <c:strRef>
              <c:f>[5]DataSupport!$M$2</c:f>
              <c:strCache>
                <c:ptCount val="1"/>
                <c:pt idx="0">
                  <c:v>ZHV*KCU (R290)</c:v>
                </c:pt>
              </c:strCache>
            </c:strRef>
          </c:tx>
          <c:spPr>
            <a:ln w="444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[5]DataSupport!$M$4:$M$13</c:f>
              <c:numCache>
                <c:formatCode>General</c:formatCode>
                <c:ptCount val="10"/>
                <c:pt idx="0">
                  <c:v>-30</c:v>
                </c:pt>
                <c:pt idx="1">
                  <c:v>-9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-11</c:v>
                </c:pt>
                <c:pt idx="6">
                  <c:v>-30</c:v>
                </c:pt>
                <c:pt idx="7">
                  <c:v>-30</c:v>
                </c:pt>
              </c:numCache>
            </c:numRef>
          </c:xVal>
          <c:yVal>
            <c:numRef>
              <c:f>[5]DataSupport!$N$4:$N$13</c:f>
              <c:numCache>
                <c:formatCode>General</c:formatCode>
                <c:ptCount val="10"/>
                <c:pt idx="0">
                  <c:v>45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7B-447C-8B73-ED5E2C917D38}"/>
            </c:ext>
          </c:extLst>
        </c:ser>
        <c:ser>
          <c:idx val="4"/>
          <c:order val="4"/>
          <c:tx>
            <c:strRef>
              <c:f>[5]DataSupport!$P$2</c:f>
              <c:strCache>
                <c:ptCount val="1"/>
                <c:pt idx="0">
                  <c:v>ZHW*KCU w/ EVI (R290)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[5]DataSupport!$P$4:$P$8</c:f>
              <c:numCache>
                <c:formatCode>General</c:formatCode>
                <c:ptCount val="5"/>
                <c:pt idx="0">
                  <c:v>-30</c:v>
                </c:pt>
                <c:pt idx="1">
                  <c:v>-30</c:v>
                </c:pt>
                <c:pt idx="2">
                  <c:v>-20</c:v>
                </c:pt>
                <c:pt idx="3">
                  <c:v>-9</c:v>
                </c:pt>
              </c:numCache>
            </c:numRef>
          </c:xVal>
          <c:yVal>
            <c:numRef>
              <c:f>[5]DataSupport!$Q$4:$Q$8</c:f>
              <c:numCache>
                <c:formatCode>General</c:formatCode>
                <c:ptCount val="5"/>
                <c:pt idx="0">
                  <c:v>45</c:v>
                </c:pt>
                <c:pt idx="1">
                  <c:v>65</c:v>
                </c:pt>
                <c:pt idx="2">
                  <c:v>70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7B-447C-8B73-ED5E2C917D38}"/>
            </c:ext>
          </c:extLst>
        </c:ser>
        <c:ser>
          <c:idx val="5"/>
          <c:order val="5"/>
          <c:tx>
            <c:strRef>
              <c:f>[5]DataSupport!$S$2</c:f>
              <c:strCache>
                <c:ptCount val="1"/>
                <c:pt idx="0">
                  <c:v>ZH Quantum (R290 10K/5K)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Pt>
            <c:idx val="7"/>
            <c:bubble3D val="0"/>
            <c:spPr>
              <a:ln w="38100">
                <a:noFill/>
              </a:ln>
            </c:spPr>
            <c:extLst>
              <c:ext xmlns:c16="http://schemas.microsoft.com/office/drawing/2014/chart" uri="{C3380CC4-5D6E-409C-BE32-E72D297353CC}">
                <c16:uniqueId val="{00000006-D57B-447C-8B73-ED5E2C917D38}"/>
              </c:ext>
            </c:extLst>
          </c:dPt>
          <c:xVal>
            <c:numRef>
              <c:f>[5]DataSupport!$S$4:$S$12</c:f>
              <c:numCache>
                <c:formatCode>General</c:formatCode>
                <c:ptCount val="9"/>
                <c:pt idx="0">
                  <c:v>-30</c:v>
                </c:pt>
                <c:pt idx="1">
                  <c:v>-10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-10</c:v>
                </c:pt>
                <c:pt idx="7">
                  <c:v>-30</c:v>
                </c:pt>
                <c:pt idx="8">
                  <c:v>-30</c:v>
                </c:pt>
              </c:numCache>
            </c:numRef>
          </c:xVal>
          <c:yVal>
            <c:numRef>
              <c:f>[5]DataSupport!$T$4:$T$12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31</c:v>
                </c:pt>
                <c:pt idx="3">
                  <c:v>42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45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7B-447C-8B73-ED5E2C917D38}"/>
            </c:ext>
          </c:extLst>
        </c:ser>
        <c:ser>
          <c:idx val="7"/>
          <c:order val="6"/>
          <c:tx>
            <c:strRef>
              <c:f>[5]DataSupport!$W$2</c:f>
              <c:strCache>
                <c:ptCount val="1"/>
                <c:pt idx="0">
                  <c:v>ZH*KCU Quest (R290-10K)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[5]DataSupport!$W$13:$W$16</c:f>
              <c:numCache>
                <c:formatCode>General</c:formatCode>
                <c:ptCount val="4"/>
                <c:pt idx="0">
                  <c:v>-10</c:v>
                </c:pt>
                <c:pt idx="1">
                  <c:v>-15</c:v>
                </c:pt>
                <c:pt idx="2">
                  <c:v>-30</c:v>
                </c:pt>
                <c:pt idx="3">
                  <c:v>-30</c:v>
                </c:pt>
              </c:numCache>
            </c:numRef>
          </c:xVal>
          <c:yVal>
            <c:numRef>
              <c:f>[5]DataSupport!$X$13:$X$16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52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7B-447C-8B73-ED5E2C917D38}"/>
            </c:ext>
          </c:extLst>
        </c:ser>
        <c:ser>
          <c:idx val="8"/>
          <c:order val="7"/>
          <c:tx>
            <c:strRef>
              <c:f>'[5]Envelope (2)'!$Q$9</c:f>
              <c:strCache>
                <c:ptCount val="1"/>
                <c:pt idx="0">
                  <c:v>Target (HCOP = 3.5)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'[5]Envelope (2)'!$T$9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57B-447C-8B73-ED5E2C917D38}"/>
            </c:ext>
          </c:extLst>
        </c:ser>
        <c:ser>
          <c:idx val="9"/>
          <c:order val="8"/>
          <c:tx>
            <c:strRef>
              <c:f>'[5]Envelope (2)'!$Q$10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(2)'!$S$10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57B-447C-8B73-ED5E2C917D38}"/>
            </c:ext>
          </c:extLst>
        </c:ser>
        <c:ser>
          <c:idx val="10"/>
          <c:order val="9"/>
          <c:tx>
            <c:strRef>
              <c:f>'[5]Envelope (2)'!$Q$11</c:f>
              <c:strCache>
                <c:ptCount val="1"/>
                <c:pt idx="0">
                  <c:v>Opimization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xVal>
          <c:yVal>
            <c:numRef>
              <c:f>'[5]Envelope (2)'!$T$11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57B-447C-8B73-ED5E2C917D38}"/>
            </c:ext>
          </c:extLst>
        </c:ser>
        <c:ser>
          <c:idx val="6"/>
          <c:order val="10"/>
          <c:tx>
            <c:strRef>
              <c:f>'[5]Envelope (2)'!$Q$12</c:f>
              <c:strCache>
                <c:ptCount val="1"/>
                <c:pt idx="0">
                  <c:v>Sanitary Water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(2)'!$S$12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(2)'!$T$12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57B-447C-8B73-ED5E2C917D38}"/>
            </c:ext>
          </c:extLst>
        </c:ser>
        <c:ser>
          <c:idx val="11"/>
          <c:order val="11"/>
          <c:spPr>
            <a:ln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'Calculation (2.5 l)'!$AD$12</c:f>
                  <c:strCache>
                    <c:ptCount val="1"/>
                    <c:pt idx="0">
                      <c:v>92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{327CA69E-E4AF-4395-A171-680DC893340D}</c15:txfldGUID>
                      <c15:f>'Calculation (2.5 l)'!$AD$12</c15:f>
                      <c15:dlblFieldTableCache>
                        <c:ptCount val="1"/>
                        <c:pt idx="0">
                          <c:v>92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57B-447C-8B73-ED5E2C917D38}"/>
                </c:ext>
              </c:extLst>
            </c:dLbl>
            <c:dLbl>
              <c:idx val="1"/>
              <c:tx>
                <c:strRef>
                  <c:f>'Calculation (2.5 l)'!$AD$13</c:f>
                  <c:strCache>
                    <c:ptCount val="1"/>
                    <c:pt idx="0">
                      <c:v>113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{01D8CD5E-3901-452F-B527-0D0C0ACFF572}</c15:txfldGUID>
                      <c15:f>'Calculation (2.5 l)'!$AD$13</c15:f>
                      <c15:dlblFieldTableCache>
                        <c:ptCount val="1"/>
                        <c:pt idx="0">
                          <c:v>113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57B-447C-8B73-ED5E2C917D38}"/>
                </c:ext>
              </c:extLst>
            </c:dLbl>
            <c:dLbl>
              <c:idx val="2"/>
              <c:tx>
                <c:strRef>
                  <c:f>'Calculation (2.5 l)'!$AD$14</c:f>
                  <c:strCache>
                    <c:ptCount val="1"/>
                    <c:pt idx="0">
                      <c:v>141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{397CCCCF-3EA7-41BF-8628-75AAB2132F44}</c15:txfldGUID>
                      <c15:f>'Calculation (2.5 l)'!$AD$14</c15:f>
                      <c15:dlblFieldTableCache>
                        <c:ptCount val="1"/>
                        <c:pt idx="0">
                          <c:v>141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D57B-447C-8B73-ED5E2C917D38}"/>
                </c:ext>
              </c:extLst>
            </c:dLbl>
            <c:dLbl>
              <c:idx val="3"/>
              <c:tx>
                <c:strRef>
                  <c:f>'Calculation (2.5 l)'!$AD$15</c:f>
                  <c:strCache>
                    <c:ptCount val="1"/>
                    <c:pt idx="0">
                      <c:v>120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{5525B7F4-2CFC-4F4F-96E9-1CCF09356E27}</c15:txfldGUID>
                      <c15:f>'Calculation (2.5 l)'!$AD$15</c15:f>
                      <c15:dlblFieldTableCache>
                        <c:ptCount val="1"/>
                        <c:pt idx="0">
                          <c:v>120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D57B-447C-8B73-ED5E2C917D38}"/>
                </c:ext>
              </c:extLst>
            </c:dLbl>
            <c:dLbl>
              <c:idx val="4"/>
              <c:tx>
                <c:strRef>
                  <c:f>'Calculation (2.5 l)'!$AD$16</c:f>
                  <c:strCache>
                    <c:ptCount val="1"/>
                    <c:pt idx="0">
                      <c:v>152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{E6078C3A-4D05-47E3-BCF9-FEF995E388CC}</c15:txfldGUID>
                      <c15:f>'Calculation (2.5 l)'!$AD$16</c15:f>
                      <c15:dlblFieldTableCache>
                        <c:ptCount val="1"/>
                        <c:pt idx="0">
                          <c:v>152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D57B-447C-8B73-ED5E2C917D38}"/>
                </c:ext>
              </c:extLst>
            </c:dLbl>
            <c:dLbl>
              <c:idx val="5"/>
              <c:tx>
                <c:strRef>
                  <c:f>'Calculation (2.5 l)'!$AD$17</c:f>
                  <c:strCache>
                    <c:ptCount val="1"/>
                    <c:pt idx="0">
                      <c:v>196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{98DA26D2-3DF4-4657-874D-DA69B4074069}</c15:txfldGUID>
                      <c15:f>'Calculation (2.5 l)'!$AD$17</c15:f>
                      <c15:dlblFieldTableCache>
                        <c:ptCount val="1"/>
                        <c:pt idx="0">
                          <c:v>196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D57B-447C-8B73-ED5E2C917D38}"/>
                </c:ext>
              </c:extLst>
            </c:dLbl>
            <c:dLbl>
              <c:idx val="6"/>
              <c:tx>
                <c:strRef>
                  <c:f>'Calculation (2.5 l)'!$AD$18</c:f>
                  <c:strCache>
                    <c:ptCount val="1"/>
                    <c:pt idx="0">
                      <c:v>169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{ED3F94B6-37E8-4883-88B0-8EC56C472342}</c15:txfldGUID>
                      <c15:f>'Calculation (2.5 l)'!$AD$18</c15:f>
                      <c15:dlblFieldTableCache>
                        <c:ptCount val="1"/>
                        <c:pt idx="0">
                          <c:v>169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D57B-447C-8B73-ED5E2C917D38}"/>
                </c:ext>
              </c:extLst>
            </c:dLbl>
            <c:dLbl>
              <c:idx val="7"/>
              <c:tx>
                <c:strRef>
                  <c:f>'Calculation (2.5 l)'!$AD$19</c:f>
                  <c:strCache>
                    <c:ptCount val="1"/>
                    <c:pt idx="0">
                      <c:v>225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{CB0A5478-9171-406E-9EB7-6F73801B5476}</c15:txfldGUID>
                      <c15:f>'Calculation (2.5 l)'!$AD$19</c15:f>
                      <c15:dlblFieldTableCache>
                        <c:ptCount val="1"/>
                        <c:pt idx="0">
                          <c:v>225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D57B-447C-8B73-ED5E2C917D38}"/>
                </c:ext>
              </c:extLst>
            </c:dLbl>
            <c:dLbl>
              <c:idx val="8"/>
              <c:tx>
                <c:strRef>
                  <c:f>'Calculation (2.5 l)'!$AD$20</c:f>
                  <c:strCache>
                    <c:ptCount val="1"/>
                    <c:pt idx="0">
                      <c:v>308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{C987081F-E2ED-4418-90AF-F609C13860FD}</c15:txfldGUID>
                      <c15:f>'Calculation (2.5 l)'!$AD$20</c15:f>
                      <c15:dlblFieldTableCache>
                        <c:ptCount val="1"/>
                        <c:pt idx="0">
                          <c:v>308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D57B-447C-8B73-ED5E2C917D38}"/>
                </c:ext>
              </c:extLst>
            </c:dLbl>
            <c:dLbl>
              <c:idx val="9"/>
              <c:tx>
                <c:strRef>
                  <c:f>'Calculation (2.5 l)'!$AD$21</c:f>
                  <c:strCache>
                    <c:ptCount val="1"/>
                    <c:pt idx="0">
                      <c:v>74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{46C48FCB-C330-4BCE-8B4A-11E5201C3B47}</c15:txfldGUID>
                      <c15:f>'Calculation (2.5 l)'!$AD$21</c15:f>
                      <c15:dlblFieldTableCache>
                        <c:ptCount val="1"/>
                        <c:pt idx="0">
                          <c:v>74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D57B-447C-8B73-ED5E2C917D3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57B-447C-8B73-ED5E2C917D38}"/>
                </c:ext>
              </c:extLst>
            </c:dLbl>
            <c:dLbl>
              <c:idx val="11"/>
              <c:tx>
                <c:strRef>
                  <c:f>'Calculation (2.5 l)'!$AD$23</c:f>
                  <c:strCache>
                    <c:ptCount val="1"/>
                    <c:pt idx="0">
                      <c:v>108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{802FE11D-5409-410D-AD7E-17F0CD816C81}</c15:txfldGUID>
                      <c15:f>'Calculation (2.5 l)'!$AD$23</c15:f>
                      <c15:dlblFieldTableCache>
                        <c:ptCount val="1"/>
                        <c:pt idx="0">
                          <c:v>108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D57B-447C-8B73-ED5E2C917D38}"/>
                </c:ext>
              </c:extLst>
            </c:dLbl>
            <c:dLbl>
              <c:idx val="12"/>
              <c:tx>
                <c:strRef>
                  <c:f>'Calculation (2.5 l)'!$AD$24</c:f>
                  <c:strCache>
                    <c:ptCount val="1"/>
                    <c:pt idx="0">
                      <c:v>38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{5DB759E5-1BE0-4BB5-9AE8-049C1F4689C8}</c15:txfldGUID>
                      <c15:f>'Calculation (2.5 l)'!$AD$24</c15:f>
                      <c15:dlblFieldTableCache>
                        <c:ptCount val="1"/>
                        <c:pt idx="0">
                          <c:v>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D57B-447C-8B73-ED5E2C917D38}"/>
                </c:ext>
              </c:extLst>
            </c:dLbl>
            <c:dLbl>
              <c:idx val="13"/>
              <c:tx>
                <c:strRef>
                  <c:f>'Calculation (2.5 l)'!$AD$25</c:f>
                  <c:strCache>
                    <c:ptCount val="1"/>
                    <c:pt idx="0">
                      <c:v>53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{0177D5F3-3672-43F7-B802-66BABE1D50C6}</c15:txfldGUID>
                      <c15:f>'Calculation (2.5 l)'!$AD$25</c15:f>
                      <c15:dlblFieldTableCache>
                        <c:ptCount val="1"/>
                        <c:pt idx="0">
                          <c:v>53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D57B-447C-8B73-ED5E2C917D38}"/>
                </c:ext>
              </c:extLst>
            </c:dLbl>
            <c:dLbl>
              <c:idx val="14"/>
              <c:tx>
                <c:strRef>
                  <c:f>'Calculation (2.5 l)'!$AD$26</c:f>
                  <c:strCache>
                    <c:ptCount val="1"/>
                    <c:pt idx="0">
                      <c:v>53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{7973D80D-17C7-4EAB-A89C-5A5D5E648603}</c15:txfldGUID>
                      <c15:f>'Calculation (2.5 l)'!$AD$26</c15:f>
                      <c15:dlblFieldTableCache>
                        <c:ptCount val="1"/>
                        <c:pt idx="0">
                          <c:v>53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D57B-447C-8B73-ED5E2C917D38}"/>
                </c:ext>
              </c:extLst>
            </c:dLbl>
            <c:dLbl>
              <c:idx val="15"/>
              <c:tx>
                <c:strRef>
                  <c:f>'Calculation (2.5 l)'!$AD$27</c:f>
                  <c:strCache>
                    <c:ptCount val="1"/>
                    <c:pt idx="0">
                      <c:v>106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{C90DFC8A-70C1-46C9-932D-7FD50B712970}</c15:txfldGUID>
                      <c15:f>'Calculation (2.5 l)'!$AD$27</c15:f>
                      <c15:dlblFieldTableCache>
                        <c:ptCount val="1"/>
                        <c:pt idx="0">
                          <c:v>106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D57B-447C-8B73-ED5E2C917D38}"/>
                </c:ext>
              </c:extLst>
            </c:dLbl>
            <c:dLbl>
              <c:idx val="16"/>
              <c:tx>
                <c:strRef>
                  <c:f>'Calculation (2.5 l)'!$AD$28</c:f>
                  <c:strCache>
                    <c:ptCount val="1"/>
                    <c:pt idx="0">
                      <c:v>105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{111159A1-B4FE-4F09-84E5-954917A75640}</c15:txfldGUID>
                      <c15:f>'Calculation (2.5 l)'!$AD$28</c15:f>
                      <c15:dlblFieldTableCache>
                        <c:ptCount val="1"/>
                        <c:pt idx="0">
                          <c:v>105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D57B-447C-8B73-ED5E2C917D38}"/>
                </c:ext>
              </c:extLst>
            </c:dLbl>
            <c:dLbl>
              <c:idx val="17"/>
              <c:tx>
                <c:strRef>
                  <c:f>'Calculation (2.5 l)'!$AD$29</c:f>
                  <c:strCache>
                    <c:ptCount val="1"/>
                    <c:pt idx="0">
                      <c:v>51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{D704F845-AC22-4D60-A2E6-C2F4747B1357}</c15:txfldGUID>
                      <c15:f>'Calculation (2.5 l)'!$AD$29</c15:f>
                      <c15:dlblFieldTableCache>
                        <c:ptCount val="1"/>
                        <c:pt idx="0">
                          <c:v>51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D57B-447C-8B73-ED5E2C917D38}"/>
                </c:ext>
              </c:extLst>
            </c:dLbl>
            <c:dLbl>
              <c:idx val="18"/>
              <c:tx>
                <c:strRef>
                  <c:f>'Calculation (2.5 l)'!$AD$30</c:f>
                  <c:strCache>
                    <c:ptCount val="1"/>
                    <c:pt idx="0">
                      <c:v>167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{2B05F0FD-7BFC-4418-B4CD-D24E484220DD}</c15:txfldGUID>
                      <c15:f>'Calculation (2.5 l)'!$AD$30</c15:f>
                      <c15:dlblFieldTableCache>
                        <c:ptCount val="1"/>
                        <c:pt idx="0">
                          <c:v>167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D57B-447C-8B73-ED5E2C917D38}"/>
                </c:ext>
              </c:extLst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200" b="1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'Calculation (1l)'!$P$12:$P$30</c:f>
              <c:numCache>
                <c:formatCode>General</c:formatCode>
                <c:ptCount val="19"/>
                <c:pt idx="0">
                  <c:v>-30</c:v>
                </c:pt>
                <c:pt idx="1">
                  <c:v>-11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-9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  <c:pt idx="10">
                  <c:v>-35</c:v>
                </c:pt>
                <c:pt idx="11">
                  <c:v>-30</c:v>
                </c:pt>
                <c:pt idx="12">
                  <c:v>-30</c:v>
                </c:pt>
                <c:pt idx="13">
                  <c:v>-18</c:v>
                </c:pt>
                <c:pt idx="14">
                  <c:v>-18</c:v>
                </c:pt>
                <c:pt idx="15">
                  <c:v>-5</c:v>
                </c:pt>
                <c:pt idx="16">
                  <c:v>0</c:v>
                </c:pt>
                <c:pt idx="17">
                  <c:v>-20</c:v>
                </c:pt>
                <c:pt idx="18">
                  <c:v>7</c:v>
                </c:pt>
              </c:numCache>
            </c:numRef>
          </c:xVal>
          <c:yVal>
            <c:numRef>
              <c:f>'Calculation (1l)'!$Q$12:$Q$30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65</c:v>
                </c:pt>
                <c:pt idx="10">
                  <c:v>50</c:v>
                </c:pt>
                <c:pt idx="11">
                  <c:v>45</c:v>
                </c:pt>
                <c:pt idx="12">
                  <c:v>35</c:v>
                </c:pt>
                <c:pt idx="13">
                  <c:v>62</c:v>
                </c:pt>
                <c:pt idx="14">
                  <c:v>58</c:v>
                </c:pt>
                <c:pt idx="15">
                  <c:v>43</c:v>
                </c:pt>
                <c:pt idx="16">
                  <c:v>56</c:v>
                </c:pt>
                <c:pt idx="17">
                  <c:v>57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57B-447C-8B73-ED5E2C917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09888"/>
        <c:axId val="127911808"/>
      </c:scatterChart>
      <c:valAx>
        <c:axId val="127909888"/>
        <c:scaling>
          <c:orientation val="minMax"/>
          <c:min val="-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Evaporating Temperature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7911808"/>
        <c:crosses val="autoZero"/>
        <c:crossBetween val="midCat"/>
        <c:majorUnit val="5"/>
        <c:minorUnit val="5"/>
      </c:valAx>
      <c:valAx>
        <c:axId val="127911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Condensing</a:t>
                </a:r>
                <a:r>
                  <a:rPr lang="en-US" sz="1400" baseline="0"/>
                  <a:t> Temperature (°C)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0509031198686385E-2"/>
              <c:y val="0.37416515243286896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7909888"/>
        <c:crossesAt val="-35"/>
        <c:crossBetween val="midCat"/>
        <c:minorUnit val="5"/>
      </c:valAx>
    </c:plotArea>
    <c:legend>
      <c:legendPos val="r"/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8.9530240301377267E-2"/>
          <c:y val="7.0924976623456273E-2"/>
          <c:w val="0.8739305510503137"/>
          <c:h val="5.2552993219524988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</a:t>
            </a:r>
            <a:r>
              <a:rPr lang="en-US" baseline="0"/>
              <a:t> m</a:t>
            </a:r>
            <a:r>
              <a:rPr lang="en-US"/>
              <a:t>ass (gr)</a:t>
            </a:r>
            <a:r>
              <a:rPr lang="en-US" baseline="0"/>
              <a:t> R290 Inside the Oil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874446046395661E-2"/>
          <c:y val="6.3287521268822602E-2"/>
          <c:w val="0.88442609601189204"/>
          <c:h val="0.82944767486421167"/>
        </c:manualLayout>
      </c:layout>
      <c:scatterChart>
        <c:scatterStyle val="lineMarker"/>
        <c:varyColors val="0"/>
        <c:ser>
          <c:idx val="3"/>
          <c:order val="0"/>
          <c:tx>
            <c:strRef>
              <c:f>[5]DataSupport!$M$2</c:f>
              <c:strCache>
                <c:ptCount val="1"/>
                <c:pt idx="0">
                  <c:v>ZHV*KCU (R290)</c:v>
                </c:pt>
              </c:strCache>
            </c:strRef>
          </c:tx>
          <c:spPr>
            <a:ln w="444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[5]DataSupport!$M$4:$M$13</c:f>
              <c:numCache>
                <c:formatCode>General</c:formatCode>
                <c:ptCount val="10"/>
                <c:pt idx="0">
                  <c:v>-30</c:v>
                </c:pt>
                <c:pt idx="1">
                  <c:v>-9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-11</c:v>
                </c:pt>
                <c:pt idx="6">
                  <c:v>-30</c:v>
                </c:pt>
                <c:pt idx="7">
                  <c:v>-30</c:v>
                </c:pt>
              </c:numCache>
            </c:numRef>
          </c:xVal>
          <c:yVal>
            <c:numRef>
              <c:f>[5]DataSupport!$N$4:$N$13</c:f>
              <c:numCache>
                <c:formatCode>General</c:formatCode>
                <c:ptCount val="10"/>
                <c:pt idx="0">
                  <c:v>45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A-4D6C-A234-80F55E52F93E}"/>
            </c:ext>
          </c:extLst>
        </c:ser>
        <c:ser>
          <c:idx val="7"/>
          <c:order val="1"/>
          <c:tx>
            <c:strRef>
              <c:f>[5]DataSupport!$W$2</c:f>
              <c:strCache>
                <c:ptCount val="1"/>
                <c:pt idx="0">
                  <c:v>ZH*KCU Quest (R290-10K)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[5]DataSupport!$W$13:$W$16</c:f>
              <c:numCache>
                <c:formatCode>General</c:formatCode>
                <c:ptCount val="4"/>
                <c:pt idx="0">
                  <c:v>-10</c:v>
                </c:pt>
                <c:pt idx="1">
                  <c:v>-15</c:v>
                </c:pt>
                <c:pt idx="2">
                  <c:v>-30</c:v>
                </c:pt>
                <c:pt idx="3">
                  <c:v>-30</c:v>
                </c:pt>
              </c:numCache>
            </c:numRef>
          </c:xVal>
          <c:yVal>
            <c:numRef>
              <c:f>[5]DataSupport!$X$13:$X$16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52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4A-4D6C-A234-80F55E52F93E}"/>
            </c:ext>
          </c:extLst>
        </c:ser>
        <c:ser>
          <c:idx val="8"/>
          <c:order val="2"/>
          <c:tx>
            <c:strRef>
              <c:f>'[5]Envelope (2)'!$Q$9</c:f>
              <c:strCache>
                <c:ptCount val="1"/>
                <c:pt idx="0">
                  <c:v>Target (HCOP = 3.5)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'[5]Envelope (2)'!$T$9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4A-4D6C-A234-80F55E52F93E}"/>
            </c:ext>
          </c:extLst>
        </c:ser>
        <c:ser>
          <c:idx val="9"/>
          <c:order val="3"/>
          <c:tx>
            <c:strRef>
              <c:f>'[5]Envelope (2)'!$Q$10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(2)'!$S$10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4A-4D6C-A234-80F55E52F93E}"/>
            </c:ext>
          </c:extLst>
        </c:ser>
        <c:ser>
          <c:idx val="10"/>
          <c:order val="4"/>
          <c:tx>
            <c:strRef>
              <c:f>'[5]Envelope (2)'!$Q$11</c:f>
              <c:strCache>
                <c:ptCount val="1"/>
                <c:pt idx="0">
                  <c:v>Opimization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xVal>
          <c:yVal>
            <c:numRef>
              <c:f>'[5]Envelope (2)'!$T$11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4A-4D6C-A234-80F55E52F93E}"/>
            </c:ext>
          </c:extLst>
        </c:ser>
        <c:ser>
          <c:idx val="6"/>
          <c:order val="5"/>
          <c:tx>
            <c:strRef>
              <c:f>'[5]Envelope (2)'!$Q$12</c:f>
              <c:strCache>
                <c:ptCount val="1"/>
                <c:pt idx="0">
                  <c:v>Sanitary Water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(2)'!$S$12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(2)'!$T$12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4A-4D6C-A234-80F55E52F93E}"/>
            </c:ext>
          </c:extLst>
        </c:ser>
        <c:ser>
          <c:idx val="11"/>
          <c:order val="6"/>
          <c:spPr>
            <a:ln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'Calculation (2.5 l)'!$AD$12</c:f>
                  <c:strCache>
                    <c:ptCount val="1"/>
                    <c:pt idx="0">
                      <c:v>92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{11AD2FE4-18FD-4FA9-AD06-C9846EC0E107}</c15:txfldGUID>
                      <c15:f>'Calculation (2.5 l)'!$AD$12</c15:f>
                      <c15:dlblFieldTableCache>
                        <c:ptCount val="1"/>
                        <c:pt idx="0">
                          <c:v>92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E4A-4D6C-A234-80F55E52F93E}"/>
                </c:ext>
              </c:extLst>
            </c:dLbl>
            <c:dLbl>
              <c:idx val="1"/>
              <c:tx>
                <c:strRef>
                  <c:f>'Calculation (2.5 l)'!$AD$13</c:f>
                  <c:strCache>
                    <c:ptCount val="1"/>
                    <c:pt idx="0">
                      <c:v>113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{B222E709-5DF9-4183-91DA-B8F7A736F27A}</c15:txfldGUID>
                      <c15:f>'Calculation (2.5 l)'!$AD$13</c15:f>
                      <c15:dlblFieldTableCache>
                        <c:ptCount val="1"/>
                        <c:pt idx="0">
                          <c:v>113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AE4A-4D6C-A234-80F55E52F93E}"/>
                </c:ext>
              </c:extLst>
            </c:dLbl>
            <c:dLbl>
              <c:idx val="2"/>
              <c:tx>
                <c:strRef>
                  <c:f>'Calculation (2.5 l)'!$AD$14</c:f>
                  <c:strCache>
                    <c:ptCount val="1"/>
                    <c:pt idx="0">
                      <c:v>141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{2D518B44-343B-40CB-8D9C-52FA54BA9E17}</c15:txfldGUID>
                      <c15:f>'Calculation (2.5 l)'!$AD$14</c15:f>
                      <c15:dlblFieldTableCache>
                        <c:ptCount val="1"/>
                        <c:pt idx="0">
                          <c:v>141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AE4A-4D6C-A234-80F55E52F93E}"/>
                </c:ext>
              </c:extLst>
            </c:dLbl>
            <c:dLbl>
              <c:idx val="3"/>
              <c:tx>
                <c:strRef>
                  <c:f>'Calculation (2.5 l)'!$AD$15</c:f>
                  <c:strCache>
                    <c:ptCount val="1"/>
                    <c:pt idx="0">
                      <c:v>120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{A88456E3-DB0C-48EE-AE9D-BBE51F1E165A}</c15:txfldGUID>
                      <c15:f>'Calculation (2.5 l)'!$AD$15</c15:f>
                      <c15:dlblFieldTableCache>
                        <c:ptCount val="1"/>
                        <c:pt idx="0">
                          <c:v>120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E4A-4D6C-A234-80F55E52F93E}"/>
                </c:ext>
              </c:extLst>
            </c:dLbl>
            <c:dLbl>
              <c:idx val="4"/>
              <c:tx>
                <c:strRef>
                  <c:f>'Calculation (2.5 l)'!$AD$16</c:f>
                  <c:strCache>
                    <c:ptCount val="1"/>
                    <c:pt idx="0">
                      <c:v>152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{1C320716-9040-4BA4-8D62-93602B6A4DA7}</c15:txfldGUID>
                      <c15:f>'Calculation (2.5 l)'!$AD$16</c15:f>
                      <c15:dlblFieldTableCache>
                        <c:ptCount val="1"/>
                        <c:pt idx="0">
                          <c:v>152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E4A-4D6C-A234-80F55E52F93E}"/>
                </c:ext>
              </c:extLst>
            </c:dLbl>
            <c:dLbl>
              <c:idx val="5"/>
              <c:tx>
                <c:strRef>
                  <c:f>'Calculation (2.5 l)'!$AD$17</c:f>
                  <c:strCache>
                    <c:ptCount val="1"/>
                    <c:pt idx="0">
                      <c:v>196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{E5D57487-7575-4EB2-A70E-C53A004B24DB}</c15:txfldGUID>
                      <c15:f>'Calculation (2.5 l)'!$AD$17</c15:f>
                      <c15:dlblFieldTableCache>
                        <c:ptCount val="1"/>
                        <c:pt idx="0">
                          <c:v>196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AE4A-4D6C-A234-80F55E52F93E}"/>
                </c:ext>
              </c:extLst>
            </c:dLbl>
            <c:dLbl>
              <c:idx val="6"/>
              <c:tx>
                <c:strRef>
                  <c:f>'Calculation (2.5 l)'!$AD$18</c:f>
                  <c:strCache>
                    <c:ptCount val="1"/>
                    <c:pt idx="0">
                      <c:v>169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{997733F8-A76F-4BA5-BE25-6C1F7155FB31}</c15:txfldGUID>
                      <c15:f>'Calculation (2.5 l)'!$AD$18</c15:f>
                      <c15:dlblFieldTableCache>
                        <c:ptCount val="1"/>
                        <c:pt idx="0">
                          <c:v>169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AE4A-4D6C-A234-80F55E52F93E}"/>
                </c:ext>
              </c:extLst>
            </c:dLbl>
            <c:dLbl>
              <c:idx val="7"/>
              <c:tx>
                <c:strRef>
                  <c:f>'Calculation (2.5 l)'!$AD$19</c:f>
                  <c:strCache>
                    <c:ptCount val="1"/>
                    <c:pt idx="0">
                      <c:v>225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{D120A726-9896-4844-BE02-E04CBA22D8D7}</c15:txfldGUID>
                      <c15:f>'Calculation (2.5 l)'!$AD$19</c15:f>
                      <c15:dlblFieldTableCache>
                        <c:ptCount val="1"/>
                        <c:pt idx="0">
                          <c:v>225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AE4A-4D6C-A234-80F55E52F93E}"/>
                </c:ext>
              </c:extLst>
            </c:dLbl>
            <c:dLbl>
              <c:idx val="8"/>
              <c:tx>
                <c:strRef>
                  <c:f>'Calculation (2.5 l)'!$AD$20</c:f>
                  <c:strCache>
                    <c:ptCount val="1"/>
                    <c:pt idx="0">
                      <c:v>308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{312AB524-E1EB-4322-9469-2D2FC0303513}</c15:txfldGUID>
                      <c15:f>'Calculation (2.5 l)'!$AD$20</c15:f>
                      <c15:dlblFieldTableCache>
                        <c:ptCount val="1"/>
                        <c:pt idx="0">
                          <c:v>308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E4A-4D6C-A234-80F55E52F93E}"/>
                </c:ext>
              </c:extLst>
            </c:dLbl>
            <c:dLbl>
              <c:idx val="9"/>
              <c:tx>
                <c:strRef>
                  <c:f>'Calculation (2.5 l)'!$AD$21</c:f>
                  <c:strCache>
                    <c:ptCount val="1"/>
                    <c:pt idx="0">
                      <c:v>74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{08B093CB-DC57-47FD-9121-92050D0D2BF7}</c15:txfldGUID>
                      <c15:f>'Calculation (2.5 l)'!$AD$21</c15:f>
                      <c15:dlblFieldTableCache>
                        <c:ptCount val="1"/>
                        <c:pt idx="0">
                          <c:v>74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AE4A-4D6C-A234-80F55E52F9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E4A-4D6C-A234-80F55E52F93E}"/>
                </c:ext>
              </c:extLst>
            </c:dLbl>
            <c:dLbl>
              <c:idx val="11"/>
              <c:tx>
                <c:strRef>
                  <c:f>'Calculation (2.5 l)'!$AD$23</c:f>
                  <c:strCache>
                    <c:ptCount val="1"/>
                    <c:pt idx="0">
                      <c:v>108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{FFAFC446-D140-4C6D-9C92-EBE33B76D814}</c15:txfldGUID>
                      <c15:f>'Calculation (2.5 l)'!$AD$23</c15:f>
                      <c15:dlblFieldTableCache>
                        <c:ptCount val="1"/>
                        <c:pt idx="0">
                          <c:v>108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AE4A-4D6C-A234-80F55E52F93E}"/>
                </c:ext>
              </c:extLst>
            </c:dLbl>
            <c:dLbl>
              <c:idx val="12"/>
              <c:tx>
                <c:strRef>
                  <c:f>'Calculation (2.5 l)'!$AD$24</c:f>
                  <c:strCache>
                    <c:ptCount val="1"/>
                    <c:pt idx="0">
                      <c:v>38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{B534B407-6D22-4FE7-904C-B2FBF12053A4}</c15:txfldGUID>
                      <c15:f>'Calculation (2.5 l)'!$AD$24</c15:f>
                      <c15:dlblFieldTableCache>
                        <c:ptCount val="1"/>
                        <c:pt idx="0">
                          <c:v>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AE4A-4D6C-A234-80F55E52F93E}"/>
                </c:ext>
              </c:extLst>
            </c:dLbl>
            <c:dLbl>
              <c:idx val="13"/>
              <c:tx>
                <c:strRef>
                  <c:f>'Calculation (2.5 l)'!$AD$25</c:f>
                  <c:strCache>
                    <c:ptCount val="1"/>
                    <c:pt idx="0">
                      <c:v>53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{DFBC9C0A-AC5E-48E9-A372-813D5367D7FC}</c15:txfldGUID>
                      <c15:f>'Calculation (2.5 l)'!$AD$25</c15:f>
                      <c15:dlblFieldTableCache>
                        <c:ptCount val="1"/>
                        <c:pt idx="0">
                          <c:v>53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AE4A-4D6C-A234-80F55E52F93E}"/>
                </c:ext>
              </c:extLst>
            </c:dLbl>
            <c:dLbl>
              <c:idx val="14"/>
              <c:tx>
                <c:strRef>
                  <c:f>'Calculation (2.5 l)'!$AD$26</c:f>
                  <c:strCache>
                    <c:ptCount val="1"/>
                    <c:pt idx="0">
                      <c:v>53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{83A377EF-81CB-406A-8946-23FBB90E4C72}</c15:txfldGUID>
                      <c15:f>'Calculation (2.5 l)'!$AD$26</c15:f>
                      <c15:dlblFieldTableCache>
                        <c:ptCount val="1"/>
                        <c:pt idx="0">
                          <c:v>53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AE4A-4D6C-A234-80F55E52F93E}"/>
                </c:ext>
              </c:extLst>
            </c:dLbl>
            <c:dLbl>
              <c:idx val="15"/>
              <c:tx>
                <c:strRef>
                  <c:f>'Calculation (2.5 l)'!$AD$27</c:f>
                  <c:strCache>
                    <c:ptCount val="1"/>
                    <c:pt idx="0">
                      <c:v>106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{DBA13938-5733-4AFE-B34A-39CAE42E26FB}</c15:txfldGUID>
                      <c15:f>'Calculation (2.5 l)'!$AD$27</c15:f>
                      <c15:dlblFieldTableCache>
                        <c:ptCount val="1"/>
                        <c:pt idx="0">
                          <c:v>106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AE4A-4D6C-A234-80F55E52F93E}"/>
                </c:ext>
              </c:extLst>
            </c:dLbl>
            <c:dLbl>
              <c:idx val="16"/>
              <c:tx>
                <c:strRef>
                  <c:f>'Calculation (2.5 l)'!$AD$28</c:f>
                  <c:strCache>
                    <c:ptCount val="1"/>
                    <c:pt idx="0">
                      <c:v>105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{FF03AC28-2E04-4CE3-A415-1093202BA35E}</c15:txfldGUID>
                      <c15:f>'Calculation (2.5 l)'!$AD$28</c15:f>
                      <c15:dlblFieldTableCache>
                        <c:ptCount val="1"/>
                        <c:pt idx="0">
                          <c:v>105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AE4A-4D6C-A234-80F55E52F93E}"/>
                </c:ext>
              </c:extLst>
            </c:dLbl>
            <c:dLbl>
              <c:idx val="17"/>
              <c:tx>
                <c:strRef>
                  <c:f>'Calculation (2.5 l)'!$AD$29</c:f>
                  <c:strCache>
                    <c:ptCount val="1"/>
                    <c:pt idx="0">
                      <c:v>51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{31678E60-4016-4496-A9D6-1BB42BDBEA2B}</c15:txfldGUID>
                      <c15:f>'Calculation (2.5 l)'!$AD$29</c15:f>
                      <c15:dlblFieldTableCache>
                        <c:ptCount val="1"/>
                        <c:pt idx="0">
                          <c:v>51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AE4A-4D6C-A234-80F55E52F93E}"/>
                </c:ext>
              </c:extLst>
            </c:dLbl>
            <c:dLbl>
              <c:idx val="18"/>
              <c:tx>
                <c:strRef>
                  <c:f>'Calculation (2.5 l)'!$AD$30</c:f>
                  <c:strCache>
                    <c:ptCount val="1"/>
                    <c:pt idx="0">
                      <c:v>167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{D4821758-0825-414D-A1C1-9E623365CFC8}</c15:txfldGUID>
                      <c15:f>'Calculation (2.5 l)'!$AD$30</c15:f>
                      <c15:dlblFieldTableCache>
                        <c:ptCount val="1"/>
                        <c:pt idx="0">
                          <c:v>167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AE4A-4D6C-A234-80F55E52F93E}"/>
                </c:ext>
              </c:extLst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600" b="1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'Calculation (1l)'!$P$12:$P$30</c:f>
              <c:numCache>
                <c:formatCode>General</c:formatCode>
                <c:ptCount val="19"/>
                <c:pt idx="0">
                  <c:v>-30</c:v>
                </c:pt>
                <c:pt idx="1">
                  <c:v>-11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-9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  <c:pt idx="10">
                  <c:v>-35</c:v>
                </c:pt>
                <c:pt idx="11">
                  <c:v>-30</c:v>
                </c:pt>
                <c:pt idx="12">
                  <c:v>-30</c:v>
                </c:pt>
                <c:pt idx="13">
                  <c:v>-18</c:v>
                </c:pt>
                <c:pt idx="14">
                  <c:v>-18</c:v>
                </c:pt>
                <c:pt idx="15">
                  <c:v>-5</c:v>
                </c:pt>
                <c:pt idx="16">
                  <c:v>0</c:v>
                </c:pt>
                <c:pt idx="17">
                  <c:v>-20</c:v>
                </c:pt>
                <c:pt idx="18">
                  <c:v>7</c:v>
                </c:pt>
              </c:numCache>
            </c:numRef>
          </c:xVal>
          <c:yVal>
            <c:numRef>
              <c:f>'Calculation (1l)'!$Q$12:$Q$30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65</c:v>
                </c:pt>
                <c:pt idx="10">
                  <c:v>50</c:v>
                </c:pt>
                <c:pt idx="11">
                  <c:v>45</c:v>
                </c:pt>
                <c:pt idx="12">
                  <c:v>35</c:v>
                </c:pt>
                <c:pt idx="13">
                  <c:v>62</c:v>
                </c:pt>
                <c:pt idx="14">
                  <c:v>58</c:v>
                </c:pt>
                <c:pt idx="15">
                  <c:v>43</c:v>
                </c:pt>
                <c:pt idx="16">
                  <c:v>56</c:v>
                </c:pt>
                <c:pt idx="17">
                  <c:v>57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E4A-4D6C-A234-80F55E52F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73824"/>
        <c:axId val="128992384"/>
      </c:scatterChart>
      <c:valAx>
        <c:axId val="128973824"/>
        <c:scaling>
          <c:orientation val="minMax"/>
          <c:min val="-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Evaporating Temperature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8992384"/>
        <c:crosses val="autoZero"/>
        <c:crossBetween val="midCat"/>
        <c:majorUnit val="5"/>
        <c:minorUnit val="5"/>
      </c:valAx>
      <c:valAx>
        <c:axId val="128992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Condensing</a:t>
                </a:r>
                <a:r>
                  <a:rPr lang="en-US" sz="1400" baseline="0"/>
                  <a:t> Temperature (°C)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0509031198686385E-2"/>
              <c:y val="0.37416515243286896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8973824"/>
        <c:crossesAt val="-35"/>
        <c:crossBetween val="midCat"/>
        <c:minorUnit val="5"/>
      </c:valAx>
    </c:plotArea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Max mass (gr) R290 Inside the Oil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87444604639573E-2"/>
          <c:y val="6.3287521268822602E-2"/>
          <c:w val="0.88442609601189204"/>
          <c:h val="0.82944767486421167"/>
        </c:manualLayout>
      </c:layout>
      <c:scatterChart>
        <c:scatterStyle val="lineMarker"/>
        <c:varyColors val="0"/>
        <c:ser>
          <c:idx val="2"/>
          <c:order val="0"/>
          <c:tx>
            <c:v>Operating Conditions</c:v>
          </c:tx>
          <c:spPr>
            <a:ln w="50800" cmpd="tri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'[5]HP Sizing'!$J$8:$J$33</c:f>
              <c:numCache>
                <c:formatCode>General</c:formatCode>
                <c:ptCount val="26"/>
                <c:pt idx="0">
                  <c:v>-20</c:v>
                </c:pt>
                <c:pt idx="1">
                  <c:v>-18.920000000000002</c:v>
                </c:pt>
                <c:pt idx="2">
                  <c:v>-17.84</c:v>
                </c:pt>
                <c:pt idx="3">
                  <c:v>-16.759999999999998</c:v>
                </c:pt>
                <c:pt idx="4">
                  <c:v>-15.68</c:v>
                </c:pt>
                <c:pt idx="5">
                  <c:v>-14.6</c:v>
                </c:pt>
                <c:pt idx="6">
                  <c:v>-13.52</c:v>
                </c:pt>
                <c:pt idx="7">
                  <c:v>-12.44</c:v>
                </c:pt>
                <c:pt idx="8">
                  <c:v>-11.36</c:v>
                </c:pt>
                <c:pt idx="9">
                  <c:v>-10.28</c:v>
                </c:pt>
                <c:pt idx="10">
                  <c:v>-9.1999999999999993</c:v>
                </c:pt>
                <c:pt idx="11">
                  <c:v>-8.1199999999999992</c:v>
                </c:pt>
                <c:pt idx="12">
                  <c:v>-7.0399999999999991</c:v>
                </c:pt>
                <c:pt idx="13">
                  <c:v>-5.9600000000000009</c:v>
                </c:pt>
                <c:pt idx="14">
                  <c:v>-4.879999999999999</c:v>
                </c:pt>
                <c:pt idx="15">
                  <c:v>-3.8000000000000007</c:v>
                </c:pt>
                <c:pt idx="16">
                  <c:v>-2.7200000000000006</c:v>
                </c:pt>
                <c:pt idx="17">
                  <c:v>-1.6400000000000006</c:v>
                </c:pt>
                <c:pt idx="18">
                  <c:v>-0.5600000000000005</c:v>
                </c:pt>
                <c:pt idx="19">
                  <c:v>0.51999999999999957</c:v>
                </c:pt>
                <c:pt idx="20">
                  <c:v>1.5999999999999996</c:v>
                </c:pt>
                <c:pt idx="21">
                  <c:v>2.6799999999999997</c:v>
                </c:pt>
                <c:pt idx="22">
                  <c:v>3.76</c:v>
                </c:pt>
                <c:pt idx="23">
                  <c:v>4.84</c:v>
                </c:pt>
                <c:pt idx="24">
                  <c:v>5.92</c:v>
                </c:pt>
                <c:pt idx="25">
                  <c:v>7</c:v>
                </c:pt>
              </c:numCache>
            </c:numRef>
          </c:xVal>
          <c:yVal>
            <c:numRef>
              <c:f>'[5]HP Sizing'!$L$8:$L$33</c:f>
              <c:numCache>
                <c:formatCode>General</c:formatCode>
                <c:ptCount val="26"/>
                <c:pt idx="0">
                  <c:v>57.333333333333336</c:v>
                </c:pt>
                <c:pt idx="1">
                  <c:v>56.222222222222221</c:v>
                </c:pt>
                <c:pt idx="2">
                  <c:v>55.111111111111114</c:v>
                </c:pt>
                <c:pt idx="3">
                  <c:v>54</c:v>
                </c:pt>
                <c:pt idx="4">
                  <c:v>52.888888888888886</c:v>
                </c:pt>
                <c:pt idx="5">
                  <c:v>51.777777777777779</c:v>
                </c:pt>
                <c:pt idx="6">
                  <c:v>50.666666666666664</c:v>
                </c:pt>
                <c:pt idx="7">
                  <c:v>49.555555555555557</c:v>
                </c:pt>
                <c:pt idx="8">
                  <c:v>48.444444444444443</c:v>
                </c:pt>
                <c:pt idx="9">
                  <c:v>47.333333333333336</c:v>
                </c:pt>
                <c:pt idx="10">
                  <c:v>46.222222222222221</c:v>
                </c:pt>
                <c:pt idx="11">
                  <c:v>45.111111111111114</c:v>
                </c:pt>
                <c:pt idx="12">
                  <c:v>44</c:v>
                </c:pt>
                <c:pt idx="13">
                  <c:v>42.888888888888886</c:v>
                </c:pt>
                <c:pt idx="14">
                  <c:v>41.777777777777779</c:v>
                </c:pt>
                <c:pt idx="15">
                  <c:v>40.666666666666671</c:v>
                </c:pt>
                <c:pt idx="16">
                  <c:v>39.555555555555557</c:v>
                </c:pt>
                <c:pt idx="17">
                  <c:v>38.444444444444443</c:v>
                </c:pt>
                <c:pt idx="18">
                  <c:v>37.333333333333329</c:v>
                </c:pt>
                <c:pt idx="19">
                  <c:v>36.222222222222221</c:v>
                </c:pt>
                <c:pt idx="20">
                  <c:v>35.111111111111114</c:v>
                </c:pt>
                <c:pt idx="21">
                  <c:v>34</c:v>
                </c:pt>
                <c:pt idx="22">
                  <c:v>32.888888888888886</c:v>
                </c:pt>
                <c:pt idx="23">
                  <c:v>31.777777777777779</c:v>
                </c:pt>
                <c:pt idx="24">
                  <c:v>30.666666666666664</c:v>
                </c:pt>
                <c:pt idx="25">
                  <c:v>29.555555555555554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8E-4450-AC4B-99E3C150BC21}"/>
            </c:ext>
          </c:extLst>
        </c:ser>
        <c:ser>
          <c:idx val="3"/>
          <c:order val="1"/>
          <c:tx>
            <c:strRef>
              <c:f>[5]DataSupport!$M$2</c:f>
              <c:strCache>
                <c:ptCount val="1"/>
                <c:pt idx="0">
                  <c:v>ZHV*KCU (R290)</c:v>
                </c:pt>
              </c:strCache>
            </c:strRef>
          </c:tx>
          <c:spPr>
            <a:ln w="444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[5]DataSupport!$M$4:$M$13</c:f>
              <c:numCache>
                <c:formatCode>General</c:formatCode>
                <c:ptCount val="10"/>
                <c:pt idx="0">
                  <c:v>-30</c:v>
                </c:pt>
                <c:pt idx="1">
                  <c:v>-9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-11</c:v>
                </c:pt>
                <c:pt idx="6">
                  <c:v>-30</c:v>
                </c:pt>
                <c:pt idx="7">
                  <c:v>-30</c:v>
                </c:pt>
              </c:numCache>
            </c:numRef>
          </c:xVal>
          <c:yVal>
            <c:numRef>
              <c:f>[5]DataSupport!$N$4:$N$13</c:f>
              <c:numCache>
                <c:formatCode>General</c:formatCode>
                <c:ptCount val="10"/>
                <c:pt idx="0">
                  <c:v>45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8E-4450-AC4B-99E3C150BC21}"/>
            </c:ext>
          </c:extLst>
        </c:ser>
        <c:ser>
          <c:idx val="4"/>
          <c:order val="2"/>
          <c:tx>
            <c:strRef>
              <c:f>[5]DataSupport!$P$2</c:f>
              <c:strCache>
                <c:ptCount val="1"/>
                <c:pt idx="0">
                  <c:v>ZHW*KCU w/ EVI (R290)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[5]DataSupport!$P$4:$P$8</c:f>
              <c:numCache>
                <c:formatCode>General</c:formatCode>
                <c:ptCount val="5"/>
                <c:pt idx="0">
                  <c:v>-30</c:v>
                </c:pt>
                <c:pt idx="1">
                  <c:v>-30</c:v>
                </c:pt>
                <c:pt idx="2">
                  <c:v>-20</c:v>
                </c:pt>
                <c:pt idx="3">
                  <c:v>-9</c:v>
                </c:pt>
              </c:numCache>
            </c:numRef>
          </c:xVal>
          <c:yVal>
            <c:numRef>
              <c:f>[5]DataSupport!$Q$4:$Q$8</c:f>
              <c:numCache>
                <c:formatCode>General</c:formatCode>
                <c:ptCount val="5"/>
                <c:pt idx="0">
                  <c:v>45</c:v>
                </c:pt>
                <c:pt idx="1">
                  <c:v>65</c:v>
                </c:pt>
                <c:pt idx="2">
                  <c:v>70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8E-4450-AC4B-99E3C150BC21}"/>
            </c:ext>
          </c:extLst>
        </c:ser>
        <c:ser>
          <c:idx val="7"/>
          <c:order val="3"/>
          <c:tx>
            <c:strRef>
              <c:f>[5]DataSupport!$W$2</c:f>
              <c:strCache>
                <c:ptCount val="1"/>
                <c:pt idx="0">
                  <c:v>ZH*KCU Quest (R290-10K)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[5]DataSupport!$W$13:$W$16</c:f>
              <c:numCache>
                <c:formatCode>General</c:formatCode>
                <c:ptCount val="4"/>
                <c:pt idx="0">
                  <c:v>-10</c:v>
                </c:pt>
                <c:pt idx="1">
                  <c:v>-15</c:v>
                </c:pt>
                <c:pt idx="2">
                  <c:v>-30</c:v>
                </c:pt>
                <c:pt idx="3">
                  <c:v>-30</c:v>
                </c:pt>
              </c:numCache>
            </c:numRef>
          </c:xVal>
          <c:yVal>
            <c:numRef>
              <c:f>[5]DataSupport!$X$13:$X$16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52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8E-4450-AC4B-99E3C150BC21}"/>
            </c:ext>
          </c:extLst>
        </c:ser>
        <c:ser>
          <c:idx val="8"/>
          <c:order val="4"/>
          <c:tx>
            <c:strRef>
              <c:f>'[5]Envelope (2)'!$Q$9</c:f>
              <c:strCache>
                <c:ptCount val="1"/>
                <c:pt idx="0">
                  <c:v>Target (HCOP = 3.5)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'[5]Envelope (2)'!$T$9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8E-4450-AC4B-99E3C150BC21}"/>
            </c:ext>
          </c:extLst>
        </c:ser>
        <c:ser>
          <c:idx val="9"/>
          <c:order val="5"/>
          <c:tx>
            <c:strRef>
              <c:f>'[5]Envelope (2)'!$Q$10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(2)'!$S$10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8E-4450-AC4B-99E3C150BC21}"/>
            </c:ext>
          </c:extLst>
        </c:ser>
        <c:ser>
          <c:idx val="10"/>
          <c:order val="6"/>
          <c:tx>
            <c:strRef>
              <c:f>'[5]Envelope (2)'!$Q$11</c:f>
              <c:strCache>
                <c:ptCount val="1"/>
                <c:pt idx="0">
                  <c:v>Opimization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xVal>
          <c:yVal>
            <c:numRef>
              <c:f>'[5]Envelope (2)'!$T$11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8E-4450-AC4B-99E3C150BC21}"/>
            </c:ext>
          </c:extLst>
        </c:ser>
        <c:ser>
          <c:idx val="6"/>
          <c:order val="7"/>
          <c:tx>
            <c:strRef>
              <c:f>'[5]Envelope (2)'!$Q$12</c:f>
              <c:strCache>
                <c:ptCount val="1"/>
                <c:pt idx="0">
                  <c:v>Sanitary Water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(2)'!$S$12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(2)'!$T$12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8E-4450-AC4B-99E3C150BC21}"/>
            </c:ext>
          </c:extLst>
        </c:ser>
        <c:ser>
          <c:idx val="11"/>
          <c:order val="8"/>
          <c:spPr>
            <a:ln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'Calculation (1l)'!$AD$12</c:f>
                  <c:strCache>
                    <c:ptCount val="1"/>
                    <c:pt idx="0">
                      <c:v>37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{22979EC9-E485-411E-BDC1-03F8203F797D}</c15:txfldGUID>
                      <c15:f>'Calculation (1l)'!$AD$12</c15:f>
                      <c15:dlblFieldTableCache>
                        <c:ptCount val="1"/>
                        <c:pt idx="0">
                          <c:v>37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88E-4450-AC4B-99E3C150BC21}"/>
                </c:ext>
              </c:extLst>
            </c:dLbl>
            <c:dLbl>
              <c:idx val="1"/>
              <c:tx>
                <c:strRef>
                  <c:f>'Calculation (1l)'!$AD$13</c:f>
                  <c:strCache>
                    <c:ptCount val="1"/>
                    <c:pt idx="0">
                      <c:v>45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{8BEA7B94-551A-4351-87CA-25525C3AFCF2}</c15:txfldGUID>
                      <c15:f>'Calculation (1l)'!$AD$13</c15:f>
                      <c15:dlblFieldTableCache>
                        <c:ptCount val="1"/>
                        <c:pt idx="0">
                          <c:v>45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88E-4450-AC4B-99E3C150BC21}"/>
                </c:ext>
              </c:extLst>
            </c:dLbl>
            <c:dLbl>
              <c:idx val="2"/>
              <c:tx>
                <c:strRef>
                  <c:f>'Calculation (1l)'!$AD$14</c:f>
                  <c:strCache>
                    <c:ptCount val="1"/>
                    <c:pt idx="0">
                      <c:v>56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{953682A5-FF2E-4A9C-9947-94AA5AF69CAD}</c15:txfldGUID>
                      <c15:f>'Calculation (1l)'!$AD$14</c15:f>
                      <c15:dlblFieldTableCache>
                        <c:ptCount val="1"/>
                        <c:pt idx="0">
                          <c:v>56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D88E-4450-AC4B-99E3C150BC21}"/>
                </c:ext>
              </c:extLst>
            </c:dLbl>
            <c:dLbl>
              <c:idx val="3"/>
              <c:tx>
                <c:strRef>
                  <c:f>'Calculation (1l)'!$AD$15</c:f>
                  <c:strCache>
                    <c:ptCount val="1"/>
                    <c:pt idx="0">
                      <c:v>48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{F52D07AF-4504-4A97-815E-5F1EEDC97C9D}</c15:txfldGUID>
                      <c15:f>'Calculation (1l)'!$AD$15</c15:f>
                      <c15:dlblFieldTableCache>
                        <c:ptCount val="1"/>
                        <c:pt idx="0">
                          <c:v>48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D88E-4450-AC4B-99E3C150BC21}"/>
                </c:ext>
              </c:extLst>
            </c:dLbl>
            <c:dLbl>
              <c:idx val="4"/>
              <c:tx>
                <c:strRef>
                  <c:f>'Calculation (1l)'!$AD$16</c:f>
                  <c:strCache>
                    <c:ptCount val="1"/>
                    <c:pt idx="0">
                      <c:v>61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{43FB45E3-18D8-4C83-A91C-EBBACF63AD59}</c15:txfldGUID>
                      <c15:f>'Calculation (1l)'!$AD$16</c15:f>
                      <c15:dlblFieldTableCache>
                        <c:ptCount val="1"/>
                        <c:pt idx="0">
                          <c:v>61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D88E-4450-AC4B-99E3C150BC21}"/>
                </c:ext>
              </c:extLst>
            </c:dLbl>
            <c:dLbl>
              <c:idx val="5"/>
              <c:tx>
                <c:strRef>
                  <c:f>'Calculation (1l)'!$AD$17</c:f>
                  <c:strCache>
                    <c:ptCount val="1"/>
                    <c:pt idx="0">
                      <c:v>78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{ED17A26B-CCD9-4C4A-AAB2-97C979F74B20}</c15:txfldGUID>
                      <c15:f>'Calculation (1l)'!$AD$17</c15:f>
                      <c15:dlblFieldTableCache>
                        <c:ptCount val="1"/>
                        <c:pt idx="0">
                          <c:v>78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88E-4450-AC4B-99E3C150BC21}"/>
                </c:ext>
              </c:extLst>
            </c:dLbl>
            <c:dLbl>
              <c:idx val="6"/>
              <c:tx>
                <c:strRef>
                  <c:f>'Calculation (1l)'!$AD$18</c:f>
                  <c:strCache>
                    <c:ptCount val="1"/>
                    <c:pt idx="0">
                      <c:v>68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{C02937D2-AE57-4217-94EE-21A197581498}</c15:txfldGUID>
                      <c15:f>'Calculation (1l)'!$AD$18</c15:f>
                      <c15:dlblFieldTableCache>
                        <c:ptCount val="1"/>
                        <c:pt idx="0">
                          <c:v>68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D88E-4450-AC4B-99E3C150BC21}"/>
                </c:ext>
              </c:extLst>
            </c:dLbl>
            <c:dLbl>
              <c:idx val="7"/>
              <c:tx>
                <c:strRef>
                  <c:f>'Calculation (1l)'!$AD$19</c:f>
                  <c:strCache>
                    <c:ptCount val="1"/>
                    <c:pt idx="0">
                      <c:v>90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{A9A3D3B1-29BD-451B-A9D0-484D9CDDAC0A}</c15:txfldGUID>
                      <c15:f>'Calculation (1l)'!$AD$19</c15:f>
                      <c15:dlblFieldTableCache>
                        <c:ptCount val="1"/>
                        <c:pt idx="0">
                          <c:v>90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D88E-4450-AC4B-99E3C150BC21}"/>
                </c:ext>
              </c:extLst>
            </c:dLbl>
            <c:dLbl>
              <c:idx val="8"/>
              <c:tx>
                <c:strRef>
                  <c:f>'Calculation (1l)'!$AD$20</c:f>
                  <c:strCache>
                    <c:ptCount val="1"/>
                    <c:pt idx="0">
                      <c:v>123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{C6A5C68E-562B-4282-9436-354206C9478D}</c15:txfldGUID>
                      <c15:f>'Calculation (1l)'!$AD$20</c15:f>
                      <c15:dlblFieldTableCache>
                        <c:ptCount val="1"/>
                        <c:pt idx="0">
                          <c:v>123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D88E-4450-AC4B-99E3C150BC21}"/>
                </c:ext>
              </c:extLst>
            </c:dLbl>
            <c:dLbl>
              <c:idx val="9"/>
              <c:tx>
                <c:strRef>
                  <c:f>'Calculation (1l)'!$AD$21</c:f>
                  <c:strCache>
                    <c:ptCount val="1"/>
                    <c:pt idx="0">
                      <c:v>29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{78AF09F3-CD84-4838-9151-61E09789951C}</c15:txfldGUID>
                      <c15:f>'Calculation (1l)'!$AD$21</c15:f>
                      <c15:dlblFieldTableCache>
                        <c:ptCount val="1"/>
                        <c:pt idx="0">
                          <c:v>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D88E-4450-AC4B-99E3C150BC21}"/>
                </c:ext>
              </c:extLst>
            </c:dLbl>
            <c:dLbl>
              <c:idx val="10"/>
              <c:tx>
                <c:strRef>
                  <c:f>'Calculation (1l)'!$AD$22</c:f>
                  <c:strCache>
                    <c:ptCount val="1"/>
                    <c:pt idx="0">
                      <c:v>36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{FCB8A171-8EFF-47B7-8AD2-ED422E89E00C}</c15:txfldGUID>
                      <c15:f>'Calculation (1l)'!$AD$22</c15:f>
                      <c15:dlblFieldTableCache>
                        <c:ptCount val="1"/>
                        <c:pt idx="0">
                          <c:v>36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D88E-4450-AC4B-99E3C150BC21}"/>
                </c:ext>
              </c:extLst>
            </c:dLbl>
            <c:dLbl>
              <c:idx val="11"/>
              <c:tx>
                <c:strRef>
                  <c:f>'Calculation (1l)'!$AD$23</c:f>
                  <c:strCache>
                    <c:ptCount val="1"/>
                    <c:pt idx="0">
                      <c:v>43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{3CAE17C8-DB68-42FD-B483-4A0EB25B14E3}</c15:txfldGUID>
                      <c15:f>'Calculation (1l)'!$AD$23</c15:f>
                      <c15:dlblFieldTableCache>
                        <c:ptCount val="1"/>
                        <c:pt idx="0">
                          <c:v>43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D88E-4450-AC4B-99E3C150BC21}"/>
                </c:ext>
              </c:extLst>
            </c:dLbl>
            <c:dLbl>
              <c:idx val="12"/>
              <c:tx>
                <c:strRef>
                  <c:f>'Calculation (1l)'!$AD$24</c:f>
                  <c:strCache>
                    <c:ptCount val="1"/>
                    <c:pt idx="0">
                      <c:v>15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{59DFCEE3-0A3C-43EA-8FEB-6DAC01772CBE}</c15:txfldGUID>
                      <c15:f>'Calculation (1l)'!$AD$24</c15:f>
                      <c15:dlblFieldTableCache>
                        <c:ptCount val="1"/>
                        <c:pt idx="0">
                          <c:v>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D88E-4450-AC4B-99E3C150BC21}"/>
                </c:ext>
              </c:extLst>
            </c:dLbl>
            <c:dLbl>
              <c:idx val="13"/>
              <c:tx>
                <c:strRef>
                  <c:f>'Calculation (1l)'!$AD$25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{C46A17CE-CF17-4612-B57C-99A8D32A67D3}</c15:txfldGUID>
                      <c15:f>'Calculation (1l)'!$AD$25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D88E-4450-AC4B-99E3C150BC21}"/>
                </c:ext>
              </c:extLst>
            </c:dLbl>
            <c:dLbl>
              <c:idx val="14"/>
              <c:tx>
                <c:strRef>
                  <c:f>'Calculation (1l)'!$AD$26</c:f>
                  <c:strCache>
                    <c:ptCount val="1"/>
                    <c:pt idx="0">
                      <c:v>21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{40D6A359-4852-47F0-A4A7-3159DFB8F913}</c15:txfldGUID>
                      <c15:f>'Calculation (1l)'!$AD$26</c15:f>
                      <c15:dlblFieldTableCache>
                        <c:ptCount val="1"/>
                        <c:pt idx="0">
                          <c:v>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D88E-4450-AC4B-99E3C150BC21}"/>
                </c:ext>
              </c:extLst>
            </c:dLbl>
            <c:dLbl>
              <c:idx val="15"/>
              <c:tx>
                <c:strRef>
                  <c:f>'Calculation (1l)'!$AD$27</c:f>
                  <c:strCache>
                    <c:ptCount val="1"/>
                    <c:pt idx="0">
                      <c:v>42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{1FA33796-D323-483C-9318-E6FFCFF1B635}</c15:txfldGUID>
                      <c15:f>'Calculation (1l)'!$AD$27</c15:f>
                      <c15:dlblFieldTableCache>
                        <c:ptCount val="1"/>
                        <c:pt idx="0">
                          <c:v>42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D88E-4450-AC4B-99E3C150BC21}"/>
                </c:ext>
              </c:extLst>
            </c:dLbl>
            <c:dLbl>
              <c:idx val="16"/>
              <c:tx>
                <c:strRef>
                  <c:f>'Calculation (1l)'!$AD$28</c:f>
                  <c:strCache>
                    <c:ptCount val="1"/>
                    <c:pt idx="0">
                      <c:v>42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{162DF711-D98E-4716-B96B-7EED021BEF5D}</c15:txfldGUID>
                      <c15:f>'Calculation (1l)'!$AD$28</c15:f>
                      <c15:dlblFieldTableCache>
                        <c:ptCount val="1"/>
                        <c:pt idx="0">
                          <c:v>42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D88E-4450-AC4B-99E3C150BC21}"/>
                </c:ext>
              </c:extLst>
            </c:dLbl>
            <c:dLbl>
              <c:idx val="17"/>
              <c:tx>
                <c:strRef>
                  <c:f>'Calculation (1l)'!$AD$29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{E0F2DC53-FD58-42AC-BE9E-98D78D1C0B28}</c15:txfldGUID>
                      <c15:f>'Calculation (1l)'!$AD$29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D88E-4450-AC4B-99E3C150BC21}"/>
                </c:ext>
              </c:extLst>
            </c:dLbl>
            <c:dLbl>
              <c:idx val="18"/>
              <c:tx>
                <c:strRef>
                  <c:f>'Calculation (1l)'!$AD$30</c:f>
                  <c:strCache>
                    <c:ptCount val="1"/>
                    <c:pt idx="0">
                      <c:v>67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{AE8D7585-6955-43B5-BA6F-25F82E6BEC00}</c15:txfldGUID>
                      <c15:f>'Calculation (1l)'!$AD$30</c15:f>
                      <c15:dlblFieldTableCache>
                        <c:ptCount val="1"/>
                        <c:pt idx="0">
                          <c:v>67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D88E-4450-AC4B-99E3C150BC21}"/>
                </c:ext>
              </c:extLst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600" b="1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'Calculation (1l)'!$P$12:$P$30</c:f>
              <c:numCache>
                <c:formatCode>General</c:formatCode>
                <c:ptCount val="19"/>
                <c:pt idx="0">
                  <c:v>-30</c:v>
                </c:pt>
                <c:pt idx="1">
                  <c:v>-11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-9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  <c:pt idx="10">
                  <c:v>-35</c:v>
                </c:pt>
                <c:pt idx="11">
                  <c:v>-30</c:v>
                </c:pt>
                <c:pt idx="12">
                  <c:v>-30</c:v>
                </c:pt>
                <c:pt idx="13">
                  <c:v>-18</c:v>
                </c:pt>
                <c:pt idx="14">
                  <c:v>-18</c:v>
                </c:pt>
                <c:pt idx="15">
                  <c:v>-5</c:v>
                </c:pt>
                <c:pt idx="16">
                  <c:v>0</c:v>
                </c:pt>
                <c:pt idx="17">
                  <c:v>-20</c:v>
                </c:pt>
                <c:pt idx="18">
                  <c:v>7</c:v>
                </c:pt>
              </c:numCache>
            </c:numRef>
          </c:xVal>
          <c:yVal>
            <c:numRef>
              <c:f>'Calculation (1l)'!$Q$12:$Q$30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65</c:v>
                </c:pt>
                <c:pt idx="10">
                  <c:v>50</c:v>
                </c:pt>
                <c:pt idx="11">
                  <c:v>45</c:v>
                </c:pt>
                <c:pt idx="12">
                  <c:v>35</c:v>
                </c:pt>
                <c:pt idx="13">
                  <c:v>62</c:v>
                </c:pt>
                <c:pt idx="14">
                  <c:v>58</c:v>
                </c:pt>
                <c:pt idx="15">
                  <c:v>43</c:v>
                </c:pt>
                <c:pt idx="16">
                  <c:v>56</c:v>
                </c:pt>
                <c:pt idx="17">
                  <c:v>57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88E-4450-AC4B-99E3C150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228160"/>
        <c:axId val="129373696"/>
      </c:scatterChart>
      <c:valAx>
        <c:axId val="129228160"/>
        <c:scaling>
          <c:orientation val="minMax"/>
          <c:min val="-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Evaporating Temperature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9373696"/>
        <c:crosses val="autoZero"/>
        <c:crossBetween val="midCat"/>
        <c:majorUnit val="5"/>
        <c:minorUnit val="5"/>
      </c:valAx>
      <c:valAx>
        <c:axId val="129373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Condensing</a:t>
                </a:r>
                <a:r>
                  <a:rPr lang="en-US" sz="1400" baseline="0"/>
                  <a:t> Temperature (°C)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0509031198686385E-2"/>
              <c:y val="0.37416515243286896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9228160"/>
        <c:crossesAt val="-35"/>
        <c:crossBetween val="midCat"/>
        <c:minorUnit val="5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9.2632553985743202E-2"/>
          <c:y val="0.80412470908747868"/>
          <c:w val="0.8739305510503137"/>
          <c:h val="5.255299321952501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Viscosity Oil (centistokes)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874446046395772E-2"/>
          <c:y val="6.3287521268822602E-2"/>
          <c:w val="0.88442609601189204"/>
          <c:h val="0.82944767486421167"/>
        </c:manualLayout>
      </c:layout>
      <c:scatterChart>
        <c:scatterStyle val="lineMarker"/>
        <c:varyColors val="0"/>
        <c:ser>
          <c:idx val="2"/>
          <c:order val="0"/>
          <c:tx>
            <c:v>Operating Conditions</c:v>
          </c:tx>
          <c:spPr>
            <a:ln w="50800" cmpd="tri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'[5]HP Sizing'!$J$8:$J$33</c:f>
              <c:numCache>
                <c:formatCode>General</c:formatCode>
                <c:ptCount val="26"/>
                <c:pt idx="0">
                  <c:v>-20</c:v>
                </c:pt>
                <c:pt idx="1">
                  <c:v>-18.920000000000002</c:v>
                </c:pt>
                <c:pt idx="2">
                  <c:v>-17.84</c:v>
                </c:pt>
                <c:pt idx="3">
                  <c:v>-16.759999999999998</c:v>
                </c:pt>
                <c:pt idx="4">
                  <c:v>-15.68</c:v>
                </c:pt>
                <c:pt idx="5">
                  <c:v>-14.6</c:v>
                </c:pt>
                <c:pt idx="6">
                  <c:v>-13.52</c:v>
                </c:pt>
                <c:pt idx="7">
                  <c:v>-12.44</c:v>
                </c:pt>
                <c:pt idx="8">
                  <c:v>-11.36</c:v>
                </c:pt>
                <c:pt idx="9">
                  <c:v>-10.28</c:v>
                </c:pt>
                <c:pt idx="10">
                  <c:v>-9.1999999999999993</c:v>
                </c:pt>
                <c:pt idx="11">
                  <c:v>-8.1199999999999992</c:v>
                </c:pt>
                <c:pt idx="12">
                  <c:v>-7.0399999999999991</c:v>
                </c:pt>
                <c:pt idx="13">
                  <c:v>-5.9600000000000009</c:v>
                </c:pt>
                <c:pt idx="14">
                  <c:v>-4.879999999999999</c:v>
                </c:pt>
                <c:pt idx="15">
                  <c:v>-3.8000000000000007</c:v>
                </c:pt>
                <c:pt idx="16">
                  <c:v>-2.7200000000000006</c:v>
                </c:pt>
                <c:pt idx="17">
                  <c:v>-1.6400000000000006</c:v>
                </c:pt>
                <c:pt idx="18">
                  <c:v>-0.5600000000000005</c:v>
                </c:pt>
                <c:pt idx="19">
                  <c:v>0.51999999999999957</c:v>
                </c:pt>
                <c:pt idx="20">
                  <c:v>1.5999999999999996</c:v>
                </c:pt>
                <c:pt idx="21">
                  <c:v>2.6799999999999997</c:v>
                </c:pt>
                <c:pt idx="22">
                  <c:v>3.76</c:v>
                </c:pt>
                <c:pt idx="23">
                  <c:v>4.84</c:v>
                </c:pt>
                <c:pt idx="24">
                  <c:v>5.92</c:v>
                </c:pt>
                <c:pt idx="25">
                  <c:v>7</c:v>
                </c:pt>
              </c:numCache>
            </c:numRef>
          </c:xVal>
          <c:yVal>
            <c:numRef>
              <c:f>'[5]HP Sizing'!$L$8:$L$33</c:f>
              <c:numCache>
                <c:formatCode>General</c:formatCode>
                <c:ptCount val="26"/>
                <c:pt idx="0">
                  <c:v>57.333333333333336</c:v>
                </c:pt>
                <c:pt idx="1">
                  <c:v>56.222222222222221</c:v>
                </c:pt>
                <c:pt idx="2">
                  <c:v>55.111111111111114</c:v>
                </c:pt>
                <c:pt idx="3">
                  <c:v>54</c:v>
                </c:pt>
                <c:pt idx="4">
                  <c:v>52.888888888888886</c:v>
                </c:pt>
                <c:pt idx="5">
                  <c:v>51.777777777777779</c:v>
                </c:pt>
                <c:pt idx="6">
                  <c:v>50.666666666666664</c:v>
                </c:pt>
                <c:pt idx="7">
                  <c:v>49.555555555555557</c:v>
                </c:pt>
                <c:pt idx="8">
                  <c:v>48.444444444444443</c:v>
                </c:pt>
                <c:pt idx="9">
                  <c:v>47.333333333333336</c:v>
                </c:pt>
                <c:pt idx="10">
                  <c:v>46.222222222222221</c:v>
                </c:pt>
                <c:pt idx="11">
                  <c:v>45.111111111111114</c:v>
                </c:pt>
                <c:pt idx="12">
                  <c:v>44</c:v>
                </c:pt>
                <c:pt idx="13">
                  <c:v>42.888888888888886</c:v>
                </c:pt>
                <c:pt idx="14">
                  <c:v>41.777777777777779</c:v>
                </c:pt>
                <c:pt idx="15">
                  <c:v>40.666666666666671</c:v>
                </c:pt>
                <c:pt idx="16">
                  <c:v>39.555555555555557</c:v>
                </c:pt>
                <c:pt idx="17">
                  <c:v>38.444444444444443</c:v>
                </c:pt>
                <c:pt idx="18">
                  <c:v>37.333333333333329</c:v>
                </c:pt>
                <c:pt idx="19">
                  <c:v>36.222222222222221</c:v>
                </c:pt>
                <c:pt idx="20">
                  <c:v>35.111111111111114</c:v>
                </c:pt>
                <c:pt idx="21">
                  <c:v>34</c:v>
                </c:pt>
                <c:pt idx="22">
                  <c:v>32.888888888888886</c:v>
                </c:pt>
                <c:pt idx="23">
                  <c:v>31.777777777777779</c:v>
                </c:pt>
                <c:pt idx="24">
                  <c:v>30.666666666666664</c:v>
                </c:pt>
                <c:pt idx="25">
                  <c:v>29.555555555555554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2-45B8-99AE-2D8F1C6EE768}"/>
            </c:ext>
          </c:extLst>
        </c:ser>
        <c:ser>
          <c:idx val="3"/>
          <c:order val="1"/>
          <c:tx>
            <c:strRef>
              <c:f>[5]DataSupport!$M$2</c:f>
              <c:strCache>
                <c:ptCount val="1"/>
                <c:pt idx="0">
                  <c:v>ZHV*KCU (R290)</c:v>
                </c:pt>
              </c:strCache>
            </c:strRef>
          </c:tx>
          <c:spPr>
            <a:ln w="444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[5]DataSupport!$M$4:$M$13</c:f>
              <c:numCache>
                <c:formatCode>General</c:formatCode>
                <c:ptCount val="10"/>
                <c:pt idx="0">
                  <c:v>-30</c:v>
                </c:pt>
                <c:pt idx="1">
                  <c:v>-9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-11</c:v>
                </c:pt>
                <c:pt idx="6">
                  <c:v>-30</c:v>
                </c:pt>
                <c:pt idx="7">
                  <c:v>-30</c:v>
                </c:pt>
              </c:numCache>
            </c:numRef>
          </c:xVal>
          <c:yVal>
            <c:numRef>
              <c:f>[5]DataSupport!$N$4:$N$13</c:f>
              <c:numCache>
                <c:formatCode>General</c:formatCode>
                <c:ptCount val="10"/>
                <c:pt idx="0">
                  <c:v>45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2-45B8-99AE-2D8F1C6EE768}"/>
            </c:ext>
          </c:extLst>
        </c:ser>
        <c:ser>
          <c:idx val="4"/>
          <c:order val="2"/>
          <c:tx>
            <c:strRef>
              <c:f>[5]DataSupport!$P$2</c:f>
              <c:strCache>
                <c:ptCount val="1"/>
                <c:pt idx="0">
                  <c:v>ZHW*KCU w/ EVI (R290)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[5]DataSupport!$P$4:$P$8</c:f>
              <c:numCache>
                <c:formatCode>General</c:formatCode>
                <c:ptCount val="5"/>
                <c:pt idx="0">
                  <c:v>-30</c:v>
                </c:pt>
                <c:pt idx="1">
                  <c:v>-30</c:v>
                </c:pt>
                <c:pt idx="2">
                  <c:v>-20</c:v>
                </c:pt>
                <c:pt idx="3">
                  <c:v>-9</c:v>
                </c:pt>
              </c:numCache>
            </c:numRef>
          </c:xVal>
          <c:yVal>
            <c:numRef>
              <c:f>[5]DataSupport!$Q$4:$Q$8</c:f>
              <c:numCache>
                <c:formatCode>General</c:formatCode>
                <c:ptCount val="5"/>
                <c:pt idx="0">
                  <c:v>45</c:v>
                </c:pt>
                <c:pt idx="1">
                  <c:v>65</c:v>
                </c:pt>
                <c:pt idx="2">
                  <c:v>70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2-45B8-99AE-2D8F1C6EE768}"/>
            </c:ext>
          </c:extLst>
        </c:ser>
        <c:ser>
          <c:idx val="7"/>
          <c:order val="3"/>
          <c:tx>
            <c:strRef>
              <c:f>[5]DataSupport!$W$2</c:f>
              <c:strCache>
                <c:ptCount val="1"/>
                <c:pt idx="0">
                  <c:v>ZH*KCU Quest (R290-10K)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[5]DataSupport!$W$13:$W$16</c:f>
              <c:numCache>
                <c:formatCode>General</c:formatCode>
                <c:ptCount val="4"/>
                <c:pt idx="0">
                  <c:v>-10</c:v>
                </c:pt>
                <c:pt idx="1">
                  <c:v>-15</c:v>
                </c:pt>
                <c:pt idx="2">
                  <c:v>-30</c:v>
                </c:pt>
                <c:pt idx="3">
                  <c:v>-30</c:v>
                </c:pt>
              </c:numCache>
            </c:numRef>
          </c:xVal>
          <c:yVal>
            <c:numRef>
              <c:f>[5]DataSupport!$X$13:$X$16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52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12-45B8-99AE-2D8F1C6EE768}"/>
            </c:ext>
          </c:extLst>
        </c:ser>
        <c:ser>
          <c:idx val="8"/>
          <c:order val="4"/>
          <c:tx>
            <c:strRef>
              <c:f>'[5]Envelope (2)'!$Q$9</c:f>
              <c:strCache>
                <c:ptCount val="1"/>
                <c:pt idx="0">
                  <c:v>Target (HCOP = 3.5)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'[5]Envelope (2)'!$T$9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12-45B8-99AE-2D8F1C6EE768}"/>
            </c:ext>
          </c:extLst>
        </c:ser>
        <c:ser>
          <c:idx val="9"/>
          <c:order val="5"/>
          <c:tx>
            <c:strRef>
              <c:f>'[5]Envelope (2)'!$Q$10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(2)'!$S$10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12-45B8-99AE-2D8F1C6EE768}"/>
            </c:ext>
          </c:extLst>
        </c:ser>
        <c:ser>
          <c:idx val="10"/>
          <c:order val="6"/>
          <c:tx>
            <c:strRef>
              <c:f>'[5]Envelope (2)'!$Q$11</c:f>
              <c:strCache>
                <c:ptCount val="1"/>
                <c:pt idx="0">
                  <c:v>Opimization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xVal>
          <c:yVal>
            <c:numRef>
              <c:f>'[5]Envelope (2)'!$T$11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12-45B8-99AE-2D8F1C6EE768}"/>
            </c:ext>
          </c:extLst>
        </c:ser>
        <c:ser>
          <c:idx val="6"/>
          <c:order val="7"/>
          <c:tx>
            <c:strRef>
              <c:f>'[5]Envelope (2)'!$Q$12</c:f>
              <c:strCache>
                <c:ptCount val="1"/>
                <c:pt idx="0">
                  <c:v>Sanitary Water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(2)'!$S$12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(2)'!$T$12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12-45B8-99AE-2D8F1C6EE768}"/>
            </c:ext>
          </c:extLst>
        </c:ser>
        <c:ser>
          <c:idx val="11"/>
          <c:order val="8"/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7388603296167092E-2"/>
                  <c:y val="-5.9104032354303122E-3"/>
                </c:manualLayout>
              </c:layout>
              <c:tx>
                <c:strRef>
                  <c:f>'Calculation (2.5 l)'!$Z$12</c:f>
                  <c:strCache>
                    <c:ptCount val="1"/>
                    <c:pt idx="0">
                      <c:v>50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{F324A316-A3E9-41A9-889F-B2245BF5D5F4}</c15:txfldGUID>
                      <c15:f>'Calculation (2.5 l)'!$Z$12</c15:f>
                      <c15:dlblFieldTableCache>
                        <c:ptCount val="1"/>
                        <c:pt idx="0">
                          <c:v>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CB12-45B8-99AE-2D8F1C6EE768}"/>
                </c:ext>
              </c:extLst>
            </c:dLbl>
            <c:dLbl>
              <c:idx val="1"/>
              <c:tx>
                <c:strRef>
                  <c:f>'Calculation (2.5 l)'!$Z$13</c:f>
                  <c:strCache>
                    <c:ptCount val="1"/>
                    <c:pt idx="0">
                      <c:v>43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{E051AEBE-0063-491E-A484-47AAD133E642}</c15:txfldGUID>
                      <c15:f>'Calculation (2.5 l)'!$Z$13</c15:f>
                      <c15:dlblFieldTableCache>
                        <c:ptCount val="1"/>
                        <c:pt idx="0">
                          <c:v>43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CB12-45B8-99AE-2D8F1C6EE768}"/>
                </c:ext>
              </c:extLst>
            </c:dLbl>
            <c:dLbl>
              <c:idx val="2"/>
              <c:layout>
                <c:manualLayout>
                  <c:x val="-2.4074143828289904E-3"/>
                  <c:y val="-3.1561704761261959E-2"/>
                </c:manualLayout>
              </c:layout>
              <c:tx>
                <c:strRef>
                  <c:f>'Calculation (2.5 l)'!$Z$14</c:f>
                  <c:strCache>
                    <c:ptCount val="1"/>
                    <c:pt idx="0">
                      <c:v>36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{17AA0E07-7CC5-4BE2-ACA6-1DD55CE7C93A}</c15:txfldGUID>
                      <c15:f>'Calculation (2.5 l)'!$Z$14</c15:f>
                      <c15:dlblFieldTableCache>
                        <c:ptCount val="1"/>
                        <c:pt idx="0">
                          <c:v>36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CB12-45B8-99AE-2D8F1C6EE768}"/>
                </c:ext>
              </c:extLst>
            </c:dLbl>
            <c:dLbl>
              <c:idx val="3"/>
              <c:layout>
                <c:manualLayout>
                  <c:x val="-2.4074143828289904E-3"/>
                  <c:y val="3.0428940592831202E-2"/>
                </c:manualLayout>
              </c:layout>
              <c:tx>
                <c:strRef>
                  <c:f>'Calculation (2.5 l)'!$Z$15</c:f>
                  <c:strCache>
                    <c:ptCount val="1"/>
                    <c:pt idx="0">
                      <c:v>63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{5D94D7B5-E03A-4CC8-8192-4EC716068DC3}</c15:txfldGUID>
                      <c15:f>'Calculation (2.5 l)'!$Z$15</c15:f>
                      <c15:dlblFieldTableCache>
                        <c:ptCount val="1"/>
                        <c:pt idx="0">
                          <c:v>63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CB12-45B8-99AE-2D8F1C6EE768}"/>
                </c:ext>
              </c:extLst>
            </c:dLbl>
            <c:dLbl>
              <c:idx val="4"/>
              <c:tx>
                <c:strRef>
                  <c:f>'Calculation (2.5 l)'!$Z$16</c:f>
                  <c:strCache>
                    <c:ptCount val="1"/>
                    <c:pt idx="0">
                      <c:v>50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{5E42F068-22EE-4339-AB31-CF1D949253BA}</c15:txfldGUID>
                      <c15:f>'Calculation (2.5 l)'!$Z$16</c15:f>
                      <c15:dlblFieldTableCache>
                        <c:ptCount val="1"/>
                        <c:pt idx="0">
                          <c:v>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CB12-45B8-99AE-2D8F1C6EE768}"/>
                </c:ext>
              </c:extLst>
            </c:dLbl>
            <c:dLbl>
              <c:idx val="5"/>
              <c:tx>
                <c:strRef>
                  <c:f>'Calculation (2.5 l)'!$Z$17</c:f>
                  <c:strCache>
                    <c:ptCount val="1"/>
                    <c:pt idx="0">
                      <c:v>38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{5D59C470-901D-4725-A734-FC17B18B531F}</c15:txfldGUID>
                      <c15:f>'Calculation (2.5 l)'!$Z$17</c15:f>
                      <c15:dlblFieldTableCache>
                        <c:ptCount val="1"/>
                        <c:pt idx="0">
                          <c:v>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CB12-45B8-99AE-2D8F1C6EE768}"/>
                </c:ext>
              </c:extLst>
            </c:dLbl>
            <c:dLbl>
              <c:idx val="6"/>
              <c:tx>
                <c:strRef>
                  <c:f>'Calculation (2.5 l)'!$Z$18</c:f>
                  <c:strCache>
                    <c:ptCount val="1"/>
                    <c:pt idx="0">
                      <c:v>72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{1BA11BF7-0B5C-4356-A812-A2F076881D9A}</c15:txfldGUID>
                      <c15:f>'Calculation (2.5 l)'!$Z$18</c15:f>
                      <c15:dlblFieldTableCache>
                        <c:ptCount val="1"/>
                        <c:pt idx="0">
                          <c:v>72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CB12-45B8-99AE-2D8F1C6EE768}"/>
                </c:ext>
              </c:extLst>
            </c:dLbl>
            <c:dLbl>
              <c:idx val="7"/>
              <c:tx>
                <c:strRef>
                  <c:f>'Calculation (2.5 l)'!$Z$19</c:f>
                  <c:strCache>
                    <c:ptCount val="1"/>
                    <c:pt idx="0">
                      <c:v>50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{3BCB8F72-2A9E-45E6-B133-F9B4D92F76D4}</c15:txfldGUID>
                      <c15:f>'Calculation (2.5 l)'!$Z$19</c15:f>
                      <c15:dlblFieldTableCache>
                        <c:ptCount val="1"/>
                        <c:pt idx="0">
                          <c:v>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CB12-45B8-99AE-2D8F1C6EE76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pPr>
                      <a:defRPr sz="1600" b="0" i="0" strike="noStrike">
                        <a:solidFill>
                          <a:schemeClr val="accent2"/>
                        </a:solidFill>
                        <a:latin typeface="Calibri"/>
                      </a:defRPr>
                    </a:pPr>
                    <a:r>
                      <a:rPr lang="en-US" sz="1600" b="0" i="0" strike="noStrike">
                        <a:latin typeface="Calibri"/>
                      </a:rPr>
                      <a:t>28</a:t>
                    </a:r>
                  </a:p>
                </c:rich>
              </c:tx>
              <c:spPr>
                <a:solidFill>
                  <a:sysClr val="window" lastClr="FFFFFF"/>
                </a:solidFill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B12-45B8-99AE-2D8F1C6EE76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pPr>
                      <a:defRPr sz="1600" b="0" i="0" strike="noStrike">
                        <a:solidFill>
                          <a:schemeClr val="accent2"/>
                        </a:solidFill>
                        <a:latin typeface="Calibri"/>
                      </a:defRPr>
                    </a:pPr>
                    <a:r>
                      <a:rPr lang="en-US" sz="1600" b="0" i="0" strike="noStrike">
                        <a:latin typeface="Calibri"/>
                      </a:rPr>
                      <a:t>31</a:t>
                    </a:r>
                  </a:p>
                </c:rich>
              </c:tx>
              <c:numFmt formatCode="#\,##0" sourceLinked="0"/>
              <c:spPr>
                <a:solidFill>
                  <a:sysClr val="window" lastClr="FFFFFF"/>
                </a:solidFill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12-45B8-99AE-2D8F1C6EE768}"/>
                </c:ext>
              </c:extLst>
            </c:dLbl>
            <c:dLbl>
              <c:idx val="10"/>
              <c:layout>
                <c:manualLayout>
                  <c:x val="1.4537008830599276E-2"/>
                  <c:y val="-2.5148879379804086E-2"/>
                </c:manualLayout>
              </c:layout>
              <c:tx>
                <c:strRef>
                  <c:f>'Calculation (2.5 l)'!$Z$22</c:f>
                  <c:strCache>
                    <c:ptCount val="1"/>
                    <c:pt idx="0">
                      <c:v>34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{D62D7FE7-FE09-4E22-83D5-68BCE3FF6778}</c15:txfldGUID>
                      <c15:f>'Calculation (2.5 l)'!$Z$22</c15:f>
                      <c15:dlblFieldTableCache>
                        <c:ptCount val="1"/>
                        <c:pt idx="0">
                          <c:v>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CB12-45B8-99AE-2D8F1C6EE768}"/>
                </c:ext>
              </c:extLst>
            </c:dLbl>
            <c:dLbl>
              <c:idx val="11"/>
              <c:layout>
                <c:manualLayout>
                  <c:x val="-4.5840344139940904E-2"/>
                  <c:y val="4.7776390669995502E-3"/>
                </c:manualLayout>
              </c:layout>
              <c:tx>
                <c:strRef>
                  <c:f>'Calculation (2.5 l)'!$Z$23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{0FC11C29-9B45-4114-A8CD-4BC4D132C8E6}</c15:txfldGUID>
                      <c15:f>'Calculation (2.5 l)'!$Z$23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CB12-45B8-99AE-2D8F1C6EE768}"/>
                </c:ext>
              </c:extLst>
            </c:dLbl>
            <c:dLbl>
              <c:idx val="12"/>
              <c:layout>
                <c:manualLayout>
                  <c:x val="-5.2033015063131745E-2"/>
                  <c:y val="-1.6351863144583648E-3"/>
                </c:manualLayout>
              </c:layout>
              <c:tx>
                <c:strRef>
                  <c:f>'Calculation (2.5 l)'!$Z$24</c:f>
                  <c:strCache>
                    <c:ptCount val="1"/>
                    <c:pt idx="0">
                      <c:v>38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{F3EE4E42-5D88-4F26-B33B-6853CFD2E11C}</c15:txfldGUID>
                      <c15:f>'Calculation (2.5 l)'!$Z$24</c15:f>
                      <c15:dlblFieldTableCache>
                        <c:ptCount val="1"/>
                        <c:pt idx="0">
                          <c:v>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CB12-45B8-99AE-2D8F1C6EE768}"/>
                </c:ext>
              </c:extLst>
            </c:dLbl>
            <c:dLbl>
              <c:idx val="13"/>
              <c:layout>
                <c:manualLayout>
                  <c:x val="-5.3581030418215304E-2"/>
                  <c:y val="6.9152475274855294E-3"/>
                </c:manualLayout>
              </c:layout>
              <c:tx>
                <c:strRef>
                  <c:f>'Calculation (2.5 l)'!$Z$25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{73452856-E4FF-4D90-8E35-D0884D9C861A}</c15:txfldGUID>
                      <c15:f>'Calculation (2.5 l)'!$Z$25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CB12-45B8-99AE-2D8F1C6EE768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B12-45B8-99AE-2D8F1C6EE768}"/>
                </c:ext>
              </c:extLst>
            </c:dLbl>
            <c:dLbl>
              <c:idx val="15"/>
              <c:tx>
                <c:strRef>
                  <c:f>'Calculation (2.5 l)'!$Z$27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{BA58FCEB-EACB-43AD-9A95-50D5974F9113}</c15:txfldGUID>
                      <c15:f>'Calculation (2.5 l)'!$Z$27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CB12-45B8-99AE-2D8F1C6EE768}"/>
                </c:ext>
              </c:extLst>
            </c:dLbl>
            <c:dLbl>
              <c:idx val="16"/>
              <c:tx>
                <c:strRef>
                  <c:f>'Calculation (2.5 l)'!$Z$28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{DF432B01-9667-4B77-93F6-BDAD4C620292}</c15:txfldGUID>
                      <c15:f>'Calculation (2.5 l)'!$Z$28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CB12-45B8-99AE-2D8F1C6EE768}"/>
                </c:ext>
              </c:extLst>
            </c:dLbl>
            <c:dLbl>
              <c:idx val="17"/>
              <c:layout>
                <c:manualLayout>
                  <c:x val="-4.4292206884286096E-2"/>
                  <c:y val="1.7603289829915433E-2"/>
                </c:manualLayout>
              </c:layout>
              <c:tx>
                <c:strRef>
                  <c:f>'Calculation (2.5 l)'!$Z$29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{65CDADA4-356C-4A91-9F91-EADB7DFABC2D}</c15:txfldGUID>
                      <c15:f>'Calculation (2.5 l)'!$Z$29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CB12-45B8-99AE-2D8F1C6EE768}"/>
                </c:ext>
              </c:extLst>
            </c:dLbl>
            <c:dLbl>
              <c:idx val="18"/>
              <c:tx>
                <c:strRef>
                  <c:f>'Calculation (2.5 l)'!$Z$30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{A1670FDE-FDDD-4B37-BDE7-5F00A41751C6}</c15:txfldGUID>
                      <c15:f>'Calculation (2.5 l)'!$Z$30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CB12-45B8-99AE-2D8F1C6EE768}"/>
                </c:ext>
              </c:extLst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600" b="1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'Calculation (1l)'!$P$12:$P$30</c:f>
              <c:numCache>
                <c:formatCode>General</c:formatCode>
                <c:ptCount val="19"/>
                <c:pt idx="0">
                  <c:v>-30</c:v>
                </c:pt>
                <c:pt idx="1">
                  <c:v>-11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-9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  <c:pt idx="10">
                  <c:v>-35</c:v>
                </c:pt>
                <c:pt idx="11">
                  <c:v>-30</c:v>
                </c:pt>
                <c:pt idx="12">
                  <c:v>-30</c:v>
                </c:pt>
                <c:pt idx="13">
                  <c:v>-18</c:v>
                </c:pt>
                <c:pt idx="14">
                  <c:v>-18</c:v>
                </c:pt>
                <c:pt idx="15">
                  <c:v>-5</c:v>
                </c:pt>
                <c:pt idx="16">
                  <c:v>0</c:v>
                </c:pt>
                <c:pt idx="17">
                  <c:v>-20</c:v>
                </c:pt>
                <c:pt idx="18">
                  <c:v>7</c:v>
                </c:pt>
              </c:numCache>
            </c:numRef>
          </c:xVal>
          <c:yVal>
            <c:numRef>
              <c:f>'Calculation (1l)'!$Q$12:$Q$30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65</c:v>
                </c:pt>
                <c:pt idx="10">
                  <c:v>50</c:v>
                </c:pt>
                <c:pt idx="11">
                  <c:v>45</c:v>
                </c:pt>
                <c:pt idx="12">
                  <c:v>35</c:v>
                </c:pt>
                <c:pt idx="13">
                  <c:v>62</c:v>
                </c:pt>
                <c:pt idx="14">
                  <c:v>58</c:v>
                </c:pt>
                <c:pt idx="15">
                  <c:v>43</c:v>
                </c:pt>
                <c:pt idx="16">
                  <c:v>56</c:v>
                </c:pt>
                <c:pt idx="17">
                  <c:v>57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B12-45B8-99AE-2D8F1C6E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42496"/>
        <c:axId val="129644416"/>
      </c:scatterChart>
      <c:valAx>
        <c:axId val="129642496"/>
        <c:scaling>
          <c:orientation val="minMax"/>
          <c:min val="-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Evaporating Temperature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9644416"/>
        <c:crosses val="autoZero"/>
        <c:crossBetween val="midCat"/>
        <c:majorUnit val="5"/>
        <c:minorUnit val="5"/>
      </c:valAx>
      <c:valAx>
        <c:axId val="129644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Condensing</a:t>
                </a:r>
                <a:r>
                  <a:rPr lang="en-US" sz="1400" baseline="0"/>
                  <a:t> Temperature (°C)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0509031198686385E-2"/>
              <c:y val="0.37416515243286896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9642496"/>
        <c:crossesAt val="-35"/>
        <c:crossBetween val="midCat"/>
        <c:minorUnit val="5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9.2632553985743202E-2"/>
          <c:y val="0.80412470908747868"/>
          <c:w val="0.8739305510503137"/>
          <c:h val="5.25529932195250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22" l="0.70000000000000062" r="0.70000000000000062" t="0.75000000000000322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Amount</a:t>
            </a:r>
            <a:r>
              <a:rPr lang="en-US" baseline="0"/>
              <a:t> Oil System Depending OCR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2764403419395"/>
          <c:y val="0.19472834014573701"/>
          <c:w val="0.81120745613568079"/>
          <c:h val="0.579888049925316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'Summary 2.5-1 l'!$U$4</c:f>
              <c:strCache>
                <c:ptCount val="1"/>
                <c:pt idx="0">
                  <c:v>1% OCR</c:v>
                </c:pt>
              </c:strCache>
            </c:strRef>
          </c:tx>
          <c:xVal>
            <c:numRef>
              <c:f>('Summary 2.5-1 l'!$R$5,'Summary 2.5-1 l'!$R$7,'Summary 2.5-1 l'!$R$9)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('Summary 2.5-1 l'!$T$5,'Summary 2.5-1 l'!$T$7,'Summary 2.5-1 l'!$T$9)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E1-44C7-A0A6-541C5370C472}"/>
            </c:ext>
          </c:extLst>
        </c:ser>
        <c:ser>
          <c:idx val="1"/>
          <c:order val="1"/>
          <c:tx>
            <c:strRef>
              <c:f>'Summary 2.5-1 l'!$U$5</c:f>
              <c:strCache>
                <c:ptCount val="1"/>
                <c:pt idx="0">
                  <c:v>4% OCR</c:v>
                </c:pt>
              </c:strCache>
            </c:strRef>
          </c:tx>
          <c:xVal>
            <c:numRef>
              <c:f>('Summary 2.5-1 l'!$R$6,'Summary 2.5-1 l'!$R$8,'Summary 2.5-1 l'!$R$10)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xVal>
          <c:yVal>
            <c:numRef>
              <c:f>('Summary 2.5-1 l'!$T$6,'Summary 2.5-1 l'!$T$8,'Summary 2.5-1 l'!$T$10)</c:f>
              <c:numCache>
                <c:formatCode>General</c:formatCode>
                <c:ptCount val="3"/>
                <c:pt idx="0">
                  <c:v>20</c:v>
                </c:pt>
                <c:pt idx="1">
                  <c:v>40</c:v>
                </c:pt>
                <c:pt idx="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E1-44C7-A0A6-541C5370C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05696"/>
        <c:axId val="129811968"/>
      </c:scatterChart>
      <c:valAx>
        <c:axId val="129805696"/>
        <c:scaling>
          <c:orientation val="minMax"/>
          <c:max val="1.75"/>
          <c:min val="0.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R290 Charge</a:t>
                </a:r>
                <a:r>
                  <a:rPr lang="en-US" sz="1200" baseline="0"/>
                  <a:t> System (Kg)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crossAx val="129811968"/>
        <c:crosses val="autoZero"/>
        <c:crossBetween val="midCat"/>
        <c:majorUnit val="0.25"/>
        <c:minorUnit val="0.25"/>
      </c:valAx>
      <c:valAx>
        <c:axId val="1298119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Oil</a:t>
                </a:r>
                <a:r>
                  <a:rPr lang="en-US" sz="1200" baseline="0"/>
                  <a:t> System (gr)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379944902168426E-2"/>
              <c:y val="0.3030176816401076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98056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395107345587968"/>
          <c:y val="0.21494618401543017"/>
          <c:w val="0.17072678329627766"/>
          <c:h val="0.1673697708561764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R290 Mass (gr) diluted inside The Oil (Oil Sump 1.5 l)</a:t>
            </a:r>
          </a:p>
        </c:rich>
      </c:tx>
      <c:layout>
        <c:manualLayout>
          <c:xMode val="edge"/>
          <c:yMode val="edge"/>
          <c:x val="0.21672101449275363"/>
          <c:y val="1.941747572815533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4648236905169469E-2"/>
          <c:y val="0.10940142190963993"/>
          <c:w val="0.81058698505078175"/>
          <c:h val="0.74104604642866245"/>
        </c:manualLayout>
      </c:layout>
      <c:scatterChart>
        <c:scatterStyle val="lineMarker"/>
        <c:varyColors val="0"/>
        <c:ser>
          <c:idx val="3"/>
          <c:order val="0"/>
          <c:tx>
            <c:strRef>
              <c:f>'1.5 l (New Env. May 2015)'!$X$1</c:f>
              <c:strCache>
                <c:ptCount val="1"/>
                <c:pt idx="0">
                  <c:v>3000-4500 rpm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'1.5 l (New Env. May 2015)'!$X$4:$X$11</c:f>
              <c:numCache>
                <c:formatCode>General</c:formatCode>
                <c:ptCount val="8"/>
                <c:pt idx="0">
                  <c:v>-30</c:v>
                </c:pt>
                <c:pt idx="1">
                  <c:v>-30</c:v>
                </c:pt>
                <c:pt idx="2">
                  <c:v>-21</c:v>
                </c:pt>
                <c:pt idx="3">
                  <c:v>15</c:v>
                </c:pt>
                <c:pt idx="4">
                  <c:v>25</c:v>
                </c:pt>
                <c:pt idx="5">
                  <c:v>25</c:v>
                </c:pt>
                <c:pt idx="6">
                  <c:v>-10</c:v>
                </c:pt>
                <c:pt idx="7">
                  <c:v>-30</c:v>
                </c:pt>
              </c:numCache>
            </c:numRef>
          </c:xVal>
          <c:yVal>
            <c:numRef>
              <c:f>'1.5 l (New Env. May 2015)'!$Y$4:$Y$11</c:f>
              <c:numCache>
                <c:formatCode>General</c:formatCode>
                <c:ptCount val="8"/>
                <c:pt idx="0">
                  <c:v>17</c:v>
                </c:pt>
                <c:pt idx="1">
                  <c:v>59</c:v>
                </c:pt>
                <c:pt idx="2">
                  <c:v>70</c:v>
                </c:pt>
                <c:pt idx="3">
                  <c:v>70</c:v>
                </c:pt>
                <c:pt idx="4">
                  <c:v>60</c:v>
                </c:pt>
                <c:pt idx="5">
                  <c:v>45</c:v>
                </c:pt>
                <c:pt idx="6">
                  <c:v>17</c:v>
                </c:pt>
                <c:pt idx="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0-4EAD-B05E-EDF361D9E76F}"/>
            </c:ext>
          </c:extLst>
        </c:ser>
        <c:ser>
          <c:idx val="5"/>
          <c:order val="1"/>
          <c:tx>
            <c:strRef>
              <c:f>'1.5 l (New Env. May 2015)'!$AA$1</c:f>
              <c:strCache>
                <c:ptCount val="1"/>
                <c:pt idx="0">
                  <c:v>7200 rpm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'1.5 l (New Env. May 2015)'!$AA$4:$AA$8</c:f>
              <c:numCache>
                <c:formatCode>General</c:formatCode>
                <c:ptCount val="5"/>
                <c:pt idx="0">
                  <c:v>-30</c:v>
                </c:pt>
                <c:pt idx="1">
                  <c:v>-30</c:v>
                </c:pt>
                <c:pt idx="2">
                  <c:v>10</c:v>
                </c:pt>
                <c:pt idx="3">
                  <c:v>10</c:v>
                </c:pt>
                <c:pt idx="4">
                  <c:v>-10</c:v>
                </c:pt>
              </c:numCache>
            </c:numRef>
          </c:xVal>
          <c:yVal>
            <c:numRef>
              <c:f>'1.5 l (New Env. May 2015)'!$AB$4:$AB$8</c:f>
              <c:numCache>
                <c:formatCode>General</c:formatCode>
                <c:ptCount val="5"/>
                <c:pt idx="0">
                  <c:v>17</c:v>
                </c:pt>
                <c:pt idx="1">
                  <c:v>60</c:v>
                </c:pt>
                <c:pt idx="2">
                  <c:v>58</c:v>
                </c:pt>
                <c:pt idx="3">
                  <c:v>35</c:v>
                </c:pt>
                <c:pt idx="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30-4EAD-B05E-EDF361D9E76F}"/>
            </c:ext>
          </c:extLst>
        </c:ser>
        <c:ser>
          <c:idx val="6"/>
          <c:order val="2"/>
          <c:tx>
            <c:strRef>
              <c:f>'1.5 l (New Env. May 2015)'!$AD$1</c:f>
              <c:strCache>
                <c:ptCount val="1"/>
                <c:pt idx="0">
                  <c:v>6000 rpm</c:v>
                </c:pt>
              </c:strCache>
            </c:strRef>
          </c:tx>
          <c:spPr>
            <a:ln w="28575">
              <a:solidFill>
                <a:schemeClr val="accent3"/>
              </a:solidFill>
            </a:ln>
          </c:spPr>
          <c:marker>
            <c:symbol val="none"/>
          </c:marker>
          <c:xVal>
            <c:numRef>
              <c:f>'1.5 l (New Env. May 2015)'!$AD$4:$AD$6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15</c:v>
                </c:pt>
              </c:numCache>
            </c:numRef>
          </c:xVal>
          <c:yVal>
            <c:numRef>
              <c:f>'1.5 l (New Env. May 2015)'!$AE$4:$AE$6</c:f>
              <c:numCache>
                <c:formatCode>General</c:formatCode>
                <c:ptCount val="3"/>
                <c:pt idx="0">
                  <c:v>70</c:v>
                </c:pt>
                <c:pt idx="1">
                  <c:v>65</c:v>
                </c:pt>
                <c:pt idx="2">
                  <c:v>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30-4EAD-B05E-EDF361D9E76F}"/>
            </c:ext>
          </c:extLst>
        </c:ser>
        <c:ser>
          <c:idx val="7"/>
          <c:order val="3"/>
          <c:tx>
            <c:strRef>
              <c:f>'1.5 l (New Env. May 2015)'!$U$42</c:f>
              <c:strCache>
                <c:ptCount val="1"/>
                <c:pt idx="0">
                  <c:v>Sanitary Water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'1.5 l (New Env. May 2015)'!$V$42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'1.5 l (New Env. May 2015)'!$W$42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30-4EAD-B05E-EDF361D9E76F}"/>
            </c:ext>
          </c:extLst>
        </c:ser>
        <c:ser>
          <c:idx val="0"/>
          <c:order val="4"/>
          <c:tx>
            <c:strRef>
              <c:f>'1.5 l (New Env. May 2015)'!$U$43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'1.5 l (New Env. May 2015)'!$V$44</c:f>
              <c:numCache>
                <c:formatCode>General</c:formatCode>
                <c:ptCount val="1"/>
                <c:pt idx="0">
                  <c:v>-5</c:v>
                </c:pt>
              </c:numCache>
            </c:numRef>
          </c:xVal>
          <c:yVal>
            <c:numRef>
              <c:f>'1.5 l (New Env. May 2015)'!$W$44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30-4EAD-B05E-EDF361D9E76F}"/>
            </c:ext>
          </c:extLst>
        </c:ser>
        <c:ser>
          <c:idx val="1"/>
          <c:order val="5"/>
          <c:tx>
            <c:strRef>
              <c:f>'1.5 l (New Env. May 2015)'!$U$45</c:f>
              <c:strCache>
                <c:ptCount val="1"/>
                <c:pt idx="0">
                  <c:v>HCOP 3.5 (A7/W55)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'1.5 l (New Env. May 2015)'!$V$45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'1.5 l (New Env. May 2015)'!$W$45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30-4EAD-B05E-EDF361D9E76F}"/>
            </c:ext>
          </c:extLst>
        </c:ser>
        <c:ser>
          <c:idx val="4"/>
          <c:order val="6"/>
          <c:tx>
            <c:strRef>
              <c:f>'1.5 l (New Env. May 2015)'!$U$43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ymbol val="square"/>
            <c:size val="6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'1.5 l (New Env. May 2015)'!$V$43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'1.5 l (New Env. May 2015)'!$W$43</c:f>
              <c:numCache>
                <c:formatCode>General</c:formatCode>
                <c:ptCount val="1"/>
                <c:pt idx="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30-4EAD-B05E-EDF361D9E76F}"/>
            </c:ext>
          </c:extLst>
        </c:ser>
        <c:ser>
          <c:idx val="8"/>
          <c:order val="7"/>
          <c:tx>
            <c:strRef>
              <c:f>'1.5 l (New Env. May 2015)'!$AG$1</c:f>
              <c:strCache>
                <c:ptCount val="1"/>
                <c:pt idx="0">
                  <c:v>1800 rpm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'1.5 l (New Env. May 2015)'!$AG$4:$AG$6</c:f>
              <c:numCache>
                <c:formatCode>General</c:formatCode>
                <c:ptCount val="3"/>
                <c:pt idx="0">
                  <c:v>-7</c:v>
                </c:pt>
                <c:pt idx="1">
                  <c:v>-7</c:v>
                </c:pt>
                <c:pt idx="2">
                  <c:v>25</c:v>
                </c:pt>
              </c:numCache>
            </c:numRef>
          </c:xVal>
          <c:yVal>
            <c:numRef>
              <c:f>'1.5 l (New Env. May 2015)'!$AH$4:$AH$6</c:f>
              <c:numCache>
                <c:formatCode>General</c:formatCode>
                <c:ptCount val="3"/>
                <c:pt idx="0">
                  <c:v>19</c:v>
                </c:pt>
                <c:pt idx="1">
                  <c:v>50</c:v>
                </c:pt>
                <c:pt idx="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30-4EAD-B05E-EDF361D9E76F}"/>
            </c:ext>
          </c:extLst>
        </c:ser>
        <c:ser>
          <c:idx val="9"/>
          <c:order val="8"/>
          <c:tx>
            <c:strRef>
              <c:f>'1.5 l (New Env. May 2015)'!$AJ$1</c:f>
              <c:strCache>
                <c:ptCount val="1"/>
                <c:pt idx="0">
                  <c:v>Working Conditions -Reference</c:v>
                </c:pt>
              </c:strCache>
            </c:strRef>
          </c:tx>
          <c:spPr>
            <a:ln w="22225">
              <a:solidFill>
                <a:srgbClr val="000000"/>
              </a:solidFill>
              <a:prstDash val="dash"/>
            </a:ln>
          </c:spPr>
          <c:marker>
            <c:symbol val="none"/>
          </c:marker>
          <c:xVal>
            <c:numRef>
              <c:f>'1.5 l (New Env. May 2015)'!$AJ$4:$AJ$29</c:f>
              <c:numCache>
                <c:formatCode># ##0.0</c:formatCode>
                <c:ptCount val="26"/>
                <c:pt idx="0">
                  <c:v>-20</c:v>
                </c:pt>
                <c:pt idx="1">
                  <c:v>-18.920000000000002</c:v>
                </c:pt>
                <c:pt idx="2">
                  <c:v>-17.84</c:v>
                </c:pt>
                <c:pt idx="3">
                  <c:v>-16.759999999999998</c:v>
                </c:pt>
                <c:pt idx="4">
                  <c:v>-15.68</c:v>
                </c:pt>
                <c:pt idx="5">
                  <c:v>-14.6</c:v>
                </c:pt>
                <c:pt idx="6">
                  <c:v>-13.52</c:v>
                </c:pt>
                <c:pt idx="7">
                  <c:v>-12.44</c:v>
                </c:pt>
                <c:pt idx="8">
                  <c:v>-11.36</c:v>
                </c:pt>
                <c:pt idx="9">
                  <c:v>-10.28</c:v>
                </c:pt>
                <c:pt idx="10">
                  <c:v>-9.1999999999999993</c:v>
                </c:pt>
                <c:pt idx="11">
                  <c:v>-8.1199999999999992</c:v>
                </c:pt>
                <c:pt idx="12">
                  <c:v>-7.0399999999999991</c:v>
                </c:pt>
                <c:pt idx="13">
                  <c:v>-5.9600000000000009</c:v>
                </c:pt>
                <c:pt idx="14">
                  <c:v>-4.879999999999999</c:v>
                </c:pt>
                <c:pt idx="15">
                  <c:v>-3.8000000000000007</c:v>
                </c:pt>
                <c:pt idx="16">
                  <c:v>-2.7200000000000006</c:v>
                </c:pt>
                <c:pt idx="17">
                  <c:v>-1.6400000000000006</c:v>
                </c:pt>
                <c:pt idx="18">
                  <c:v>-0.5600000000000005</c:v>
                </c:pt>
                <c:pt idx="19">
                  <c:v>0.51999999999999957</c:v>
                </c:pt>
                <c:pt idx="20">
                  <c:v>1.5999999999999996</c:v>
                </c:pt>
                <c:pt idx="21">
                  <c:v>2.6799999999999997</c:v>
                </c:pt>
                <c:pt idx="22">
                  <c:v>3.76</c:v>
                </c:pt>
                <c:pt idx="23">
                  <c:v>4.84</c:v>
                </c:pt>
                <c:pt idx="24">
                  <c:v>5.92</c:v>
                </c:pt>
              </c:numCache>
            </c:numRef>
          </c:xVal>
          <c:yVal>
            <c:numRef>
              <c:f>'1.5 l (New Env. May 2015)'!$AK$4:$AK$29</c:f>
              <c:numCache>
                <c:formatCode>0</c:formatCode>
                <c:ptCount val="26"/>
                <c:pt idx="0">
                  <c:v>57.333333333333336</c:v>
                </c:pt>
                <c:pt idx="1">
                  <c:v>56.222222222222221</c:v>
                </c:pt>
                <c:pt idx="2">
                  <c:v>55.111111111111114</c:v>
                </c:pt>
                <c:pt idx="3" formatCode="0.0">
                  <c:v>54</c:v>
                </c:pt>
                <c:pt idx="4">
                  <c:v>52.888888888888886</c:v>
                </c:pt>
                <c:pt idx="5">
                  <c:v>51.777777777777779</c:v>
                </c:pt>
                <c:pt idx="6">
                  <c:v>50.666666666666664</c:v>
                </c:pt>
                <c:pt idx="7">
                  <c:v>49.555555555555557</c:v>
                </c:pt>
                <c:pt idx="8">
                  <c:v>48.444444444444443</c:v>
                </c:pt>
                <c:pt idx="9">
                  <c:v>47.333333333333336</c:v>
                </c:pt>
                <c:pt idx="10">
                  <c:v>46.222222222222221</c:v>
                </c:pt>
                <c:pt idx="11">
                  <c:v>45.111111111111114</c:v>
                </c:pt>
                <c:pt idx="12">
                  <c:v>44</c:v>
                </c:pt>
                <c:pt idx="13">
                  <c:v>42.888888888888886</c:v>
                </c:pt>
                <c:pt idx="14">
                  <c:v>41.777777777777779</c:v>
                </c:pt>
                <c:pt idx="15">
                  <c:v>40.666666666666671</c:v>
                </c:pt>
                <c:pt idx="16">
                  <c:v>39.555555555555557</c:v>
                </c:pt>
                <c:pt idx="17">
                  <c:v>38.444444444444443</c:v>
                </c:pt>
                <c:pt idx="18">
                  <c:v>37.333333333333329</c:v>
                </c:pt>
                <c:pt idx="19">
                  <c:v>36.222222222222221</c:v>
                </c:pt>
                <c:pt idx="20">
                  <c:v>35.111111111111114</c:v>
                </c:pt>
                <c:pt idx="21">
                  <c:v>34</c:v>
                </c:pt>
                <c:pt idx="22">
                  <c:v>32.888888888888886</c:v>
                </c:pt>
                <c:pt idx="23">
                  <c:v>31.777777777777779</c:v>
                </c:pt>
                <c:pt idx="24">
                  <c:v>30.666666666666664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30-4EAD-B05E-EDF361D9E76F}"/>
            </c:ext>
          </c:extLst>
        </c:ser>
        <c:ser>
          <c:idx val="10"/>
          <c:order val="9"/>
          <c:tx>
            <c:strRef>
              <c:f>'1.5 l (New Env. May 2015)'!$X$27</c:f>
              <c:strCache>
                <c:ptCount val="1"/>
                <c:pt idx="0">
                  <c:v>Gr R290 in Oil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2699275362318843E-2"/>
                  <c:y val="-3.5930484417603138E-2"/>
                </c:manualLayout>
              </c:layout>
              <c:tx>
                <c:strRef>
                  <c:f>'1.5 l (New Env. May 2015)'!$X$29</c:f>
                  <c:strCache>
                    <c:ptCount val="1"/>
                    <c:pt idx="0">
                      <c:v>55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{76809CF8-4E06-4F33-938E-D193FD3BFCEA}</c15:txfldGUID>
                      <c15:f>'1.5 l (New Env. May 2015)'!$X$29</c15:f>
                      <c15:dlblFieldTableCache>
                        <c:ptCount val="1"/>
                        <c:pt idx="0">
                          <c:v>55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E30-4EAD-B05E-EDF361D9E76F}"/>
                </c:ext>
              </c:extLst>
            </c:dLbl>
            <c:dLbl>
              <c:idx val="1"/>
              <c:tx>
                <c:strRef>
                  <c:f>'1.5 l (New Env. May 2015)'!$X$30</c:f>
                  <c:strCache>
                    <c:ptCount val="1"/>
                    <c:pt idx="0">
                      <c:v>68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{64F697FA-1C85-4640-90CA-D920812A05DB}</c15:txfldGUID>
                      <c15:f>'1.5 l (New Env. May 2015)'!$X$30</c15:f>
                      <c15:dlblFieldTableCache>
                        <c:ptCount val="1"/>
                        <c:pt idx="0">
                          <c:v>68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E30-4EAD-B05E-EDF361D9E76F}"/>
                </c:ext>
              </c:extLst>
            </c:dLbl>
            <c:dLbl>
              <c:idx val="2"/>
              <c:layout>
                <c:manualLayout>
                  <c:x val="-3.3741298642017575E-3"/>
                  <c:y val="-4.4384985857350352E-2"/>
                </c:manualLayout>
              </c:layout>
              <c:tx>
                <c:strRef>
                  <c:f>'1.5 l (New Env. May 2015)'!$X$31</c:f>
                  <c:strCache>
                    <c:ptCount val="1"/>
                    <c:pt idx="0">
                      <c:v>84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{AF61607C-6A23-433A-8E9E-B73744150F08}</c15:txfldGUID>
                      <c15:f>'1.5 l (New Env. May 2015)'!$X$31</c15:f>
                      <c15:dlblFieldTableCache>
                        <c:ptCount val="1"/>
                        <c:pt idx="0">
                          <c:v>84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E30-4EAD-B05E-EDF361D9E76F}"/>
                </c:ext>
              </c:extLst>
            </c:dLbl>
            <c:dLbl>
              <c:idx val="3"/>
              <c:layout>
                <c:manualLayout>
                  <c:x val="-1.5625356613032067E-3"/>
                  <c:y val="-8.9692429223046155E-2"/>
                </c:manualLayout>
              </c:layout>
              <c:tx>
                <c:strRef>
                  <c:f>'1.5 l (New Env. May 2015)'!$X$32</c:f>
                  <c:strCache>
                    <c:ptCount val="1"/>
                    <c:pt idx="0">
                      <c:v>72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{99607A6F-66FF-4AF8-82C7-B4110888A367}</c15:txfldGUID>
                      <c15:f>'1.5 l (New Env. May 2015)'!$X$32</c15:f>
                      <c15:dlblFieldTableCache>
                        <c:ptCount val="1"/>
                        <c:pt idx="0">
                          <c:v>72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E30-4EAD-B05E-EDF361D9E76F}"/>
                </c:ext>
              </c:extLst>
            </c:dLbl>
            <c:dLbl>
              <c:idx val="4"/>
              <c:tx>
                <c:strRef>
                  <c:f>'1.5 l (New Env. May 2015)'!$X$33</c:f>
                  <c:strCache>
                    <c:ptCount val="1"/>
                    <c:pt idx="0">
                      <c:v>91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{20877905-D65E-410D-BC9B-9B609C59626C}</c15:txfldGUID>
                      <c15:f>'1.5 l (New Env. May 2015)'!$X$33</c15:f>
                      <c15:dlblFieldTableCache>
                        <c:ptCount val="1"/>
                        <c:pt idx="0">
                          <c:v>91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E30-4EAD-B05E-EDF361D9E76F}"/>
                </c:ext>
              </c:extLst>
            </c:dLbl>
            <c:dLbl>
              <c:idx val="5"/>
              <c:tx>
                <c:strRef>
                  <c:f>'1.5 l (New Env. May 2015)'!$X$34</c:f>
                  <c:strCache>
                    <c:ptCount val="1"/>
                    <c:pt idx="0">
                      <c:v>118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{0AB3AA29-90B7-4075-9C7E-9F453630DDBA}</c15:txfldGUID>
                      <c15:f>'1.5 l (New Env. May 2015)'!$X$34</c15:f>
                      <c15:dlblFieldTableCache>
                        <c:ptCount val="1"/>
                        <c:pt idx="0">
                          <c:v>118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E30-4EAD-B05E-EDF361D9E76F}"/>
                </c:ext>
              </c:extLst>
            </c:dLbl>
            <c:dLbl>
              <c:idx val="6"/>
              <c:tx>
                <c:strRef>
                  <c:f>'1.5 l (New Env. May 2015)'!$X$35</c:f>
                  <c:strCache>
                    <c:ptCount val="1"/>
                    <c:pt idx="0">
                      <c:v>101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{96997E43-ABF8-444B-A25A-164F30BABD83}</c15:txfldGUID>
                      <c15:f>'1.5 l (New Env. May 2015)'!$X$35</c15:f>
                      <c15:dlblFieldTableCache>
                        <c:ptCount val="1"/>
                        <c:pt idx="0">
                          <c:v>101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E30-4EAD-B05E-EDF361D9E76F}"/>
                </c:ext>
              </c:extLst>
            </c:dLbl>
            <c:dLbl>
              <c:idx val="7"/>
              <c:tx>
                <c:strRef>
                  <c:f>'1.5 l (New Env. May 2015)'!$X$36</c:f>
                  <c:strCache>
                    <c:ptCount val="1"/>
                    <c:pt idx="0">
                      <c:v>135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{3DD9277E-9DD4-4961-98F9-CE5CFB83391A}</c15:txfldGUID>
                      <c15:f>'1.5 l (New Env. May 2015)'!$X$36</c15:f>
                      <c15:dlblFieldTableCache>
                        <c:ptCount val="1"/>
                        <c:pt idx="0">
                          <c:v>135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E30-4EAD-B05E-EDF361D9E76F}"/>
                </c:ext>
              </c:extLst>
            </c:dLbl>
            <c:dLbl>
              <c:idx val="8"/>
              <c:tx>
                <c:strRef>
                  <c:f>'1.5 l (New Env. May 2015)'!$X$37</c:f>
                  <c:strCache>
                    <c:ptCount val="1"/>
                    <c:pt idx="0">
                      <c:v>185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{8FEAC22D-9463-4E84-A7F5-0205758BAAF4}</c15:txfldGUID>
                      <c15:f>'1.5 l (New Env. May 2015)'!$X$37</c15:f>
                      <c15:dlblFieldTableCache>
                        <c:ptCount val="1"/>
                        <c:pt idx="0">
                          <c:v>185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E30-4EAD-B05E-EDF361D9E76F}"/>
                </c:ext>
              </c:extLst>
            </c:dLbl>
            <c:dLbl>
              <c:idx val="9"/>
              <c:tx>
                <c:strRef>
                  <c:f>'1.5 l (New Env. May 2015)'!$X$38</c:f>
                  <c:strCache>
                    <c:ptCount val="1"/>
                    <c:pt idx="0">
                      <c:v>44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{34B26FF5-4650-4FB6-BAA1-73337B4F1D77}</c15:txfldGUID>
                      <c15:f>'1.5 l (New Env. May 2015)'!$X$38</c15:f>
                      <c15:dlblFieldTableCache>
                        <c:ptCount val="1"/>
                        <c:pt idx="0">
                          <c:v>44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E30-4EAD-B05E-EDF361D9E76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E30-4EAD-B05E-EDF361D9E76F}"/>
                </c:ext>
              </c:extLst>
            </c:dLbl>
            <c:dLbl>
              <c:idx val="11"/>
              <c:layout>
                <c:manualLayout>
                  <c:x val="-4.2699275362318843E-2"/>
                  <c:y val="-3.3177891598501643E-4"/>
                </c:manualLayout>
              </c:layout>
              <c:tx>
                <c:strRef>
                  <c:f>'1.5 l (New Env. May 2015)'!$X$40</c:f>
                  <c:strCache>
                    <c:ptCount val="1"/>
                    <c:pt idx="0">
                      <c:v>65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{63630562-713C-4BD1-A787-5211E7B32D51}</c15:txfldGUID>
                      <c15:f>'1.5 l (New Env. May 2015)'!$X$40</c15:f>
                      <c15:dlblFieldTableCache>
                        <c:ptCount val="1"/>
                        <c:pt idx="0">
                          <c:v>65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E30-4EAD-B05E-EDF361D9E76F}"/>
                </c:ext>
              </c:extLst>
            </c:dLbl>
            <c:dLbl>
              <c:idx val="12"/>
              <c:layout>
                <c:manualLayout>
                  <c:x val="-4.0887681159420292E-2"/>
                  <c:y val="-1.0040516780062686E-2"/>
                </c:manualLayout>
              </c:layout>
              <c:tx>
                <c:strRef>
                  <c:f>'1.5 l (New Env. May 2015)'!$X$41</c:f>
                  <c:strCache>
                    <c:ptCount val="1"/>
                    <c:pt idx="0">
                      <c:v>23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{71DB532F-F3FC-4EA3-AF1E-96B21A095788}</c15:txfldGUID>
                      <c15:f>'1.5 l (New Env. May 2015)'!$X$41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1E30-4EAD-B05E-EDF361D9E76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E30-4EAD-B05E-EDF361D9E76F}"/>
                </c:ext>
              </c:extLst>
            </c:dLbl>
            <c:dLbl>
              <c:idx val="14"/>
              <c:layout>
                <c:manualLayout>
                  <c:x val="-4.4510869565217388E-2"/>
                  <c:y val="-7.8001936651122497E-2"/>
                </c:manualLayout>
              </c:layout>
              <c:tx>
                <c:strRef>
                  <c:f>'1.5 l (New Env. May 2015)'!$X$43</c:f>
                  <c:strCache>
                    <c:ptCount val="1"/>
                    <c:pt idx="0">
                      <c:v>32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{AC5DA2D1-AE21-421C-9BB5-AEFACB86F4AE}</c15:txfldGUID>
                      <c15:f>'1.5 l (New Env. May 2015)'!$X$43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1E30-4EAD-B05E-EDF361D9E76F}"/>
                </c:ext>
              </c:extLst>
            </c:dLbl>
            <c:dLbl>
              <c:idx val="15"/>
              <c:tx>
                <c:strRef>
                  <c:f>'1.5 l (New Env. May 2015)'!$X$44</c:f>
                  <c:strCache>
                    <c:ptCount val="1"/>
                    <c:pt idx="0">
                      <c:v>63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{7E80E578-5B14-4A40-B605-20626BC48EFC}</c15:txfldGUID>
                      <c15:f>'1.5 l (New Env. May 2015)'!$X$44</c15:f>
                      <c15:dlblFieldTableCache>
                        <c:ptCount val="1"/>
                        <c:pt idx="0">
                          <c:v>63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1E30-4EAD-B05E-EDF361D9E76F}"/>
                </c:ext>
              </c:extLst>
            </c:dLbl>
            <c:dLbl>
              <c:idx val="16"/>
              <c:layout>
                <c:manualLayout>
                  <c:x val="-2.4583333333333332E-2"/>
                  <c:y val="-5.5347960145758476E-2"/>
                </c:manualLayout>
              </c:layout>
              <c:tx>
                <c:strRef>
                  <c:f>'1.5 l (New Env. May 2015)'!$X$45</c:f>
                  <c:strCache>
                    <c:ptCount val="1"/>
                    <c:pt idx="0">
                      <c:v>63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{01678D23-1136-4C9E-8069-EACECCC2EEF2}</c15:txfldGUID>
                      <c15:f>'1.5 l (New Env. May 2015)'!$X$45</c15:f>
                      <c15:dlblFieldTableCache>
                        <c:ptCount val="1"/>
                        <c:pt idx="0">
                          <c:v>63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1E30-4EAD-B05E-EDF361D9E76F}"/>
                </c:ext>
              </c:extLst>
            </c:dLbl>
            <c:dLbl>
              <c:idx val="17"/>
              <c:layout>
                <c:manualLayout>
                  <c:x val="-3.3641446993038913E-2"/>
                  <c:y val="3.2030680630940549E-2"/>
                </c:manualLayout>
              </c:layout>
              <c:tx>
                <c:strRef>
                  <c:f>'1.5 l (New Env. May 2015)'!$X$46</c:f>
                  <c:strCache>
                    <c:ptCount val="1"/>
                    <c:pt idx="0">
                      <c:v>31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{E689FAC0-7302-43AA-8BDD-2E735EC42D69}</c15:txfldGUID>
                      <c15:f>'1.5 l (New Env. May 2015)'!$X$46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1E30-4EAD-B05E-EDF361D9E76F}"/>
                </c:ext>
              </c:extLst>
            </c:dLbl>
            <c:dLbl>
              <c:idx val="18"/>
              <c:tx>
                <c:strRef>
                  <c:f>'1.5 l (New Env. May 2015)'!$X$47</c:f>
                  <c:strCache>
                    <c:ptCount val="1"/>
                    <c:pt idx="0">
                      <c:v>100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{461C7011-8B87-40B8-958A-6E308E813A93}</c15:txfldGUID>
                      <c15:f>'1.5 l (New Env. May 2015)'!$X$47</c15:f>
                      <c15:dlblFieldTableCache>
                        <c:ptCount val="1"/>
                        <c:pt idx="0">
                          <c:v>100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1E30-4EAD-B05E-EDF361D9E76F}"/>
                </c:ext>
              </c:extLst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'1.5 l (New Env. May 2015)'!$V$29:$V$47</c:f>
              <c:numCache>
                <c:formatCode>General</c:formatCode>
                <c:ptCount val="19"/>
                <c:pt idx="0">
                  <c:v>-30</c:v>
                </c:pt>
                <c:pt idx="1">
                  <c:v>-11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-9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  <c:pt idx="10">
                  <c:v>-30</c:v>
                </c:pt>
                <c:pt idx="11">
                  <c:v>-30</c:v>
                </c:pt>
                <c:pt idx="12">
                  <c:v>-30</c:v>
                </c:pt>
                <c:pt idx="13">
                  <c:v>-18</c:v>
                </c:pt>
                <c:pt idx="14">
                  <c:v>-18</c:v>
                </c:pt>
                <c:pt idx="15">
                  <c:v>-5</c:v>
                </c:pt>
                <c:pt idx="16">
                  <c:v>0</c:v>
                </c:pt>
                <c:pt idx="17">
                  <c:v>-20</c:v>
                </c:pt>
                <c:pt idx="18">
                  <c:v>7</c:v>
                </c:pt>
              </c:numCache>
            </c:numRef>
          </c:xVal>
          <c:yVal>
            <c:numRef>
              <c:f>'1.5 l (New Env. May 2015)'!$W$29:$W$47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60</c:v>
                </c:pt>
                <c:pt idx="10">
                  <c:v>45</c:v>
                </c:pt>
                <c:pt idx="11">
                  <c:v>45</c:v>
                </c:pt>
                <c:pt idx="12">
                  <c:v>35</c:v>
                </c:pt>
                <c:pt idx="13">
                  <c:v>62</c:v>
                </c:pt>
                <c:pt idx="14">
                  <c:v>58</c:v>
                </c:pt>
                <c:pt idx="15">
                  <c:v>43</c:v>
                </c:pt>
                <c:pt idx="16">
                  <c:v>56</c:v>
                </c:pt>
                <c:pt idx="17">
                  <c:v>57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E30-4EAD-B05E-EDF361D9E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95840"/>
        <c:axId val="176292224"/>
      </c:scatterChart>
      <c:valAx>
        <c:axId val="176195840"/>
        <c:scaling>
          <c:orientation val="minMax"/>
          <c:min val="-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Temp.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292224"/>
        <c:crosses val="autoZero"/>
        <c:crossBetween val="midCat"/>
        <c:majorUnit val="10"/>
      </c:valAx>
      <c:valAx>
        <c:axId val="176292224"/>
        <c:scaling>
          <c:orientation val="minMax"/>
          <c:max val="80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Condensing Temp. (°C)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195840"/>
        <c:crossesAt val="-35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8"/>
        <c:delete val="1"/>
      </c:legendEntry>
      <c:legendEntry>
        <c:idx val="9"/>
        <c:txPr>
          <a:bodyPr/>
          <a:lstStyle/>
          <a:p>
            <a:pPr>
              <a:defRPr sz="800">
                <a:solidFill>
                  <a:srgbClr val="FF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0997232682871168"/>
          <c:y val="2.1942512040363887E-2"/>
          <c:w val="0.17734651375099852"/>
          <c:h val="0.29260377646968888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R290 Oil Mass</a:t>
            </a:r>
            <a:r>
              <a:rPr lang="en-US" baseline="0"/>
              <a:t> </a:t>
            </a:r>
            <a:r>
              <a:rPr lang="en-US"/>
              <a:t>Dilution inside the Oil Sump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874446046395605E-2"/>
          <c:y val="8.6801210324009254E-2"/>
          <c:w val="0.87668538206138025"/>
          <c:h val="0.80593393376005829"/>
        </c:manualLayout>
      </c:layout>
      <c:scatterChart>
        <c:scatterStyle val="lineMarker"/>
        <c:varyColors val="0"/>
        <c:ser>
          <c:idx val="0"/>
          <c:order val="4"/>
          <c:tx>
            <c:v>Operating Conditions</c:v>
          </c:tx>
          <c:spPr>
            <a:ln w="38100" cmpd="tri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'[5]HP Sizing'!$J$8:$J$33</c:f>
              <c:numCache>
                <c:formatCode>General</c:formatCode>
                <c:ptCount val="26"/>
                <c:pt idx="0">
                  <c:v>-20</c:v>
                </c:pt>
                <c:pt idx="1">
                  <c:v>-18.920000000000002</c:v>
                </c:pt>
                <c:pt idx="2">
                  <c:v>-17.84</c:v>
                </c:pt>
                <c:pt idx="3">
                  <c:v>-16.759999999999998</c:v>
                </c:pt>
                <c:pt idx="4">
                  <c:v>-15.68</c:v>
                </c:pt>
                <c:pt idx="5">
                  <c:v>-14.6</c:v>
                </c:pt>
                <c:pt idx="6">
                  <c:v>-13.52</c:v>
                </c:pt>
                <c:pt idx="7">
                  <c:v>-12.44</c:v>
                </c:pt>
                <c:pt idx="8">
                  <c:v>-11.36</c:v>
                </c:pt>
                <c:pt idx="9">
                  <c:v>-10.28</c:v>
                </c:pt>
                <c:pt idx="10">
                  <c:v>-9.1999999999999993</c:v>
                </c:pt>
                <c:pt idx="11">
                  <c:v>-8.1199999999999992</c:v>
                </c:pt>
                <c:pt idx="12">
                  <c:v>-7.0399999999999991</c:v>
                </c:pt>
                <c:pt idx="13">
                  <c:v>-5.9600000000000009</c:v>
                </c:pt>
                <c:pt idx="14">
                  <c:v>-4.879999999999999</c:v>
                </c:pt>
                <c:pt idx="15">
                  <c:v>-3.8000000000000007</c:v>
                </c:pt>
                <c:pt idx="16">
                  <c:v>-2.7200000000000006</c:v>
                </c:pt>
                <c:pt idx="17">
                  <c:v>-1.6400000000000006</c:v>
                </c:pt>
                <c:pt idx="18">
                  <c:v>-0.5600000000000005</c:v>
                </c:pt>
                <c:pt idx="19">
                  <c:v>0.51999999999999957</c:v>
                </c:pt>
                <c:pt idx="20">
                  <c:v>1.5999999999999996</c:v>
                </c:pt>
                <c:pt idx="21">
                  <c:v>2.6799999999999997</c:v>
                </c:pt>
                <c:pt idx="22">
                  <c:v>3.76</c:v>
                </c:pt>
                <c:pt idx="23">
                  <c:v>4.84</c:v>
                </c:pt>
                <c:pt idx="24">
                  <c:v>5.92</c:v>
                </c:pt>
                <c:pt idx="25">
                  <c:v>7</c:v>
                </c:pt>
              </c:numCache>
            </c:numRef>
          </c:xVal>
          <c:yVal>
            <c:numRef>
              <c:f>'[5]HP Sizing'!$L$8:$L$33</c:f>
              <c:numCache>
                <c:formatCode>General</c:formatCode>
                <c:ptCount val="26"/>
                <c:pt idx="0">
                  <c:v>57.333333333333336</c:v>
                </c:pt>
                <c:pt idx="1">
                  <c:v>56.222222222222221</c:v>
                </c:pt>
                <c:pt idx="2">
                  <c:v>55.111111111111114</c:v>
                </c:pt>
                <c:pt idx="3">
                  <c:v>54</c:v>
                </c:pt>
                <c:pt idx="4">
                  <c:v>52.888888888888886</c:v>
                </c:pt>
                <c:pt idx="5">
                  <c:v>51.777777777777779</c:v>
                </c:pt>
                <c:pt idx="6">
                  <c:v>50.666666666666664</c:v>
                </c:pt>
                <c:pt idx="7">
                  <c:v>49.555555555555557</c:v>
                </c:pt>
                <c:pt idx="8">
                  <c:v>48.444444444444443</c:v>
                </c:pt>
                <c:pt idx="9">
                  <c:v>47.333333333333336</c:v>
                </c:pt>
                <c:pt idx="10">
                  <c:v>46.222222222222221</c:v>
                </c:pt>
                <c:pt idx="11">
                  <c:v>45.111111111111114</c:v>
                </c:pt>
                <c:pt idx="12">
                  <c:v>44</c:v>
                </c:pt>
                <c:pt idx="13">
                  <c:v>42.888888888888886</c:v>
                </c:pt>
                <c:pt idx="14">
                  <c:v>41.777777777777779</c:v>
                </c:pt>
                <c:pt idx="15">
                  <c:v>40.666666666666671</c:v>
                </c:pt>
                <c:pt idx="16">
                  <c:v>39.555555555555557</c:v>
                </c:pt>
                <c:pt idx="17">
                  <c:v>38.444444444444443</c:v>
                </c:pt>
                <c:pt idx="18">
                  <c:v>37.333333333333329</c:v>
                </c:pt>
                <c:pt idx="19">
                  <c:v>36.222222222222221</c:v>
                </c:pt>
                <c:pt idx="20">
                  <c:v>35.111111111111114</c:v>
                </c:pt>
                <c:pt idx="21">
                  <c:v>34</c:v>
                </c:pt>
                <c:pt idx="22">
                  <c:v>32.888888888888886</c:v>
                </c:pt>
                <c:pt idx="23">
                  <c:v>31.777777777777779</c:v>
                </c:pt>
                <c:pt idx="24">
                  <c:v>30.666666666666664</c:v>
                </c:pt>
                <c:pt idx="25">
                  <c:v>29.555555555555554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0-4FA7-B6D4-778B5F8DFC47}"/>
            </c:ext>
          </c:extLst>
        </c:ser>
        <c:ser>
          <c:idx val="1"/>
          <c:order val="5"/>
          <c:tx>
            <c:strRef>
              <c:f>[5]DataSupport!$M$2</c:f>
              <c:strCache>
                <c:ptCount val="1"/>
                <c:pt idx="0">
                  <c:v>ZHV*KCU (R290)</c:v>
                </c:pt>
              </c:strCache>
            </c:strRef>
          </c:tx>
          <c:spPr>
            <a:ln w="4445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[5]DataSupport!$M$4:$M$13</c:f>
              <c:numCache>
                <c:formatCode>General</c:formatCode>
                <c:ptCount val="10"/>
                <c:pt idx="0">
                  <c:v>-30</c:v>
                </c:pt>
                <c:pt idx="1">
                  <c:v>-9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-11</c:v>
                </c:pt>
                <c:pt idx="6">
                  <c:v>-30</c:v>
                </c:pt>
                <c:pt idx="7">
                  <c:v>-30</c:v>
                </c:pt>
              </c:numCache>
            </c:numRef>
          </c:xVal>
          <c:yVal>
            <c:numRef>
              <c:f>[5]DataSupport!$N$4:$N$13</c:f>
              <c:numCache>
                <c:formatCode>General</c:formatCode>
                <c:ptCount val="10"/>
                <c:pt idx="0">
                  <c:v>45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A0-4FA7-B6D4-778B5F8DFC47}"/>
            </c:ext>
          </c:extLst>
        </c:ser>
        <c:ser>
          <c:idx val="5"/>
          <c:order val="6"/>
          <c:tx>
            <c:strRef>
              <c:f>'[5]Envelope (2)'!$Q$10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'[5]Envelope (2)'!$S$10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A0-4FA7-B6D4-778B5F8DFC47}"/>
            </c:ext>
          </c:extLst>
        </c:ser>
        <c:ser>
          <c:idx val="12"/>
          <c:order val="7"/>
          <c:tx>
            <c:strRef>
              <c:f>'[5]Envelope (2)'!$Q$11</c:f>
              <c:strCache>
                <c:ptCount val="1"/>
                <c:pt idx="0">
                  <c:v>Opimization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'[5]Envelope (2)'!$S$11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xVal>
          <c:yVal>
            <c:numRef>
              <c:f>'[5]Envelope (2)'!$T$11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A0-4FA7-B6D4-778B5F8DFC47}"/>
            </c:ext>
          </c:extLst>
        </c:ser>
        <c:ser>
          <c:idx val="2"/>
          <c:order val="0"/>
          <c:tx>
            <c:v>Operating Conditions</c:v>
          </c:tx>
          <c:spPr>
            <a:ln w="38100" cmpd="tri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'[5]HP Sizing'!$J$8:$J$33</c:f>
              <c:numCache>
                <c:formatCode>General</c:formatCode>
                <c:ptCount val="26"/>
                <c:pt idx="0">
                  <c:v>-20</c:v>
                </c:pt>
                <c:pt idx="1">
                  <c:v>-18.920000000000002</c:v>
                </c:pt>
                <c:pt idx="2">
                  <c:v>-17.84</c:v>
                </c:pt>
                <c:pt idx="3">
                  <c:v>-16.759999999999998</c:v>
                </c:pt>
                <c:pt idx="4">
                  <c:v>-15.68</c:v>
                </c:pt>
                <c:pt idx="5">
                  <c:v>-14.6</c:v>
                </c:pt>
                <c:pt idx="6">
                  <c:v>-13.52</c:v>
                </c:pt>
                <c:pt idx="7">
                  <c:v>-12.44</c:v>
                </c:pt>
                <c:pt idx="8">
                  <c:v>-11.36</c:v>
                </c:pt>
                <c:pt idx="9">
                  <c:v>-10.28</c:v>
                </c:pt>
                <c:pt idx="10">
                  <c:v>-9.1999999999999993</c:v>
                </c:pt>
                <c:pt idx="11">
                  <c:v>-8.1199999999999992</c:v>
                </c:pt>
                <c:pt idx="12">
                  <c:v>-7.0399999999999991</c:v>
                </c:pt>
                <c:pt idx="13">
                  <c:v>-5.9600000000000009</c:v>
                </c:pt>
                <c:pt idx="14">
                  <c:v>-4.879999999999999</c:v>
                </c:pt>
                <c:pt idx="15">
                  <c:v>-3.8000000000000007</c:v>
                </c:pt>
                <c:pt idx="16">
                  <c:v>-2.7200000000000006</c:v>
                </c:pt>
                <c:pt idx="17">
                  <c:v>-1.6400000000000006</c:v>
                </c:pt>
                <c:pt idx="18">
                  <c:v>-0.5600000000000005</c:v>
                </c:pt>
                <c:pt idx="19">
                  <c:v>0.51999999999999957</c:v>
                </c:pt>
                <c:pt idx="20">
                  <c:v>1.5999999999999996</c:v>
                </c:pt>
                <c:pt idx="21">
                  <c:v>2.6799999999999997</c:v>
                </c:pt>
                <c:pt idx="22">
                  <c:v>3.76</c:v>
                </c:pt>
                <c:pt idx="23">
                  <c:v>4.84</c:v>
                </c:pt>
                <c:pt idx="24">
                  <c:v>5.92</c:v>
                </c:pt>
                <c:pt idx="25">
                  <c:v>7</c:v>
                </c:pt>
              </c:numCache>
            </c:numRef>
          </c:xVal>
          <c:yVal>
            <c:numRef>
              <c:f>'[5]HP Sizing'!$L$8:$L$33</c:f>
              <c:numCache>
                <c:formatCode>General</c:formatCode>
                <c:ptCount val="26"/>
                <c:pt idx="0">
                  <c:v>57.333333333333336</c:v>
                </c:pt>
                <c:pt idx="1">
                  <c:v>56.222222222222221</c:v>
                </c:pt>
                <c:pt idx="2">
                  <c:v>55.111111111111114</c:v>
                </c:pt>
                <c:pt idx="3">
                  <c:v>54</c:v>
                </c:pt>
                <c:pt idx="4">
                  <c:v>52.888888888888886</c:v>
                </c:pt>
                <c:pt idx="5">
                  <c:v>51.777777777777779</c:v>
                </c:pt>
                <c:pt idx="6">
                  <c:v>50.666666666666664</c:v>
                </c:pt>
                <c:pt idx="7">
                  <c:v>49.555555555555557</c:v>
                </c:pt>
                <c:pt idx="8">
                  <c:v>48.444444444444443</c:v>
                </c:pt>
                <c:pt idx="9">
                  <c:v>47.333333333333336</c:v>
                </c:pt>
                <c:pt idx="10">
                  <c:v>46.222222222222221</c:v>
                </c:pt>
                <c:pt idx="11">
                  <c:v>45.111111111111114</c:v>
                </c:pt>
                <c:pt idx="12">
                  <c:v>44</c:v>
                </c:pt>
                <c:pt idx="13">
                  <c:v>42.888888888888886</c:v>
                </c:pt>
                <c:pt idx="14">
                  <c:v>41.777777777777779</c:v>
                </c:pt>
                <c:pt idx="15">
                  <c:v>40.666666666666671</c:v>
                </c:pt>
                <c:pt idx="16">
                  <c:v>39.555555555555557</c:v>
                </c:pt>
                <c:pt idx="17">
                  <c:v>38.444444444444443</c:v>
                </c:pt>
                <c:pt idx="18">
                  <c:v>37.333333333333329</c:v>
                </c:pt>
                <c:pt idx="19">
                  <c:v>36.222222222222221</c:v>
                </c:pt>
                <c:pt idx="20">
                  <c:v>35.111111111111114</c:v>
                </c:pt>
                <c:pt idx="21">
                  <c:v>34</c:v>
                </c:pt>
                <c:pt idx="22">
                  <c:v>32.888888888888886</c:v>
                </c:pt>
                <c:pt idx="23">
                  <c:v>31.777777777777779</c:v>
                </c:pt>
                <c:pt idx="24">
                  <c:v>30.666666666666664</c:v>
                </c:pt>
                <c:pt idx="25">
                  <c:v>29.555555555555554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A0-4FA7-B6D4-778B5F8DFC47}"/>
            </c:ext>
          </c:extLst>
        </c:ser>
        <c:ser>
          <c:idx val="9"/>
          <c:order val="1"/>
          <c:tx>
            <c:strRef>
              <c:f>'[5]Envelope (2)'!$Q$10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(2)'!$S$10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0-4FA7-B6D4-778B5F8DFC47}"/>
            </c:ext>
          </c:extLst>
        </c:ser>
        <c:ser>
          <c:idx val="10"/>
          <c:order val="2"/>
          <c:tx>
            <c:strRef>
              <c:f>'[5]Envelope (2)'!$Q$11</c:f>
              <c:strCache>
                <c:ptCount val="1"/>
                <c:pt idx="0">
                  <c:v>Opimization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xVal>
          <c:yVal>
            <c:numRef>
              <c:f>'[5]Envelope (2)'!$T$11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0-4FA7-B6D4-778B5F8DFC47}"/>
            </c:ext>
          </c:extLst>
        </c:ser>
        <c:ser>
          <c:idx val="11"/>
          <c:order val="3"/>
          <c:spPr>
            <a:ln>
              <a:noFill/>
            </a:ln>
          </c:spPr>
          <c:marker>
            <c:symbol val="none"/>
          </c:marker>
          <c:dPt>
            <c:idx val="16"/>
            <c:marker>
              <c:symbol val="square"/>
              <c:size val="8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E7A0-4FA7-B6D4-778B5F8DFC47}"/>
              </c:ext>
            </c:extLst>
          </c:dPt>
          <c:dLbls>
            <c:dLbl>
              <c:idx val="0"/>
              <c:layout>
                <c:manualLayout>
                  <c:x val="-4.9031503021911886E-2"/>
                  <c:y val="-1.2323228616888223E-2"/>
                </c:manualLayout>
              </c:layout>
              <c:tx>
                <c:strRef>
                  <c:f>'Calculation (2.5 l)'!$AD$12</c:f>
                  <c:strCache>
                    <c:ptCount val="1"/>
                    <c:pt idx="0">
                      <c:v>92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{8262390A-1731-43C8-AF96-AD904B19AC01}</c15:txfldGUID>
                      <c15:f>'Calculation (2.5 l)'!$AD$12</c15:f>
                      <c15:dlblFieldTableCache>
                        <c:ptCount val="1"/>
                        <c:pt idx="0">
                          <c:v>92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7A0-4FA7-B6D4-778B5F8DFC47}"/>
                </c:ext>
              </c:extLst>
            </c:dLbl>
            <c:dLbl>
              <c:idx val="1"/>
              <c:layout>
                <c:manualLayout>
                  <c:x val="-3.3605486977027997E-2"/>
                  <c:y val="3.0428940592831202E-2"/>
                </c:manualLayout>
              </c:layout>
              <c:tx>
                <c:strRef>
                  <c:f>'Calculation (2.5 l)'!$AD$13</c:f>
                  <c:strCache>
                    <c:ptCount val="1"/>
                    <c:pt idx="0">
                      <c:v>113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{2466F648-3554-4967-B0AC-EF872D7673E0}</c15:txfldGUID>
                      <c15:f>'Calculation (2.5 l)'!$AD$13</c15:f>
                      <c15:dlblFieldTableCache>
                        <c:ptCount val="1"/>
                        <c:pt idx="0">
                          <c:v>113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7A0-4FA7-B6D4-778B5F8DFC47}"/>
                </c:ext>
              </c:extLst>
            </c:dLbl>
            <c:dLbl>
              <c:idx val="2"/>
              <c:layout>
                <c:manualLayout>
                  <c:x val="-7.2302885861934042E-3"/>
                  <c:y val="2.6153723671859263E-2"/>
                </c:manualLayout>
              </c:layout>
              <c:tx>
                <c:strRef>
                  <c:f>'Calculation (2.5 l)'!$AD$14</c:f>
                  <c:strCache>
                    <c:ptCount val="1"/>
                    <c:pt idx="0">
                      <c:v>141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{F63DD0FF-5A1D-40BF-858E-EB4CCB43CD7E}</c15:txfldGUID>
                      <c15:f>'Calculation (2.5 l)'!$AD$14</c15:f>
                      <c15:dlblFieldTableCache>
                        <c:ptCount val="1"/>
                        <c:pt idx="0">
                          <c:v>141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7A0-4FA7-B6D4-778B5F8DFC4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A0-4FA7-B6D4-778B5F8DFC47}"/>
                </c:ext>
              </c:extLst>
            </c:dLbl>
            <c:dLbl>
              <c:idx val="4"/>
              <c:layout>
                <c:manualLayout>
                  <c:x val="-1.8059082037499782E-2"/>
                  <c:y val="-4.2249747063691799E-2"/>
                </c:manualLayout>
              </c:layout>
              <c:tx>
                <c:strRef>
                  <c:f>'Calculation (2.5 l)'!$AD$16</c:f>
                  <c:strCache>
                    <c:ptCount val="1"/>
                    <c:pt idx="0">
                      <c:v>152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{7F3BDE34-A764-413A-9CDD-492BF0E6F396}</c15:txfldGUID>
                      <c15:f>'Calculation (2.5 l)'!$AD$16</c15:f>
                      <c15:dlblFieldTableCache>
                        <c:ptCount val="1"/>
                        <c:pt idx="0">
                          <c:v>152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7A0-4FA7-B6D4-778B5F8DFC47}"/>
                </c:ext>
              </c:extLst>
            </c:dLbl>
            <c:dLbl>
              <c:idx val="5"/>
              <c:tx>
                <c:strRef>
                  <c:f>'Calculation (2.5 l)'!$AD$17</c:f>
                  <c:strCache>
                    <c:ptCount val="1"/>
                    <c:pt idx="0">
                      <c:v>196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{FD070AC9-604E-4863-8E4F-7B7EB969F123}</c15:txfldGUID>
                      <c15:f>'Calculation (2.5 l)'!$AD$17</c15:f>
                      <c15:dlblFieldTableCache>
                        <c:ptCount val="1"/>
                        <c:pt idx="0">
                          <c:v>196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7A0-4FA7-B6D4-778B5F8DFC4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7A0-4FA7-B6D4-778B5F8DFC4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7A0-4FA7-B6D4-778B5F8DFC47}"/>
                </c:ext>
              </c:extLst>
            </c:dLbl>
            <c:dLbl>
              <c:idx val="8"/>
              <c:tx>
                <c:strRef>
                  <c:f>'Calculation (2.5 l)'!$AD$20</c:f>
                  <c:strCache>
                    <c:ptCount val="1"/>
                    <c:pt idx="0">
                      <c:v>308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{4ABC9DEA-23B5-493C-845F-54CEFDA78E1A}</c15:txfldGUID>
                      <c15:f>'Calculation (2.5 l)'!$AD$20</c15:f>
                      <c15:dlblFieldTableCache>
                        <c:ptCount val="1"/>
                        <c:pt idx="0">
                          <c:v>308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E7A0-4FA7-B6D4-778B5F8DFC47}"/>
                </c:ext>
              </c:extLst>
            </c:dLbl>
            <c:dLbl>
              <c:idx val="9"/>
              <c:layout>
                <c:manualLayout>
                  <c:x val="-2.6589318316158152E-2"/>
                  <c:y val="1.9446850890364419E-2"/>
                </c:manualLayout>
              </c:layout>
              <c:tx>
                <c:strRef>
                  <c:f>'Calculation (2.5 l)'!$AD$21</c:f>
                  <c:strCache>
                    <c:ptCount val="1"/>
                    <c:pt idx="0">
                      <c:v>74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{FCCD849F-137C-4C0D-BE04-42514E88DBC8}</c15:txfldGUID>
                      <c15:f>'Calculation (2.5 l)'!$AD$21</c15:f>
                      <c15:dlblFieldTableCache>
                        <c:ptCount val="1"/>
                        <c:pt idx="0">
                          <c:v>74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E7A0-4FA7-B6D4-778B5F8DFC4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7A0-4FA7-B6D4-778B5F8DFC4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7A0-4FA7-B6D4-778B5F8DFC4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7A0-4FA7-B6D4-778B5F8DFC47}"/>
                </c:ext>
              </c:extLst>
            </c:dLbl>
            <c:dLbl>
              <c:idx val="13"/>
              <c:layout>
                <c:manualLayout>
                  <c:x val="-5.6677304929525017E-2"/>
                  <c:y val="2.6400306065135796E-3"/>
                </c:manualLayout>
              </c:layout>
              <c:tx>
                <c:strRef>
                  <c:f>'Calculation (2.5 l)'!$AD$25</c:f>
                  <c:strCache>
                    <c:ptCount val="1"/>
                    <c:pt idx="0">
                      <c:v>53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{52C9B92B-CEB2-4B97-9C2A-369377310431}</c15:txfldGUID>
                      <c15:f>'Calculation (2.5 l)'!$AD$25</c15:f>
                      <c15:dlblFieldTableCache>
                        <c:ptCount val="1"/>
                        <c:pt idx="0">
                          <c:v>53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E7A0-4FA7-B6D4-778B5F8DFC4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7A0-4FA7-B6D4-778B5F8DFC47}"/>
                </c:ext>
              </c:extLst>
            </c:dLbl>
            <c:dLbl>
              <c:idx val="15"/>
              <c:tx>
                <c:strRef>
                  <c:f>'Calculation (2.5 l)'!$AD$27</c:f>
                  <c:strCache>
                    <c:ptCount val="1"/>
                    <c:pt idx="0">
                      <c:v>106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{B22BC047-48B7-4DBC-B6B8-375E7FB8FF75}</c15:txfldGUID>
                      <c15:f>'Calculation (2.5 l)'!$AD$27</c15:f>
                      <c15:dlblFieldTableCache>
                        <c:ptCount val="1"/>
                        <c:pt idx="0">
                          <c:v>106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E7A0-4FA7-B6D4-778B5F8DFC4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7A0-4FA7-B6D4-778B5F8DFC4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E7A0-4FA7-B6D4-778B5F8DFC47}"/>
                </c:ext>
              </c:extLst>
            </c:dLbl>
            <c:dLbl>
              <c:idx val="18"/>
              <c:tx>
                <c:strRef>
                  <c:f>'Calculation (2.5 l)'!$AD$30</c:f>
                  <c:strCache>
                    <c:ptCount val="1"/>
                    <c:pt idx="0">
                      <c:v>167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{527115CF-D390-4B10-AA01-44B0A20E1B70}</c15:txfldGUID>
                      <c15:f>'Calculation (2.5 l)'!$AD$30</c15:f>
                      <c15:dlblFieldTableCache>
                        <c:ptCount val="1"/>
                        <c:pt idx="0">
                          <c:v>167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E7A0-4FA7-B6D4-778B5F8DFC47}"/>
                </c:ext>
              </c:extLst>
            </c:dLbl>
            <c:spPr>
              <a:solidFill>
                <a:srgbClr val="FFFFCC"/>
              </a:solidFill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'Calculation (2.5 l)'!$P$12:$P$30</c:f>
              <c:numCache>
                <c:formatCode>General</c:formatCode>
                <c:ptCount val="19"/>
                <c:pt idx="0">
                  <c:v>-30</c:v>
                </c:pt>
                <c:pt idx="1">
                  <c:v>-11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-9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  <c:pt idx="10">
                  <c:v>-35</c:v>
                </c:pt>
                <c:pt idx="11">
                  <c:v>-30</c:v>
                </c:pt>
                <c:pt idx="12">
                  <c:v>-30</c:v>
                </c:pt>
                <c:pt idx="13">
                  <c:v>-18</c:v>
                </c:pt>
                <c:pt idx="14">
                  <c:v>-18</c:v>
                </c:pt>
                <c:pt idx="15">
                  <c:v>-5</c:v>
                </c:pt>
                <c:pt idx="16">
                  <c:v>0</c:v>
                </c:pt>
                <c:pt idx="17">
                  <c:v>-20</c:v>
                </c:pt>
                <c:pt idx="18">
                  <c:v>7</c:v>
                </c:pt>
              </c:numCache>
            </c:numRef>
          </c:xVal>
          <c:yVal>
            <c:numRef>
              <c:f>'Calculation (2.5 l)'!$Q$12:$Q$30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65</c:v>
                </c:pt>
                <c:pt idx="10">
                  <c:v>50</c:v>
                </c:pt>
                <c:pt idx="11">
                  <c:v>45</c:v>
                </c:pt>
                <c:pt idx="12">
                  <c:v>35</c:v>
                </c:pt>
                <c:pt idx="13">
                  <c:v>62</c:v>
                </c:pt>
                <c:pt idx="14">
                  <c:v>58</c:v>
                </c:pt>
                <c:pt idx="15">
                  <c:v>43</c:v>
                </c:pt>
                <c:pt idx="16">
                  <c:v>56</c:v>
                </c:pt>
                <c:pt idx="17">
                  <c:v>57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7A0-4FA7-B6D4-778B5F8DFC47}"/>
            </c:ext>
          </c:extLst>
        </c:ser>
        <c:ser>
          <c:idx val="4"/>
          <c:order val="8"/>
          <c:marker>
            <c:symbol val="none"/>
          </c:marker>
          <c:xVal>
            <c:numRef>
              <c:f>'Calculation (2.5 l)'!$AH$11:$AH$14</c:f>
              <c:numCache>
                <c:formatCode>General</c:formatCode>
                <c:ptCount val="4"/>
                <c:pt idx="0">
                  <c:v>-30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</c:numCache>
            </c:numRef>
          </c:xVal>
          <c:yVal>
            <c:numRef>
              <c:f>'Calculation (2.5 l)'!$AI$11:$AI$14</c:f>
              <c:numCache>
                <c:formatCode>General</c:formatCode>
                <c:ptCount val="4"/>
                <c:pt idx="0">
                  <c:v>45</c:v>
                </c:pt>
                <c:pt idx="1">
                  <c:v>60</c:v>
                </c:pt>
                <c:pt idx="2">
                  <c:v>70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7A0-4FA7-B6D4-778B5F8DF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46080"/>
        <c:axId val="176534272"/>
      </c:scatterChart>
      <c:valAx>
        <c:axId val="176446080"/>
        <c:scaling>
          <c:orientation val="minMax"/>
          <c:min val="-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Evaporating Temperature (°C)</a:t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crossAx val="176534272"/>
        <c:crosses val="autoZero"/>
        <c:crossBetween val="midCat"/>
        <c:majorUnit val="10"/>
        <c:minorUnit val="5"/>
      </c:valAx>
      <c:valAx>
        <c:axId val="176534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Condensing Temperature (°C)</a:t>
                </a:r>
              </a:p>
            </c:rich>
          </c:tx>
          <c:layout>
            <c:manualLayout>
              <c:xMode val="edge"/>
              <c:yMode val="edge"/>
              <c:x val="1.0509031198686385E-2"/>
              <c:y val="0.37416515243286896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crossAx val="176446080"/>
        <c:crossesAt val="-35"/>
        <c:crossBetween val="midCat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latin typeface="+mn-lt"/>
              </a:rPr>
              <a:t>Mass (gr) R290 Inside the Oil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874446046395536E-2"/>
          <c:y val="6.3287521268822602E-2"/>
          <c:w val="0.88442609601189204"/>
          <c:h val="0.82944767486421167"/>
        </c:manualLayout>
      </c:layout>
      <c:scatterChart>
        <c:scatterStyle val="lineMarker"/>
        <c:varyColors val="0"/>
        <c:ser>
          <c:idx val="3"/>
          <c:order val="0"/>
          <c:tx>
            <c:strRef>
              <c:f>[5]DataSupport!$M$2</c:f>
              <c:strCache>
                <c:ptCount val="1"/>
                <c:pt idx="0">
                  <c:v>ZHV*KCU (R290)</c:v>
                </c:pt>
              </c:strCache>
            </c:strRef>
          </c:tx>
          <c:spPr>
            <a:ln w="444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[5]DataSupport!$M$4:$M$13</c:f>
              <c:numCache>
                <c:formatCode>General</c:formatCode>
                <c:ptCount val="10"/>
                <c:pt idx="0">
                  <c:v>-30</c:v>
                </c:pt>
                <c:pt idx="1">
                  <c:v>-9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-11</c:v>
                </c:pt>
                <c:pt idx="6">
                  <c:v>-30</c:v>
                </c:pt>
                <c:pt idx="7">
                  <c:v>-30</c:v>
                </c:pt>
              </c:numCache>
            </c:numRef>
          </c:xVal>
          <c:yVal>
            <c:numRef>
              <c:f>[5]DataSupport!$N$4:$N$13</c:f>
              <c:numCache>
                <c:formatCode>General</c:formatCode>
                <c:ptCount val="10"/>
                <c:pt idx="0">
                  <c:v>45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E-472B-A0DD-5E3E82424FD7}"/>
            </c:ext>
          </c:extLst>
        </c:ser>
        <c:ser>
          <c:idx val="7"/>
          <c:order val="1"/>
          <c:tx>
            <c:strRef>
              <c:f>[5]DataSupport!$W$2</c:f>
              <c:strCache>
                <c:ptCount val="1"/>
                <c:pt idx="0">
                  <c:v>ZH*KCU Quest (R290-10K)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[5]DataSupport!$W$13:$W$16</c:f>
              <c:numCache>
                <c:formatCode>General</c:formatCode>
                <c:ptCount val="4"/>
                <c:pt idx="0">
                  <c:v>-10</c:v>
                </c:pt>
                <c:pt idx="1">
                  <c:v>-15</c:v>
                </c:pt>
                <c:pt idx="2">
                  <c:v>-30</c:v>
                </c:pt>
                <c:pt idx="3">
                  <c:v>-30</c:v>
                </c:pt>
              </c:numCache>
            </c:numRef>
          </c:xVal>
          <c:yVal>
            <c:numRef>
              <c:f>[5]DataSupport!$X$13:$X$16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52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E-472B-A0DD-5E3E82424FD7}"/>
            </c:ext>
          </c:extLst>
        </c:ser>
        <c:ser>
          <c:idx val="8"/>
          <c:order val="2"/>
          <c:tx>
            <c:strRef>
              <c:f>'[5]Envelope (2)'!$Q$9</c:f>
              <c:strCache>
                <c:ptCount val="1"/>
                <c:pt idx="0">
                  <c:v>Target (HCOP = 3.5)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'[5]Envelope (2)'!$T$9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CE-472B-A0DD-5E3E82424FD7}"/>
            </c:ext>
          </c:extLst>
        </c:ser>
        <c:ser>
          <c:idx val="9"/>
          <c:order val="3"/>
          <c:tx>
            <c:strRef>
              <c:f>'[5]Envelope (2)'!$Q$10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(2)'!$S$10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E-472B-A0DD-5E3E82424FD7}"/>
            </c:ext>
          </c:extLst>
        </c:ser>
        <c:ser>
          <c:idx val="10"/>
          <c:order val="4"/>
          <c:tx>
            <c:strRef>
              <c:f>'[5]Envelope (2)'!$Q$11</c:f>
              <c:strCache>
                <c:ptCount val="1"/>
                <c:pt idx="0">
                  <c:v>Opimization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xVal>
          <c:yVal>
            <c:numRef>
              <c:f>'[5]Envelope (2)'!$T$11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CE-472B-A0DD-5E3E82424FD7}"/>
            </c:ext>
          </c:extLst>
        </c:ser>
        <c:ser>
          <c:idx val="6"/>
          <c:order val="5"/>
          <c:tx>
            <c:strRef>
              <c:f>'[5]Envelope (2)'!$Q$12</c:f>
              <c:strCache>
                <c:ptCount val="1"/>
                <c:pt idx="0">
                  <c:v>Sanitary Water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(2)'!$S$12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(2)'!$T$12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CE-472B-A0DD-5E3E82424FD7}"/>
            </c:ext>
          </c:extLst>
        </c:ser>
        <c:ser>
          <c:idx val="11"/>
          <c:order val="6"/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6.3659403952528504E-2"/>
                  <c:y val="-1.4498566749612959E-3"/>
                </c:manualLayout>
              </c:layout>
              <c:tx>
                <c:rich>
                  <a:bodyPr/>
                  <a:lstStyle/>
                  <a:p>
                    <a:pPr>
                      <a:defRPr sz="1100" b="1" i="0" strike="noStrike">
                        <a:solidFill>
                          <a:schemeClr val="accent2"/>
                        </a:solidFill>
                        <a:latin typeface="Calibri"/>
                      </a:defRPr>
                    </a:pPr>
                    <a:r>
                      <a:rPr lang="en-US" sz="1100" b="1" i="0" strike="noStrike">
                        <a:solidFill>
                          <a:schemeClr val="accent2"/>
                        </a:solidFill>
                        <a:latin typeface="Calibri"/>
                      </a:rPr>
                      <a:t>40.10</a:t>
                    </a:r>
                  </a:p>
                </c:rich>
              </c:tx>
              <c:spPr>
                <a:solidFill>
                  <a:sysClr val="window" lastClr="FFFFFF"/>
                </a:solidFill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CE-472B-A0DD-5E3E82424FD7}"/>
                </c:ext>
              </c:extLst>
            </c:dLbl>
            <c:dLbl>
              <c:idx val="1"/>
              <c:layout>
                <c:manualLayout>
                  <c:x val="-2.9600384328121232E-2"/>
                  <c:y val="2.896839184707908E-2"/>
                </c:manualLayout>
              </c:layout>
              <c:tx>
                <c:strRef>
                  <c:f>Calculation!$AD$38</c:f>
                  <c:strCache>
                    <c:ptCount val="1"/>
                    <c:pt idx="0">
                      <c:v>86.56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{C2F60130-B1C2-493C-8B6E-4D814562005A}</c15:txfldGUID>
                      <c15:f>Calculation!$AD$38</c15:f>
                      <c15:dlblFieldTableCache>
                        <c:ptCount val="1"/>
                        <c:pt idx="0">
                          <c:v>86.56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3CE-472B-A0DD-5E3E82424FD7}"/>
                </c:ext>
              </c:extLst>
            </c:dLbl>
            <c:dLbl>
              <c:idx val="2"/>
              <c:layout>
                <c:manualLayout>
                  <c:x val="-4.5011785956737306E-3"/>
                  <c:y val="-2.5784455492593596E-2"/>
                </c:manualLayout>
              </c:layout>
              <c:tx>
                <c:strRef>
                  <c:f>Calculation!$AD$39</c:f>
                  <c:strCache>
                    <c:ptCount val="1"/>
                    <c:pt idx="0">
                      <c:v>217.12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{C44E3B02-8887-420E-B6F2-F56726EDD47B}</c15:txfldGUID>
                      <c15:f>Calculation!$AD$39</c15:f>
                      <c15:dlblFieldTableCache>
                        <c:ptCount val="1"/>
                        <c:pt idx="0">
                          <c:v>217.12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3CE-472B-A0DD-5E3E82424FD7}"/>
                </c:ext>
              </c:extLst>
            </c:dLbl>
            <c:dLbl>
              <c:idx val="3"/>
              <c:layout>
                <c:manualLayout>
                  <c:x val="-6.0493158513286027E-3"/>
                  <c:y val="2.2884742142671034E-2"/>
                </c:manualLayout>
              </c:layout>
              <c:tx>
                <c:strRef>
                  <c:f>Calculation!$AD$40</c:f>
                  <c:strCache>
                    <c:ptCount val="1"/>
                    <c:pt idx="0">
                      <c:v>320.17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{428B8B30-A7AF-4BBB-8393-67AB3F91DE48}</c15:txfldGUID>
                      <c15:f>Calculation!$AD$40</c15:f>
                      <c15:dlblFieldTableCache>
                        <c:ptCount val="1"/>
                        <c:pt idx="0">
                          <c:v>320.17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03CE-472B-A0DD-5E3E82424FD7}"/>
                </c:ext>
              </c:extLst>
            </c:dLbl>
            <c:dLbl>
              <c:idx val="4"/>
              <c:layout>
                <c:manualLayout>
                  <c:x val="-2.9530413400188481E-3"/>
                  <c:y val="-2.5784455492593596E-2"/>
                </c:manualLayout>
              </c:layout>
              <c:tx>
                <c:strRef>
                  <c:f>Calculation!$AD$41</c:f>
                  <c:strCache>
                    <c:ptCount val="1"/>
                    <c:pt idx="0">
                      <c:v>200.30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{5E69212C-E641-434E-A9A4-44D56E418F12}</c15:txfldGUID>
                      <c15:f>Calculation!$AD$41</c15:f>
                      <c15:dlblFieldTableCache>
                        <c:ptCount val="1"/>
                        <c:pt idx="0">
                          <c:v>200.30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03CE-472B-A0DD-5E3E82424FD7}"/>
                </c:ext>
              </c:extLst>
            </c:dLbl>
            <c:dLbl>
              <c:idx val="5"/>
              <c:tx>
                <c:strRef>
                  <c:f>Calculation!$AD$42</c:f>
                  <c:strCache>
                    <c:ptCount val="1"/>
                    <c:pt idx="0">
                      <c:v>128.29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{E890FBB6-7E89-43F7-BCB7-9EB283FFE4D2}</c15:txfldGUID>
                      <c15:f>Calculation!$AD$42</c15:f>
                      <c15:dlblFieldTableCache>
                        <c:ptCount val="1"/>
                        <c:pt idx="0">
                          <c:v>128.29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03CE-472B-A0DD-5E3E82424FD7}"/>
                </c:ext>
              </c:extLst>
            </c:dLbl>
            <c:dLbl>
              <c:idx val="6"/>
              <c:tx>
                <c:strRef>
                  <c:f>Calculation!$AD$43</c:f>
                  <c:strCache>
                    <c:ptCount val="1"/>
                    <c:pt idx="0">
                      <c:v>59.81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{FB8A602B-8D42-4AEF-8C4F-630AA6005B55}</c15:txfldGUID>
                      <c15:f>Calculation!$AD$43</c15:f>
                      <c15:dlblFieldTableCache>
                        <c:ptCount val="1"/>
                        <c:pt idx="0">
                          <c:v>59.81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03CE-472B-A0DD-5E3E82424FD7}"/>
                </c:ext>
              </c:extLst>
            </c:dLbl>
            <c:dLbl>
              <c:idx val="7"/>
              <c:tx>
                <c:strRef>
                  <c:f>Calculation!$AD$44</c:f>
                  <c:strCache>
                    <c:ptCount val="1"/>
                    <c:pt idx="0">
                      <c:v>54.10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{5342C171-CC87-49D0-8D67-B5C9623171D3}</c15:txfldGUID>
                      <c15:f>Calculation!$AD$44</c15:f>
                      <c15:dlblFieldTableCache>
                        <c:ptCount val="1"/>
                        <c:pt idx="0">
                          <c:v>54.10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03CE-472B-A0DD-5E3E82424FD7}"/>
                </c:ext>
              </c:extLst>
            </c:dLbl>
            <c:dLbl>
              <c:idx val="8"/>
              <c:tx>
                <c:strRef>
                  <c:f>Calculation!$AD$45</c:f>
                  <c:strCache>
                    <c:ptCount val="1"/>
                    <c:pt idx="0">
                      <c:v>45.75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{D24805CF-49B6-4CED-A70C-AC369E7EE178}</c15:txfldGUID>
                      <c15:f>Calculation!$AD$45</c15:f>
                      <c15:dlblFieldTableCache>
                        <c:ptCount val="1"/>
                        <c:pt idx="0">
                          <c:v>45.75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03CE-472B-A0DD-5E3E82424FD7}"/>
                </c:ext>
              </c:extLst>
            </c:dLbl>
            <c:dLbl>
              <c:idx val="9"/>
              <c:layout>
                <c:manualLayout>
                  <c:x val="-6.5207541208183381E-2"/>
                  <c:y val="5.7802655984139778E-4"/>
                </c:manualLayout>
              </c:layout>
              <c:tx>
                <c:strRef>
                  <c:f>Calculation!$AD$46</c:f>
                  <c:strCache>
                    <c:ptCount val="1"/>
                    <c:pt idx="0">
                      <c:v>32.69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{A9EBF5FA-7E2B-414F-93E4-2D6C4F038BE6}</c15:txfldGUID>
                      <c15:f>Calculation!$AD$46</c15:f>
                      <c15:dlblFieldTableCache>
                        <c:ptCount val="1"/>
                        <c:pt idx="0">
                          <c:v>32.69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03CE-472B-A0DD-5E3E82424FD7}"/>
                </c:ext>
              </c:extLst>
            </c:dLbl>
            <c:dLbl>
              <c:idx val="10"/>
              <c:layout>
                <c:manualLayout>
                  <c:x val="2.9104980406311543E-3"/>
                  <c:y val="-2.5784455492593568E-2"/>
                </c:manualLayout>
              </c:layout>
              <c:tx>
                <c:strRef>
                  <c:f>Calculation!$AD$47</c:f>
                  <c:strCache>
                    <c:ptCount val="1"/>
                    <c:pt idx="0">
                      <c:v>32.69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{BE6356AE-6F8B-4C17-8FB5-C82572C9C77C}</c15:txfldGUID>
                      <c15:f>Calculation!$AD$47</c15:f>
                      <c15:dlblFieldTableCache>
                        <c:ptCount val="1"/>
                        <c:pt idx="0">
                          <c:v>32.69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03CE-472B-A0DD-5E3E82424FD7}"/>
                </c:ext>
              </c:extLst>
            </c:dLbl>
            <c:dLbl>
              <c:idx val="11"/>
              <c:layout>
                <c:manualLayout>
                  <c:x val="-6.2111266696873633E-2"/>
                  <c:y val="-1.4498566749612959E-3"/>
                </c:manualLayout>
              </c:layout>
              <c:tx>
                <c:strRef>
                  <c:f>Calculation!$AD$48</c:f>
                  <c:strCache>
                    <c:ptCount val="1"/>
                    <c:pt idx="0">
                      <c:v>32.69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{C7356553-2BF8-4BDC-9FA1-698EC74712D9}</c15:txfldGUID>
                      <c15:f>Calculation!$AD$48</c15:f>
                      <c15:dlblFieldTableCache>
                        <c:ptCount val="1"/>
                        <c:pt idx="0">
                          <c:v>32.69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03CE-472B-A0DD-5E3E82424FD7}"/>
                </c:ext>
              </c:extLst>
            </c:dLbl>
            <c:dLbl>
              <c:idx val="12"/>
              <c:layout>
                <c:manualLayout>
                  <c:x val="-6.0563129441218791E-2"/>
                  <c:y val="-5.5056231445666836E-3"/>
                </c:manualLayout>
              </c:layout>
              <c:tx>
                <c:strRef>
                  <c:f>Calculation!$AD$49</c:f>
                  <c:strCache>
                    <c:ptCount val="1"/>
                    <c:pt idx="0">
                      <c:v>35.66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{90129C58-B544-4299-9FE1-048174FA9C3A}</c15:txfldGUID>
                      <c15:f>Calculation!$AD$49</c15:f>
                      <c15:dlblFieldTableCache>
                        <c:ptCount val="1"/>
                        <c:pt idx="0">
                          <c:v>35.66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03CE-472B-A0DD-5E3E82424FD7}"/>
                </c:ext>
              </c:extLst>
            </c:dLbl>
            <c:dLbl>
              <c:idx val="13"/>
              <c:layout>
                <c:manualLayout>
                  <c:x val="-6.3659403952528504E-2"/>
                  <c:y val="1.274532596865756E-2"/>
                </c:manualLayout>
              </c:layout>
              <c:tx>
                <c:strRef>
                  <c:f>Calculation!$AD$50</c:f>
                  <c:strCache>
                    <c:ptCount val="1"/>
                    <c:pt idx="0">
                      <c:v>49.74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{38A24406-3258-4140-80C8-96E488B83965}</c15:txfldGUID>
                      <c15:f>Calculation!$AD$50</c15:f>
                      <c15:dlblFieldTableCache>
                        <c:ptCount val="1"/>
                        <c:pt idx="0">
                          <c:v>49.74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03CE-472B-A0DD-5E3E82424FD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3CE-472B-A0DD-5E3E82424FD7}"/>
                </c:ext>
              </c:extLst>
            </c:dLbl>
            <c:dLbl>
              <c:idx val="15"/>
              <c:tx>
                <c:strRef>
                  <c:f>Calculation!$AD$52</c:f>
                  <c:strCache>
                    <c:ptCount val="1"/>
                    <c:pt idx="0">
                      <c:v>96.46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{E0FD22A0-5784-45B3-AC03-0C5F4364A378}</c15:txfldGUID>
                      <c15:f>Calculation!$AD$52</c15:f>
                      <c15:dlblFieldTableCache>
                        <c:ptCount val="1"/>
                        <c:pt idx="0">
                          <c:v>96.46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03CE-472B-A0DD-5E3E82424FD7}"/>
                </c:ext>
              </c:extLst>
            </c:dLbl>
            <c:dLbl>
              <c:idx val="16"/>
              <c:tx>
                <c:strRef>
                  <c:f>Calculation!$AD$53</c:f>
                  <c:strCache>
                    <c:ptCount val="1"/>
                    <c:pt idx="0">
                      <c:v>94.65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{F62D606C-D311-4AEF-A811-DFF6AC599431}</c15:txfldGUID>
                      <c15:f>Calculation!$AD$53</c15:f>
                      <c15:dlblFieldTableCache>
                        <c:ptCount val="1"/>
                        <c:pt idx="0">
                          <c:v>94.65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03CE-472B-A0DD-5E3E82424FD7}"/>
                </c:ext>
              </c:extLst>
            </c:dLbl>
            <c:dLbl>
              <c:idx val="17"/>
              <c:layout>
                <c:manualLayout>
                  <c:x val="-6.2111266696873633E-2"/>
                  <c:y val="2.6057501187988288E-3"/>
                </c:manualLayout>
              </c:layout>
              <c:tx>
                <c:strRef>
                  <c:f>Calculation!$AD$54</c:f>
                  <c:strCache>
                    <c:ptCount val="1"/>
                    <c:pt idx="0">
                      <c:v>47.95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{9A366B7A-496F-4775-AE7C-053E40154C24}</c15:txfldGUID>
                      <c15:f>Calculation!$AD$54</c15:f>
                      <c15:dlblFieldTableCache>
                        <c:ptCount val="1"/>
                        <c:pt idx="0">
                          <c:v>47.95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03CE-472B-A0DD-5E3E82424FD7}"/>
                </c:ext>
              </c:extLst>
            </c:dLbl>
            <c:dLbl>
              <c:idx val="18"/>
              <c:layout>
                <c:manualLayout>
                  <c:x val="-1.0693727618293234E-2"/>
                  <c:y val="-2.3756731933636147E-2"/>
                </c:manualLayout>
              </c:layout>
              <c:tx>
                <c:strRef>
                  <c:f>Calculation!$AD$55</c:f>
                  <c:strCache>
                    <c:ptCount val="1"/>
                    <c:pt idx="0">
                      <c:v>146.28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1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{76FCAA73-0525-401C-BA9D-10577591556E}</c15:txfldGUID>
                      <c15:f>Calculation!$AD$55</c15:f>
                      <c15:dlblFieldTableCache>
                        <c:ptCount val="1"/>
                        <c:pt idx="0">
                          <c:v>146.28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03CE-472B-A0DD-5E3E82424FD7}"/>
                </c:ext>
              </c:extLst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200" b="1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Calculation!$W$37:$W$55</c:f>
              <c:numCache>
                <c:formatCode>General</c:formatCode>
                <c:ptCount val="19"/>
                <c:pt idx="0">
                  <c:v>-30</c:v>
                </c:pt>
                <c:pt idx="1">
                  <c:v>-11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-9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  <c:pt idx="10">
                  <c:v>-35</c:v>
                </c:pt>
                <c:pt idx="11">
                  <c:v>-30</c:v>
                </c:pt>
                <c:pt idx="12">
                  <c:v>-30</c:v>
                </c:pt>
                <c:pt idx="13">
                  <c:v>-18</c:v>
                </c:pt>
                <c:pt idx="14">
                  <c:v>-18</c:v>
                </c:pt>
                <c:pt idx="15">
                  <c:v>-5</c:v>
                </c:pt>
                <c:pt idx="16">
                  <c:v>0</c:v>
                </c:pt>
                <c:pt idx="17">
                  <c:v>-20</c:v>
                </c:pt>
                <c:pt idx="18">
                  <c:v>7</c:v>
                </c:pt>
              </c:numCache>
            </c:numRef>
          </c:xVal>
          <c:yVal>
            <c:numRef>
              <c:f>Calculation!$X$37:$X$55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65</c:v>
                </c:pt>
                <c:pt idx="10">
                  <c:v>50</c:v>
                </c:pt>
                <c:pt idx="11">
                  <c:v>45</c:v>
                </c:pt>
                <c:pt idx="12">
                  <c:v>35</c:v>
                </c:pt>
                <c:pt idx="13">
                  <c:v>62</c:v>
                </c:pt>
                <c:pt idx="14">
                  <c:v>58</c:v>
                </c:pt>
                <c:pt idx="15">
                  <c:v>43</c:v>
                </c:pt>
                <c:pt idx="16">
                  <c:v>56</c:v>
                </c:pt>
                <c:pt idx="17">
                  <c:v>57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3CE-472B-A0DD-5E3E82424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3408"/>
        <c:axId val="89955328"/>
      </c:scatterChart>
      <c:valAx>
        <c:axId val="89953408"/>
        <c:scaling>
          <c:orientation val="minMax"/>
          <c:min val="-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Evaporating Temperature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89955328"/>
        <c:crosses val="autoZero"/>
        <c:crossBetween val="midCat"/>
        <c:majorUnit val="5"/>
        <c:minorUnit val="5"/>
      </c:valAx>
      <c:valAx>
        <c:axId val="899553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Condensing</a:t>
                </a:r>
                <a:r>
                  <a:rPr lang="en-US" sz="1400" baseline="0"/>
                  <a:t> Temperature (°C)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0509031198686385E-2"/>
              <c:y val="0.37416515243286896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89953408"/>
        <c:crossesAt val="-35"/>
        <c:crossBetween val="midCat"/>
        <c:minorUnit val="5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EVI</a:t>
            </a:r>
            <a:r>
              <a:rPr lang="en-US" baseline="0"/>
              <a:t> Vs Non EVI (R290/R407C)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874446046395578E-2"/>
          <c:y val="6.3287521268822602E-2"/>
          <c:w val="0.88442609601189204"/>
          <c:h val="0.82944767486421167"/>
        </c:manualLayout>
      </c:layout>
      <c:scatterChart>
        <c:scatterStyle val="lineMarker"/>
        <c:varyColors val="0"/>
        <c:ser>
          <c:idx val="0"/>
          <c:order val="0"/>
          <c:tx>
            <c:v>ZH*KVE w/ EVI (R407C)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[5]DataSupport!$G$4:$G$11</c:f>
              <c:numCache>
                <c:formatCode>General</c:formatCode>
                <c:ptCount val="8"/>
                <c:pt idx="0">
                  <c:v>-25</c:v>
                </c:pt>
                <c:pt idx="1">
                  <c:v>-25</c:v>
                </c:pt>
                <c:pt idx="2">
                  <c:v>-15.4</c:v>
                </c:pt>
                <c:pt idx="3">
                  <c:v>17.5</c:v>
                </c:pt>
                <c:pt idx="4">
                  <c:v>25</c:v>
                </c:pt>
                <c:pt idx="5">
                  <c:v>25</c:v>
                </c:pt>
                <c:pt idx="6">
                  <c:v>-11</c:v>
                </c:pt>
                <c:pt idx="7">
                  <c:v>-25</c:v>
                </c:pt>
              </c:numCache>
            </c:numRef>
          </c:xVal>
          <c:yVal>
            <c:numRef>
              <c:f>[5]DataSupport!$H$4:$H$11</c:f>
              <c:numCache>
                <c:formatCode>General</c:formatCode>
                <c:ptCount val="8"/>
                <c:pt idx="0">
                  <c:v>17</c:v>
                </c:pt>
                <c:pt idx="1">
                  <c:v>56</c:v>
                </c:pt>
                <c:pt idx="2">
                  <c:v>67</c:v>
                </c:pt>
                <c:pt idx="3">
                  <c:v>67</c:v>
                </c:pt>
                <c:pt idx="4">
                  <c:v>58</c:v>
                </c:pt>
                <c:pt idx="5">
                  <c:v>39</c:v>
                </c:pt>
                <c:pt idx="6">
                  <c:v>17</c:v>
                </c:pt>
                <c:pt idx="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5-4E14-80B2-0AB5C8C460A0}"/>
            </c:ext>
          </c:extLst>
        </c:ser>
        <c:ser>
          <c:idx val="1"/>
          <c:order val="1"/>
          <c:tx>
            <c:v>ZH*K4 (R407C)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[5]DataSupport!$J$4:$J$11</c:f>
              <c:numCache>
                <c:formatCode>General</c:formatCode>
                <c:ptCount val="8"/>
                <c:pt idx="0">
                  <c:v>-8</c:v>
                </c:pt>
                <c:pt idx="1">
                  <c:v>15</c:v>
                </c:pt>
                <c:pt idx="2">
                  <c:v>25</c:v>
                </c:pt>
                <c:pt idx="3">
                  <c:v>25</c:v>
                </c:pt>
                <c:pt idx="4">
                  <c:v>-2.2999999999999998</c:v>
                </c:pt>
                <c:pt idx="5">
                  <c:v>-22.5</c:v>
                </c:pt>
                <c:pt idx="6">
                  <c:v>-22.5</c:v>
                </c:pt>
                <c:pt idx="7">
                  <c:v>-8</c:v>
                </c:pt>
              </c:numCache>
            </c:numRef>
          </c:xVal>
          <c:yVal>
            <c:numRef>
              <c:f>[5]DataSupport!$K$4:$K$11</c:f>
              <c:numCache>
                <c:formatCode>General</c:formatCode>
                <c:ptCount val="8"/>
                <c:pt idx="0">
                  <c:v>66.8</c:v>
                </c:pt>
                <c:pt idx="1">
                  <c:v>66.8</c:v>
                </c:pt>
                <c:pt idx="2">
                  <c:v>60</c:v>
                </c:pt>
                <c:pt idx="3">
                  <c:v>40</c:v>
                </c:pt>
                <c:pt idx="4">
                  <c:v>22.8</c:v>
                </c:pt>
                <c:pt idx="5">
                  <c:v>22.8</c:v>
                </c:pt>
                <c:pt idx="6">
                  <c:v>51</c:v>
                </c:pt>
                <c:pt idx="7">
                  <c:v>66.8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5-4E14-80B2-0AB5C8C460A0}"/>
            </c:ext>
          </c:extLst>
        </c:ser>
        <c:ser>
          <c:idx val="2"/>
          <c:order val="2"/>
          <c:tx>
            <c:v>Operating Conditions</c:v>
          </c:tx>
          <c:spPr>
            <a:ln w="50800" cmpd="tri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'[5]HP Sizing'!$J$8:$J$33</c:f>
              <c:numCache>
                <c:formatCode>General</c:formatCode>
                <c:ptCount val="26"/>
                <c:pt idx="0">
                  <c:v>-20</c:v>
                </c:pt>
                <c:pt idx="1">
                  <c:v>-18.920000000000002</c:v>
                </c:pt>
                <c:pt idx="2">
                  <c:v>-17.84</c:v>
                </c:pt>
                <c:pt idx="3">
                  <c:v>-16.759999999999998</c:v>
                </c:pt>
                <c:pt idx="4">
                  <c:v>-15.68</c:v>
                </c:pt>
                <c:pt idx="5">
                  <c:v>-14.6</c:v>
                </c:pt>
                <c:pt idx="6">
                  <c:v>-13.52</c:v>
                </c:pt>
                <c:pt idx="7">
                  <c:v>-12.44</c:v>
                </c:pt>
                <c:pt idx="8">
                  <c:v>-11.36</c:v>
                </c:pt>
                <c:pt idx="9">
                  <c:v>-10.28</c:v>
                </c:pt>
                <c:pt idx="10">
                  <c:v>-9.1999999999999993</c:v>
                </c:pt>
                <c:pt idx="11">
                  <c:v>-8.1199999999999992</c:v>
                </c:pt>
                <c:pt idx="12">
                  <c:v>-7.0399999999999991</c:v>
                </c:pt>
                <c:pt idx="13">
                  <c:v>-5.9600000000000009</c:v>
                </c:pt>
                <c:pt idx="14">
                  <c:v>-4.879999999999999</c:v>
                </c:pt>
                <c:pt idx="15">
                  <c:v>-3.8000000000000007</c:v>
                </c:pt>
                <c:pt idx="16">
                  <c:v>-2.7200000000000006</c:v>
                </c:pt>
                <c:pt idx="17">
                  <c:v>-1.6400000000000006</c:v>
                </c:pt>
                <c:pt idx="18">
                  <c:v>-0.5600000000000005</c:v>
                </c:pt>
                <c:pt idx="19">
                  <c:v>0.51999999999999957</c:v>
                </c:pt>
                <c:pt idx="20">
                  <c:v>1.5999999999999996</c:v>
                </c:pt>
                <c:pt idx="21">
                  <c:v>2.6799999999999997</c:v>
                </c:pt>
                <c:pt idx="22">
                  <c:v>3.76</c:v>
                </c:pt>
                <c:pt idx="23">
                  <c:v>4.84</c:v>
                </c:pt>
                <c:pt idx="24">
                  <c:v>5.92</c:v>
                </c:pt>
                <c:pt idx="25">
                  <c:v>7</c:v>
                </c:pt>
              </c:numCache>
            </c:numRef>
          </c:xVal>
          <c:yVal>
            <c:numRef>
              <c:f>'[5]HP Sizing'!$L$8:$L$33</c:f>
              <c:numCache>
                <c:formatCode>General</c:formatCode>
                <c:ptCount val="26"/>
                <c:pt idx="0">
                  <c:v>57.333333333333336</c:v>
                </c:pt>
                <c:pt idx="1">
                  <c:v>56.222222222222221</c:v>
                </c:pt>
                <c:pt idx="2">
                  <c:v>55.111111111111114</c:v>
                </c:pt>
                <c:pt idx="3">
                  <c:v>54</c:v>
                </c:pt>
                <c:pt idx="4">
                  <c:v>52.888888888888886</c:v>
                </c:pt>
                <c:pt idx="5">
                  <c:v>51.777777777777779</c:v>
                </c:pt>
                <c:pt idx="6">
                  <c:v>50.666666666666664</c:v>
                </c:pt>
                <c:pt idx="7">
                  <c:v>49.555555555555557</c:v>
                </c:pt>
                <c:pt idx="8">
                  <c:v>48.444444444444443</c:v>
                </c:pt>
                <c:pt idx="9">
                  <c:v>47.333333333333336</c:v>
                </c:pt>
                <c:pt idx="10">
                  <c:v>46.222222222222221</c:v>
                </c:pt>
                <c:pt idx="11">
                  <c:v>45.111111111111114</c:v>
                </c:pt>
                <c:pt idx="12">
                  <c:v>44</c:v>
                </c:pt>
                <c:pt idx="13">
                  <c:v>42.888888888888886</c:v>
                </c:pt>
                <c:pt idx="14">
                  <c:v>41.777777777777779</c:v>
                </c:pt>
                <c:pt idx="15">
                  <c:v>40.666666666666671</c:v>
                </c:pt>
                <c:pt idx="16">
                  <c:v>39.555555555555557</c:v>
                </c:pt>
                <c:pt idx="17">
                  <c:v>38.444444444444443</c:v>
                </c:pt>
                <c:pt idx="18">
                  <c:v>37.333333333333329</c:v>
                </c:pt>
                <c:pt idx="19">
                  <c:v>36.222222222222221</c:v>
                </c:pt>
                <c:pt idx="20">
                  <c:v>35.111111111111114</c:v>
                </c:pt>
                <c:pt idx="21">
                  <c:v>34</c:v>
                </c:pt>
                <c:pt idx="22">
                  <c:v>32.888888888888886</c:v>
                </c:pt>
                <c:pt idx="23">
                  <c:v>31.777777777777779</c:v>
                </c:pt>
                <c:pt idx="24">
                  <c:v>30.666666666666664</c:v>
                </c:pt>
                <c:pt idx="25">
                  <c:v>29.555555555555554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E5-4E14-80B2-0AB5C8C460A0}"/>
            </c:ext>
          </c:extLst>
        </c:ser>
        <c:ser>
          <c:idx val="3"/>
          <c:order val="3"/>
          <c:tx>
            <c:strRef>
              <c:f>[5]DataSupport!$M$2</c:f>
              <c:strCache>
                <c:ptCount val="1"/>
                <c:pt idx="0">
                  <c:v>ZHV*KCU (R290)</c:v>
                </c:pt>
              </c:strCache>
            </c:strRef>
          </c:tx>
          <c:spPr>
            <a:ln w="444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[5]DataSupport!$M$4:$M$13</c:f>
              <c:numCache>
                <c:formatCode>General</c:formatCode>
                <c:ptCount val="10"/>
                <c:pt idx="0">
                  <c:v>-30</c:v>
                </c:pt>
                <c:pt idx="1">
                  <c:v>-9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-11</c:v>
                </c:pt>
                <c:pt idx="6">
                  <c:v>-30</c:v>
                </c:pt>
                <c:pt idx="7">
                  <c:v>-30</c:v>
                </c:pt>
              </c:numCache>
            </c:numRef>
          </c:xVal>
          <c:yVal>
            <c:numRef>
              <c:f>[5]DataSupport!$N$4:$N$13</c:f>
              <c:numCache>
                <c:formatCode>General</c:formatCode>
                <c:ptCount val="10"/>
                <c:pt idx="0">
                  <c:v>45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E5-4E14-80B2-0AB5C8C460A0}"/>
            </c:ext>
          </c:extLst>
        </c:ser>
        <c:ser>
          <c:idx val="4"/>
          <c:order val="4"/>
          <c:tx>
            <c:strRef>
              <c:f>[5]DataSupport!$P$2</c:f>
              <c:strCache>
                <c:ptCount val="1"/>
                <c:pt idx="0">
                  <c:v>ZHW*KCU w/ EVI (R290)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[5]DataSupport!$P$4:$P$8</c:f>
              <c:numCache>
                <c:formatCode>General</c:formatCode>
                <c:ptCount val="5"/>
                <c:pt idx="0">
                  <c:v>-30</c:v>
                </c:pt>
                <c:pt idx="1">
                  <c:v>-30</c:v>
                </c:pt>
                <c:pt idx="2">
                  <c:v>-20</c:v>
                </c:pt>
                <c:pt idx="3">
                  <c:v>-9</c:v>
                </c:pt>
              </c:numCache>
            </c:numRef>
          </c:xVal>
          <c:yVal>
            <c:numRef>
              <c:f>[5]DataSupport!$Q$4:$Q$8</c:f>
              <c:numCache>
                <c:formatCode>General</c:formatCode>
                <c:ptCount val="5"/>
                <c:pt idx="0">
                  <c:v>45</c:v>
                </c:pt>
                <c:pt idx="1">
                  <c:v>65</c:v>
                </c:pt>
                <c:pt idx="2">
                  <c:v>70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E5-4E14-80B2-0AB5C8C460A0}"/>
            </c:ext>
          </c:extLst>
        </c:ser>
        <c:ser>
          <c:idx val="5"/>
          <c:order val="5"/>
          <c:tx>
            <c:strRef>
              <c:f>[5]DataSupport!$S$2</c:f>
              <c:strCache>
                <c:ptCount val="1"/>
                <c:pt idx="0">
                  <c:v>ZH Quantum (R290 10K/5K)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Pt>
            <c:idx val="7"/>
            <c:bubble3D val="0"/>
            <c:spPr>
              <a:ln w="38100">
                <a:noFill/>
              </a:ln>
            </c:spPr>
            <c:extLst>
              <c:ext xmlns:c16="http://schemas.microsoft.com/office/drawing/2014/chart" uri="{C3380CC4-5D6E-409C-BE32-E72D297353CC}">
                <c16:uniqueId val="{00000006-51E5-4E14-80B2-0AB5C8C460A0}"/>
              </c:ext>
            </c:extLst>
          </c:dPt>
          <c:xVal>
            <c:numRef>
              <c:f>[5]DataSupport!$S$4:$S$12</c:f>
              <c:numCache>
                <c:formatCode>General</c:formatCode>
                <c:ptCount val="9"/>
                <c:pt idx="0">
                  <c:v>-30</c:v>
                </c:pt>
                <c:pt idx="1">
                  <c:v>-10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-10</c:v>
                </c:pt>
                <c:pt idx="7">
                  <c:v>-30</c:v>
                </c:pt>
                <c:pt idx="8">
                  <c:v>-30</c:v>
                </c:pt>
              </c:numCache>
            </c:numRef>
          </c:xVal>
          <c:yVal>
            <c:numRef>
              <c:f>[5]DataSupport!$T$4:$T$12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31</c:v>
                </c:pt>
                <c:pt idx="3">
                  <c:v>42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45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E5-4E14-80B2-0AB5C8C460A0}"/>
            </c:ext>
          </c:extLst>
        </c:ser>
        <c:ser>
          <c:idx val="7"/>
          <c:order val="6"/>
          <c:tx>
            <c:strRef>
              <c:f>[5]DataSupport!$W$2</c:f>
              <c:strCache>
                <c:ptCount val="1"/>
                <c:pt idx="0">
                  <c:v>ZH*KCU Quest (R290-10K)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[5]DataSupport!$W$13:$W$16</c:f>
              <c:numCache>
                <c:formatCode>General</c:formatCode>
                <c:ptCount val="4"/>
                <c:pt idx="0">
                  <c:v>-10</c:v>
                </c:pt>
                <c:pt idx="1">
                  <c:v>-15</c:v>
                </c:pt>
                <c:pt idx="2">
                  <c:v>-30</c:v>
                </c:pt>
                <c:pt idx="3">
                  <c:v>-30</c:v>
                </c:pt>
              </c:numCache>
            </c:numRef>
          </c:xVal>
          <c:yVal>
            <c:numRef>
              <c:f>[5]DataSupport!$X$13:$X$16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52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E5-4E14-80B2-0AB5C8C460A0}"/>
            </c:ext>
          </c:extLst>
        </c:ser>
        <c:ser>
          <c:idx val="8"/>
          <c:order val="7"/>
          <c:tx>
            <c:strRef>
              <c:f>'[5]Envelope (2)'!$Q$9</c:f>
              <c:strCache>
                <c:ptCount val="1"/>
                <c:pt idx="0">
                  <c:v>Target (HCOP = 3.5)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'[5]Envelope (2)'!$T$9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E5-4E14-80B2-0AB5C8C460A0}"/>
            </c:ext>
          </c:extLst>
        </c:ser>
        <c:ser>
          <c:idx val="9"/>
          <c:order val="8"/>
          <c:tx>
            <c:strRef>
              <c:f>'[5]Envelope (2)'!$Q$10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(2)'!$S$10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1E5-4E14-80B2-0AB5C8C460A0}"/>
            </c:ext>
          </c:extLst>
        </c:ser>
        <c:ser>
          <c:idx val="10"/>
          <c:order val="9"/>
          <c:tx>
            <c:strRef>
              <c:f>'[5]Envelope (2)'!$Q$11</c:f>
              <c:strCache>
                <c:ptCount val="1"/>
                <c:pt idx="0">
                  <c:v>Opimization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xVal>
          <c:yVal>
            <c:numRef>
              <c:f>'[5]Envelope (2)'!$T$11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1E5-4E14-80B2-0AB5C8C460A0}"/>
            </c:ext>
          </c:extLst>
        </c:ser>
        <c:ser>
          <c:idx val="6"/>
          <c:order val="10"/>
          <c:tx>
            <c:strRef>
              <c:f>'[5]Envelope (2)'!$Q$12</c:f>
              <c:strCache>
                <c:ptCount val="1"/>
                <c:pt idx="0">
                  <c:v>Sanitary Water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(2)'!$S$12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(2)'!$T$12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1E5-4E14-80B2-0AB5C8C460A0}"/>
            </c:ext>
          </c:extLst>
        </c:ser>
        <c:ser>
          <c:idx val="11"/>
          <c:order val="11"/>
          <c:spPr>
            <a:ln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'Calculation (2.5 l)'!$AD$12</c:f>
                  <c:strCache>
                    <c:ptCount val="1"/>
                    <c:pt idx="0">
                      <c:v>92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{2B14960D-EE36-4E00-B716-CD8EC82C3A4C}</c15:txfldGUID>
                      <c15:f>'Calculation (2.5 l)'!$AD$12</c15:f>
                      <c15:dlblFieldTableCache>
                        <c:ptCount val="1"/>
                        <c:pt idx="0">
                          <c:v>92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1E5-4E14-80B2-0AB5C8C460A0}"/>
                </c:ext>
              </c:extLst>
            </c:dLbl>
            <c:dLbl>
              <c:idx val="1"/>
              <c:tx>
                <c:strRef>
                  <c:f>'Calculation (2.5 l)'!$AD$13</c:f>
                  <c:strCache>
                    <c:ptCount val="1"/>
                    <c:pt idx="0">
                      <c:v>113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{F4DB9E97-3634-4854-8446-E965C12954BD}</c15:txfldGUID>
                      <c15:f>'Calculation (2.5 l)'!$AD$13</c15:f>
                      <c15:dlblFieldTableCache>
                        <c:ptCount val="1"/>
                        <c:pt idx="0">
                          <c:v>113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1E5-4E14-80B2-0AB5C8C460A0}"/>
                </c:ext>
              </c:extLst>
            </c:dLbl>
            <c:dLbl>
              <c:idx val="2"/>
              <c:tx>
                <c:strRef>
                  <c:f>'Calculation (2.5 l)'!$AD$14</c:f>
                  <c:strCache>
                    <c:ptCount val="1"/>
                    <c:pt idx="0">
                      <c:v>141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{993903A2-DC4E-4F8D-A144-5973653C1C0E}</c15:txfldGUID>
                      <c15:f>'Calculation (2.5 l)'!$AD$14</c15:f>
                      <c15:dlblFieldTableCache>
                        <c:ptCount val="1"/>
                        <c:pt idx="0">
                          <c:v>141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1E5-4E14-80B2-0AB5C8C460A0}"/>
                </c:ext>
              </c:extLst>
            </c:dLbl>
            <c:dLbl>
              <c:idx val="3"/>
              <c:tx>
                <c:strRef>
                  <c:f>'Calculation (2.5 l)'!$AD$15</c:f>
                  <c:strCache>
                    <c:ptCount val="1"/>
                    <c:pt idx="0">
                      <c:v>120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{ECAF0FA6-9A3C-4F0D-A0A4-545F69DEEDBF}</c15:txfldGUID>
                      <c15:f>'Calculation (2.5 l)'!$AD$15</c15:f>
                      <c15:dlblFieldTableCache>
                        <c:ptCount val="1"/>
                        <c:pt idx="0">
                          <c:v>120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51E5-4E14-80B2-0AB5C8C460A0}"/>
                </c:ext>
              </c:extLst>
            </c:dLbl>
            <c:dLbl>
              <c:idx val="4"/>
              <c:tx>
                <c:strRef>
                  <c:f>'Calculation (2.5 l)'!$AD$16</c:f>
                  <c:strCache>
                    <c:ptCount val="1"/>
                    <c:pt idx="0">
                      <c:v>152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{9EDF1FC9-8EFE-43A8-9804-1C394920CA03}</c15:txfldGUID>
                      <c15:f>'Calculation (2.5 l)'!$AD$16</c15:f>
                      <c15:dlblFieldTableCache>
                        <c:ptCount val="1"/>
                        <c:pt idx="0">
                          <c:v>152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1E5-4E14-80B2-0AB5C8C460A0}"/>
                </c:ext>
              </c:extLst>
            </c:dLbl>
            <c:dLbl>
              <c:idx val="5"/>
              <c:tx>
                <c:strRef>
                  <c:f>'Calculation (2.5 l)'!$AD$17</c:f>
                  <c:strCache>
                    <c:ptCount val="1"/>
                    <c:pt idx="0">
                      <c:v>196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{7E5416D8-320A-4254-980C-77289879A428}</c15:txfldGUID>
                      <c15:f>'Calculation (2.5 l)'!$AD$17</c15:f>
                      <c15:dlblFieldTableCache>
                        <c:ptCount val="1"/>
                        <c:pt idx="0">
                          <c:v>196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51E5-4E14-80B2-0AB5C8C460A0}"/>
                </c:ext>
              </c:extLst>
            </c:dLbl>
            <c:dLbl>
              <c:idx val="6"/>
              <c:tx>
                <c:strRef>
                  <c:f>'Calculation (2.5 l)'!$AD$18</c:f>
                  <c:strCache>
                    <c:ptCount val="1"/>
                    <c:pt idx="0">
                      <c:v>169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{A87E57FF-9470-4FA5-B97B-1F2B00107E77}</c15:txfldGUID>
                      <c15:f>'Calculation (2.5 l)'!$AD$18</c15:f>
                      <c15:dlblFieldTableCache>
                        <c:ptCount val="1"/>
                        <c:pt idx="0">
                          <c:v>169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51E5-4E14-80B2-0AB5C8C460A0}"/>
                </c:ext>
              </c:extLst>
            </c:dLbl>
            <c:dLbl>
              <c:idx val="7"/>
              <c:tx>
                <c:strRef>
                  <c:f>'Calculation (2.5 l)'!$AD$19</c:f>
                  <c:strCache>
                    <c:ptCount val="1"/>
                    <c:pt idx="0">
                      <c:v>225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{1309C4A0-1C56-40C3-95C0-99EB459EB280}</c15:txfldGUID>
                      <c15:f>'Calculation (2.5 l)'!$AD$19</c15:f>
                      <c15:dlblFieldTableCache>
                        <c:ptCount val="1"/>
                        <c:pt idx="0">
                          <c:v>225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51E5-4E14-80B2-0AB5C8C460A0}"/>
                </c:ext>
              </c:extLst>
            </c:dLbl>
            <c:dLbl>
              <c:idx val="8"/>
              <c:tx>
                <c:strRef>
                  <c:f>'Calculation (2.5 l)'!$AD$20</c:f>
                  <c:strCache>
                    <c:ptCount val="1"/>
                    <c:pt idx="0">
                      <c:v>308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{01907B0D-9934-431E-984C-87F89859973A}</c15:txfldGUID>
                      <c15:f>'Calculation (2.5 l)'!$AD$20</c15:f>
                      <c15:dlblFieldTableCache>
                        <c:ptCount val="1"/>
                        <c:pt idx="0">
                          <c:v>308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51E5-4E14-80B2-0AB5C8C460A0}"/>
                </c:ext>
              </c:extLst>
            </c:dLbl>
            <c:dLbl>
              <c:idx val="9"/>
              <c:tx>
                <c:strRef>
                  <c:f>'Calculation (2.5 l)'!$AD$21</c:f>
                  <c:strCache>
                    <c:ptCount val="1"/>
                    <c:pt idx="0">
                      <c:v>74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{468C7B8A-17B1-49B6-8B2D-D8959C8BB3F6}</c15:txfldGUID>
                      <c15:f>'Calculation (2.5 l)'!$AD$21</c15:f>
                      <c15:dlblFieldTableCache>
                        <c:ptCount val="1"/>
                        <c:pt idx="0">
                          <c:v>74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51E5-4E14-80B2-0AB5C8C460A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E5-4E14-80B2-0AB5C8C460A0}"/>
                </c:ext>
              </c:extLst>
            </c:dLbl>
            <c:dLbl>
              <c:idx val="11"/>
              <c:tx>
                <c:strRef>
                  <c:f>'Calculation (2.5 l)'!$AD$23</c:f>
                  <c:strCache>
                    <c:ptCount val="1"/>
                    <c:pt idx="0">
                      <c:v>108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{8B2056FE-3255-4230-B65A-52A7FAA3494B}</c15:txfldGUID>
                      <c15:f>'Calculation (2.5 l)'!$AD$23</c15:f>
                      <c15:dlblFieldTableCache>
                        <c:ptCount val="1"/>
                        <c:pt idx="0">
                          <c:v>108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51E5-4E14-80B2-0AB5C8C460A0}"/>
                </c:ext>
              </c:extLst>
            </c:dLbl>
            <c:dLbl>
              <c:idx val="12"/>
              <c:tx>
                <c:strRef>
                  <c:f>'Calculation (2.5 l)'!$AD$24</c:f>
                  <c:strCache>
                    <c:ptCount val="1"/>
                    <c:pt idx="0">
                      <c:v>38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{AA019068-8F28-4D14-82AF-0099CC6C70AF}</c15:txfldGUID>
                      <c15:f>'Calculation (2.5 l)'!$AD$24</c15:f>
                      <c15:dlblFieldTableCache>
                        <c:ptCount val="1"/>
                        <c:pt idx="0">
                          <c:v>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51E5-4E14-80B2-0AB5C8C460A0}"/>
                </c:ext>
              </c:extLst>
            </c:dLbl>
            <c:dLbl>
              <c:idx val="13"/>
              <c:tx>
                <c:strRef>
                  <c:f>'Calculation (2.5 l)'!$AD$25</c:f>
                  <c:strCache>
                    <c:ptCount val="1"/>
                    <c:pt idx="0">
                      <c:v>53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{6EE4F21C-51AB-4B94-A583-D120760ECA35}</c15:txfldGUID>
                      <c15:f>'Calculation (2.5 l)'!$AD$25</c15:f>
                      <c15:dlblFieldTableCache>
                        <c:ptCount val="1"/>
                        <c:pt idx="0">
                          <c:v>53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51E5-4E14-80B2-0AB5C8C460A0}"/>
                </c:ext>
              </c:extLst>
            </c:dLbl>
            <c:dLbl>
              <c:idx val="14"/>
              <c:tx>
                <c:strRef>
                  <c:f>'Calculation (2.5 l)'!$AD$26</c:f>
                  <c:strCache>
                    <c:ptCount val="1"/>
                    <c:pt idx="0">
                      <c:v>53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{5A27C202-3338-4EB1-94A3-8E1372777249}</c15:txfldGUID>
                      <c15:f>'Calculation (2.5 l)'!$AD$26</c15:f>
                      <c15:dlblFieldTableCache>
                        <c:ptCount val="1"/>
                        <c:pt idx="0">
                          <c:v>53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51E5-4E14-80B2-0AB5C8C460A0}"/>
                </c:ext>
              </c:extLst>
            </c:dLbl>
            <c:dLbl>
              <c:idx val="15"/>
              <c:tx>
                <c:strRef>
                  <c:f>'Calculation (2.5 l)'!$AD$27</c:f>
                  <c:strCache>
                    <c:ptCount val="1"/>
                    <c:pt idx="0">
                      <c:v>106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{3F06F615-EA0C-487E-95CA-38232E0F78C5}</c15:txfldGUID>
                      <c15:f>'Calculation (2.5 l)'!$AD$27</c15:f>
                      <c15:dlblFieldTableCache>
                        <c:ptCount val="1"/>
                        <c:pt idx="0">
                          <c:v>106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51E5-4E14-80B2-0AB5C8C460A0}"/>
                </c:ext>
              </c:extLst>
            </c:dLbl>
            <c:dLbl>
              <c:idx val="16"/>
              <c:tx>
                <c:strRef>
                  <c:f>'Calculation (2.5 l)'!$AD$28</c:f>
                  <c:strCache>
                    <c:ptCount val="1"/>
                    <c:pt idx="0">
                      <c:v>105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{E909B678-38E3-4DC5-A5F4-513ABB7A3DC3}</c15:txfldGUID>
                      <c15:f>'Calculation (2.5 l)'!$AD$28</c15:f>
                      <c15:dlblFieldTableCache>
                        <c:ptCount val="1"/>
                        <c:pt idx="0">
                          <c:v>105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51E5-4E14-80B2-0AB5C8C460A0}"/>
                </c:ext>
              </c:extLst>
            </c:dLbl>
            <c:dLbl>
              <c:idx val="17"/>
              <c:tx>
                <c:strRef>
                  <c:f>'Calculation (2.5 l)'!$AD$29</c:f>
                  <c:strCache>
                    <c:ptCount val="1"/>
                    <c:pt idx="0">
                      <c:v>51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{FBE2E3FB-3868-42A8-9E16-493E80C6F361}</c15:txfldGUID>
                      <c15:f>'Calculation (2.5 l)'!$AD$29</c15:f>
                      <c15:dlblFieldTableCache>
                        <c:ptCount val="1"/>
                        <c:pt idx="0">
                          <c:v>51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51E5-4E14-80B2-0AB5C8C460A0}"/>
                </c:ext>
              </c:extLst>
            </c:dLbl>
            <c:dLbl>
              <c:idx val="18"/>
              <c:tx>
                <c:strRef>
                  <c:f>'Calculation (2.5 l)'!$AD$30</c:f>
                  <c:strCache>
                    <c:ptCount val="1"/>
                    <c:pt idx="0">
                      <c:v>167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{4A7490C4-7BBA-4AC5-B526-4375A41695EF}</c15:txfldGUID>
                      <c15:f>'Calculation (2.5 l)'!$AD$30</c15:f>
                      <c15:dlblFieldTableCache>
                        <c:ptCount val="1"/>
                        <c:pt idx="0">
                          <c:v>167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51E5-4E14-80B2-0AB5C8C460A0}"/>
                </c:ext>
              </c:extLst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200" b="1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'Calculation (2.5 l)'!$P$12:$P$30</c:f>
              <c:numCache>
                <c:formatCode>General</c:formatCode>
                <c:ptCount val="19"/>
                <c:pt idx="0">
                  <c:v>-30</c:v>
                </c:pt>
                <c:pt idx="1">
                  <c:v>-11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-9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  <c:pt idx="10">
                  <c:v>-35</c:v>
                </c:pt>
                <c:pt idx="11">
                  <c:v>-30</c:v>
                </c:pt>
                <c:pt idx="12">
                  <c:v>-30</c:v>
                </c:pt>
                <c:pt idx="13">
                  <c:v>-18</c:v>
                </c:pt>
                <c:pt idx="14">
                  <c:v>-18</c:v>
                </c:pt>
                <c:pt idx="15">
                  <c:v>-5</c:v>
                </c:pt>
                <c:pt idx="16">
                  <c:v>0</c:v>
                </c:pt>
                <c:pt idx="17">
                  <c:v>-20</c:v>
                </c:pt>
                <c:pt idx="18">
                  <c:v>7</c:v>
                </c:pt>
              </c:numCache>
            </c:numRef>
          </c:xVal>
          <c:yVal>
            <c:numRef>
              <c:f>'Calculation (2.5 l)'!$Q$12:$Q$30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65</c:v>
                </c:pt>
                <c:pt idx="10">
                  <c:v>50</c:v>
                </c:pt>
                <c:pt idx="11">
                  <c:v>45</c:v>
                </c:pt>
                <c:pt idx="12">
                  <c:v>35</c:v>
                </c:pt>
                <c:pt idx="13">
                  <c:v>62</c:v>
                </c:pt>
                <c:pt idx="14">
                  <c:v>58</c:v>
                </c:pt>
                <c:pt idx="15">
                  <c:v>43</c:v>
                </c:pt>
                <c:pt idx="16">
                  <c:v>56</c:v>
                </c:pt>
                <c:pt idx="17">
                  <c:v>57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51E5-4E14-80B2-0AB5C8C46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14848"/>
        <c:axId val="90016768"/>
      </c:scatterChart>
      <c:valAx>
        <c:axId val="90014848"/>
        <c:scaling>
          <c:orientation val="minMax"/>
          <c:min val="-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Evaporating Temperature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0016768"/>
        <c:crosses val="autoZero"/>
        <c:crossBetween val="midCat"/>
        <c:majorUnit val="5"/>
        <c:minorUnit val="5"/>
      </c:valAx>
      <c:valAx>
        <c:axId val="9001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Condensing</a:t>
                </a:r>
                <a:r>
                  <a:rPr lang="en-US" sz="1400" baseline="0"/>
                  <a:t> Temperature (°C)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0509031198686385E-2"/>
              <c:y val="0.37416515243286896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0014848"/>
        <c:crossesAt val="-35"/>
        <c:crossBetween val="midCat"/>
        <c:minorUnit val="5"/>
      </c:valAx>
    </c:plotArea>
    <c:legend>
      <c:legendPos val="r"/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8.9530240301377267E-2"/>
          <c:y val="7.0924976623456273E-2"/>
          <c:w val="0.8739305510503137"/>
          <c:h val="5.2552993219524946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</a:t>
            </a:r>
            <a:r>
              <a:rPr lang="en-US" baseline="0"/>
              <a:t> m</a:t>
            </a:r>
            <a:r>
              <a:rPr lang="en-US"/>
              <a:t>ass (gr)</a:t>
            </a:r>
            <a:r>
              <a:rPr lang="en-US" baseline="0"/>
              <a:t> R290 Inside the Oil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874446046395578E-2"/>
          <c:y val="6.3287521268822602E-2"/>
          <c:w val="0.88442609601189204"/>
          <c:h val="0.82944767486421167"/>
        </c:manualLayout>
      </c:layout>
      <c:scatterChart>
        <c:scatterStyle val="lineMarker"/>
        <c:varyColors val="0"/>
        <c:ser>
          <c:idx val="3"/>
          <c:order val="0"/>
          <c:tx>
            <c:strRef>
              <c:f>[5]DataSupport!$M$2</c:f>
              <c:strCache>
                <c:ptCount val="1"/>
                <c:pt idx="0">
                  <c:v>ZHV*KCU (R290)</c:v>
                </c:pt>
              </c:strCache>
            </c:strRef>
          </c:tx>
          <c:spPr>
            <a:ln w="444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[5]DataSupport!$M$4:$M$13</c:f>
              <c:numCache>
                <c:formatCode>General</c:formatCode>
                <c:ptCount val="10"/>
                <c:pt idx="0">
                  <c:v>-30</c:v>
                </c:pt>
                <c:pt idx="1">
                  <c:v>-9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-11</c:v>
                </c:pt>
                <c:pt idx="6">
                  <c:v>-30</c:v>
                </c:pt>
                <c:pt idx="7">
                  <c:v>-30</c:v>
                </c:pt>
              </c:numCache>
            </c:numRef>
          </c:xVal>
          <c:yVal>
            <c:numRef>
              <c:f>[5]DataSupport!$N$4:$N$13</c:f>
              <c:numCache>
                <c:formatCode>General</c:formatCode>
                <c:ptCount val="10"/>
                <c:pt idx="0">
                  <c:v>45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0-4D25-8D76-B9F24F835AA8}"/>
            </c:ext>
          </c:extLst>
        </c:ser>
        <c:ser>
          <c:idx val="7"/>
          <c:order val="1"/>
          <c:tx>
            <c:strRef>
              <c:f>[5]DataSupport!$W$2</c:f>
              <c:strCache>
                <c:ptCount val="1"/>
                <c:pt idx="0">
                  <c:v>ZH*KCU Quest (R290-10K)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[5]DataSupport!$W$13:$W$16</c:f>
              <c:numCache>
                <c:formatCode>General</c:formatCode>
                <c:ptCount val="4"/>
                <c:pt idx="0">
                  <c:v>-10</c:v>
                </c:pt>
                <c:pt idx="1">
                  <c:v>-15</c:v>
                </c:pt>
                <c:pt idx="2">
                  <c:v>-30</c:v>
                </c:pt>
                <c:pt idx="3">
                  <c:v>-30</c:v>
                </c:pt>
              </c:numCache>
            </c:numRef>
          </c:xVal>
          <c:yVal>
            <c:numRef>
              <c:f>[5]DataSupport!$X$13:$X$16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52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0-4D25-8D76-B9F24F835AA8}"/>
            </c:ext>
          </c:extLst>
        </c:ser>
        <c:ser>
          <c:idx val="8"/>
          <c:order val="2"/>
          <c:tx>
            <c:strRef>
              <c:f>'[5]Envelope (2)'!$Q$9</c:f>
              <c:strCache>
                <c:ptCount val="1"/>
                <c:pt idx="0">
                  <c:v>Target (HCOP = 3.5)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'[5]Envelope (2)'!$T$9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10-4D25-8D76-B9F24F835AA8}"/>
            </c:ext>
          </c:extLst>
        </c:ser>
        <c:ser>
          <c:idx val="9"/>
          <c:order val="3"/>
          <c:tx>
            <c:strRef>
              <c:f>'[5]Envelope (2)'!$Q$10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(2)'!$S$10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10-4D25-8D76-B9F24F835AA8}"/>
            </c:ext>
          </c:extLst>
        </c:ser>
        <c:ser>
          <c:idx val="10"/>
          <c:order val="4"/>
          <c:tx>
            <c:strRef>
              <c:f>'[5]Envelope (2)'!$Q$11</c:f>
              <c:strCache>
                <c:ptCount val="1"/>
                <c:pt idx="0">
                  <c:v>Opimization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xVal>
          <c:yVal>
            <c:numRef>
              <c:f>'[5]Envelope (2)'!$T$11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10-4D25-8D76-B9F24F835AA8}"/>
            </c:ext>
          </c:extLst>
        </c:ser>
        <c:ser>
          <c:idx val="6"/>
          <c:order val="5"/>
          <c:tx>
            <c:strRef>
              <c:f>'[5]Envelope (2)'!$Q$12</c:f>
              <c:strCache>
                <c:ptCount val="1"/>
                <c:pt idx="0">
                  <c:v>Sanitary Water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(2)'!$S$12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(2)'!$T$12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10-4D25-8D76-B9F24F835AA8}"/>
            </c:ext>
          </c:extLst>
        </c:ser>
        <c:ser>
          <c:idx val="11"/>
          <c:order val="6"/>
          <c:spPr>
            <a:ln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'Calculation (2.5 l)'!$AD$12</c:f>
                  <c:strCache>
                    <c:ptCount val="1"/>
                    <c:pt idx="0">
                      <c:v>92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{DD913B96-3B5E-416C-B80F-EA712E90323A}</c15:txfldGUID>
                      <c15:f>'Calculation (2.5 l)'!$AD$12</c15:f>
                      <c15:dlblFieldTableCache>
                        <c:ptCount val="1"/>
                        <c:pt idx="0">
                          <c:v>92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310-4D25-8D76-B9F24F835AA8}"/>
                </c:ext>
              </c:extLst>
            </c:dLbl>
            <c:dLbl>
              <c:idx val="1"/>
              <c:tx>
                <c:strRef>
                  <c:f>'Calculation (2.5 l)'!$AD$13</c:f>
                  <c:strCache>
                    <c:ptCount val="1"/>
                    <c:pt idx="0">
                      <c:v>113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{95F13D3A-1E08-4E6E-9F21-9168983C952E}</c15:txfldGUID>
                      <c15:f>'Calculation (2.5 l)'!$AD$13</c15:f>
                      <c15:dlblFieldTableCache>
                        <c:ptCount val="1"/>
                        <c:pt idx="0">
                          <c:v>113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A310-4D25-8D76-B9F24F835AA8}"/>
                </c:ext>
              </c:extLst>
            </c:dLbl>
            <c:dLbl>
              <c:idx val="2"/>
              <c:tx>
                <c:strRef>
                  <c:f>'Calculation (2.5 l)'!$AD$14</c:f>
                  <c:strCache>
                    <c:ptCount val="1"/>
                    <c:pt idx="0">
                      <c:v>141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{E9AAFF7C-594E-4440-AE5A-974E88958A08}</c15:txfldGUID>
                      <c15:f>'Calculation (2.5 l)'!$AD$14</c15:f>
                      <c15:dlblFieldTableCache>
                        <c:ptCount val="1"/>
                        <c:pt idx="0">
                          <c:v>141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A310-4D25-8D76-B9F24F835AA8}"/>
                </c:ext>
              </c:extLst>
            </c:dLbl>
            <c:dLbl>
              <c:idx val="3"/>
              <c:tx>
                <c:strRef>
                  <c:f>'Calculation (2.5 l)'!$AD$15</c:f>
                  <c:strCache>
                    <c:ptCount val="1"/>
                    <c:pt idx="0">
                      <c:v>120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{3489C1EC-3AC3-44E2-A318-AE97D3289164}</c15:txfldGUID>
                      <c15:f>'Calculation (2.5 l)'!$AD$15</c15:f>
                      <c15:dlblFieldTableCache>
                        <c:ptCount val="1"/>
                        <c:pt idx="0">
                          <c:v>120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310-4D25-8D76-B9F24F835AA8}"/>
                </c:ext>
              </c:extLst>
            </c:dLbl>
            <c:dLbl>
              <c:idx val="4"/>
              <c:tx>
                <c:strRef>
                  <c:f>'Calculation (2.5 l)'!$AD$16</c:f>
                  <c:strCache>
                    <c:ptCount val="1"/>
                    <c:pt idx="0">
                      <c:v>152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{9395619D-1DA4-4087-858D-F6DAB6C0237C}</c15:txfldGUID>
                      <c15:f>'Calculation (2.5 l)'!$AD$16</c15:f>
                      <c15:dlblFieldTableCache>
                        <c:ptCount val="1"/>
                        <c:pt idx="0">
                          <c:v>152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310-4D25-8D76-B9F24F835AA8}"/>
                </c:ext>
              </c:extLst>
            </c:dLbl>
            <c:dLbl>
              <c:idx val="5"/>
              <c:tx>
                <c:strRef>
                  <c:f>'Calculation (2.5 l)'!$AD$17</c:f>
                  <c:strCache>
                    <c:ptCount val="1"/>
                    <c:pt idx="0">
                      <c:v>196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{FEC747C3-4C42-4F04-A24C-098D09C83E27}</c15:txfldGUID>
                      <c15:f>'Calculation (2.5 l)'!$AD$17</c15:f>
                      <c15:dlblFieldTableCache>
                        <c:ptCount val="1"/>
                        <c:pt idx="0">
                          <c:v>196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A310-4D25-8D76-B9F24F835AA8}"/>
                </c:ext>
              </c:extLst>
            </c:dLbl>
            <c:dLbl>
              <c:idx val="6"/>
              <c:tx>
                <c:strRef>
                  <c:f>'Calculation (2.5 l)'!$AD$18</c:f>
                  <c:strCache>
                    <c:ptCount val="1"/>
                    <c:pt idx="0">
                      <c:v>169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{B41C8537-5A4C-404B-BDCC-EFAED00DDC1B}</c15:txfldGUID>
                      <c15:f>'Calculation (2.5 l)'!$AD$18</c15:f>
                      <c15:dlblFieldTableCache>
                        <c:ptCount val="1"/>
                        <c:pt idx="0">
                          <c:v>169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A310-4D25-8D76-B9F24F835AA8}"/>
                </c:ext>
              </c:extLst>
            </c:dLbl>
            <c:dLbl>
              <c:idx val="7"/>
              <c:tx>
                <c:strRef>
                  <c:f>'Calculation (2.5 l)'!$AD$19</c:f>
                  <c:strCache>
                    <c:ptCount val="1"/>
                    <c:pt idx="0">
                      <c:v>225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{A7B487B1-B7A4-417F-9E91-F14F8B19AE1C}</c15:txfldGUID>
                      <c15:f>'Calculation (2.5 l)'!$AD$19</c15:f>
                      <c15:dlblFieldTableCache>
                        <c:ptCount val="1"/>
                        <c:pt idx="0">
                          <c:v>225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A310-4D25-8D76-B9F24F835AA8}"/>
                </c:ext>
              </c:extLst>
            </c:dLbl>
            <c:dLbl>
              <c:idx val="8"/>
              <c:tx>
                <c:strRef>
                  <c:f>'Calculation (2.5 l)'!$AD$20</c:f>
                  <c:strCache>
                    <c:ptCount val="1"/>
                    <c:pt idx="0">
                      <c:v>308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{52590DD3-C4A6-4812-86C3-30A415EF8C37}</c15:txfldGUID>
                      <c15:f>'Calculation (2.5 l)'!$AD$20</c15:f>
                      <c15:dlblFieldTableCache>
                        <c:ptCount val="1"/>
                        <c:pt idx="0">
                          <c:v>308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310-4D25-8D76-B9F24F835AA8}"/>
                </c:ext>
              </c:extLst>
            </c:dLbl>
            <c:dLbl>
              <c:idx val="9"/>
              <c:tx>
                <c:strRef>
                  <c:f>'Calculation (2.5 l)'!$AD$21</c:f>
                  <c:strCache>
                    <c:ptCount val="1"/>
                    <c:pt idx="0">
                      <c:v>74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{F873AEF2-286A-4AC3-BBC7-708E6FFE9FEE}</c15:txfldGUID>
                      <c15:f>'Calculation (2.5 l)'!$AD$21</c15:f>
                      <c15:dlblFieldTableCache>
                        <c:ptCount val="1"/>
                        <c:pt idx="0">
                          <c:v>74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A310-4D25-8D76-B9F24F835AA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310-4D25-8D76-B9F24F835AA8}"/>
                </c:ext>
              </c:extLst>
            </c:dLbl>
            <c:dLbl>
              <c:idx val="11"/>
              <c:tx>
                <c:strRef>
                  <c:f>'Calculation (2.5 l)'!$AD$23</c:f>
                  <c:strCache>
                    <c:ptCount val="1"/>
                    <c:pt idx="0">
                      <c:v>108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{5A854C76-6A5E-4024-86C8-97CD2F2032F2}</c15:txfldGUID>
                      <c15:f>'Calculation (2.5 l)'!$AD$23</c15:f>
                      <c15:dlblFieldTableCache>
                        <c:ptCount val="1"/>
                        <c:pt idx="0">
                          <c:v>108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A310-4D25-8D76-B9F24F835AA8}"/>
                </c:ext>
              </c:extLst>
            </c:dLbl>
            <c:dLbl>
              <c:idx val="12"/>
              <c:tx>
                <c:strRef>
                  <c:f>'Calculation (2.5 l)'!$AD$24</c:f>
                  <c:strCache>
                    <c:ptCount val="1"/>
                    <c:pt idx="0">
                      <c:v>38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{E91D7529-E4C0-4470-B6F1-DC8568DA093C}</c15:txfldGUID>
                      <c15:f>'Calculation (2.5 l)'!$AD$24</c15:f>
                      <c15:dlblFieldTableCache>
                        <c:ptCount val="1"/>
                        <c:pt idx="0">
                          <c:v>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A310-4D25-8D76-B9F24F835AA8}"/>
                </c:ext>
              </c:extLst>
            </c:dLbl>
            <c:dLbl>
              <c:idx val="13"/>
              <c:tx>
                <c:strRef>
                  <c:f>'Calculation (2.5 l)'!$AD$25</c:f>
                  <c:strCache>
                    <c:ptCount val="1"/>
                    <c:pt idx="0">
                      <c:v>53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{3BCC007E-D226-434A-B0DE-9A9C43F41288}</c15:txfldGUID>
                      <c15:f>'Calculation (2.5 l)'!$AD$25</c15:f>
                      <c15:dlblFieldTableCache>
                        <c:ptCount val="1"/>
                        <c:pt idx="0">
                          <c:v>53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A310-4D25-8D76-B9F24F835AA8}"/>
                </c:ext>
              </c:extLst>
            </c:dLbl>
            <c:dLbl>
              <c:idx val="14"/>
              <c:tx>
                <c:strRef>
                  <c:f>'Calculation (2.5 l)'!$AD$26</c:f>
                  <c:strCache>
                    <c:ptCount val="1"/>
                    <c:pt idx="0">
                      <c:v>53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{07D7A0B3-144D-47B0-8054-4961CADE3292}</c15:txfldGUID>
                      <c15:f>'Calculation (2.5 l)'!$AD$26</c15:f>
                      <c15:dlblFieldTableCache>
                        <c:ptCount val="1"/>
                        <c:pt idx="0">
                          <c:v>53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A310-4D25-8D76-B9F24F835AA8}"/>
                </c:ext>
              </c:extLst>
            </c:dLbl>
            <c:dLbl>
              <c:idx val="15"/>
              <c:tx>
                <c:strRef>
                  <c:f>'Calculation (2.5 l)'!$AD$27</c:f>
                  <c:strCache>
                    <c:ptCount val="1"/>
                    <c:pt idx="0">
                      <c:v>106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{EC6E8A41-196E-4E68-BF7E-C5943ECE1202}</c15:txfldGUID>
                      <c15:f>'Calculation (2.5 l)'!$AD$27</c15:f>
                      <c15:dlblFieldTableCache>
                        <c:ptCount val="1"/>
                        <c:pt idx="0">
                          <c:v>106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A310-4D25-8D76-B9F24F835AA8}"/>
                </c:ext>
              </c:extLst>
            </c:dLbl>
            <c:dLbl>
              <c:idx val="16"/>
              <c:tx>
                <c:strRef>
                  <c:f>'Calculation (2.5 l)'!$AD$28</c:f>
                  <c:strCache>
                    <c:ptCount val="1"/>
                    <c:pt idx="0">
                      <c:v>105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{1CA61033-DFDC-4236-9B98-C1458CC45E2E}</c15:txfldGUID>
                      <c15:f>'Calculation (2.5 l)'!$AD$28</c15:f>
                      <c15:dlblFieldTableCache>
                        <c:ptCount val="1"/>
                        <c:pt idx="0">
                          <c:v>105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A310-4D25-8D76-B9F24F835AA8}"/>
                </c:ext>
              </c:extLst>
            </c:dLbl>
            <c:dLbl>
              <c:idx val="17"/>
              <c:tx>
                <c:strRef>
                  <c:f>'Calculation (2.5 l)'!$AD$29</c:f>
                  <c:strCache>
                    <c:ptCount val="1"/>
                    <c:pt idx="0">
                      <c:v>51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{FC9E1566-3FDA-47CA-A322-705FBE2255E9}</c15:txfldGUID>
                      <c15:f>'Calculation (2.5 l)'!$AD$29</c15:f>
                      <c15:dlblFieldTableCache>
                        <c:ptCount val="1"/>
                        <c:pt idx="0">
                          <c:v>51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A310-4D25-8D76-B9F24F835AA8}"/>
                </c:ext>
              </c:extLst>
            </c:dLbl>
            <c:dLbl>
              <c:idx val="18"/>
              <c:tx>
                <c:strRef>
                  <c:f>'Calculation (2.5 l)'!$AD$30</c:f>
                  <c:strCache>
                    <c:ptCount val="1"/>
                    <c:pt idx="0">
                      <c:v>167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{9E3D832D-D003-44D0-A7B4-F349F3ADADFB}</c15:txfldGUID>
                      <c15:f>'Calculation (2.5 l)'!$AD$30</c15:f>
                      <c15:dlblFieldTableCache>
                        <c:ptCount val="1"/>
                        <c:pt idx="0">
                          <c:v>167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A310-4D25-8D76-B9F24F835AA8}"/>
                </c:ext>
              </c:extLst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600" b="1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'Calculation (2.5 l)'!$P$12:$P$30</c:f>
              <c:numCache>
                <c:formatCode>General</c:formatCode>
                <c:ptCount val="19"/>
                <c:pt idx="0">
                  <c:v>-30</c:v>
                </c:pt>
                <c:pt idx="1">
                  <c:v>-11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-9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  <c:pt idx="10">
                  <c:v>-35</c:v>
                </c:pt>
                <c:pt idx="11">
                  <c:v>-30</c:v>
                </c:pt>
                <c:pt idx="12">
                  <c:v>-30</c:v>
                </c:pt>
                <c:pt idx="13">
                  <c:v>-18</c:v>
                </c:pt>
                <c:pt idx="14">
                  <c:v>-18</c:v>
                </c:pt>
                <c:pt idx="15">
                  <c:v>-5</c:v>
                </c:pt>
                <c:pt idx="16">
                  <c:v>0</c:v>
                </c:pt>
                <c:pt idx="17">
                  <c:v>-20</c:v>
                </c:pt>
                <c:pt idx="18">
                  <c:v>7</c:v>
                </c:pt>
              </c:numCache>
            </c:numRef>
          </c:xVal>
          <c:yVal>
            <c:numRef>
              <c:f>'Calculation (2.5 l)'!$Q$12:$Q$30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65</c:v>
                </c:pt>
                <c:pt idx="10">
                  <c:v>50</c:v>
                </c:pt>
                <c:pt idx="11">
                  <c:v>45</c:v>
                </c:pt>
                <c:pt idx="12">
                  <c:v>35</c:v>
                </c:pt>
                <c:pt idx="13">
                  <c:v>62</c:v>
                </c:pt>
                <c:pt idx="14">
                  <c:v>58</c:v>
                </c:pt>
                <c:pt idx="15">
                  <c:v>43</c:v>
                </c:pt>
                <c:pt idx="16">
                  <c:v>56</c:v>
                </c:pt>
                <c:pt idx="17">
                  <c:v>57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10-4D25-8D76-B9F24F835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85504"/>
        <c:axId val="94087424"/>
      </c:scatterChart>
      <c:valAx>
        <c:axId val="94085504"/>
        <c:scaling>
          <c:orientation val="minMax"/>
          <c:min val="-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Evaporating Temperature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4087424"/>
        <c:crosses val="autoZero"/>
        <c:crossBetween val="midCat"/>
        <c:majorUnit val="5"/>
        <c:minorUnit val="5"/>
      </c:valAx>
      <c:valAx>
        <c:axId val="94087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Condensing</a:t>
                </a:r>
                <a:r>
                  <a:rPr lang="en-US" sz="1400" baseline="0"/>
                  <a:t> Temperature (°C)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0509031198686385E-2"/>
              <c:y val="0.37416515243286896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94085504"/>
        <c:crossesAt val="-35"/>
        <c:crossBetween val="midCat"/>
        <c:minorUnit val="5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R290 Oil Dilution in 2.5 liters of Oil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874446046395605E-2"/>
          <c:y val="8.6801210324009254E-2"/>
          <c:w val="0.87668538206138025"/>
          <c:h val="0.80593393376005829"/>
        </c:manualLayout>
      </c:layout>
      <c:scatterChart>
        <c:scatterStyle val="lineMarker"/>
        <c:varyColors val="0"/>
        <c:ser>
          <c:idx val="2"/>
          <c:order val="0"/>
          <c:tx>
            <c:v>Operating Conditions</c:v>
          </c:tx>
          <c:spPr>
            <a:ln w="38100" cmpd="tri">
              <a:solidFill>
                <a:srgbClr val="7030A0"/>
              </a:solidFill>
              <a:prstDash val="dash"/>
            </a:ln>
          </c:spPr>
          <c:marker>
            <c:symbol val="none"/>
          </c:marker>
          <c:xVal>
            <c:numRef>
              <c:f>'[5]HP Sizing'!$J$8:$J$33</c:f>
              <c:numCache>
                <c:formatCode>General</c:formatCode>
                <c:ptCount val="26"/>
                <c:pt idx="0">
                  <c:v>-20</c:v>
                </c:pt>
                <c:pt idx="1">
                  <c:v>-18.920000000000002</c:v>
                </c:pt>
                <c:pt idx="2">
                  <c:v>-17.84</c:v>
                </c:pt>
                <c:pt idx="3">
                  <c:v>-16.759999999999998</c:v>
                </c:pt>
                <c:pt idx="4">
                  <c:v>-15.68</c:v>
                </c:pt>
                <c:pt idx="5">
                  <c:v>-14.6</c:v>
                </c:pt>
                <c:pt idx="6">
                  <c:v>-13.52</c:v>
                </c:pt>
                <c:pt idx="7">
                  <c:v>-12.44</c:v>
                </c:pt>
                <c:pt idx="8">
                  <c:v>-11.36</c:v>
                </c:pt>
                <c:pt idx="9">
                  <c:v>-10.28</c:v>
                </c:pt>
                <c:pt idx="10">
                  <c:v>-9.1999999999999993</c:v>
                </c:pt>
                <c:pt idx="11">
                  <c:v>-8.1199999999999992</c:v>
                </c:pt>
                <c:pt idx="12">
                  <c:v>-7.0399999999999991</c:v>
                </c:pt>
                <c:pt idx="13">
                  <c:v>-5.9600000000000009</c:v>
                </c:pt>
                <c:pt idx="14">
                  <c:v>-4.879999999999999</c:v>
                </c:pt>
                <c:pt idx="15">
                  <c:v>-3.8000000000000007</c:v>
                </c:pt>
                <c:pt idx="16">
                  <c:v>-2.7200000000000006</c:v>
                </c:pt>
                <c:pt idx="17">
                  <c:v>-1.6400000000000006</c:v>
                </c:pt>
                <c:pt idx="18">
                  <c:v>-0.5600000000000005</c:v>
                </c:pt>
                <c:pt idx="19">
                  <c:v>0.51999999999999957</c:v>
                </c:pt>
                <c:pt idx="20">
                  <c:v>1.5999999999999996</c:v>
                </c:pt>
                <c:pt idx="21">
                  <c:v>2.6799999999999997</c:v>
                </c:pt>
                <c:pt idx="22">
                  <c:v>3.76</c:v>
                </c:pt>
                <c:pt idx="23">
                  <c:v>4.84</c:v>
                </c:pt>
                <c:pt idx="24">
                  <c:v>5.92</c:v>
                </c:pt>
                <c:pt idx="25">
                  <c:v>7</c:v>
                </c:pt>
              </c:numCache>
            </c:numRef>
          </c:xVal>
          <c:yVal>
            <c:numRef>
              <c:f>'[5]HP Sizing'!$L$8:$L$33</c:f>
              <c:numCache>
                <c:formatCode>General</c:formatCode>
                <c:ptCount val="26"/>
                <c:pt idx="0">
                  <c:v>57.333333333333336</c:v>
                </c:pt>
                <c:pt idx="1">
                  <c:v>56.222222222222221</c:v>
                </c:pt>
                <c:pt idx="2">
                  <c:v>55.111111111111114</c:v>
                </c:pt>
                <c:pt idx="3">
                  <c:v>54</c:v>
                </c:pt>
                <c:pt idx="4">
                  <c:v>52.888888888888886</c:v>
                </c:pt>
                <c:pt idx="5">
                  <c:v>51.777777777777779</c:v>
                </c:pt>
                <c:pt idx="6">
                  <c:v>50.666666666666664</c:v>
                </c:pt>
                <c:pt idx="7">
                  <c:v>49.555555555555557</c:v>
                </c:pt>
                <c:pt idx="8">
                  <c:v>48.444444444444443</c:v>
                </c:pt>
                <c:pt idx="9">
                  <c:v>47.333333333333336</c:v>
                </c:pt>
                <c:pt idx="10">
                  <c:v>46.222222222222221</c:v>
                </c:pt>
                <c:pt idx="11">
                  <c:v>45.111111111111114</c:v>
                </c:pt>
                <c:pt idx="12">
                  <c:v>44</c:v>
                </c:pt>
                <c:pt idx="13">
                  <c:v>42.888888888888886</c:v>
                </c:pt>
                <c:pt idx="14">
                  <c:v>41.777777777777779</c:v>
                </c:pt>
                <c:pt idx="15">
                  <c:v>40.666666666666671</c:v>
                </c:pt>
                <c:pt idx="16">
                  <c:v>39.555555555555557</c:v>
                </c:pt>
                <c:pt idx="17">
                  <c:v>38.444444444444443</c:v>
                </c:pt>
                <c:pt idx="18">
                  <c:v>37.333333333333329</c:v>
                </c:pt>
                <c:pt idx="19">
                  <c:v>36.222222222222221</c:v>
                </c:pt>
                <c:pt idx="20">
                  <c:v>35.111111111111114</c:v>
                </c:pt>
                <c:pt idx="21">
                  <c:v>34</c:v>
                </c:pt>
                <c:pt idx="22">
                  <c:v>32.888888888888886</c:v>
                </c:pt>
                <c:pt idx="23">
                  <c:v>31.777777777777779</c:v>
                </c:pt>
                <c:pt idx="24">
                  <c:v>30.666666666666664</c:v>
                </c:pt>
                <c:pt idx="25">
                  <c:v>29.555555555555554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9-4BA7-8995-2AE3E5897262}"/>
            </c:ext>
          </c:extLst>
        </c:ser>
        <c:ser>
          <c:idx val="3"/>
          <c:order val="1"/>
          <c:tx>
            <c:strRef>
              <c:f>[5]DataSupport!$M$2</c:f>
              <c:strCache>
                <c:ptCount val="1"/>
                <c:pt idx="0">
                  <c:v>ZHV*KCU (R290)</c:v>
                </c:pt>
              </c:strCache>
            </c:strRef>
          </c:tx>
          <c:spPr>
            <a:ln w="4445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[5]DataSupport!$M$4:$M$13</c:f>
              <c:numCache>
                <c:formatCode>General</c:formatCode>
                <c:ptCount val="10"/>
                <c:pt idx="0">
                  <c:v>-30</c:v>
                </c:pt>
                <c:pt idx="1">
                  <c:v>-9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-11</c:v>
                </c:pt>
                <c:pt idx="6">
                  <c:v>-30</c:v>
                </c:pt>
                <c:pt idx="7">
                  <c:v>-30</c:v>
                </c:pt>
              </c:numCache>
            </c:numRef>
          </c:xVal>
          <c:yVal>
            <c:numRef>
              <c:f>[5]DataSupport!$N$4:$N$13</c:f>
              <c:numCache>
                <c:formatCode>General</c:formatCode>
                <c:ptCount val="10"/>
                <c:pt idx="0">
                  <c:v>45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9-4BA7-8995-2AE3E5897262}"/>
            </c:ext>
          </c:extLst>
        </c:ser>
        <c:ser>
          <c:idx val="4"/>
          <c:order val="2"/>
          <c:tx>
            <c:strRef>
              <c:f>[5]DataSupport!$P$2</c:f>
              <c:strCache>
                <c:ptCount val="1"/>
                <c:pt idx="0">
                  <c:v>ZHW*KCU w/ EVI (R290)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[5]DataSupport!$P$4:$P$8</c:f>
              <c:numCache>
                <c:formatCode>General</c:formatCode>
                <c:ptCount val="5"/>
                <c:pt idx="0">
                  <c:v>-30</c:v>
                </c:pt>
                <c:pt idx="1">
                  <c:v>-30</c:v>
                </c:pt>
                <c:pt idx="2">
                  <c:v>-20</c:v>
                </c:pt>
                <c:pt idx="3">
                  <c:v>-9</c:v>
                </c:pt>
              </c:numCache>
            </c:numRef>
          </c:xVal>
          <c:yVal>
            <c:numRef>
              <c:f>[5]DataSupport!$Q$4:$Q$8</c:f>
              <c:numCache>
                <c:formatCode>General</c:formatCode>
                <c:ptCount val="5"/>
                <c:pt idx="0">
                  <c:v>45</c:v>
                </c:pt>
                <c:pt idx="1">
                  <c:v>65</c:v>
                </c:pt>
                <c:pt idx="2">
                  <c:v>70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69-4BA7-8995-2AE3E5897262}"/>
            </c:ext>
          </c:extLst>
        </c:ser>
        <c:ser>
          <c:idx val="7"/>
          <c:order val="3"/>
          <c:tx>
            <c:strRef>
              <c:f>[5]DataSupport!$W$2</c:f>
              <c:strCache>
                <c:ptCount val="1"/>
                <c:pt idx="0">
                  <c:v>ZH*KCU Quest (R290-10K)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[5]DataSupport!$W$13:$W$16</c:f>
              <c:numCache>
                <c:formatCode>General</c:formatCode>
                <c:ptCount val="4"/>
                <c:pt idx="0">
                  <c:v>-10</c:v>
                </c:pt>
                <c:pt idx="1">
                  <c:v>-15</c:v>
                </c:pt>
                <c:pt idx="2">
                  <c:v>-30</c:v>
                </c:pt>
                <c:pt idx="3">
                  <c:v>-30</c:v>
                </c:pt>
              </c:numCache>
            </c:numRef>
          </c:xVal>
          <c:yVal>
            <c:numRef>
              <c:f>[5]DataSupport!$X$13:$X$16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52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69-4BA7-8995-2AE3E5897262}"/>
            </c:ext>
          </c:extLst>
        </c:ser>
        <c:ser>
          <c:idx val="8"/>
          <c:order val="4"/>
          <c:tx>
            <c:strRef>
              <c:f>'[5]Envelope (2)'!$Q$9</c:f>
              <c:strCache>
                <c:ptCount val="1"/>
                <c:pt idx="0">
                  <c:v>Target (HCOP = 3.5)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'[5]Envelope (2)'!$T$9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69-4BA7-8995-2AE3E5897262}"/>
            </c:ext>
          </c:extLst>
        </c:ser>
        <c:ser>
          <c:idx val="9"/>
          <c:order val="5"/>
          <c:tx>
            <c:strRef>
              <c:f>'[5]Envelope (2)'!$Q$10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(2)'!$S$10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69-4BA7-8995-2AE3E5897262}"/>
            </c:ext>
          </c:extLst>
        </c:ser>
        <c:ser>
          <c:idx val="10"/>
          <c:order val="6"/>
          <c:tx>
            <c:strRef>
              <c:f>'[5]Envelope (2)'!$Q$11</c:f>
              <c:strCache>
                <c:ptCount val="1"/>
                <c:pt idx="0">
                  <c:v>Opimization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xVal>
          <c:yVal>
            <c:numRef>
              <c:f>'[5]Envelope (2)'!$T$11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69-4BA7-8995-2AE3E5897262}"/>
            </c:ext>
          </c:extLst>
        </c:ser>
        <c:ser>
          <c:idx val="6"/>
          <c:order val="7"/>
          <c:tx>
            <c:strRef>
              <c:f>'[5]Envelope (2)'!$Q$12</c:f>
              <c:strCache>
                <c:ptCount val="1"/>
                <c:pt idx="0">
                  <c:v>Sanitary Water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(2)'!$S$12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(2)'!$T$12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69-4BA7-8995-2AE3E5897262}"/>
            </c:ext>
          </c:extLst>
        </c:ser>
        <c:ser>
          <c:idx val="11"/>
          <c:order val="8"/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9031503021911886E-2"/>
                  <c:y val="-1.2323228616888223E-2"/>
                </c:manualLayout>
              </c:layout>
              <c:tx>
                <c:strRef>
                  <c:f>'Calculation (2.5 l)'!$AD$12</c:f>
                  <c:strCache>
                    <c:ptCount val="1"/>
                    <c:pt idx="0">
                      <c:v>92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{18C67DF4-897E-4D4D-B628-9DCA9D3168A8}</c15:txfldGUID>
                      <c15:f>'Calculation (2.5 l)'!$AD$12</c15:f>
                      <c15:dlblFieldTableCache>
                        <c:ptCount val="1"/>
                        <c:pt idx="0">
                          <c:v>92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F69-4BA7-8995-2AE3E5897262}"/>
                </c:ext>
              </c:extLst>
            </c:dLbl>
            <c:dLbl>
              <c:idx val="1"/>
              <c:layout>
                <c:manualLayout>
                  <c:x val="-3.3605486977027997E-2"/>
                  <c:y val="3.0428940592831202E-2"/>
                </c:manualLayout>
              </c:layout>
              <c:tx>
                <c:strRef>
                  <c:f>'Calculation (2.5 l)'!$AD$13</c:f>
                  <c:strCache>
                    <c:ptCount val="1"/>
                    <c:pt idx="0">
                      <c:v>113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{AB5A650A-DC52-48C7-81E1-1FC05627E999}</c15:txfldGUID>
                      <c15:f>'Calculation (2.5 l)'!$AD$13</c15:f>
                      <c15:dlblFieldTableCache>
                        <c:ptCount val="1"/>
                        <c:pt idx="0">
                          <c:v>113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4F69-4BA7-8995-2AE3E5897262}"/>
                </c:ext>
              </c:extLst>
            </c:dLbl>
            <c:dLbl>
              <c:idx val="2"/>
              <c:layout>
                <c:manualLayout>
                  <c:x val="-7.2302885861934042E-3"/>
                  <c:y val="2.6153723671859263E-2"/>
                </c:manualLayout>
              </c:layout>
              <c:tx>
                <c:strRef>
                  <c:f>'Calculation (2.5 l)'!$AD$14</c:f>
                  <c:strCache>
                    <c:ptCount val="1"/>
                    <c:pt idx="0">
                      <c:v>141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{D8B06098-449D-467D-83C2-E9EEB2FD15EE}</c15:txfldGUID>
                      <c15:f>'Calculation (2.5 l)'!$AD$14</c15:f>
                      <c15:dlblFieldTableCache>
                        <c:ptCount val="1"/>
                        <c:pt idx="0">
                          <c:v>141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4F69-4BA7-8995-2AE3E5897262}"/>
                </c:ext>
              </c:extLst>
            </c:dLbl>
            <c:dLbl>
              <c:idx val="3"/>
              <c:layout>
                <c:manualLayout>
                  <c:x val="-4.133846438707049E-3"/>
                  <c:y val="-2.7286487840290013E-2"/>
                </c:manualLayout>
              </c:layout>
              <c:tx>
                <c:strRef>
                  <c:f>'Calculation (2.5 l)'!$AD$15</c:f>
                  <c:strCache>
                    <c:ptCount val="1"/>
                    <c:pt idx="0">
                      <c:v>120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{49361D8B-D4B6-49D2-B304-7BE313859B77}</c15:txfldGUID>
                      <c15:f>'Calculation (2.5 l)'!$AD$15</c15:f>
                      <c15:dlblFieldTableCache>
                        <c:ptCount val="1"/>
                        <c:pt idx="0">
                          <c:v>120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4F69-4BA7-8995-2AE3E5897262}"/>
                </c:ext>
              </c:extLst>
            </c:dLbl>
            <c:dLbl>
              <c:idx val="4"/>
              <c:layout>
                <c:manualLayout>
                  <c:x val="-1.8059082037499782E-2"/>
                  <c:y val="-4.2249747063691799E-2"/>
                </c:manualLayout>
              </c:layout>
              <c:tx>
                <c:strRef>
                  <c:f>'Calculation (2.5 l)'!$AD$16</c:f>
                  <c:strCache>
                    <c:ptCount val="1"/>
                    <c:pt idx="0">
                      <c:v>152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{F89A7D89-0BDC-4885-9734-DEFC78C7D378}</c15:txfldGUID>
                      <c15:f>'Calculation (2.5 l)'!$AD$16</c15:f>
                      <c15:dlblFieldTableCache>
                        <c:ptCount val="1"/>
                        <c:pt idx="0">
                          <c:v>152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4F69-4BA7-8995-2AE3E5897262}"/>
                </c:ext>
              </c:extLst>
            </c:dLbl>
            <c:dLbl>
              <c:idx val="5"/>
              <c:tx>
                <c:strRef>
                  <c:f>'Calculation (2.5 l)'!$AD$17</c:f>
                  <c:strCache>
                    <c:ptCount val="1"/>
                    <c:pt idx="0">
                      <c:v>196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{B042C8AB-0B56-4062-84C7-A99ED1D7E991}</c15:txfldGUID>
                      <c15:f>'Calculation (2.5 l)'!$AD$17</c15:f>
                      <c15:dlblFieldTableCache>
                        <c:ptCount val="1"/>
                        <c:pt idx="0">
                          <c:v>196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4F69-4BA7-8995-2AE3E5897262}"/>
                </c:ext>
              </c:extLst>
            </c:dLbl>
            <c:dLbl>
              <c:idx val="6"/>
              <c:tx>
                <c:strRef>
                  <c:f>'Calculation (2.5 l)'!$AD$18</c:f>
                  <c:strCache>
                    <c:ptCount val="1"/>
                    <c:pt idx="0">
                      <c:v>169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{4C2E76FB-A9AD-4ADA-80D0-2683D5708538}</c15:txfldGUID>
                      <c15:f>'Calculation (2.5 l)'!$AD$18</c15:f>
                      <c15:dlblFieldTableCache>
                        <c:ptCount val="1"/>
                        <c:pt idx="0">
                          <c:v>169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4F69-4BA7-8995-2AE3E5897262}"/>
                </c:ext>
              </c:extLst>
            </c:dLbl>
            <c:dLbl>
              <c:idx val="7"/>
              <c:tx>
                <c:strRef>
                  <c:f>'Calculation (2.5 l)'!$AD$19</c:f>
                  <c:strCache>
                    <c:ptCount val="1"/>
                    <c:pt idx="0">
                      <c:v>225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{9766A799-374E-4160-96C7-236F0B641C51}</c15:txfldGUID>
                      <c15:f>'Calculation (2.5 l)'!$AD$19</c15:f>
                      <c15:dlblFieldTableCache>
                        <c:ptCount val="1"/>
                        <c:pt idx="0">
                          <c:v>225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4F69-4BA7-8995-2AE3E5897262}"/>
                </c:ext>
              </c:extLst>
            </c:dLbl>
            <c:dLbl>
              <c:idx val="8"/>
              <c:tx>
                <c:strRef>
                  <c:f>'Calculation (2.5 l)'!$AD$20</c:f>
                  <c:strCache>
                    <c:ptCount val="1"/>
                    <c:pt idx="0">
                      <c:v>308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{D2F4ACE2-A40B-47D7-B278-3F35CC1A220B}</c15:txfldGUID>
                      <c15:f>'Calculation (2.5 l)'!$AD$20</c15:f>
                      <c15:dlblFieldTableCache>
                        <c:ptCount val="1"/>
                        <c:pt idx="0">
                          <c:v>308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4F69-4BA7-8995-2AE3E5897262}"/>
                </c:ext>
              </c:extLst>
            </c:dLbl>
            <c:dLbl>
              <c:idx val="9"/>
              <c:tx>
                <c:strRef>
                  <c:f>'Calculation (2.5 l)'!$AD$21</c:f>
                  <c:strCache>
                    <c:ptCount val="1"/>
                    <c:pt idx="0">
                      <c:v>74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{50C03921-047F-4EEC-AAB8-F56A9200BC2F}</c15:txfldGUID>
                      <c15:f>'Calculation (2.5 l)'!$AD$21</c15:f>
                      <c15:dlblFieldTableCache>
                        <c:ptCount val="1"/>
                        <c:pt idx="0">
                          <c:v>74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4F69-4BA7-8995-2AE3E589726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69-4BA7-8995-2AE3E5897262}"/>
                </c:ext>
              </c:extLst>
            </c:dLbl>
            <c:dLbl>
              <c:idx val="11"/>
              <c:layout>
                <c:manualLayout>
                  <c:x val="-5.0484755906905522E-2"/>
                  <c:y val="-3.7727947749443352E-3"/>
                </c:manualLayout>
              </c:layout>
              <c:tx>
                <c:strRef>
                  <c:f>'Calculation (2.5 l)'!$AD$23</c:f>
                  <c:strCache>
                    <c:ptCount val="1"/>
                    <c:pt idx="0">
                      <c:v>108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{032023E7-1A38-4A3C-B3C7-C68CDAC2BFB0}</c15:txfldGUID>
                      <c15:f>'Calculation (2.5 l)'!$AD$23</c15:f>
                      <c15:dlblFieldTableCache>
                        <c:ptCount val="1"/>
                        <c:pt idx="0">
                          <c:v>108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4F69-4BA7-8995-2AE3E5897262}"/>
                </c:ext>
              </c:extLst>
            </c:dLbl>
            <c:dLbl>
              <c:idx val="12"/>
              <c:layout>
                <c:manualLayout>
                  <c:x val="-4.9031503021911886E-2"/>
                  <c:y val="-8.048011695916275E-3"/>
                </c:manualLayout>
              </c:layout>
              <c:tx>
                <c:strRef>
                  <c:f>'Calculation (2.5 l)'!$AD$24</c:f>
                  <c:strCache>
                    <c:ptCount val="1"/>
                    <c:pt idx="0">
                      <c:v>38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{6AEB8CF5-F040-4FFB-9444-A00FC564D9EB}</c15:txfldGUID>
                      <c15:f>'Calculation (2.5 l)'!$AD$24</c15:f>
                      <c15:dlblFieldTableCache>
                        <c:ptCount val="1"/>
                        <c:pt idx="0">
                          <c:v>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4F69-4BA7-8995-2AE3E5897262}"/>
                </c:ext>
              </c:extLst>
            </c:dLbl>
            <c:dLbl>
              <c:idx val="13"/>
              <c:layout>
                <c:manualLayout>
                  <c:x val="-5.6677304929525017E-2"/>
                  <c:y val="2.6400306065135796E-3"/>
                </c:manualLayout>
              </c:layout>
              <c:tx>
                <c:strRef>
                  <c:f>'Calculation (2.5 l)'!$AD$25</c:f>
                  <c:strCache>
                    <c:ptCount val="1"/>
                    <c:pt idx="0">
                      <c:v>53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{0E96653F-98E2-45B8-A1E0-9D29E4FFF13A}</c15:txfldGUID>
                      <c15:f>'Calculation (2.5 l)'!$AD$25</c15:f>
                      <c15:dlblFieldTableCache>
                        <c:ptCount val="1"/>
                        <c:pt idx="0">
                          <c:v>53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4F69-4BA7-8995-2AE3E589726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F69-4BA7-8995-2AE3E5897262}"/>
                </c:ext>
              </c:extLst>
            </c:dLbl>
            <c:dLbl>
              <c:idx val="15"/>
              <c:tx>
                <c:strRef>
                  <c:f>'Calculation (2.5 l)'!$AD$27</c:f>
                  <c:strCache>
                    <c:ptCount val="1"/>
                    <c:pt idx="0">
                      <c:v>106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{94FA425B-333F-4C74-8E26-5BEB13532806}</c15:txfldGUID>
                      <c15:f>'Calculation (2.5 l)'!$AD$27</c15:f>
                      <c15:dlblFieldTableCache>
                        <c:ptCount val="1"/>
                        <c:pt idx="0">
                          <c:v>106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4F69-4BA7-8995-2AE3E5897262}"/>
                </c:ext>
              </c:extLst>
            </c:dLbl>
            <c:dLbl>
              <c:idx val="16"/>
              <c:tx>
                <c:strRef>
                  <c:f>'Calculation (2.5 l)'!$AD$28</c:f>
                  <c:strCache>
                    <c:ptCount val="1"/>
                    <c:pt idx="0">
                      <c:v>105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{5230C7F3-A8D9-4DA2-8EA8-36EE08D3ED48}</c15:txfldGUID>
                      <c15:f>'Calculation (2.5 l)'!$AD$28</c15:f>
                      <c15:dlblFieldTableCache>
                        <c:ptCount val="1"/>
                        <c:pt idx="0">
                          <c:v>105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4F69-4BA7-8995-2AE3E5897262}"/>
                </c:ext>
              </c:extLst>
            </c:dLbl>
            <c:dLbl>
              <c:idx val="17"/>
              <c:layout>
                <c:manualLayout>
                  <c:x val="-4.294532747186626E-2"/>
                  <c:y val="3.0428940592831241E-2"/>
                </c:manualLayout>
              </c:layout>
              <c:tx>
                <c:strRef>
                  <c:f>'Calculation (2.5 l)'!$AD$29</c:f>
                  <c:strCache>
                    <c:ptCount val="1"/>
                    <c:pt idx="0">
                      <c:v>51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{EA6E33F8-8C04-48E7-A0B9-EE0FB56BDD4F}</c15:txfldGUID>
                      <c15:f>'Calculation (2.5 l)'!$AD$29</c15:f>
                      <c15:dlblFieldTableCache>
                        <c:ptCount val="1"/>
                        <c:pt idx="0">
                          <c:v>51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4F69-4BA7-8995-2AE3E5897262}"/>
                </c:ext>
              </c:extLst>
            </c:dLbl>
            <c:dLbl>
              <c:idx val="18"/>
              <c:tx>
                <c:strRef>
                  <c:f>'Calculation (2.5 l)'!$AD$30</c:f>
                  <c:strCache>
                    <c:ptCount val="1"/>
                    <c:pt idx="0">
                      <c:v>167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ysClr val="windowText" lastClr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{967621CC-8528-46F3-AE6C-05F62459B651}</c15:txfldGUID>
                      <c15:f>'Calculation (2.5 l)'!$AD$30</c15:f>
                      <c15:dlblFieldTableCache>
                        <c:ptCount val="1"/>
                        <c:pt idx="0">
                          <c:v>167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4F69-4BA7-8995-2AE3E5897262}"/>
                </c:ext>
              </c:extLst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600"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'Calculation (2.5 l)'!$P$12:$P$30</c:f>
              <c:numCache>
                <c:formatCode>General</c:formatCode>
                <c:ptCount val="19"/>
                <c:pt idx="0">
                  <c:v>-30</c:v>
                </c:pt>
                <c:pt idx="1">
                  <c:v>-11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-9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  <c:pt idx="10">
                  <c:v>-35</c:v>
                </c:pt>
                <c:pt idx="11">
                  <c:v>-30</c:v>
                </c:pt>
                <c:pt idx="12">
                  <c:v>-30</c:v>
                </c:pt>
                <c:pt idx="13">
                  <c:v>-18</c:v>
                </c:pt>
                <c:pt idx="14">
                  <c:v>-18</c:v>
                </c:pt>
                <c:pt idx="15">
                  <c:v>-5</c:v>
                </c:pt>
                <c:pt idx="16">
                  <c:v>0</c:v>
                </c:pt>
                <c:pt idx="17">
                  <c:v>-20</c:v>
                </c:pt>
                <c:pt idx="18">
                  <c:v>7</c:v>
                </c:pt>
              </c:numCache>
            </c:numRef>
          </c:xVal>
          <c:yVal>
            <c:numRef>
              <c:f>'Calculation (2.5 l)'!$Q$12:$Q$30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65</c:v>
                </c:pt>
                <c:pt idx="10">
                  <c:v>50</c:v>
                </c:pt>
                <c:pt idx="11">
                  <c:v>45</c:v>
                </c:pt>
                <c:pt idx="12">
                  <c:v>35</c:v>
                </c:pt>
                <c:pt idx="13">
                  <c:v>62</c:v>
                </c:pt>
                <c:pt idx="14">
                  <c:v>58</c:v>
                </c:pt>
                <c:pt idx="15">
                  <c:v>43</c:v>
                </c:pt>
                <c:pt idx="16">
                  <c:v>56</c:v>
                </c:pt>
                <c:pt idx="17">
                  <c:v>57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F69-4BA7-8995-2AE3E5897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80512"/>
        <c:axId val="107682432"/>
      </c:scatterChart>
      <c:valAx>
        <c:axId val="107680512"/>
        <c:scaling>
          <c:orientation val="minMax"/>
          <c:min val="-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Evaporating Temperature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07682432"/>
        <c:crosses val="autoZero"/>
        <c:crossBetween val="midCat"/>
        <c:majorUnit val="5"/>
        <c:minorUnit val="5"/>
      </c:valAx>
      <c:valAx>
        <c:axId val="107682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Condensing</a:t>
                </a:r>
                <a:r>
                  <a:rPr lang="en-US" sz="1400" baseline="0"/>
                  <a:t> Temperature (°C)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0509031198686385E-2"/>
              <c:y val="0.37416515243286896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07680512"/>
        <c:crossesAt val="-35"/>
        <c:crossBetween val="midCat"/>
        <c:minorUnit val="5"/>
      </c:valAx>
    </c:plotArea>
    <c:legend>
      <c:legendPos val="r"/>
      <c:legendEntry>
        <c:idx val="0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9.2632553985743202E-2"/>
          <c:y val="0.80412470908747857"/>
          <c:w val="0.8739305510503137"/>
          <c:h val="5.2552993219524974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EVI</a:t>
            </a:r>
            <a:r>
              <a:rPr lang="en-US" baseline="0"/>
              <a:t> Vs Non EVI (R290/R407C)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874446046395605E-2"/>
          <c:y val="6.3287521268822602E-2"/>
          <c:w val="0.88442609601189204"/>
          <c:h val="0.82944767486421167"/>
        </c:manualLayout>
      </c:layout>
      <c:scatterChart>
        <c:scatterStyle val="lineMarker"/>
        <c:varyColors val="0"/>
        <c:ser>
          <c:idx val="0"/>
          <c:order val="0"/>
          <c:tx>
            <c:v>ZH*KVE w/ EVI (R407C)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[5]DataSupport!$G$4:$G$11</c:f>
              <c:numCache>
                <c:formatCode>General</c:formatCode>
                <c:ptCount val="8"/>
                <c:pt idx="0">
                  <c:v>-25</c:v>
                </c:pt>
                <c:pt idx="1">
                  <c:v>-25</c:v>
                </c:pt>
                <c:pt idx="2">
                  <c:v>-15.4</c:v>
                </c:pt>
                <c:pt idx="3">
                  <c:v>17.5</c:v>
                </c:pt>
                <c:pt idx="4">
                  <c:v>25</c:v>
                </c:pt>
                <c:pt idx="5">
                  <c:v>25</c:v>
                </c:pt>
                <c:pt idx="6">
                  <c:v>-11</c:v>
                </c:pt>
                <c:pt idx="7">
                  <c:v>-25</c:v>
                </c:pt>
              </c:numCache>
            </c:numRef>
          </c:xVal>
          <c:yVal>
            <c:numRef>
              <c:f>[5]DataSupport!$H$4:$H$11</c:f>
              <c:numCache>
                <c:formatCode>General</c:formatCode>
                <c:ptCount val="8"/>
                <c:pt idx="0">
                  <c:v>17</c:v>
                </c:pt>
                <c:pt idx="1">
                  <c:v>56</c:v>
                </c:pt>
                <c:pt idx="2">
                  <c:v>67</c:v>
                </c:pt>
                <c:pt idx="3">
                  <c:v>67</c:v>
                </c:pt>
                <c:pt idx="4">
                  <c:v>58</c:v>
                </c:pt>
                <c:pt idx="5">
                  <c:v>39</c:v>
                </c:pt>
                <c:pt idx="6">
                  <c:v>17</c:v>
                </c:pt>
                <c:pt idx="7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4D-4F08-AAD4-01F1A6349718}"/>
            </c:ext>
          </c:extLst>
        </c:ser>
        <c:ser>
          <c:idx val="1"/>
          <c:order val="1"/>
          <c:tx>
            <c:v>ZH*K4 (R407C)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none"/>
          </c:marker>
          <c:xVal>
            <c:numRef>
              <c:f>[5]DataSupport!$J$4:$J$11</c:f>
              <c:numCache>
                <c:formatCode>General</c:formatCode>
                <c:ptCount val="8"/>
                <c:pt idx="0">
                  <c:v>-8</c:v>
                </c:pt>
                <c:pt idx="1">
                  <c:v>15</c:v>
                </c:pt>
                <c:pt idx="2">
                  <c:v>25</c:v>
                </c:pt>
                <c:pt idx="3">
                  <c:v>25</c:v>
                </c:pt>
                <c:pt idx="4">
                  <c:v>-2.2999999999999998</c:v>
                </c:pt>
                <c:pt idx="5">
                  <c:v>-22.5</c:v>
                </c:pt>
                <c:pt idx="6">
                  <c:v>-22.5</c:v>
                </c:pt>
                <c:pt idx="7">
                  <c:v>-8</c:v>
                </c:pt>
              </c:numCache>
            </c:numRef>
          </c:xVal>
          <c:yVal>
            <c:numRef>
              <c:f>[5]DataSupport!$K$4:$K$11</c:f>
              <c:numCache>
                <c:formatCode>General</c:formatCode>
                <c:ptCount val="8"/>
                <c:pt idx="0">
                  <c:v>66.8</c:v>
                </c:pt>
                <c:pt idx="1">
                  <c:v>66.8</c:v>
                </c:pt>
                <c:pt idx="2">
                  <c:v>60</c:v>
                </c:pt>
                <c:pt idx="3">
                  <c:v>40</c:v>
                </c:pt>
                <c:pt idx="4">
                  <c:v>22.8</c:v>
                </c:pt>
                <c:pt idx="5">
                  <c:v>22.8</c:v>
                </c:pt>
                <c:pt idx="6">
                  <c:v>51</c:v>
                </c:pt>
                <c:pt idx="7">
                  <c:v>66.8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D-4F08-AAD4-01F1A6349718}"/>
            </c:ext>
          </c:extLst>
        </c:ser>
        <c:ser>
          <c:idx val="2"/>
          <c:order val="2"/>
          <c:tx>
            <c:v>Operating Conditions</c:v>
          </c:tx>
          <c:spPr>
            <a:ln w="50800" cmpd="tri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'[5]HP Sizing'!$J$8:$J$33</c:f>
              <c:numCache>
                <c:formatCode>General</c:formatCode>
                <c:ptCount val="26"/>
                <c:pt idx="0">
                  <c:v>-20</c:v>
                </c:pt>
                <c:pt idx="1">
                  <c:v>-18.920000000000002</c:v>
                </c:pt>
                <c:pt idx="2">
                  <c:v>-17.84</c:v>
                </c:pt>
                <c:pt idx="3">
                  <c:v>-16.759999999999998</c:v>
                </c:pt>
                <c:pt idx="4">
                  <c:v>-15.68</c:v>
                </c:pt>
                <c:pt idx="5">
                  <c:v>-14.6</c:v>
                </c:pt>
                <c:pt idx="6">
                  <c:v>-13.52</c:v>
                </c:pt>
                <c:pt idx="7">
                  <c:v>-12.44</c:v>
                </c:pt>
                <c:pt idx="8">
                  <c:v>-11.36</c:v>
                </c:pt>
                <c:pt idx="9">
                  <c:v>-10.28</c:v>
                </c:pt>
                <c:pt idx="10">
                  <c:v>-9.1999999999999993</c:v>
                </c:pt>
                <c:pt idx="11">
                  <c:v>-8.1199999999999992</c:v>
                </c:pt>
                <c:pt idx="12">
                  <c:v>-7.0399999999999991</c:v>
                </c:pt>
                <c:pt idx="13">
                  <c:v>-5.9600000000000009</c:v>
                </c:pt>
                <c:pt idx="14">
                  <c:v>-4.879999999999999</c:v>
                </c:pt>
                <c:pt idx="15">
                  <c:v>-3.8000000000000007</c:v>
                </c:pt>
                <c:pt idx="16">
                  <c:v>-2.7200000000000006</c:v>
                </c:pt>
                <c:pt idx="17">
                  <c:v>-1.6400000000000006</c:v>
                </c:pt>
                <c:pt idx="18">
                  <c:v>-0.5600000000000005</c:v>
                </c:pt>
                <c:pt idx="19">
                  <c:v>0.51999999999999957</c:v>
                </c:pt>
                <c:pt idx="20">
                  <c:v>1.5999999999999996</c:v>
                </c:pt>
                <c:pt idx="21">
                  <c:v>2.6799999999999997</c:v>
                </c:pt>
                <c:pt idx="22">
                  <c:v>3.76</c:v>
                </c:pt>
                <c:pt idx="23">
                  <c:v>4.84</c:v>
                </c:pt>
                <c:pt idx="24">
                  <c:v>5.92</c:v>
                </c:pt>
                <c:pt idx="25">
                  <c:v>7</c:v>
                </c:pt>
              </c:numCache>
            </c:numRef>
          </c:xVal>
          <c:yVal>
            <c:numRef>
              <c:f>'[5]HP Sizing'!$L$8:$L$33</c:f>
              <c:numCache>
                <c:formatCode>General</c:formatCode>
                <c:ptCount val="26"/>
                <c:pt idx="0">
                  <c:v>57.333333333333336</c:v>
                </c:pt>
                <c:pt idx="1">
                  <c:v>56.222222222222221</c:v>
                </c:pt>
                <c:pt idx="2">
                  <c:v>55.111111111111114</c:v>
                </c:pt>
                <c:pt idx="3">
                  <c:v>54</c:v>
                </c:pt>
                <c:pt idx="4">
                  <c:v>52.888888888888886</c:v>
                </c:pt>
                <c:pt idx="5">
                  <c:v>51.777777777777779</c:v>
                </c:pt>
                <c:pt idx="6">
                  <c:v>50.666666666666664</c:v>
                </c:pt>
                <c:pt idx="7">
                  <c:v>49.555555555555557</c:v>
                </c:pt>
                <c:pt idx="8">
                  <c:v>48.444444444444443</c:v>
                </c:pt>
                <c:pt idx="9">
                  <c:v>47.333333333333336</c:v>
                </c:pt>
                <c:pt idx="10">
                  <c:v>46.222222222222221</c:v>
                </c:pt>
                <c:pt idx="11">
                  <c:v>45.111111111111114</c:v>
                </c:pt>
                <c:pt idx="12">
                  <c:v>44</c:v>
                </c:pt>
                <c:pt idx="13">
                  <c:v>42.888888888888886</c:v>
                </c:pt>
                <c:pt idx="14">
                  <c:v>41.777777777777779</c:v>
                </c:pt>
                <c:pt idx="15">
                  <c:v>40.666666666666671</c:v>
                </c:pt>
                <c:pt idx="16">
                  <c:v>39.555555555555557</c:v>
                </c:pt>
                <c:pt idx="17">
                  <c:v>38.444444444444443</c:v>
                </c:pt>
                <c:pt idx="18">
                  <c:v>37.333333333333329</c:v>
                </c:pt>
                <c:pt idx="19">
                  <c:v>36.222222222222221</c:v>
                </c:pt>
                <c:pt idx="20">
                  <c:v>35.111111111111114</c:v>
                </c:pt>
                <c:pt idx="21">
                  <c:v>34</c:v>
                </c:pt>
                <c:pt idx="22">
                  <c:v>32.888888888888886</c:v>
                </c:pt>
                <c:pt idx="23">
                  <c:v>31.777777777777779</c:v>
                </c:pt>
                <c:pt idx="24">
                  <c:v>30.666666666666664</c:v>
                </c:pt>
                <c:pt idx="25">
                  <c:v>29.555555555555554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D-4F08-AAD4-01F1A6349718}"/>
            </c:ext>
          </c:extLst>
        </c:ser>
        <c:ser>
          <c:idx val="3"/>
          <c:order val="3"/>
          <c:tx>
            <c:strRef>
              <c:f>[5]DataSupport!$M$2</c:f>
              <c:strCache>
                <c:ptCount val="1"/>
                <c:pt idx="0">
                  <c:v>ZHV*KCU (R290)</c:v>
                </c:pt>
              </c:strCache>
            </c:strRef>
          </c:tx>
          <c:spPr>
            <a:ln w="444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[5]DataSupport!$M$4:$M$13</c:f>
              <c:numCache>
                <c:formatCode>General</c:formatCode>
                <c:ptCount val="10"/>
                <c:pt idx="0">
                  <c:v>-30</c:v>
                </c:pt>
                <c:pt idx="1">
                  <c:v>-9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-11</c:v>
                </c:pt>
                <c:pt idx="6">
                  <c:v>-30</c:v>
                </c:pt>
                <c:pt idx="7">
                  <c:v>-30</c:v>
                </c:pt>
              </c:numCache>
            </c:numRef>
          </c:xVal>
          <c:yVal>
            <c:numRef>
              <c:f>[5]DataSupport!$N$4:$N$13</c:f>
              <c:numCache>
                <c:formatCode>General</c:formatCode>
                <c:ptCount val="10"/>
                <c:pt idx="0">
                  <c:v>45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4D-4F08-AAD4-01F1A6349718}"/>
            </c:ext>
          </c:extLst>
        </c:ser>
        <c:ser>
          <c:idx val="4"/>
          <c:order val="4"/>
          <c:tx>
            <c:strRef>
              <c:f>[5]DataSupport!$P$2</c:f>
              <c:strCache>
                <c:ptCount val="1"/>
                <c:pt idx="0">
                  <c:v>ZHW*KCU w/ EVI (R290)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[5]DataSupport!$P$4:$P$8</c:f>
              <c:numCache>
                <c:formatCode>General</c:formatCode>
                <c:ptCount val="5"/>
                <c:pt idx="0">
                  <c:v>-30</c:v>
                </c:pt>
                <c:pt idx="1">
                  <c:v>-30</c:v>
                </c:pt>
                <c:pt idx="2">
                  <c:v>-20</c:v>
                </c:pt>
                <c:pt idx="3">
                  <c:v>-9</c:v>
                </c:pt>
              </c:numCache>
            </c:numRef>
          </c:xVal>
          <c:yVal>
            <c:numRef>
              <c:f>[5]DataSupport!$Q$4:$Q$8</c:f>
              <c:numCache>
                <c:formatCode>General</c:formatCode>
                <c:ptCount val="5"/>
                <c:pt idx="0">
                  <c:v>45</c:v>
                </c:pt>
                <c:pt idx="1">
                  <c:v>65</c:v>
                </c:pt>
                <c:pt idx="2">
                  <c:v>70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4D-4F08-AAD4-01F1A6349718}"/>
            </c:ext>
          </c:extLst>
        </c:ser>
        <c:ser>
          <c:idx val="5"/>
          <c:order val="5"/>
          <c:tx>
            <c:strRef>
              <c:f>[5]DataSupport!$S$2</c:f>
              <c:strCache>
                <c:ptCount val="1"/>
                <c:pt idx="0">
                  <c:v>ZH Quantum (R290 10K/5K)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dPt>
            <c:idx val="7"/>
            <c:bubble3D val="0"/>
            <c:spPr>
              <a:ln w="38100">
                <a:noFill/>
              </a:ln>
            </c:spPr>
            <c:extLst>
              <c:ext xmlns:c16="http://schemas.microsoft.com/office/drawing/2014/chart" uri="{C3380CC4-5D6E-409C-BE32-E72D297353CC}">
                <c16:uniqueId val="{00000006-C04D-4F08-AAD4-01F1A6349718}"/>
              </c:ext>
            </c:extLst>
          </c:dPt>
          <c:xVal>
            <c:numRef>
              <c:f>[5]DataSupport!$S$4:$S$12</c:f>
              <c:numCache>
                <c:formatCode>General</c:formatCode>
                <c:ptCount val="9"/>
                <c:pt idx="0">
                  <c:v>-30</c:v>
                </c:pt>
                <c:pt idx="1">
                  <c:v>-10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10</c:v>
                </c:pt>
                <c:pt idx="6">
                  <c:v>-10</c:v>
                </c:pt>
                <c:pt idx="7">
                  <c:v>-30</c:v>
                </c:pt>
                <c:pt idx="8">
                  <c:v>-30</c:v>
                </c:pt>
              </c:numCache>
            </c:numRef>
          </c:xVal>
          <c:yVal>
            <c:numRef>
              <c:f>[5]DataSupport!$T$4:$T$12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31</c:v>
                </c:pt>
                <c:pt idx="3">
                  <c:v>42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45</c:v>
                </c:pt>
                <c:pt idx="8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04D-4F08-AAD4-01F1A6349718}"/>
            </c:ext>
          </c:extLst>
        </c:ser>
        <c:ser>
          <c:idx val="7"/>
          <c:order val="6"/>
          <c:tx>
            <c:strRef>
              <c:f>[5]DataSupport!$W$2</c:f>
              <c:strCache>
                <c:ptCount val="1"/>
                <c:pt idx="0">
                  <c:v>ZH*KCU Quest (R290-10K)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[5]DataSupport!$W$13:$W$16</c:f>
              <c:numCache>
                <c:formatCode>General</c:formatCode>
                <c:ptCount val="4"/>
                <c:pt idx="0">
                  <c:v>-10</c:v>
                </c:pt>
                <c:pt idx="1">
                  <c:v>-15</c:v>
                </c:pt>
                <c:pt idx="2">
                  <c:v>-30</c:v>
                </c:pt>
                <c:pt idx="3">
                  <c:v>-30</c:v>
                </c:pt>
              </c:numCache>
            </c:numRef>
          </c:xVal>
          <c:yVal>
            <c:numRef>
              <c:f>[5]DataSupport!$X$13:$X$16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52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04D-4F08-AAD4-01F1A6349718}"/>
            </c:ext>
          </c:extLst>
        </c:ser>
        <c:ser>
          <c:idx val="8"/>
          <c:order val="7"/>
          <c:tx>
            <c:strRef>
              <c:f>'[5]Envelope (2)'!$Q$9</c:f>
              <c:strCache>
                <c:ptCount val="1"/>
                <c:pt idx="0">
                  <c:v>Target (HCOP = 3.5)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'[5]Envelope (2)'!$T$9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04D-4F08-AAD4-01F1A6349718}"/>
            </c:ext>
          </c:extLst>
        </c:ser>
        <c:ser>
          <c:idx val="9"/>
          <c:order val="8"/>
          <c:tx>
            <c:strRef>
              <c:f>'[5]Envelope (2)'!$Q$10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(2)'!$S$10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04D-4F08-AAD4-01F1A6349718}"/>
            </c:ext>
          </c:extLst>
        </c:ser>
        <c:ser>
          <c:idx val="10"/>
          <c:order val="9"/>
          <c:tx>
            <c:strRef>
              <c:f>'[5]Envelope (2)'!$Q$11</c:f>
              <c:strCache>
                <c:ptCount val="1"/>
                <c:pt idx="0">
                  <c:v>Opimization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xVal>
          <c:yVal>
            <c:numRef>
              <c:f>'[5]Envelope (2)'!$T$11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04D-4F08-AAD4-01F1A6349718}"/>
            </c:ext>
          </c:extLst>
        </c:ser>
        <c:ser>
          <c:idx val="6"/>
          <c:order val="10"/>
          <c:tx>
            <c:strRef>
              <c:f>'[5]Envelope (2)'!$Q$12</c:f>
              <c:strCache>
                <c:ptCount val="1"/>
                <c:pt idx="0">
                  <c:v>Sanitary Water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(2)'!$S$12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(2)'!$T$12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04D-4F08-AAD4-01F1A6349718}"/>
            </c:ext>
          </c:extLst>
        </c:ser>
        <c:ser>
          <c:idx val="11"/>
          <c:order val="11"/>
          <c:spPr>
            <a:ln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'Calculation (2.5 l)'!$AD$12</c:f>
                  <c:strCache>
                    <c:ptCount val="1"/>
                    <c:pt idx="0">
                      <c:v>92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{78DE495F-FDD5-4E52-B00B-424E294E4013}</c15:txfldGUID>
                      <c15:f>'Calculation (2.5 l)'!$AD$12</c15:f>
                      <c15:dlblFieldTableCache>
                        <c:ptCount val="1"/>
                        <c:pt idx="0">
                          <c:v>92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C04D-4F08-AAD4-01F1A6349718}"/>
                </c:ext>
              </c:extLst>
            </c:dLbl>
            <c:dLbl>
              <c:idx val="1"/>
              <c:tx>
                <c:strRef>
                  <c:f>'Calculation (2.5 l)'!$AD$13</c:f>
                  <c:strCache>
                    <c:ptCount val="1"/>
                    <c:pt idx="0">
                      <c:v>113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{831CE0BE-81A6-4FB6-B19A-72A7D42F5BA7}</c15:txfldGUID>
                      <c15:f>'Calculation (2.5 l)'!$AD$13</c15:f>
                      <c15:dlblFieldTableCache>
                        <c:ptCount val="1"/>
                        <c:pt idx="0">
                          <c:v>113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C04D-4F08-AAD4-01F1A6349718}"/>
                </c:ext>
              </c:extLst>
            </c:dLbl>
            <c:dLbl>
              <c:idx val="2"/>
              <c:tx>
                <c:strRef>
                  <c:f>'Calculation (2.5 l)'!$AD$14</c:f>
                  <c:strCache>
                    <c:ptCount val="1"/>
                    <c:pt idx="0">
                      <c:v>141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{2B912F30-A329-4CE3-8DED-C59C46F42270}</c15:txfldGUID>
                      <c15:f>'Calculation (2.5 l)'!$AD$14</c15:f>
                      <c15:dlblFieldTableCache>
                        <c:ptCount val="1"/>
                        <c:pt idx="0">
                          <c:v>141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C04D-4F08-AAD4-01F1A6349718}"/>
                </c:ext>
              </c:extLst>
            </c:dLbl>
            <c:dLbl>
              <c:idx val="3"/>
              <c:tx>
                <c:strRef>
                  <c:f>'Calculation (2.5 l)'!$AD$15</c:f>
                  <c:strCache>
                    <c:ptCount val="1"/>
                    <c:pt idx="0">
                      <c:v>120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{21569930-DF27-4004-BDB6-82D1BB293B52}</c15:txfldGUID>
                      <c15:f>'Calculation (2.5 l)'!$AD$15</c15:f>
                      <c15:dlblFieldTableCache>
                        <c:ptCount val="1"/>
                        <c:pt idx="0">
                          <c:v>120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C04D-4F08-AAD4-01F1A6349718}"/>
                </c:ext>
              </c:extLst>
            </c:dLbl>
            <c:dLbl>
              <c:idx val="4"/>
              <c:tx>
                <c:strRef>
                  <c:f>'Calculation (2.5 l)'!$AD$16</c:f>
                  <c:strCache>
                    <c:ptCount val="1"/>
                    <c:pt idx="0">
                      <c:v>152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{E07F26CA-3405-46EE-B6AB-7BF0F6539FD2}</c15:txfldGUID>
                      <c15:f>'Calculation (2.5 l)'!$AD$16</c15:f>
                      <c15:dlblFieldTableCache>
                        <c:ptCount val="1"/>
                        <c:pt idx="0">
                          <c:v>152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C04D-4F08-AAD4-01F1A6349718}"/>
                </c:ext>
              </c:extLst>
            </c:dLbl>
            <c:dLbl>
              <c:idx val="5"/>
              <c:tx>
                <c:strRef>
                  <c:f>'Calculation (2.5 l)'!$AD$17</c:f>
                  <c:strCache>
                    <c:ptCount val="1"/>
                    <c:pt idx="0">
                      <c:v>196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{E4A68B50-CDA3-49E8-9DAF-FC6175DCEA1D}</c15:txfldGUID>
                      <c15:f>'Calculation (2.5 l)'!$AD$17</c15:f>
                      <c15:dlblFieldTableCache>
                        <c:ptCount val="1"/>
                        <c:pt idx="0">
                          <c:v>196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C04D-4F08-AAD4-01F1A6349718}"/>
                </c:ext>
              </c:extLst>
            </c:dLbl>
            <c:dLbl>
              <c:idx val="6"/>
              <c:tx>
                <c:strRef>
                  <c:f>'Calculation (2.5 l)'!$AD$18</c:f>
                  <c:strCache>
                    <c:ptCount val="1"/>
                    <c:pt idx="0">
                      <c:v>169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{10DCE7B8-D09A-4423-B3DE-F04546E748FD}</c15:txfldGUID>
                      <c15:f>'Calculation (2.5 l)'!$AD$18</c15:f>
                      <c15:dlblFieldTableCache>
                        <c:ptCount val="1"/>
                        <c:pt idx="0">
                          <c:v>169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C04D-4F08-AAD4-01F1A6349718}"/>
                </c:ext>
              </c:extLst>
            </c:dLbl>
            <c:dLbl>
              <c:idx val="7"/>
              <c:tx>
                <c:strRef>
                  <c:f>'Calculation (2.5 l)'!$AD$19</c:f>
                  <c:strCache>
                    <c:ptCount val="1"/>
                    <c:pt idx="0">
                      <c:v>225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{92AA0E2A-B968-4F0C-83C1-9B9046B545D7}</c15:txfldGUID>
                      <c15:f>'Calculation (2.5 l)'!$AD$19</c15:f>
                      <c15:dlblFieldTableCache>
                        <c:ptCount val="1"/>
                        <c:pt idx="0">
                          <c:v>225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C04D-4F08-AAD4-01F1A6349718}"/>
                </c:ext>
              </c:extLst>
            </c:dLbl>
            <c:dLbl>
              <c:idx val="8"/>
              <c:tx>
                <c:strRef>
                  <c:f>'Calculation (2.5 l)'!$AD$20</c:f>
                  <c:strCache>
                    <c:ptCount val="1"/>
                    <c:pt idx="0">
                      <c:v>308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{8DD35439-BBC5-455F-BDE9-6A13FBBB6126}</c15:txfldGUID>
                      <c15:f>'Calculation (2.5 l)'!$AD$20</c15:f>
                      <c15:dlblFieldTableCache>
                        <c:ptCount val="1"/>
                        <c:pt idx="0">
                          <c:v>308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C04D-4F08-AAD4-01F1A6349718}"/>
                </c:ext>
              </c:extLst>
            </c:dLbl>
            <c:dLbl>
              <c:idx val="9"/>
              <c:tx>
                <c:strRef>
                  <c:f>'Calculation (2.5 l)'!$AD$21</c:f>
                  <c:strCache>
                    <c:ptCount val="1"/>
                    <c:pt idx="0">
                      <c:v>74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{61BF16A6-116D-471F-861C-27A99DA914A4}</c15:txfldGUID>
                      <c15:f>'Calculation (2.5 l)'!$AD$21</c15:f>
                      <c15:dlblFieldTableCache>
                        <c:ptCount val="1"/>
                        <c:pt idx="0">
                          <c:v>74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C04D-4F08-AAD4-01F1A634971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04D-4F08-AAD4-01F1A6349718}"/>
                </c:ext>
              </c:extLst>
            </c:dLbl>
            <c:dLbl>
              <c:idx val="11"/>
              <c:tx>
                <c:strRef>
                  <c:f>'Calculation (2.5 l)'!$AD$23</c:f>
                  <c:strCache>
                    <c:ptCount val="1"/>
                    <c:pt idx="0">
                      <c:v>108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{4F735363-8100-4F91-8CAB-6B37FAEBA3B3}</c15:txfldGUID>
                      <c15:f>'Calculation (2.5 l)'!$AD$23</c15:f>
                      <c15:dlblFieldTableCache>
                        <c:ptCount val="1"/>
                        <c:pt idx="0">
                          <c:v>108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C04D-4F08-AAD4-01F1A6349718}"/>
                </c:ext>
              </c:extLst>
            </c:dLbl>
            <c:dLbl>
              <c:idx val="12"/>
              <c:tx>
                <c:strRef>
                  <c:f>'Calculation (2.5 l)'!$AD$24</c:f>
                  <c:strCache>
                    <c:ptCount val="1"/>
                    <c:pt idx="0">
                      <c:v>38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{7181C1C9-55EE-49C7-A1A2-9BD772DA84ED}</c15:txfldGUID>
                      <c15:f>'Calculation (2.5 l)'!$AD$24</c15:f>
                      <c15:dlblFieldTableCache>
                        <c:ptCount val="1"/>
                        <c:pt idx="0">
                          <c:v>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C04D-4F08-AAD4-01F1A6349718}"/>
                </c:ext>
              </c:extLst>
            </c:dLbl>
            <c:dLbl>
              <c:idx val="13"/>
              <c:tx>
                <c:strRef>
                  <c:f>'Calculation (2.5 l)'!$AD$25</c:f>
                  <c:strCache>
                    <c:ptCount val="1"/>
                    <c:pt idx="0">
                      <c:v>53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{96FA67BC-FD67-4172-B183-F6962951296F}</c15:txfldGUID>
                      <c15:f>'Calculation (2.5 l)'!$AD$25</c15:f>
                      <c15:dlblFieldTableCache>
                        <c:ptCount val="1"/>
                        <c:pt idx="0">
                          <c:v>53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C04D-4F08-AAD4-01F1A6349718}"/>
                </c:ext>
              </c:extLst>
            </c:dLbl>
            <c:dLbl>
              <c:idx val="14"/>
              <c:tx>
                <c:strRef>
                  <c:f>'Calculation (2.5 l)'!$AD$26</c:f>
                  <c:strCache>
                    <c:ptCount val="1"/>
                    <c:pt idx="0">
                      <c:v>53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{B66AAD64-063F-45CC-A9E6-935B61E0CF12}</c15:txfldGUID>
                      <c15:f>'Calculation (2.5 l)'!$AD$26</c15:f>
                      <c15:dlblFieldTableCache>
                        <c:ptCount val="1"/>
                        <c:pt idx="0">
                          <c:v>53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C04D-4F08-AAD4-01F1A6349718}"/>
                </c:ext>
              </c:extLst>
            </c:dLbl>
            <c:dLbl>
              <c:idx val="15"/>
              <c:tx>
                <c:strRef>
                  <c:f>'Calculation (2.5 l)'!$AD$27</c:f>
                  <c:strCache>
                    <c:ptCount val="1"/>
                    <c:pt idx="0">
                      <c:v>106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{4629E94D-3D65-4305-B77C-909EA17B47A3}</c15:txfldGUID>
                      <c15:f>'Calculation (2.5 l)'!$AD$27</c15:f>
                      <c15:dlblFieldTableCache>
                        <c:ptCount val="1"/>
                        <c:pt idx="0">
                          <c:v>106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C04D-4F08-AAD4-01F1A6349718}"/>
                </c:ext>
              </c:extLst>
            </c:dLbl>
            <c:dLbl>
              <c:idx val="16"/>
              <c:tx>
                <c:strRef>
                  <c:f>'Calculation (2.5 l)'!$AD$28</c:f>
                  <c:strCache>
                    <c:ptCount val="1"/>
                    <c:pt idx="0">
                      <c:v>105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{F6846862-DF3E-490E-B43F-F8CE1D0B3E90}</c15:txfldGUID>
                      <c15:f>'Calculation (2.5 l)'!$AD$28</c15:f>
                      <c15:dlblFieldTableCache>
                        <c:ptCount val="1"/>
                        <c:pt idx="0">
                          <c:v>105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C04D-4F08-AAD4-01F1A6349718}"/>
                </c:ext>
              </c:extLst>
            </c:dLbl>
            <c:dLbl>
              <c:idx val="17"/>
              <c:tx>
                <c:strRef>
                  <c:f>'Calculation (2.5 l)'!$AD$29</c:f>
                  <c:strCache>
                    <c:ptCount val="1"/>
                    <c:pt idx="0">
                      <c:v>51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{3F3A2D93-DE2F-4A19-BDB6-1E09202FD94E}</c15:txfldGUID>
                      <c15:f>'Calculation (2.5 l)'!$AD$29</c15:f>
                      <c15:dlblFieldTableCache>
                        <c:ptCount val="1"/>
                        <c:pt idx="0">
                          <c:v>51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C04D-4F08-AAD4-01F1A6349718}"/>
                </c:ext>
              </c:extLst>
            </c:dLbl>
            <c:dLbl>
              <c:idx val="18"/>
              <c:tx>
                <c:strRef>
                  <c:f>'Calculation (2.5 l)'!$AD$30</c:f>
                  <c:strCache>
                    <c:ptCount val="1"/>
                    <c:pt idx="0">
                      <c:v>167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1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{BF251999-1DC9-48B4-8407-42D3E268FDD9}</c15:txfldGUID>
                      <c15:f>'Calculation (2.5 l)'!$AD$30</c15:f>
                      <c15:dlblFieldTableCache>
                        <c:ptCount val="1"/>
                        <c:pt idx="0">
                          <c:v>167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C04D-4F08-AAD4-01F1A6349718}"/>
                </c:ext>
              </c:extLst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200" b="1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'Calculation (1.5 l)'!$P$12:$P$30</c:f>
              <c:numCache>
                <c:formatCode>General</c:formatCode>
                <c:ptCount val="19"/>
                <c:pt idx="0">
                  <c:v>-30</c:v>
                </c:pt>
                <c:pt idx="1">
                  <c:v>-11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-9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  <c:pt idx="10">
                  <c:v>-35</c:v>
                </c:pt>
                <c:pt idx="11">
                  <c:v>-30</c:v>
                </c:pt>
                <c:pt idx="12">
                  <c:v>-30</c:v>
                </c:pt>
                <c:pt idx="13">
                  <c:v>-18</c:v>
                </c:pt>
                <c:pt idx="14">
                  <c:v>-18</c:v>
                </c:pt>
                <c:pt idx="15">
                  <c:v>-5</c:v>
                </c:pt>
                <c:pt idx="16">
                  <c:v>0</c:v>
                </c:pt>
                <c:pt idx="17">
                  <c:v>-20</c:v>
                </c:pt>
                <c:pt idx="18">
                  <c:v>7</c:v>
                </c:pt>
              </c:numCache>
            </c:numRef>
          </c:xVal>
          <c:yVal>
            <c:numRef>
              <c:f>'Calculation (1.5 l)'!$Q$12:$Q$30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65</c:v>
                </c:pt>
                <c:pt idx="10">
                  <c:v>50</c:v>
                </c:pt>
                <c:pt idx="11">
                  <c:v>45</c:v>
                </c:pt>
                <c:pt idx="12">
                  <c:v>35</c:v>
                </c:pt>
                <c:pt idx="13">
                  <c:v>62</c:v>
                </c:pt>
                <c:pt idx="14">
                  <c:v>58</c:v>
                </c:pt>
                <c:pt idx="15">
                  <c:v>43</c:v>
                </c:pt>
                <c:pt idx="16">
                  <c:v>56</c:v>
                </c:pt>
                <c:pt idx="17">
                  <c:v>57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C04D-4F08-AAD4-01F1A6349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28160"/>
        <c:axId val="108830080"/>
      </c:scatterChart>
      <c:valAx>
        <c:axId val="108828160"/>
        <c:scaling>
          <c:orientation val="minMax"/>
          <c:min val="-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Evaporating Temperature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08830080"/>
        <c:crosses val="autoZero"/>
        <c:crossBetween val="midCat"/>
        <c:majorUnit val="5"/>
        <c:minorUnit val="5"/>
      </c:valAx>
      <c:valAx>
        <c:axId val="108830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Condensing</a:t>
                </a:r>
                <a:r>
                  <a:rPr lang="en-US" sz="1400" baseline="0"/>
                  <a:t> Temperature (°C)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0509031198686385E-2"/>
              <c:y val="0.37416515243286896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08828160"/>
        <c:crossesAt val="-35"/>
        <c:crossBetween val="midCat"/>
        <c:minorUnit val="5"/>
      </c:valAx>
    </c:plotArea>
    <c:legend>
      <c:legendPos val="r"/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8.9530240301377267E-2"/>
          <c:y val="7.0924976623456273E-2"/>
          <c:w val="0.8739305510503137"/>
          <c:h val="5.2552993219524974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</a:t>
            </a:r>
            <a:r>
              <a:rPr lang="en-US" baseline="0"/>
              <a:t> m</a:t>
            </a:r>
            <a:r>
              <a:rPr lang="en-US"/>
              <a:t>ass (gr)</a:t>
            </a:r>
            <a:r>
              <a:rPr lang="en-US" baseline="0"/>
              <a:t> R290 Inside the Oil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874446046395605E-2"/>
          <c:y val="6.3287521268822602E-2"/>
          <c:w val="0.88442609601189204"/>
          <c:h val="0.82944767486421167"/>
        </c:manualLayout>
      </c:layout>
      <c:scatterChart>
        <c:scatterStyle val="lineMarker"/>
        <c:varyColors val="0"/>
        <c:ser>
          <c:idx val="3"/>
          <c:order val="0"/>
          <c:tx>
            <c:strRef>
              <c:f>[5]DataSupport!$M$2</c:f>
              <c:strCache>
                <c:ptCount val="1"/>
                <c:pt idx="0">
                  <c:v>ZHV*KCU (R290)</c:v>
                </c:pt>
              </c:strCache>
            </c:strRef>
          </c:tx>
          <c:spPr>
            <a:ln w="444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[5]DataSupport!$M$4:$M$13</c:f>
              <c:numCache>
                <c:formatCode>General</c:formatCode>
                <c:ptCount val="10"/>
                <c:pt idx="0">
                  <c:v>-30</c:v>
                </c:pt>
                <c:pt idx="1">
                  <c:v>-9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-11</c:v>
                </c:pt>
                <c:pt idx="6">
                  <c:v>-30</c:v>
                </c:pt>
                <c:pt idx="7">
                  <c:v>-30</c:v>
                </c:pt>
              </c:numCache>
            </c:numRef>
          </c:xVal>
          <c:yVal>
            <c:numRef>
              <c:f>[5]DataSupport!$N$4:$N$13</c:f>
              <c:numCache>
                <c:formatCode>General</c:formatCode>
                <c:ptCount val="10"/>
                <c:pt idx="0">
                  <c:v>45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8C-4110-8480-A37E8D75ECF7}"/>
            </c:ext>
          </c:extLst>
        </c:ser>
        <c:ser>
          <c:idx val="7"/>
          <c:order val="1"/>
          <c:tx>
            <c:strRef>
              <c:f>[5]DataSupport!$W$2</c:f>
              <c:strCache>
                <c:ptCount val="1"/>
                <c:pt idx="0">
                  <c:v>ZH*KCU Quest (R290-10K)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[5]DataSupport!$W$13:$W$16</c:f>
              <c:numCache>
                <c:formatCode>General</c:formatCode>
                <c:ptCount val="4"/>
                <c:pt idx="0">
                  <c:v>-10</c:v>
                </c:pt>
                <c:pt idx="1">
                  <c:v>-15</c:v>
                </c:pt>
                <c:pt idx="2">
                  <c:v>-30</c:v>
                </c:pt>
                <c:pt idx="3">
                  <c:v>-30</c:v>
                </c:pt>
              </c:numCache>
            </c:numRef>
          </c:xVal>
          <c:yVal>
            <c:numRef>
              <c:f>[5]DataSupport!$X$13:$X$16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52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8C-4110-8480-A37E8D75ECF7}"/>
            </c:ext>
          </c:extLst>
        </c:ser>
        <c:ser>
          <c:idx val="8"/>
          <c:order val="2"/>
          <c:tx>
            <c:strRef>
              <c:f>'[5]Envelope (2)'!$Q$9</c:f>
              <c:strCache>
                <c:ptCount val="1"/>
                <c:pt idx="0">
                  <c:v>Target (HCOP = 3.5)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'[5]Envelope (2)'!$T$9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8C-4110-8480-A37E8D75ECF7}"/>
            </c:ext>
          </c:extLst>
        </c:ser>
        <c:ser>
          <c:idx val="9"/>
          <c:order val="3"/>
          <c:tx>
            <c:strRef>
              <c:f>'[5]Envelope (2)'!$Q$10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(2)'!$S$10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8C-4110-8480-A37E8D75ECF7}"/>
            </c:ext>
          </c:extLst>
        </c:ser>
        <c:ser>
          <c:idx val="10"/>
          <c:order val="4"/>
          <c:tx>
            <c:strRef>
              <c:f>'[5]Envelope (2)'!$Q$11</c:f>
              <c:strCache>
                <c:ptCount val="1"/>
                <c:pt idx="0">
                  <c:v>Opimization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xVal>
          <c:yVal>
            <c:numRef>
              <c:f>'[5]Envelope (2)'!$T$11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8C-4110-8480-A37E8D75ECF7}"/>
            </c:ext>
          </c:extLst>
        </c:ser>
        <c:ser>
          <c:idx val="6"/>
          <c:order val="5"/>
          <c:tx>
            <c:strRef>
              <c:f>'[5]Envelope (2)'!$Q$12</c:f>
              <c:strCache>
                <c:ptCount val="1"/>
                <c:pt idx="0">
                  <c:v>Sanitary Water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(2)'!$S$12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(2)'!$T$12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8C-4110-8480-A37E8D75ECF7}"/>
            </c:ext>
          </c:extLst>
        </c:ser>
        <c:ser>
          <c:idx val="11"/>
          <c:order val="6"/>
          <c:spPr>
            <a:ln>
              <a:noFill/>
            </a:ln>
          </c:spPr>
          <c:marker>
            <c:symbol val="none"/>
          </c:marker>
          <c:dLbls>
            <c:dLbl>
              <c:idx val="0"/>
              <c:tx>
                <c:strRef>
                  <c:f>'Calculation (2.5 l)'!$AD$12</c:f>
                  <c:strCache>
                    <c:ptCount val="1"/>
                    <c:pt idx="0">
                      <c:v>92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{16D82894-594C-41BF-938B-5D80BE979A85}</c15:txfldGUID>
                      <c15:f>'Calculation (2.5 l)'!$AD$12</c15:f>
                      <c15:dlblFieldTableCache>
                        <c:ptCount val="1"/>
                        <c:pt idx="0">
                          <c:v>92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08C-4110-8480-A37E8D75ECF7}"/>
                </c:ext>
              </c:extLst>
            </c:dLbl>
            <c:dLbl>
              <c:idx val="1"/>
              <c:tx>
                <c:strRef>
                  <c:f>'Calculation (2.5 l)'!$AD$13</c:f>
                  <c:strCache>
                    <c:ptCount val="1"/>
                    <c:pt idx="0">
                      <c:v>113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{8C766B25-DC9A-426A-8A5B-3F4F4119E603}</c15:txfldGUID>
                      <c15:f>'Calculation (2.5 l)'!$AD$13</c15:f>
                      <c15:dlblFieldTableCache>
                        <c:ptCount val="1"/>
                        <c:pt idx="0">
                          <c:v>113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08C-4110-8480-A37E8D75ECF7}"/>
                </c:ext>
              </c:extLst>
            </c:dLbl>
            <c:dLbl>
              <c:idx val="2"/>
              <c:tx>
                <c:strRef>
                  <c:f>'Calculation (2.5 l)'!$AD$14</c:f>
                  <c:strCache>
                    <c:ptCount val="1"/>
                    <c:pt idx="0">
                      <c:v>141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{539F7139-A6E2-4B6C-AA02-112354D2E3EC}</c15:txfldGUID>
                      <c15:f>'Calculation (2.5 l)'!$AD$14</c15:f>
                      <c15:dlblFieldTableCache>
                        <c:ptCount val="1"/>
                        <c:pt idx="0">
                          <c:v>141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08C-4110-8480-A37E8D75ECF7}"/>
                </c:ext>
              </c:extLst>
            </c:dLbl>
            <c:dLbl>
              <c:idx val="3"/>
              <c:tx>
                <c:strRef>
                  <c:f>'Calculation (2.5 l)'!$AD$15</c:f>
                  <c:strCache>
                    <c:ptCount val="1"/>
                    <c:pt idx="0">
                      <c:v>120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{A5704354-DFB4-4B9B-A0CE-A09CE4971C85}</c15:txfldGUID>
                      <c15:f>'Calculation (2.5 l)'!$AD$15</c15:f>
                      <c15:dlblFieldTableCache>
                        <c:ptCount val="1"/>
                        <c:pt idx="0">
                          <c:v>120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08C-4110-8480-A37E8D75ECF7}"/>
                </c:ext>
              </c:extLst>
            </c:dLbl>
            <c:dLbl>
              <c:idx val="4"/>
              <c:tx>
                <c:strRef>
                  <c:f>'Calculation (2.5 l)'!$AD$16</c:f>
                  <c:strCache>
                    <c:ptCount val="1"/>
                    <c:pt idx="0">
                      <c:v>152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{4B2AAAED-0389-42E0-90D4-7B10B4D1948C}</c15:txfldGUID>
                      <c15:f>'Calculation (2.5 l)'!$AD$16</c15:f>
                      <c15:dlblFieldTableCache>
                        <c:ptCount val="1"/>
                        <c:pt idx="0">
                          <c:v>152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08C-4110-8480-A37E8D75ECF7}"/>
                </c:ext>
              </c:extLst>
            </c:dLbl>
            <c:dLbl>
              <c:idx val="5"/>
              <c:tx>
                <c:strRef>
                  <c:f>'Calculation (2.5 l)'!$AD$17</c:f>
                  <c:strCache>
                    <c:ptCount val="1"/>
                    <c:pt idx="0">
                      <c:v>196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{4E3289F9-C52A-482E-8FB1-E2CE24634AF0}</c15:txfldGUID>
                      <c15:f>'Calculation (2.5 l)'!$AD$17</c15:f>
                      <c15:dlblFieldTableCache>
                        <c:ptCount val="1"/>
                        <c:pt idx="0">
                          <c:v>196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08C-4110-8480-A37E8D75ECF7}"/>
                </c:ext>
              </c:extLst>
            </c:dLbl>
            <c:dLbl>
              <c:idx val="6"/>
              <c:tx>
                <c:strRef>
                  <c:f>'Calculation (2.5 l)'!$AD$18</c:f>
                  <c:strCache>
                    <c:ptCount val="1"/>
                    <c:pt idx="0">
                      <c:v>169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{67F03670-7E79-4842-ADCC-4848AFC7CA69}</c15:txfldGUID>
                      <c15:f>'Calculation (2.5 l)'!$AD$18</c15:f>
                      <c15:dlblFieldTableCache>
                        <c:ptCount val="1"/>
                        <c:pt idx="0">
                          <c:v>169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08C-4110-8480-A37E8D75ECF7}"/>
                </c:ext>
              </c:extLst>
            </c:dLbl>
            <c:dLbl>
              <c:idx val="7"/>
              <c:tx>
                <c:strRef>
                  <c:f>'Calculation (2.5 l)'!$AD$19</c:f>
                  <c:strCache>
                    <c:ptCount val="1"/>
                    <c:pt idx="0">
                      <c:v>225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{E9D096D2-74A6-4E6F-8658-C220261E328B}</c15:txfldGUID>
                      <c15:f>'Calculation (2.5 l)'!$AD$19</c15:f>
                      <c15:dlblFieldTableCache>
                        <c:ptCount val="1"/>
                        <c:pt idx="0">
                          <c:v>225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08C-4110-8480-A37E8D75ECF7}"/>
                </c:ext>
              </c:extLst>
            </c:dLbl>
            <c:dLbl>
              <c:idx val="8"/>
              <c:tx>
                <c:strRef>
                  <c:f>'Calculation (2.5 l)'!$AD$20</c:f>
                  <c:strCache>
                    <c:ptCount val="1"/>
                    <c:pt idx="0">
                      <c:v>308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{EFD98FBA-8CAE-4FF0-9F1C-9DEE9BEAAC0A}</c15:txfldGUID>
                      <c15:f>'Calculation (2.5 l)'!$AD$20</c15:f>
                      <c15:dlblFieldTableCache>
                        <c:ptCount val="1"/>
                        <c:pt idx="0">
                          <c:v>308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08C-4110-8480-A37E8D75ECF7}"/>
                </c:ext>
              </c:extLst>
            </c:dLbl>
            <c:dLbl>
              <c:idx val="9"/>
              <c:tx>
                <c:strRef>
                  <c:f>'Calculation (2.5 l)'!$AD$21</c:f>
                  <c:strCache>
                    <c:ptCount val="1"/>
                    <c:pt idx="0">
                      <c:v>74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{6DC185AA-BACA-4201-82BE-2BED747276F6}</c15:txfldGUID>
                      <c15:f>'Calculation (2.5 l)'!$AD$21</c15:f>
                      <c15:dlblFieldTableCache>
                        <c:ptCount val="1"/>
                        <c:pt idx="0">
                          <c:v>74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08C-4110-8480-A37E8D75ECF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08C-4110-8480-A37E8D75ECF7}"/>
                </c:ext>
              </c:extLst>
            </c:dLbl>
            <c:dLbl>
              <c:idx val="11"/>
              <c:tx>
                <c:strRef>
                  <c:f>'Calculation (2.5 l)'!$AD$23</c:f>
                  <c:strCache>
                    <c:ptCount val="1"/>
                    <c:pt idx="0">
                      <c:v>108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{5BD7B2F1-87CD-4AAE-9FCE-907E61072C7A}</c15:txfldGUID>
                      <c15:f>'Calculation (2.5 l)'!$AD$23</c15:f>
                      <c15:dlblFieldTableCache>
                        <c:ptCount val="1"/>
                        <c:pt idx="0">
                          <c:v>108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08C-4110-8480-A37E8D75ECF7}"/>
                </c:ext>
              </c:extLst>
            </c:dLbl>
            <c:dLbl>
              <c:idx val="12"/>
              <c:tx>
                <c:strRef>
                  <c:f>'Calculation (2.5 l)'!$AD$24</c:f>
                  <c:strCache>
                    <c:ptCount val="1"/>
                    <c:pt idx="0">
                      <c:v>38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{BD2F9FF1-DBDE-4018-B730-6F290B36E22D}</c15:txfldGUID>
                      <c15:f>'Calculation (2.5 l)'!$AD$24</c15:f>
                      <c15:dlblFieldTableCache>
                        <c:ptCount val="1"/>
                        <c:pt idx="0">
                          <c:v>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508C-4110-8480-A37E8D75ECF7}"/>
                </c:ext>
              </c:extLst>
            </c:dLbl>
            <c:dLbl>
              <c:idx val="13"/>
              <c:tx>
                <c:strRef>
                  <c:f>'Calculation (2.5 l)'!$AD$25</c:f>
                  <c:strCache>
                    <c:ptCount val="1"/>
                    <c:pt idx="0">
                      <c:v>53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{D567046D-BD74-43AA-B815-F582B1C5C2BB}</c15:txfldGUID>
                      <c15:f>'Calculation (2.5 l)'!$AD$25</c15:f>
                      <c15:dlblFieldTableCache>
                        <c:ptCount val="1"/>
                        <c:pt idx="0">
                          <c:v>53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508C-4110-8480-A37E8D75ECF7}"/>
                </c:ext>
              </c:extLst>
            </c:dLbl>
            <c:dLbl>
              <c:idx val="14"/>
              <c:tx>
                <c:strRef>
                  <c:f>'Calculation (2.5 l)'!$AD$26</c:f>
                  <c:strCache>
                    <c:ptCount val="1"/>
                    <c:pt idx="0">
                      <c:v>53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{57D4FF1A-7420-44C9-8822-A41E6BC5D2C8}</c15:txfldGUID>
                      <c15:f>'Calculation (2.5 l)'!$AD$26</c15:f>
                      <c15:dlblFieldTableCache>
                        <c:ptCount val="1"/>
                        <c:pt idx="0">
                          <c:v>53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508C-4110-8480-A37E8D75ECF7}"/>
                </c:ext>
              </c:extLst>
            </c:dLbl>
            <c:dLbl>
              <c:idx val="15"/>
              <c:tx>
                <c:strRef>
                  <c:f>'Calculation (2.5 l)'!$AD$27</c:f>
                  <c:strCache>
                    <c:ptCount val="1"/>
                    <c:pt idx="0">
                      <c:v>106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{0B23A876-A761-43C2-B28D-9BC5A4904FC2}</c15:txfldGUID>
                      <c15:f>'Calculation (2.5 l)'!$AD$27</c15:f>
                      <c15:dlblFieldTableCache>
                        <c:ptCount val="1"/>
                        <c:pt idx="0">
                          <c:v>106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508C-4110-8480-A37E8D75ECF7}"/>
                </c:ext>
              </c:extLst>
            </c:dLbl>
            <c:dLbl>
              <c:idx val="16"/>
              <c:tx>
                <c:strRef>
                  <c:f>'Calculation (2.5 l)'!$AD$28</c:f>
                  <c:strCache>
                    <c:ptCount val="1"/>
                    <c:pt idx="0">
                      <c:v>105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{4429C88D-2A31-42F5-9C1B-D87FFB7B9545}</c15:txfldGUID>
                      <c15:f>'Calculation (2.5 l)'!$AD$28</c15:f>
                      <c15:dlblFieldTableCache>
                        <c:ptCount val="1"/>
                        <c:pt idx="0">
                          <c:v>105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508C-4110-8480-A37E8D75ECF7}"/>
                </c:ext>
              </c:extLst>
            </c:dLbl>
            <c:dLbl>
              <c:idx val="17"/>
              <c:tx>
                <c:strRef>
                  <c:f>'Calculation (2.5 l)'!$AD$29</c:f>
                  <c:strCache>
                    <c:ptCount val="1"/>
                    <c:pt idx="0">
                      <c:v>51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{333CED66-136F-45A2-8D48-3BCA58566F97}</c15:txfldGUID>
                      <c15:f>'Calculation (2.5 l)'!$AD$29</c15:f>
                      <c15:dlblFieldTableCache>
                        <c:ptCount val="1"/>
                        <c:pt idx="0">
                          <c:v>51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508C-4110-8480-A37E8D75ECF7}"/>
                </c:ext>
              </c:extLst>
            </c:dLbl>
            <c:dLbl>
              <c:idx val="18"/>
              <c:tx>
                <c:strRef>
                  <c:f>'Calculation (2.5 l)'!$AD$30</c:f>
                  <c:strCache>
                    <c:ptCount val="1"/>
                    <c:pt idx="0">
                      <c:v>167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{59A4E039-4C4E-4BC9-82FD-CCE187FEA057}</c15:txfldGUID>
                      <c15:f>'Calculation (2.5 l)'!$AD$30</c15:f>
                      <c15:dlblFieldTableCache>
                        <c:ptCount val="1"/>
                        <c:pt idx="0">
                          <c:v>167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508C-4110-8480-A37E8D75ECF7}"/>
                </c:ext>
              </c:extLst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600" b="1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'Calculation (1.5 l)'!$P$12:$P$30</c:f>
              <c:numCache>
                <c:formatCode>General</c:formatCode>
                <c:ptCount val="19"/>
                <c:pt idx="0">
                  <c:v>-30</c:v>
                </c:pt>
                <c:pt idx="1">
                  <c:v>-11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-9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  <c:pt idx="10">
                  <c:v>-35</c:v>
                </c:pt>
                <c:pt idx="11">
                  <c:v>-30</c:v>
                </c:pt>
                <c:pt idx="12">
                  <c:v>-30</c:v>
                </c:pt>
                <c:pt idx="13">
                  <c:v>-18</c:v>
                </c:pt>
                <c:pt idx="14">
                  <c:v>-18</c:v>
                </c:pt>
                <c:pt idx="15">
                  <c:v>-5</c:v>
                </c:pt>
                <c:pt idx="16">
                  <c:v>0</c:v>
                </c:pt>
                <c:pt idx="17">
                  <c:v>-20</c:v>
                </c:pt>
                <c:pt idx="18">
                  <c:v>7</c:v>
                </c:pt>
              </c:numCache>
            </c:numRef>
          </c:xVal>
          <c:yVal>
            <c:numRef>
              <c:f>'Calculation (1.5 l)'!$Q$12:$Q$30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65</c:v>
                </c:pt>
                <c:pt idx="10">
                  <c:v>50</c:v>
                </c:pt>
                <c:pt idx="11">
                  <c:v>45</c:v>
                </c:pt>
                <c:pt idx="12">
                  <c:v>35</c:v>
                </c:pt>
                <c:pt idx="13">
                  <c:v>62</c:v>
                </c:pt>
                <c:pt idx="14">
                  <c:v>58</c:v>
                </c:pt>
                <c:pt idx="15">
                  <c:v>43</c:v>
                </c:pt>
                <c:pt idx="16">
                  <c:v>56</c:v>
                </c:pt>
                <c:pt idx="17">
                  <c:v>57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08C-4110-8480-A37E8D75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20448"/>
        <c:axId val="123722368"/>
      </c:scatterChart>
      <c:valAx>
        <c:axId val="123720448"/>
        <c:scaling>
          <c:orientation val="minMax"/>
          <c:min val="-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Evaporating Temperature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3722368"/>
        <c:crosses val="autoZero"/>
        <c:crossBetween val="midCat"/>
        <c:majorUnit val="5"/>
        <c:minorUnit val="5"/>
      </c:valAx>
      <c:valAx>
        <c:axId val="123722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Condensing</a:t>
                </a:r>
                <a:r>
                  <a:rPr lang="en-US" sz="1400" baseline="0"/>
                  <a:t> Temperature (°C)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0509031198686385E-2"/>
              <c:y val="0.37416515243286896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3720448"/>
        <c:crossesAt val="-35"/>
        <c:crossBetween val="midCat"/>
        <c:minorUnit val="5"/>
      </c:valAx>
    </c:plotArea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Max mass (gr) R290 Inside the Oil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874446046395661E-2"/>
          <c:y val="6.3287521268822602E-2"/>
          <c:w val="0.88442609601189204"/>
          <c:h val="0.82944767486421167"/>
        </c:manualLayout>
      </c:layout>
      <c:scatterChart>
        <c:scatterStyle val="lineMarker"/>
        <c:varyColors val="0"/>
        <c:ser>
          <c:idx val="2"/>
          <c:order val="0"/>
          <c:tx>
            <c:v>Operating Conditions</c:v>
          </c:tx>
          <c:spPr>
            <a:ln w="50800" cmpd="tri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'[5]HP Sizing'!$J$8:$J$33</c:f>
              <c:numCache>
                <c:formatCode>General</c:formatCode>
                <c:ptCount val="26"/>
                <c:pt idx="0">
                  <c:v>-20</c:v>
                </c:pt>
                <c:pt idx="1">
                  <c:v>-18.920000000000002</c:v>
                </c:pt>
                <c:pt idx="2">
                  <c:v>-17.84</c:v>
                </c:pt>
                <c:pt idx="3">
                  <c:v>-16.759999999999998</c:v>
                </c:pt>
                <c:pt idx="4">
                  <c:v>-15.68</c:v>
                </c:pt>
                <c:pt idx="5">
                  <c:v>-14.6</c:v>
                </c:pt>
                <c:pt idx="6">
                  <c:v>-13.52</c:v>
                </c:pt>
                <c:pt idx="7">
                  <c:v>-12.44</c:v>
                </c:pt>
                <c:pt idx="8">
                  <c:v>-11.36</c:v>
                </c:pt>
                <c:pt idx="9">
                  <c:v>-10.28</c:v>
                </c:pt>
                <c:pt idx="10">
                  <c:v>-9.1999999999999993</c:v>
                </c:pt>
                <c:pt idx="11">
                  <c:v>-8.1199999999999992</c:v>
                </c:pt>
                <c:pt idx="12">
                  <c:v>-7.0399999999999991</c:v>
                </c:pt>
                <c:pt idx="13">
                  <c:v>-5.9600000000000009</c:v>
                </c:pt>
                <c:pt idx="14">
                  <c:v>-4.879999999999999</c:v>
                </c:pt>
                <c:pt idx="15">
                  <c:v>-3.8000000000000007</c:v>
                </c:pt>
                <c:pt idx="16">
                  <c:v>-2.7200000000000006</c:v>
                </c:pt>
                <c:pt idx="17">
                  <c:v>-1.6400000000000006</c:v>
                </c:pt>
                <c:pt idx="18">
                  <c:v>-0.5600000000000005</c:v>
                </c:pt>
                <c:pt idx="19">
                  <c:v>0.51999999999999957</c:v>
                </c:pt>
                <c:pt idx="20">
                  <c:v>1.5999999999999996</c:v>
                </c:pt>
                <c:pt idx="21">
                  <c:v>2.6799999999999997</c:v>
                </c:pt>
                <c:pt idx="22">
                  <c:v>3.76</c:v>
                </c:pt>
                <c:pt idx="23">
                  <c:v>4.84</c:v>
                </c:pt>
                <c:pt idx="24">
                  <c:v>5.92</c:v>
                </c:pt>
                <c:pt idx="25">
                  <c:v>7</c:v>
                </c:pt>
              </c:numCache>
            </c:numRef>
          </c:xVal>
          <c:yVal>
            <c:numRef>
              <c:f>'[5]HP Sizing'!$L$8:$L$33</c:f>
              <c:numCache>
                <c:formatCode>General</c:formatCode>
                <c:ptCount val="26"/>
                <c:pt idx="0">
                  <c:v>57.333333333333336</c:v>
                </c:pt>
                <c:pt idx="1">
                  <c:v>56.222222222222221</c:v>
                </c:pt>
                <c:pt idx="2">
                  <c:v>55.111111111111114</c:v>
                </c:pt>
                <c:pt idx="3">
                  <c:v>54</c:v>
                </c:pt>
                <c:pt idx="4">
                  <c:v>52.888888888888886</c:v>
                </c:pt>
                <c:pt idx="5">
                  <c:v>51.777777777777779</c:v>
                </c:pt>
                <c:pt idx="6">
                  <c:v>50.666666666666664</c:v>
                </c:pt>
                <c:pt idx="7">
                  <c:v>49.555555555555557</c:v>
                </c:pt>
                <c:pt idx="8">
                  <c:v>48.444444444444443</c:v>
                </c:pt>
                <c:pt idx="9">
                  <c:v>47.333333333333336</c:v>
                </c:pt>
                <c:pt idx="10">
                  <c:v>46.222222222222221</c:v>
                </c:pt>
                <c:pt idx="11">
                  <c:v>45.111111111111114</c:v>
                </c:pt>
                <c:pt idx="12">
                  <c:v>44</c:v>
                </c:pt>
                <c:pt idx="13">
                  <c:v>42.888888888888886</c:v>
                </c:pt>
                <c:pt idx="14">
                  <c:v>41.777777777777779</c:v>
                </c:pt>
                <c:pt idx="15">
                  <c:v>40.666666666666671</c:v>
                </c:pt>
                <c:pt idx="16">
                  <c:v>39.555555555555557</c:v>
                </c:pt>
                <c:pt idx="17">
                  <c:v>38.444444444444443</c:v>
                </c:pt>
                <c:pt idx="18">
                  <c:v>37.333333333333329</c:v>
                </c:pt>
                <c:pt idx="19">
                  <c:v>36.222222222222221</c:v>
                </c:pt>
                <c:pt idx="20">
                  <c:v>35.111111111111114</c:v>
                </c:pt>
                <c:pt idx="21">
                  <c:v>34</c:v>
                </c:pt>
                <c:pt idx="22">
                  <c:v>32.888888888888886</c:v>
                </c:pt>
                <c:pt idx="23">
                  <c:v>31.777777777777779</c:v>
                </c:pt>
                <c:pt idx="24">
                  <c:v>30.666666666666664</c:v>
                </c:pt>
                <c:pt idx="25">
                  <c:v>29.555555555555554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F-435F-880A-802470E87DFD}"/>
            </c:ext>
          </c:extLst>
        </c:ser>
        <c:ser>
          <c:idx val="3"/>
          <c:order val="1"/>
          <c:tx>
            <c:strRef>
              <c:f>[5]DataSupport!$M$2</c:f>
              <c:strCache>
                <c:ptCount val="1"/>
                <c:pt idx="0">
                  <c:v>ZHV*KCU (R290)</c:v>
                </c:pt>
              </c:strCache>
            </c:strRef>
          </c:tx>
          <c:spPr>
            <a:ln w="444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[5]DataSupport!$M$4:$M$13</c:f>
              <c:numCache>
                <c:formatCode>General</c:formatCode>
                <c:ptCount val="10"/>
                <c:pt idx="0">
                  <c:v>-30</c:v>
                </c:pt>
                <c:pt idx="1">
                  <c:v>-9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-11</c:v>
                </c:pt>
                <c:pt idx="6">
                  <c:v>-30</c:v>
                </c:pt>
                <c:pt idx="7">
                  <c:v>-30</c:v>
                </c:pt>
              </c:numCache>
            </c:numRef>
          </c:xVal>
          <c:yVal>
            <c:numRef>
              <c:f>[5]DataSupport!$N$4:$N$13</c:f>
              <c:numCache>
                <c:formatCode>General</c:formatCode>
                <c:ptCount val="10"/>
                <c:pt idx="0">
                  <c:v>45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F-435F-880A-802470E87DFD}"/>
            </c:ext>
          </c:extLst>
        </c:ser>
        <c:ser>
          <c:idx val="4"/>
          <c:order val="2"/>
          <c:tx>
            <c:strRef>
              <c:f>[5]DataSupport!$P$2</c:f>
              <c:strCache>
                <c:ptCount val="1"/>
                <c:pt idx="0">
                  <c:v>ZHW*KCU w/ EVI (R290)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[5]DataSupport!$P$4:$P$8</c:f>
              <c:numCache>
                <c:formatCode>General</c:formatCode>
                <c:ptCount val="5"/>
                <c:pt idx="0">
                  <c:v>-30</c:v>
                </c:pt>
                <c:pt idx="1">
                  <c:v>-30</c:v>
                </c:pt>
                <c:pt idx="2">
                  <c:v>-20</c:v>
                </c:pt>
                <c:pt idx="3">
                  <c:v>-9</c:v>
                </c:pt>
              </c:numCache>
            </c:numRef>
          </c:xVal>
          <c:yVal>
            <c:numRef>
              <c:f>[5]DataSupport!$Q$4:$Q$8</c:f>
              <c:numCache>
                <c:formatCode>General</c:formatCode>
                <c:ptCount val="5"/>
                <c:pt idx="0">
                  <c:v>45</c:v>
                </c:pt>
                <c:pt idx="1">
                  <c:v>65</c:v>
                </c:pt>
                <c:pt idx="2">
                  <c:v>70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F-435F-880A-802470E87DFD}"/>
            </c:ext>
          </c:extLst>
        </c:ser>
        <c:ser>
          <c:idx val="7"/>
          <c:order val="3"/>
          <c:tx>
            <c:strRef>
              <c:f>[5]DataSupport!$W$2</c:f>
              <c:strCache>
                <c:ptCount val="1"/>
                <c:pt idx="0">
                  <c:v>ZH*KCU Quest (R290-10K)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[5]DataSupport!$W$13:$W$16</c:f>
              <c:numCache>
                <c:formatCode>General</c:formatCode>
                <c:ptCount val="4"/>
                <c:pt idx="0">
                  <c:v>-10</c:v>
                </c:pt>
                <c:pt idx="1">
                  <c:v>-15</c:v>
                </c:pt>
                <c:pt idx="2">
                  <c:v>-30</c:v>
                </c:pt>
                <c:pt idx="3">
                  <c:v>-30</c:v>
                </c:pt>
              </c:numCache>
            </c:numRef>
          </c:xVal>
          <c:yVal>
            <c:numRef>
              <c:f>[5]DataSupport!$X$13:$X$16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52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F-435F-880A-802470E87DFD}"/>
            </c:ext>
          </c:extLst>
        </c:ser>
        <c:ser>
          <c:idx val="8"/>
          <c:order val="4"/>
          <c:tx>
            <c:strRef>
              <c:f>'[5]Envelope (2)'!$Q$9</c:f>
              <c:strCache>
                <c:ptCount val="1"/>
                <c:pt idx="0">
                  <c:v>Target (HCOP = 3.5)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'[5]Envelope (2)'!$T$9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AF-435F-880A-802470E87DFD}"/>
            </c:ext>
          </c:extLst>
        </c:ser>
        <c:ser>
          <c:idx val="9"/>
          <c:order val="5"/>
          <c:tx>
            <c:strRef>
              <c:f>'[5]Envelope (2)'!$Q$10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(2)'!$S$10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AF-435F-880A-802470E87DFD}"/>
            </c:ext>
          </c:extLst>
        </c:ser>
        <c:ser>
          <c:idx val="10"/>
          <c:order val="6"/>
          <c:tx>
            <c:strRef>
              <c:f>'[5]Envelope (2)'!$Q$11</c:f>
              <c:strCache>
                <c:ptCount val="1"/>
                <c:pt idx="0">
                  <c:v>Opimization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xVal>
          <c:yVal>
            <c:numRef>
              <c:f>'[5]Envelope (2)'!$T$11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AF-435F-880A-802470E87DFD}"/>
            </c:ext>
          </c:extLst>
        </c:ser>
        <c:ser>
          <c:idx val="6"/>
          <c:order val="7"/>
          <c:tx>
            <c:strRef>
              <c:f>'[5]Envelope (2)'!$Q$12</c:f>
              <c:strCache>
                <c:ptCount val="1"/>
                <c:pt idx="0">
                  <c:v>Sanitary Water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(2)'!$S$12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(2)'!$T$12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AF-435F-880A-802470E87DFD}"/>
            </c:ext>
          </c:extLst>
        </c:ser>
        <c:ser>
          <c:idx val="11"/>
          <c:order val="8"/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5.0484755906905522E-2"/>
                  <c:y val="-2.5148879379804045E-2"/>
                </c:manualLayout>
              </c:layout>
              <c:tx>
                <c:strRef>
                  <c:f>'Calculation (1.5 l)'!$AD$12</c:f>
                  <c:strCache>
                    <c:ptCount val="1"/>
                    <c:pt idx="0">
                      <c:v>55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{3DAD92E3-C04C-4B6C-BB77-244B773A9196}</c15:txfldGUID>
                      <c15:f>'Calculation (1.5 l)'!$AD$12</c15:f>
                      <c15:dlblFieldTableCache>
                        <c:ptCount val="1"/>
                        <c:pt idx="0">
                          <c:v>55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F6AF-435F-880A-802470E87DFD}"/>
                </c:ext>
              </c:extLst>
            </c:dLbl>
            <c:dLbl>
              <c:idx val="1"/>
              <c:layout>
                <c:manualLayout>
                  <c:x val="-2.8810834327737241E-2"/>
                  <c:y val="3.0428940592831202E-2"/>
                </c:manualLayout>
              </c:layout>
              <c:tx>
                <c:strRef>
                  <c:f>'Calculation (1.5 l)'!$AD$13</c:f>
                  <c:strCache>
                    <c:ptCount val="1"/>
                    <c:pt idx="0">
                      <c:v>68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{5378906D-1671-41EA-8D5F-5423DA9C5E87}</c15:txfldGUID>
                      <c15:f>'Calculation (1.5 l)'!$AD$13</c15:f>
                      <c15:dlblFieldTableCache>
                        <c:ptCount val="1"/>
                        <c:pt idx="0">
                          <c:v>68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F6AF-435F-880A-802470E87DFD}"/>
                </c:ext>
              </c:extLst>
            </c:dLbl>
            <c:dLbl>
              <c:idx val="2"/>
              <c:layout>
                <c:manualLayout>
                  <c:x val="-4.1258467366058985E-3"/>
                  <c:y val="2.8291332132345234E-2"/>
                </c:manualLayout>
              </c:layout>
              <c:tx>
                <c:strRef>
                  <c:f>'Calculation (1.5 l)'!$AD$14</c:f>
                  <c:strCache>
                    <c:ptCount val="1"/>
                    <c:pt idx="0">
                      <c:v>84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{CC7FC92D-5C23-4F3D-A644-1504293E157C}</c15:txfldGUID>
                      <c15:f>'Calculation (1.5 l)'!$AD$14</c15:f>
                      <c15:dlblFieldTableCache>
                        <c:ptCount val="1"/>
                        <c:pt idx="0">
                          <c:v>84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F6AF-435F-880A-802470E87DFD}"/>
                </c:ext>
              </c:extLst>
            </c:dLbl>
            <c:dLbl>
              <c:idx val="3"/>
              <c:layout>
                <c:manualLayout>
                  <c:x val="-2.5777094809510247E-3"/>
                  <c:y val="-2.9424264616402795E-2"/>
                </c:manualLayout>
              </c:layout>
              <c:tx>
                <c:strRef>
                  <c:f>'Calculation (1.5 l)'!$AD$15</c:f>
                  <c:strCache>
                    <c:ptCount val="1"/>
                    <c:pt idx="0">
                      <c:v>72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{67CF0AA1-4754-4B2A-B397-77DCF875FA98}</c15:txfldGUID>
                      <c15:f>'Calculation (1.5 l)'!$AD$15</c15:f>
                      <c15:dlblFieldTableCache>
                        <c:ptCount val="1"/>
                        <c:pt idx="0">
                          <c:v>72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F6AF-435F-880A-802470E87DFD}"/>
                </c:ext>
              </c:extLst>
            </c:dLbl>
            <c:dLbl>
              <c:idx val="4"/>
              <c:tx>
                <c:strRef>
                  <c:f>'Calculation (1.5 l)'!$AD$16</c:f>
                  <c:strCache>
                    <c:ptCount val="1"/>
                    <c:pt idx="0">
                      <c:v>91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{0D9D3093-6519-457C-BCD5-B6A909B5C9E4}</c15:txfldGUID>
                      <c15:f>'Calculation (1.5 l)'!$AD$16</c15:f>
                      <c15:dlblFieldTableCache>
                        <c:ptCount val="1"/>
                        <c:pt idx="0">
                          <c:v>91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F6AF-435F-880A-802470E87DFD}"/>
                </c:ext>
              </c:extLst>
            </c:dLbl>
            <c:dLbl>
              <c:idx val="5"/>
              <c:tx>
                <c:strRef>
                  <c:f>'Calculation (1.5 l)'!$AD$17</c:f>
                  <c:strCache>
                    <c:ptCount val="1"/>
                    <c:pt idx="0">
                      <c:v>118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{E70FC1CE-6D1F-41CB-9FCC-403C2CBE3051}</c15:txfldGUID>
                      <c15:f>'Calculation (1.5 l)'!$AD$17</c15:f>
                      <c15:dlblFieldTableCache>
                        <c:ptCount val="1"/>
                        <c:pt idx="0">
                          <c:v>118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F6AF-435F-880A-802470E87DFD}"/>
                </c:ext>
              </c:extLst>
            </c:dLbl>
            <c:dLbl>
              <c:idx val="6"/>
              <c:tx>
                <c:strRef>
                  <c:f>'Calculation (1.5 l)'!$AD$18</c:f>
                  <c:strCache>
                    <c:ptCount val="1"/>
                    <c:pt idx="0">
                      <c:v>101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{1B53CBDD-ADF2-44D6-BC03-F3438E9A7887}</c15:txfldGUID>
                      <c15:f>'Calculation (1.5 l)'!$AD$18</c15:f>
                      <c15:dlblFieldTableCache>
                        <c:ptCount val="1"/>
                        <c:pt idx="0">
                          <c:v>101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F6AF-435F-880A-802470E87DFD}"/>
                </c:ext>
              </c:extLst>
            </c:dLbl>
            <c:dLbl>
              <c:idx val="7"/>
              <c:tx>
                <c:strRef>
                  <c:f>'Calculation (1.5 l)'!$AD$19</c:f>
                  <c:strCache>
                    <c:ptCount val="1"/>
                    <c:pt idx="0">
                      <c:v>135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{6674C7D8-9D71-44A3-8818-7B50726F4DDA}</c15:txfldGUID>
                      <c15:f>'Calculation (1.5 l)'!$AD$19</c15:f>
                      <c15:dlblFieldTableCache>
                        <c:ptCount val="1"/>
                        <c:pt idx="0">
                          <c:v>135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F6AF-435F-880A-802470E87DF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pPr>
                      <a:defRPr sz="1600" b="0" i="0" strike="noStrike">
                        <a:solidFill>
                          <a:schemeClr val="accent2"/>
                        </a:solidFill>
                        <a:latin typeface="Calibri"/>
                      </a:defRPr>
                    </a:pPr>
                    <a:r>
                      <a:rPr lang="en-US" sz="1600" b="0" i="0" strike="noStrike">
                        <a:latin typeface="Calibri"/>
                      </a:rPr>
                      <a:t>28</a:t>
                    </a:r>
                  </a:p>
                </c:rich>
              </c:tx>
              <c:spPr>
                <a:solidFill>
                  <a:sysClr val="window" lastClr="FFFFFF"/>
                </a:solidFill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6AF-435F-880A-802470E87DFD}"/>
                </c:ext>
              </c:extLst>
            </c:dLbl>
            <c:dLbl>
              <c:idx val="9"/>
              <c:tx>
                <c:strRef>
                  <c:f>'Calculation (1.5 l)'!$AD$21</c:f>
                  <c:strCache>
                    <c:ptCount val="1"/>
                    <c:pt idx="0">
                      <c:v>44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{2C91185A-E6FA-4C1A-824D-D76BF3382218}</c15:txfldGUID>
                      <c15:f>'Calculation (1.5 l)'!$AD$21</c15:f>
                      <c15:dlblFieldTableCache>
                        <c:ptCount val="1"/>
                        <c:pt idx="0">
                          <c:v>44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F6AF-435F-880A-802470E87DF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6AF-435F-880A-802470E87DFD}"/>
                </c:ext>
              </c:extLst>
            </c:dLbl>
            <c:dLbl>
              <c:idx val="11"/>
              <c:layout>
                <c:manualLayout>
                  <c:x val="-5.2032893162560406E-2"/>
                  <c:y val="-1.6351863144583633E-3"/>
                </c:manualLayout>
              </c:layout>
              <c:tx>
                <c:strRef>
                  <c:f>'Calculation (1.5 l)'!$AD$23</c:f>
                  <c:strCache>
                    <c:ptCount val="1"/>
                    <c:pt idx="0">
                      <c:v>65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{AC9997FE-B893-4694-B0D2-7D13CA12774F}</c15:txfldGUID>
                      <c15:f>'Calculation (1.5 l)'!$AD$23</c15:f>
                      <c15:dlblFieldTableCache>
                        <c:ptCount val="1"/>
                        <c:pt idx="0">
                          <c:v>65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F6AF-435F-880A-802470E87DFD}"/>
                </c:ext>
              </c:extLst>
            </c:dLbl>
            <c:dLbl>
              <c:idx val="12"/>
              <c:layout>
                <c:manualLayout>
                  <c:x val="-4.5840344139940904E-2"/>
                  <c:y val="-3.7727947749443352E-3"/>
                </c:manualLayout>
              </c:layout>
              <c:tx>
                <c:strRef>
                  <c:f>'Calculation (1.5 l)'!$AD$24</c:f>
                  <c:strCache>
                    <c:ptCount val="1"/>
                    <c:pt idx="0">
                      <c:v>23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{730F5FA1-D4B1-4D18-8B66-728C85C9E97A}</c15:txfldGUID>
                      <c15:f>'Calculation (1.5 l)'!$AD$24</c15:f>
                      <c15:dlblFieldTableCache>
                        <c:ptCount val="1"/>
                        <c:pt idx="0">
                          <c:v>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F6AF-435F-880A-802470E87DFD}"/>
                </c:ext>
              </c:extLst>
            </c:dLbl>
            <c:dLbl>
              <c:idx val="13"/>
              <c:layout>
                <c:manualLayout>
                  <c:x val="-5.358103041821527E-2"/>
                  <c:y val="6.9152475274855225E-3"/>
                </c:manualLayout>
              </c:layout>
              <c:tx>
                <c:strRef>
                  <c:f>'Calculation (1.5 l)'!$AD$25</c:f>
                  <c:strCache>
                    <c:ptCount val="1"/>
                    <c:pt idx="0">
                      <c:v>32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{5E57E2AA-1040-43E1-BD88-2A6A48C9706D}</c15:txfldGUID>
                      <c15:f>'Calculation (1.5 l)'!$AD$25</c15:f>
                      <c15:dlblFieldTableCache>
                        <c:ptCount val="1"/>
                        <c:pt idx="0">
                          <c:v>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F6AF-435F-880A-802470E87DF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6AF-435F-880A-802470E87DFD}"/>
                </c:ext>
              </c:extLst>
            </c:dLbl>
            <c:dLbl>
              <c:idx val="15"/>
              <c:tx>
                <c:strRef>
                  <c:f>'Calculation (1.5 l)'!$AD$27</c:f>
                  <c:strCache>
                    <c:ptCount val="1"/>
                    <c:pt idx="0">
                      <c:v>63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{FA1DFFDA-B58D-44D5-A03A-020CF983AA1F}</c15:txfldGUID>
                      <c15:f>'Calculation (1.5 l)'!$AD$27</c15:f>
                      <c15:dlblFieldTableCache>
                        <c:ptCount val="1"/>
                        <c:pt idx="0">
                          <c:v>63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F6AF-435F-880A-802470E87DFD}"/>
                </c:ext>
              </c:extLst>
            </c:dLbl>
            <c:dLbl>
              <c:idx val="16"/>
              <c:tx>
                <c:strRef>
                  <c:f>'Calculation (1.5 l)'!$AD$28</c:f>
                  <c:strCache>
                    <c:ptCount val="1"/>
                    <c:pt idx="0">
                      <c:v>63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{347B635D-091B-4022-A9BC-12AF76BE1D10}</c15:txfldGUID>
                      <c15:f>'Calculation (1.5 l)'!$AD$28</c15:f>
                      <c15:dlblFieldTableCache>
                        <c:ptCount val="1"/>
                        <c:pt idx="0">
                          <c:v>63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F6AF-435F-880A-802470E87DFD}"/>
                </c:ext>
              </c:extLst>
            </c:dLbl>
            <c:dLbl>
              <c:idx val="17"/>
              <c:layout>
                <c:manualLayout>
                  <c:x val="-4.5840344139940883E-2"/>
                  <c:y val="2.6153723671859301E-2"/>
                </c:manualLayout>
              </c:layout>
              <c:tx>
                <c:strRef>
                  <c:f>'Calculation (1.5 l)'!$AD$29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{E94BC8DC-4639-4261-A3E5-7FF654E924B1}</c15:txfldGUID>
                      <c15:f>'Calculation (1.5 l)'!$AD$29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F6AF-435F-880A-802470E87DFD}"/>
                </c:ext>
              </c:extLst>
            </c:dLbl>
            <c:dLbl>
              <c:idx val="18"/>
              <c:layout>
                <c:manualLayout>
                  <c:x val="-1.4877599026843359E-2"/>
                  <c:y val="-2.7286487840290013E-2"/>
                </c:manualLayout>
              </c:layout>
              <c:tx>
                <c:strRef>
                  <c:f>'Calculation (1.5 l)'!$AD$30</c:f>
                  <c:strCache>
                    <c:ptCount val="1"/>
                    <c:pt idx="0">
                      <c:v>100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{266B1264-FB01-4C13-93FC-7259CF6A6B87}</c15:txfldGUID>
                      <c15:f>'Calculation (1.5 l)'!$AD$30</c15:f>
                      <c15:dlblFieldTableCache>
                        <c:ptCount val="1"/>
                        <c:pt idx="0">
                          <c:v>100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F6AF-435F-880A-802470E87DFD}"/>
                </c:ext>
              </c:extLst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600" b="1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'Calculation (1.5 l)'!$P$12:$P$30</c:f>
              <c:numCache>
                <c:formatCode>General</c:formatCode>
                <c:ptCount val="19"/>
                <c:pt idx="0">
                  <c:v>-30</c:v>
                </c:pt>
                <c:pt idx="1">
                  <c:v>-11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-9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  <c:pt idx="10">
                  <c:v>-35</c:v>
                </c:pt>
                <c:pt idx="11">
                  <c:v>-30</c:v>
                </c:pt>
                <c:pt idx="12">
                  <c:v>-30</c:v>
                </c:pt>
                <c:pt idx="13">
                  <c:v>-18</c:v>
                </c:pt>
                <c:pt idx="14">
                  <c:v>-18</c:v>
                </c:pt>
                <c:pt idx="15">
                  <c:v>-5</c:v>
                </c:pt>
                <c:pt idx="16">
                  <c:v>0</c:v>
                </c:pt>
                <c:pt idx="17">
                  <c:v>-20</c:v>
                </c:pt>
                <c:pt idx="18">
                  <c:v>7</c:v>
                </c:pt>
              </c:numCache>
            </c:numRef>
          </c:xVal>
          <c:yVal>
            <c:numRef>
              <c:f>'Calculation (1.5 l)'!$Q$12:$Q$30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65</c:v>
                </c:pt>
                <c:pt idx="10">
                  <c:v>50</c:v>
                </c:pt>
                <c:pt idx="11">
                  <c:v>45</c:v>
                </c:pt>
                <c:pt idx="12">
                  <c:v>35</c:v>
                </c:pt>
                <c:pt idx="13">
                  <c:v>62</c:v>
                </c:pt>
                <c:pt idx="14">
                  <c:v>58</c:v>
                </c:pt>
                <c:pt idx="15">
                  <c:v>43</c:v>
                </c:pt>
                <c:pt idx="16">
                  <c:v>56</c:v>
                </c:pt>
                <c:pt idx="17">
                  <c:v>57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F6AF-435F-880A-802470E87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36160"/>
        <c:axId val="124238080"/>
      </c:scatterChart>
      <c:valAx>
        <c:axId val="124236160"/>
        <c:scaling>
          <c:orientation val="minMax"/>
          <c:min val="-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Evaporating Temperature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4238080"/>
        <c:crosses val="autoZero"/>
        <c:crossBetween val="midCat"/>
        <c:majorUnit val="5"/>
        <c:minorUnit val="5"/>
      </c:valAx>
      <c:valAx>
        <c:axId val="124238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Condensing</a:t>
                </a:r>
                <a:r>
                  <a:rPr lang="en-US" sz="1400" baseline="0"/>
                  <a:t> Temperature (°C)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0509031198686385E-2"/>
              <c:y val="0.37416515243286896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4236160"/>
        <c:crossesAt val="-35"/>
        <c:crossBetween val="midCat"/>
        <c:minorUnit val="5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9.2632553985743202E-2"/>
          <c:y val="0.80412470908747868"/>
          <c:w val="0.8739305510503137"/>
          <c:h val="5.2552993219524988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278" l="0.70000000000000062" r="0.70000000000000062" t="0.75000000000000278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Viscosity Oil (centistokes)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887444604639573E-2"/>
          <c:y val="6.3287521268822602E-2"/>
          <c:w val="0.88442609601189204"/>
          <c:h val="0.82944767486421167"/>
        </c:manualLayout>
      </c:layout>
      <c:scatterChart>
        <c:scatterStyle val="lineMarker"/>
        <c:varyColors val="0"/>
        <c:ser>
          <c:idx val="2"/>
          <c:order val="0"/>
          <c:tx>
            <c:v>Operating Conditions</c:v>
          </c:tx>
          <c:spPr>
            <a:ln w="50800" cmpd="tri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'[5]HP Sizing'!$J$8:$J$33</c:f>
              <c:numCache>
                <c:formatCode>General</c:formatCode>
                <c:ptCount val="26"/>
                <c:pt idx="0">
                  <c:v>-20</c:v>
                </c:pt>
                <c:pt idx="1">
                  <c:v>-18.920000000000002</c:v>
                </c:pt>
                <c:pt idx="2">
                  <c:v>-17.84</c:v>
                </c:pt>
                <c:pt idx="3">
                  <c:v>-16.759999999999998</c:v>
                </c:pt>
                <c:pt idx="4">
                  <c:v>-15.68</c:v>
                </c:pt>
                <c:pt idx="5">
                  <c:v>-14.6</c:v>
                </c:pt>
                <c:pt idx="6">
                  <c:v>-13.52</c:v>
                </c:pt>
                <c:pt idx="7">
                  <c:v>-12.44</c:v>
                </c:pt>
                <c:pt idx="8">
                  <c:v>-11.36</c:v>
                </c:pt>
                <c:pt idx="9">
                  <c:v>-10.28</c:v>
                </c:pt>
                <c:pt idx="10">
                  <c:v>-9.1999999999999993</c:v>
                </c:pt>
                <c:pt idx="11">
                  <c:v>-8.1199999999999992</c:v>
                </c:pt>
                <c:pt idx="12">
                  <c:v>-7.0399999999999991</c:v>
                </c:pt>
                <c:pt idx="13">
                  <c:v>-5.9600000000000009</c:v>
                </c:pt>
                <c:pt idx="14">
                  <c:v>-4.879999999999999</c:v>
                </c:pt>
                <c:pt idx="15">
                  <c:v>-3.8000000000000007</c:v>
                </c:pt>
                <c:pt idx="16">
                  <c:v>-2.7200000000000006</c:v>
                </c:pt>
                <c:pt idx="17">
                  <c:v>-1.6400000000000006</c:v>
                </c:pt>
                <c:pt idx="18">
                  <c:v>-0.5600000000000005</c:v>
                </c:pt>
                <c:pt idx="19">
                  <c:v>0.51999999999999957</c:v>
                </c:pt>
                <c:pt idx="20">
                  <c:v>1.5999999999999996</c:v>
                </c:pt>
                <c:pt idx="21">
                  <c:v>2.6799999999999997</c:v>
                </c:pt>
                <c:pt idx="22">
                  <c:v>3.76</c:v>
                </c:pt>
                <c:pt idx="23">
                  <c:v>4.84</c:v>
                </c:pt>
                <c:pt idx="24">
                  <c:v>5.92</c:v>
                </c:pt>
                <c:pt idx="25">
                  <c:v>7</c:v>
                </c:pt>
              </c:numCache>
            </c:numRef>
          </c:xVal>
          <c:yVal>
            <c:numRef>
              <c:f>'[5]HP Sizing'!$L$8:$L$33</c:f>
              <c:numCache>
                <c:formatCode>General</c:formatCode>
                <c:ptCount val="26"/>
                <c:pt idx="0">
                  <c:v>57.333333333333336</c:v>
                </c:pt>
                <c:pt idx="1">
                  <c:v>56.222222222222221</c:v>
                </c:pt>
                <c:pt idx="2">
                  <c:v>55.111111111111114</c:v>
                </c:pt>
                <c:pt idx="3">
                  <c:v>54</c:v>
                </c:pt>
                <c:pt idx="4">
                  <c:v>52.888888888888886</c:v>
                </c:pt>
                <c:pt idx="5">
                  <c:v>51.777777777777779</c:v>
                </c:pt>
                <c:pt idx="6">
                  <c:v>50.666666666666664</c:v>
                </c:pt>
                <c:pt idx="7">
                  <c:v>49.555555555555557</c:v>
                </c:pt>
                <c:pt idx="8">
                  <c:v>48.444444444444443</c:v>
                </c:pt>
                <c:pt idx="9">
                  <c:v>47.333333333333336</c:v>
                </c:pt>
                <c:pt idx="10">
                  <c:v>46.222222222222221</c:v>
                </c:pt>
                <c:pt idx="11">
                  <c:v>45.111111111111114</c:v>
                </c:pt>
                <c:pt idx="12">
                  <c:v>44</c:v>
                </c:pt>
                <c:pt idx="13">
                  <c:v>42.888888888888886</c:v>
                </c:pt>
                <c:pt idx="14">
                  <c:v>41.777777777777779</c:v>
                </c:pt>
                <c:pt idx="15">
                  <c:v>40.666666666666671</c:v>
                </c:pt>
                <c:pt idx="16">
                  <c:v>39.555555555555557</c:v>
                </c:pt>
                <c:pt idx="17">
                  <c:v>38.444444444444443</c:v>
                </c:pt>
                <c:pt idx="18">
                  <c:v>37.333333333333329</c:v>
                </c:pt>
                <c:pt idx="19">
                  <c:v>36.222222222222221</c:v>
                </c:pt>
                <c:pt idx="20">
                  <c:v>35.111111111111114</c:v>
                </c:pt>
                <c:pt idx="21">
                  <c:v>34</c:v>
                </c:pt>
                <c:pt idx="22">
                  <c:v>32.888888888888886</c:v>
                </c:pt>
                <c:pt idx="23">
                  <c:v>31.777777777777779</c:v>
                </c:pt>
                <c:pt idx="24">
                  <c:v>30.666666666666664</c:v>
                </c:pt>
                <c:pt idx="25">
                  <c:v>29.555555555555554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7-4AAA-A24E-B46C0D8EBC54}"/>
            </c:ext>
          </c:extLst>
        </c:ser>
        <c:ser>
          <c:idx val="3"/>
          <c:order val="1"/>
          <c:tx>
            <c:strRef>
              <c:f>[5]DataSupport!$M$2</c:f>
              <c:strCache>
                <c:ptCount val="1"/>
                <c:pt idx="0">
                  <c:v>ZHV*KCU (R290)</c:v>
                </c:pt>
              </c:strCache>
            </c:strRef>
          </c:tx>
          <c:spPr>
            <a:ln w="44450"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[5]DataSupport!$M$4:$M$13</c:f>
              <c:numCache>
                <c:formatCode>General</c:formatCode>
                <c:ptCount val="10"/>
                <c:pt idx="0">
                  <c:v>-30</c:v>
                </c:pt>
                <c:pt idx="1">
                  <c:v>-9</c:v>
                </c:pt>
                <c:pt idx="2">
                  <c:v>15</c:v>
                </c:pt>
                <c:pt idx="3">
                  <c:v>25</c:v>
                </c:pt>
                <c:pt idx="4">
                  <c:v>25</c:v>
                </c:pt>
                <c:pt idx="5">
                  <c:v>-11</c:v>
                </c:pt>
                <c:pt idx="6">
                  <c:v>-30</c:v>
                </c:pt>
                <c:pt idx="7">
                  <c:v>-30</c:v>
                </c:pt>
              </c:numCache>
            </c:numRef>
          </c:xVal>
          <c:yVal>
            <c:numRef>
              <c:f>[5]DataSupport!$N$4:$N$13</c:f>
              <c:numCache>
                <c:formatCode>General</c:formatCode>
                <c:ptCount val="10"/>
                <c:pt idx="0">
                  <c:v>45</c:v>
                </c:pt>
                <c:pt idx="1">
                  <c:v>70</c:v>
                </c:pt>
                <c:pt idx="2">
                  <c:v>70</c:v>
                </c:pt>
                <c:pt idx="3">
                  <c:v>60</c:v>
                </c:pt>
                <c:pt idx="4">
                  <c:v>40</c:v>
                </c:pt>
                <c:pt idx="5">
                  <c:v>17</c:v>
                </c:pt>
                <c:pt idx="6">
                  <c:v>17</c:v>
                </c:pt>
                <c:pt idx="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7-4AAA-A24E-B46C0D8EBC54}"/>
            </c:ext>
          </c:extLst>
        </c:ser>
        <c:ser>
          <c:idx val="4"/>
          <c:order val="2"/>
          <c:tx>
            <c:strRef>
              <c:f>[5]DataSupport!$P$2</c:f>
              <c:strCache>
                <c:ptCount val="1"/>
                <c:pt idx="0">
                  <c:v>ZHW*KCU w/ EVI (R290)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[5]DataSupport!$P$4:$P$8</c:f>
              <c:numCache>
                <c:formatCode>General</c:formatCode>
                <c:ptCount val="5"/>
                <c:pt idx="0">
                  <c:v>-30</c:v>
                </c:pt>
                <c:pt idx="1">
                  <c:v>-30</c:v>
                </c:pt>
                <c:pt idx="2">
                  <c:v>-20</c:v>
                </c:pt>
                <c:pt idx="3">
                  <c:v>-9</c:v>
                </c:pt>
              </c:numCache>
            </c:numRef>
          </c:xVal>
          <c:yVal>
            <c:numRef>
              <c:f>[5]DataSupport!$Q$4:$Q$8</c:f>
              <c:numCache>
                <c:formatCode>General</c:formatCode>
                <c:ptCount val="5"/>
                <c:pt idx="0">
                  <c:v>45</c:v>
                </c:pt>
                <c:pt idx="1">
                  <c:v>65</c:v>
                </c:pt>
                <c:pt idx="2">
                  <c:v>70</c:v>
                </c:pt>
                <c:pt idx="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27-4AAA-A24E-B46C0D8EBC54}"/>
            </c:ext>
          </c:extLst>
        </c:ser>
        <c:ser>
          <c:idx val="7"/>
          <c:order val="3"/>
          <c:tx>
            <c:strRef>
              <c:f>[5]DataSupport!$W$2</c:f>
              <c:strCache>
                <c:ptCount val="1"/>
                <c:pt idx="0">
                  <c:v>ZH*KCU Quest (R290-10K)</c:v>
                </c:pt>
              </c:strCache>
            </c:strRef>
          </c:tx>
          <c:spPr>
            <a:ln w="38100">
              <a:solidFill>
                <a:schemeClr val="accent6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[5]DataSupport!$W$13:$W$16</c:f>
              <c:numCache>
                <c:formatCode>General</c:formatCode>
                <c:ptCount val="4"/>
                <c:pt idx="0">
                  <c:v>-10</c:v>
                </c:pt>
                <c:pt idx="1">
                  <c:v>-15</c:v>
                </c:pt>
                <c:pt idx="2">
                  <c:v>-30</c:v>
                </c:pt>
                <c:pt idx="3">
                  <c:v>-30</c:v>
                </c:pt>
              </c:numCache>
            </c:numRef>
          </c:xVal>
          <c:yVal>
            <c:numRef>
              <c:f>[5]DataSupport!$X$13:$X$16</c:f>
              <c:numCache>
                <c:formatCode>General</c:formatCode>
                <c:ptCount val="4"/>
                <c:pt idx="0">
                  <c:v>70</c:v>
                </c:pt>
                <c:pt idx="1">
                  <c:v>70</c:v>
                </c:pt>
                <c:pt idx="2">
                  <c:v>52</c:v>
                </c:pt>
                <c:pt idx="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27-4AAA-A24E-B46C0D8EBC54}"/>
            </c:ext>
          </c:extLst>
        </c:ser>
        <c:ser>
          <c:idx val="8"/>
          <c:order val="4"/>
          <c:tx>
            <c:strRef>
              <c:f>'[5]Envelope (2)'!$Q$9</c:f>
              <c:strCache>
                <c:ptCount val="1"/>
                <c:pt idx="0">
                  <c:v>Target (HCOP = 3.5)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(2)'!$S$9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'[5]Envelope (2)'!$T$9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27-4AAA-A24E-B46C0D8EBC54}"/>
            </c:ext>
          </c:extLst>
        </c:ser>
        <c:ser>
          <c:idx val="9"/>
          <c:order val="5"/>
          <c:tx>
            <c:strRef>
              <c:f>'[5]Envelope (2)'!$Q$10</c:f>
              <c:strCache>
                <c:ptCount val="1"/>
                <c:pt idx="0">
                  <c:v>Design Point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(2)'!$S$10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(2)'!$T$10</c:f>
              <c:numCache>
                <c:formatCode>General</c:formatCode>
                <c:ptCount val="1"/>
                <c:pt idx="0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27-4AAA-A24E-B46C0D8EBC54}"/>
            </c:ext>
          </c:extLst>
        </c:ser>
        <c:ser>
          <c:idx val="10"/>
          <c:order val="6"/>
          <c:tx>
            <c:strRef>
              <c:f>'[5]Envelope (2)'!$Q$11</c:f>
              <c:strCache>
                <c:ptCount val="1"/>
                <c:pt idx="0">
                  <c:v>Opimization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chemeClr val="tx1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(2)'!$S$11</c:f>
              <c:numCache>
                <c:formatCode>General</c:formatCode>
                <c:ptCount val="1"/>
                <c:pt idx="0">
                  <c:v>-5</c:v>
                </c:pt>
              </c:numCache>
            </c:numRef>
          </c:xVal>
          <c:yVal>
            <c:numRef>
              <c:f>'[5]Envelope (2)'!$T$11</c:f>
              <c:numCache>
                <c:formatCode>General</c:formatCode>
                <c:ptCount val="1"/>
                <c:pt idx="0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27-4AAA-A24E-B46C0D8EBC54}"/>
            </c:ext>
          </c:extLst>
        </c:ser>
        <c:ser>
          <c:idx val="6"/>
          <c:order val="7"/>
          <c:tx>
            <c:strRef>
              <c:f>'[5]Envelope (2)'!$Q$12</c:f>
              <c:strCache>
                <c:ptCount val="1"/>
                <c:pt idx="0">
                  <c:v>Sanitary Water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quare"/>
            <c:size val="7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'[5]Envelope (2)'!$S$12</c:f>
              <c:numCache>
                <c:formatCode>General</c:formatCode>
                <c:ptCount val="1"/>
                <c:pt idx="0">
                  <c:v>-18</c:v>
                </c:pt>
              </c:numCache>
            </c:numRef>
          </c:xVal>
          <c:yVal>
            <c:numRef>
              <c:f>'[5]Envelope (2)'!$T$12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27-4AAA-A24E-B46C0D8EBC54}"/>
            </c:ext>
          </c:extLst>
        </c:ser>
        <c:ser>
          <c:idx val="11"/>
          <c:order val="8"/>
          <c:spPr>
            <a:ln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4.7388603296167092E-2"/>
                  <c:y val="-5.9104032354303096E-3"/>
                </c:manualLayout>
              </c:layout>
              <c:tx>
                <c:strRef>
                  <c:f>'Calculation (2.5 l)'!$Z$12</c:f>
                  <c:strCache>
                    <c:ptCount val="1"/>
                    <c:pt idx="0">
                      <c:v>50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{87F8191F-FAF8-44D6-AB2A-91B082C4A943}</c15:txfldGUID>
                      <c15:f>'Calculation (2.5 l)'!$Z$12</c15:f>
                      <c15:dlblFieldTableCache>
                        <c:ptCount val="1"/>
                        <c:pt idx="0">
                          <c:v>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327-4AAA-A24E-B46C0D8EBC54}"/>
                </c:ext>
              </c:extLst>
            </c:dLbl>
            <c:dLbl>
              <c:idx val="1"/>
              <c:tx>
                <c:strRef>
                  <c:f>'Calculation (2.5 l)'!$Z$13</c:f>
                  <c:strCache>
                    <c:ptCount val="1"/>
                    <c:pt idx="0">
                      <c:v>43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{C139EF97-DA24-47E0-9B7F-253F34011EE8}</c15:txfldGUID>
                      <c15:f>'Calculation (2.5 l)'!$Z$13</c15:f>
                      <c15:dlblFieldTableCache>
                        <c:ptCount val="1"/>
                        <c:pt idx="0">
                          <c:v>43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327-4AAA-A24E-B46C0D8EBC54}"/>
                </c:ext>
              </c:extLst>
            </c:dLbl>
            <c:dLbl>
              <c:idx val="2"/>
              <c:layout>
                <c:manualLayout>
                  <c:x val="-2.4074143828289895E-3"/>
                  <c:y val="-3.1561704761261959E-2"/>
                </c:manualLayout>
              </c:layout>
              <c:tx>
                <c:strRef>
                  <c:f>'Calculation (2.5 l)'!$Z$14</c:f>
                  <c:strCache>
                    <c:ptCount val="1"/>
                    <c:pt idx="0">
                      <c:v>36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{6972BCF3-24BD-49C8-AEF6-83618336C592}</c15:txfldGUID>
                      <c15:f>'Calculation (2.5 l)'!$Z$14</c15:f>
                      <c15:dlblFieldTableCache>
                        <c:ptCount val="1"/>
                        <c:pt idx="0">
                          <c:v>36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327-4AAA-A24E-B46C0D8EBC54}"/>
                </c:ext>
              </c:extLst>
            </c:dLbl>
            <c:dLbl>
              <c:idx val="3"/>
              <c:layout>
                <c:manualLayout>
                  <c:x val="-2.4074143828289895E-3"/>
                  <c:y val="3.0428940592831202E-2"/>
                </c:manualLayout>
              </c:layout>
              <c:tx>
                <c:strRef>
                  <c:f>'Calculation (2.5 l)'!$Z$15</c:f>
                  <c:strCache>
                    <c:ptCount val="1"/>
                    <c:pt idx="0">
                      <c:v>63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{70437E0D-F91D-40A9-A54F-6CABFDDCC3C0}</c15:txfldGUID>
                      <c15:f>'Calculation (2.5 l)'!$Z$15</c15:f>
                      <c15:dlblFieldTableCache>
                        <c:ptCount val="1"/>
                        <c:pt idx="0">
                          <c:v>63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327-4AAA-A24E-B46C0D8EBC54}"/>
                </c:ext>
              </c:extLst>
            </c:dLbl>
            <c:dLbl>
              <c:idx val="4"/>
              <c:tx>
                <c:strRef>
                  <c:f>'Calculation (2.5 l)'!$Z$16</c:f>
                  <c:strCache>
                    <c:ptCount val="1"/>
                    <c:pt idx="0">
                      <c:v>50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{D52BFB95-EEB7-4F13-B5CC-1CDA5EF20640}</c15:txfldGUID>
                      <c15:f>'Calculation (2.5 l)'!$Z$16</c15:f>
                      <c15:dlblFieldTableCache>
                        <c:ptCount val="1"/>
                        <c:pt idx="0">
                          <c:v>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327-4AAA-A24E-B46C0D8EBC54}"/>
                </c:ext>
              </c:extLst>
            </c:dLbl>
            <c:dLbl>
              <c:idx val="5"/>
              <c:tx>
                <c:strRef>
                  <c:f>'Calculation (2.5 l)'!$Z$17</c:f>
                  <c:strCache>
                    <c:ptCount val="1"/>
                    <c:pt idx="0">
                      <c:v>38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{56DAA316-92D6-48BD-A12E-FDB387202CE0}</c15:txfldGUID>
                      <c15:f>'Calculation (2.5 l)'!$Z$17</c15:f>
                      <c15:dlblFieldTableCache>
                        <c:ptCount val="1"/>
                        <c:pt idx="0">
                          <c:v>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6327-4AAA-A24E-B46C0D8EBC54}"/>
                </c:ext>
              </c:extLst>
            </c:dLbl>
            <c:dLbl>
              <c:idx val="6"/>
              <c:tx>
                <c:strRef>
                  <c:f>'Calculation (2.5 l)'!$Z$18</c:f>
                  <c:strCache>
                    <c:ptCount val="1"/>
                    <c:pt idx="0">
                      <c:v>72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{AA4FCB79-1AE8-4570-94D7-D10DC6922C42}</c15:txfldGUID>
                      <c15:f>'Calculation (2.5 l)'!$Z$18</c15:f>
                      <c15:dlblFieldTableCache>
                        <c:ptCount val="1"/>
                        <c:pt idx="0">
                          <c:v>72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6327-4AAA-A24E-B46C0D8EBC54}"/>
                </c:ext>
              </c:extLst>
            </c:dLbl>
            <c:dLbl>
              <c:idx val="7"/>
              <c:tx>
                <c:strRef>
                  <c:f>'Calculation (2.5 l)'!$Z$19</c:f>
                  <c:strCache>
                    <c:ptCount val="1"/>
                    <c:pt idx="0">
                      <c:v>50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{3B165CBA-7929-4606-893C-336BEC247FB7}</c15:txfldGUID>
                      <c15:f>'Calculation (2.5 l)'!$Z$19</c15:f>
                      <c15:dlblFieldTableCache>
                        <c:ptCount val="1"/>
                        <c:pt idx="0">
                          <c:v>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327-4AAA-A24E-B46C0D8EBC5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pPr>
                      <a:defRPr sz="1600" b="0" i="0" strike="noStrike">
                        <a:solidFill>
                          <a:schemeClr val="accent2"/>
                        </a:solidFill>
                        <a:latin typeface="Calibri"/>
                      </a:defRPr>
                    </a:pPr>
                    <a:r>
                      <a:rPr lang="en-US" sz="1600" b="0" i="0" strike="noStrike">
                        <a:latin typeface="Calibri"/>
                      </a:rPr>
                      <a:t>28</a:t>
                    </a:r>
                  </a:p>
                </c:rich>
              </c:tx>
              <c:spPr>
                <a:solidFill>
                  <a:sysClr val="window" lastClr="FFFFFF"/>
                </a:solidFill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27-4AAA-A24E-B46C0D8EBC5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pPr>
                      <a:defRPr sz="1600" b="0" i="0" strike="noStrike">
                        <a:solidFill>
                          <a:schemeClr val="accent2"/>
                        </a:solidFill>
                        <a:latin typeface="Calibri"/>
                      </a:defRPr>
                    </a:pPr>
                    <a:r>
                      <a:rPr lang="en-US" sz="1600" b="0" i="0" strike="noStrike">
                        <a:latin typeface="Calibri"/>
                      </a:rPr>
                      <a:t>31</a:t>
                    </a:r>
                  </a:p>
                </c:rich>
              </c:tx>
              <c:numFmt formatCode="#\,##0" sourceLinked="0"/>
              <c:spPr>
                <a:solidFill>
                  <a:sysClr val="window" lastClr="FFFFFF"/>
                </a:solidFill>
              </c:sp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27-4AAA-A24E-B46C0D8EBC54}"/>
                </c:ext>
              </c:extLst>
            </c:dLbl>
            <c:dLbl>
              <c:idx val="10"/>
              <c:layout>
                <c:manualLayout>
                  <c:x val="1.4537008830599279E-2"/>
                  <c:y val="-2.5148879379804086E-2"/>
                </c:manualLayout>
              </c:layout>
              <c:tx>
                <c:strRef>
                  <c:f>'Calculation (2.5 l)'!$Z$22</c:f>
                  <c:strCache>
                    <c:ptCount val="1"/>
                    <c:pt idx="0">
                      <c:v>34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{136F05B9-EB5C-48E9-B0CB-559091ADA6DA}</c15:txfldGUID>
                      <c15:f>'Calculation (2.5 l)'!$Z$22</c15:f>
                      <c15:dlblFieldTableCache>
                        <c:ptCount val="1"/>
                        <c:pt idx="0">
                          <c:v>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6327-4AAA-A24E-B46C0D8EBC54}"/>
                </c:ext>
              </c:extLst>
            </c:dLbl>
            <c:dLbl>
              <c:idx val="11"/>
              <c:layout>
                <c:manualLayout>
                  <c:x val="-4.5840344139940904E-2"/>
                  <c:y val="4.7776390669995502E-3"/>
                </c:manualLayout>
              </c:layout>
              <c:tx>
                <c:strRef>
                  <c:f>'Calculation (2.5 l)'!$Z$23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{9D9065DB-0784-4DFC-8277-83A6483FF7C3}</c15:txfldGUID>
                      <c15:f>'Calculation (2.5 l)'!$Z$23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327-4AAA-A24E-B46C0D8EBC54}"/>
                </c:ext>
              </c:extLst>
            </c:dLbl>
            <c:dLbl>
              <c:idx val="12"/>
              <c:layout>
                <c:manualLayout>
                  <c:x val="-5.2033015063131731E-2"/>
                  <c:y val="-1.6351863144583641E-3"/>
                </c:manualLayout>
              </c:layout>
              <c:tx>
                <c:strRef>
                  <c:f>'Calculation (2.5 l)'!$Z$24</c:f>
                  <c:strCache>
                    <c:ptCount val="1"/>
                    <c:pt idx="0">
                      <c:v>38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{02D02C6C-E597-4580-865F-8A56B69E114A}</c15:txfldGUID>
                      <c15:f>'Calculation (2.5 l)'!$Z$24</c15:f>
                      <c15:dlblFieldTableCache>
                        <c:ptCount val="1"/>
                        <c:pt idx="0">
                          <c:v>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6327-4AAA-A24E-B46C0D8EBC54}"/>
                </c:ext>
              </c:extLst>
            </c:dLbl>
            <c:dLbl>
              <c:idx val="13"/>
              <c:layout>
                <c:manualLayout>
                  <c:x val="-5.3581030418215291E-2"/>
                  <c:y val="6.915247527485526E-3"/>
                </c:manualLayout>
              </c:layout>
              <c:tx>
                <c:strRef>
                  <c:f>'Calculation (2.5 l)'!$Z$25</c:f>
                  <c:strCache>
                    <c:ptCount val="1"/>
                    <c:pt idx="0">
                      <c:v>28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{475B0D2A-550F-4BA9-8816-B5F95F70B47B}</c15:txfldGUID>
                      <c15:f>'Calculation (2.5 l)'!$Z$25</c15:f>
                      <c15:dlblFieldTableCache>
                        <c:ptCount val="1"/>
                        <c:pt idx="0">
                          <c:v>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6327-4AAA-A24E-B46C0D8EBC54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27-4AAA-A24E-B46C0D8EBC54}"/>
                </c:ext>
              </c:extLst>
            </c:dLbl>
            <c:dLbl>
              <c:idx val="15"/>
              <c:tx>
                <c:strRef>
                  <c:f>'Calculation (2.5 l)'!$Z$27</c:f>
                  <c:strCache>
                    <c:ptCount val="1"/>
                    <c:pt idx="0">
                      <c:v>30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{3A1B940E-194A-412F-8891-5F2AFE92603F}</c15:txfldGUID>
                      <c15:f>'Calculation (2.5 l)'!$Z$27</c15:f>
                      <c15:dlblFieldTableCache>
                        <c:ptCount val="1"/>
                        <c:pt idx="0">
                          <c:v>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6327-4AAA-A24E-B46C0D8EBC54}"/>
                </c:ext>
              </c:extLst>
            </c:dLbl>
            <c:dLbl>
              <c:idx val="16"/>
              <c:tx>
                <c:strRef>
                  <c:f>'Calculation (2.5 l)'!$Z$28</c:f>
                  <c:strCache>
                    <c:ptCount val="1"/>
                    <c:pt idx="0">
                      <c:v>22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{D4BA160D-195E-431E-BAEF-4B1EAD774D9C}</c15:txfldGUID>
                      <c15:f>'Calculation (2.5 l)'!$Z$28</c15:f>
                      <c15:dlblFieldTableCache>
                        <c:ptCount val="1"/>
                        <c:pt idx="0">
                          <c:v>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6327-4AAA-A24E-B46C0D8EBC54}"/>
                </c:ext>
              </c:extLst>
            </c:dLbl>
            <c:dLbl>
              <c:idx val="17"/>
              <c:layout>
                <c:manualLayout>
                  <c:x val="-4.4292206884286062E-2"/>
                  <c:y val="1.7603289829915426E-2"/>
                </c:manualLayout>
              </c:layout>
              <c:tx>
                <c:strRef>
                  <c:f>'Calculation (2.5 l)'!$Z$29</c:f>
                  <c:strCache>
                    <c:ptCount val="1"/>
                    <c:pt idx="0">
                      <c:v>31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{04EF0754-3719-4EC6-ABF3-B43060B2F013}</c15:txfldGUID>
                      <c15:f>'Calculation (2.5 l)'!$Z$29</c15:f>
                      <c15:dlblFieldTableCache>
                        <c:ptCount val="1"/>
                        <c:pt idx="0">
                          <c:v>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6327-4AAA-A24E-B46C0D8EBC54}"/>
                </c:ext>
              </c:extLst>
            </c:dLbl>
            <c:dLbl>
              <c:idx val="18"/>
              <c:tx>
                <c:strRef>
                  <c:f>'Calculation (2.5 l)'!$Z$30</c:f>
                  <c:strCache>
                    <c:ptCount val="1"/>
                    <c:pt idx="0">
                      <c:v>20</c:v>
                    </c:pt>
                  </c:strCache>
                </c:strRef>
              </c:tx>
              <c:spPr>
                <a:solidFill>
                  <a:sysClr val="window" lastClr="FFFFFF"/>
                </a:solidFill>
              </c:spPr>
              <c:txPr>
                <a:bodyPr/>
                <a:lstStyle/>
                <a:p>
                  <a:pPr>
                    <a:defRPr sz="1600" b="0" i="0" strike="noStrike">
                      <a:solidFill>
                        <a:schemeClr val="accent2"/>
                      </a:solidFill>
                      <a:latin typeface="Calibri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{A438E9D4-9CF2-41F5-888A-F2C359C81543}</c15:txfldGUID>
                      <c15:f>'Calculation (2.5 l)'!$Z$30</c15:f>
                      <c15:dlblFieldTableCache>
                        <c:ptCount val="1"/>
                        <c:pt idx="0">
                          <c:v>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6327-4AAA-A24E-B46C0D8EBC54}"/>
                </c:ext>
              </c:extLst>
            </c:dLbl>
            <c:spPr>
              <a:solidFill>
                <a:sysClr val="window" lastClr="FFFFFF"/>
              </a:solidFill>
            </c:spPr>
            <c:txPr>
              <a:bodyPr/>
              <a:lstStyle/>
              <a:p>
                <a:pPr>
                  <a:defRPr sz="1600" b="1">
                    <a:solidFill>
                      <a:schemeClr val="accent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'Calculation (1.5 l)'!$P$12:$P$30</c:f>
              <c:numCache>
                <c:formatCode>General</c:formatCode>
                <c:ptCount val="19"/>
                <c:pt idx="0">
                  <c:v>-30</c:v>
                </c:pt>
                <c:pt idx="1">
                  <c:v>-11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15</c:v>
                </c:pt>
                <c:pt idx="6">
                  <c:v>-9</c:v>
                </c:pt>
                <c:pt idx="7">
                  <c:v>-15</c:v>
                </c:pt>
                <c:pt idx="8">
                  <c:v>-20</c:v>
                </c:pt>
                <c:pt idx="9">
                  <c:v>-30</c:v>
                </c:pt>
                <c:pt idx="10">
                  <c:v>-35</c:v>
                </c:pt>
                <c:pt idx="11">
                  <c:v>-30</c:v>
                </c:pt>
                <c:pt idx="12">
                  <c:v>-30</c:v>
                </c:pt>
                <c:pt idx="13">
                  <c:v>-18</c:v>
                </c:pt>
                <c:pt idx="14">
                  <c:v>-18</c:v>
                </c:pt>
                <c:pt idx="15">
                  <c:v>-5</c:v>
                </c:pt>
                <c:pt idx="16">
                  <c:v>0</c:v>
                </c:pt>
                <c:pt idx="17">
                  <c:v>-20</c:v>
                </c:pt>
                <c:pt idx="18">
                  <c:v>7</c:v>
                </c:pt>
              </c:numCache>
            </c:numRef>
          </c:xVal>
          <c:yVal>
            <c:numRef>
              <c:f>'Calculation (1.5 l)'!$Q$12:$Q$30</c:f>
              <c:numCache>
                <c:formatCode>General</c:formatCode>
                <c:ptCount val="19"/>
                <c:pt idx="0">
                  <c:v>17</c:v>
                </c:pt>
                <c:pt idx="1">
                  <c:v>17</c:v>
                </c:pt>
                <c:pt idx="2">
                  <c:v>40</c:v>
                </c:pt>
                <c:pt idx="3">
                  <c:v>40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65</c:v>
                </c:pt>
                <c:pt idx="10">
                  <c:v>50</c:v>
                </c:pt>
                <c:pt idx="11">
                  <c:v>45</c:v>
                </c:pt>
                <c:pt idx="12">
                  <c:v>35</c:v>
                </c:pt>
                <c:pt idx="13">
                  <c:v>62</c:v>
                </c:pt>
                <c:pt idx="14">
                  <c:v>58</c:v>
                </c:pt>
                <c:pt idx="15">
                  <c:v>43</c:v>
                </c:pt>
                <c:pt idx="16">
                  <c:v>56</c:v>
                </c:pt>
                <c:pt idx="17">
                  <c:v>57</c:v>
                </c:pt>
                <c:pt idx="1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327-4AAA-A24E-B46C0D8EB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84000"/>
        <c:axId val="124385920"/>
      </c:scatterChart>
      <c:valAx>
        <c:axId val="124384000"/>
        <c:scaling>
          <c:orientation val="minMax"/>
          <c:min val="-3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Evaporating Temperature</a:t>
                </a:r>
                <a:r>
                  <a:rPr lang="en-US" sz="1400" baseline="0"/>
                  <a:t> (°C)</a:t>
                </a:r>
                <a:endParaRPr lang="en-US" sz="1400"/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4385920"/>
        <c:crosses val="autoZero"/>
        <c:crossBetween val="midCat"/>
        <c:majorUnit val="5"/>
        <c:minorUnit val="5"/>
      </c:valAx>
      <c:valAx>
        <c:axId val="12438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Condensing</a:t>
                </a:r>
                <a:r>
                  <a:rPr lang="en-US" sz="1400" baseline="0"/>
                  <a:t> Temperature (°C)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0509031198686385E-2"/>
              <c:y val="0.37416515243286896"/>
            </c:manualLayout>
          </c:layout>
          <c:overlay val="0"/>
        </c:title>
        <c:numFmt formatCode="General" sourceLinked="1"/>
        <c:majorTickMark val="out"/>
        <c:min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124384000"/>
        <c:crossesAt val="-35"/>
        <c:crossBetween val="midCat"/>
        <c:minorUnit val="5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9.2632553985743202E-2"/>
          <c:y val="0.80412470908747868"/>
          <c:w val="0.8739305510503137"/>
          <c:h val="5.2552993219525015E-2"/>
        </c:manualLayout>
      </c:layout>
      <c:overlay val="0"/>
      <c:spPr>
        <a:solidFill>
          <a:sysClr val="window" lastClr="FFFFFF"/>
        </a:solidFill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image" Target="../media/image7.jpeg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png"/><Relationship Id="rId6" Type="http://schemas.openxmlformats.org/officeDocument/2006/relationships/image" Target="../media/image8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7.jpeg"/><Relationship Id="rId5" Type="http://schemas.openxmlformats.org/officeDocument/2006/relationships/chart" Target="../charts/chart5.xml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0.xml"/><Relationship Id="rId2" Type="http://schemas.openxmlformats.org/officeDocument/2006/relationships/chart" Target="../charts/chart6.xml"/><Relationship Id="rId1" Type="http://schemas.openxmlformats.org/officeDocument/2006/relationships/image" Target="../media/image7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38100</xdr:rowOff>
    </xdr:from>
    <xdr:to>
      <xdr:col>12</xdr:col>
      <xdr:colOff>0</xdr:colOff>
      <xdr:row>21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38100"/>
          <a:ext cx="7229475" cy="4038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19049</xdr:colOff>
      <xdr:row>0</xdr:row>
      <xdr:rowOff>83344</xdr:rowOff>
    </xdr:from>
    <xdr:to>
      <xdr:col>29</xdr:col>
      <xdr:colOff>14541</xdr:colOff>
      <xdr:row>22</xdr:row>
      <xdr:rowOff>115094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3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305674" y="83344"/>
          <a:ext cx="10318211" cy="4222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595314</xdr:colOff>
      <xdr:row>1</xdr:row>
      <xdr:rowOff>119062</xdr:rowOff>
    </xdr:from>
    <xdr:to>
      <xdr:col>27</xdr:col>
      <xdr:colOff>483395</xdr:colOff>
      <xdr:row>21</xdr:row>
      <xdr:rowOff>61912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3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703595" y="309562"/>
          <a:ext cx="7174706" cy="3752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83344</xdr:colOff>
      <xdr:row>21</xdr:row>
      <xdr:rowOff>95250</xdr:rowOff>
    </xdr:from>
    <xdr:to>
      <xdr:col>11</xdr:col>
      <xdr:colOff>178594</xdr:colOff>
      <xdr:row>46</xdr:row>
      <xdr:rowOff>9525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3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3344" y="4095750"/>
          <a:ext cx="6774656" cy="4676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0.80116</cdr:x>
      <cdr:y>0.71406</cdr:y>
    </cdr:from>
    <cdr:to>
      <cdr:x>0.9434</cdr:x>
      <cdr:y>0.76214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D9B96E0E-9E92-472F-96BA-2D7329FF04CB}"/>
            </a:ext>
          </a:extLst>
        </cdr:cNvPr>
        <cdr:cNvSpPr txBox="1"/>
      </cdr:nvSpPr>
      <cdr:spPr>
        <a:xfrm xmlns:a="http://schemas.openxmlformats.org/drawingml/2006/main">
          <a:off x="6572252" y="4471943"/>
          <a:ext cx="1166811" cy="3010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99E83C64-24BC-4BF0-A78B-B67EFEC41A6A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9E80FFF4-60E7-4373-921C-F1D68A57EDBF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0.35008</cdr:x>
      <cdr:y>0.23237</cdr:y>
    </cdr:from>
    <cdr:to>
      <cdr:x>0.52003</cdr:x>
      <cdr:y>0.28205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A86F0696-4D1B-4B82-9BC3-A99E464EB53D}"/>
            </a:ext>
          </a:extLst>
        </cdr:cNvPr>
        <cdr:cNvSpPr txBox="1"/>
      </cdr:nvSpPr>
      <cdr:spPr>
        <a:xfrm xmlns:a="http://schemas.openxmlformats.org/drawingml/2006/main">
          <a:off x="2738436" y="1381126"/>
          <a:ext cx="1329420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11198654-F8FB-44D1-9233-EC4BEF0CBEC9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0.80116</cdr:x>
      <cdr:y>0.71406</cdr:y>
    </cdr:from>
    <cdr:to>
      <cdr:x>0.9434</cdr:x>
      <cdr:y>0.76214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0E8B8E03-8E30-4735-9AA6-79ECF320456C}"/>
            </a:ext>
          </a:extLst>
        </cdr:cNvPr>
        <cdr:cNvSpPr txBox="1"/>
      </cdr:nvSpPr>
      <cdr:spPr>
        <a:xfrm xmlns:a="http://schemas.openxmlformats.org/drawingml/2006/main">
          <a:off x="6572252" y="4471943"/>
          <a:ext cx="1166811" cy="3010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FAFF0E73-6E33-442D-9F88-5F7DE086E43D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0683F28E-E1A6-4B01-AF5D-71912C45D490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4E54B914-98D7-4FF6-BB50-B05B8C55FD1E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  <cdr:relSizeAnchor xmlns:cdr="http://schemas.openxmlformats.org/drawingml/2006/chartDrawing">
    <cdr:from>
      <cdr:x>0.34833</cdr:x>
      <cdr:y>0.21103</cdr:y>
    </cdr:from>
    <cdr:to>
      <cdr:x>0.51828</cdr:x>
      <cdr:y>0.26071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E666452F-4D30-4C4D-A9A4-344C91D52F90}"/>
            </a:ext>
          </a:extLst>
        </cdr:cNvPr>
        <cdr:cNvSpPr txBox="1"/>
      </cdr:nvSpPr>
      <cdr:spPr>
        <a:xfrm xmlns:a="http://schemas.openxmlformats.org/drawingml/2006/main">
          <a:off x="2857500" y="1321594"/>
          <a:ext cx="1394169" cy="31113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  <cdr:relSizeAnchor xmlns:cdr="http://schemas.openxmlformats.org/drawingml/2006/chartDrawing">
    <cdr:from>
      <cdr:x>0.80116</cdr:x>
      <cdr:y>0.71406</cdr:y>
    </cdr:from>
    <cdr:to>
      <cdr:x>0.9434</cdr:x>
      <cdr:y>0.76214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38AF749F-D9EF-4DDA-9BCE-97262802D33A}"/>
            </a:ext>
          </a:extLst>
        </cdr:cNvPr>
        <cdr:cNvSpPr txBox="1"/>
      </cdr:nvSpPr>
      <cdr:spPr>
        <a:xfrm xmlns:a="http://schemas.openxmlformats.org/drawingml/2006/main">
          <a:off x="6572252" y="4471943"/>
          <a:ext cx="1166811" cy="3010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8" name="TextBox 5">
          <a:extLst xmlns:a="http://schemas.openxmlformats.org/drawingml/2006/main">
            <a:ext uri="{FF2B5EF4-FFF2-40B4-BE49-F238E27FC236}">
              <a16:creationId xmlns:a16="http://schemas.microsoft.com/office/drawing/2014/main" id="{EA911BAD-2A23-4552-8563-F2E022E2579F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9" name="TextBox 6">
          <a:extLst xmlns:a="http://schemas.openxmlformats.org/drawingml/2006/main">
            <a:ext uri="{FF2B5EF4-FFF2-40B4-BE49-F238E27FC236}">
              <a16:creationId xmlns:a16="http://schemas.microsoft.com/office/drawing/2014/main" id="{2AF1E3FD-9B42-4F3A-A062-E0AF61DF3CA0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0.35008</cdr:x>
      <cdr:y>0.23237</cdr:y>
    </cdr:from>
    <cdr:to>
      <cdr:x>0.52003</cdr:x>
      <cdr:y>0.28205</cdr:y>
    </cdr:to>
    <cdr:sp macro="" textlink="">
      <cdr:nvSpPr>
        <cdr:cNvPr id="10" name="TextBox 7">
          <a:extLst xmlns:a="http://schemas.openxmlformats.org/drawingml/2006/main">
            <a:ext uri="{FF2B5EF4-FFF2-40B4-BE49-F238E27FC236}">
              <a16:creationId xmlns:a16="http://schemas.microsoft.com/office/drawing/2014/main" id="{E12DE7DB-793C-422E-8DEC-726CE4E5ADF1}"/>
            </a:ext>
          </a:extLst>
        </cdr:cNvPr>
        <cdr:cNvSpPr txBox="1"/>
      </cdr:nvSpPr>
      <cdr:spPr>
        <a:xfrm xmlns:a="http://schemas.openxmlformats.org/drawingml/2006/main">
          <a:off x="2738436" y="1381126"/>
          <a:ext cx="1329420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11" name="TextBox 4">
          <a:extLst xmlns:a="http://schemas.openxmlformats.org/drawingml/2006/main">
            <a:ext uri="{FF2B5EF4-FFF2-40B4-BE49-F238E27FC236}">
              <a16:creationId xmlns:a16="http://schemas.microsoft.com/office/drawing/2014/main" id="{BFC4B7D4-2D65-4BF2-97E9-D43111CABA24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  <cdr:relSizeAnchor xmlns:cdr="http://schemas.openxmlformats.org/drawingml/2006/chartDrawing">
    <cdr:from>
      <cdr:x>0.80116</cdr:x>
      <cdr:y>0.71406</cdr:y>
    </cdr:from>
    <cdr:to>
      <cdr:x>0.9434</cdr:x>
      <cdr:y>0.76214</cdr:y>
    </cdr:to>
    <cdr:sp macro="" textlink="">
      <cdr:nvSpPr>
        <cdr:cNvPr id="12" name="TextBox 4">
          <a:extLst xmlns:a="http://schemas.openxmlformats.org/drawingml/2006/main">
            <a:ext uri="{FF2B5EF4-FFF2-40B4-BE49-F238E27FC236}">
              <a16:creationId xmlns:a16="http://schemas.microsoft.com/office/drawing/2014/main" id="{2D620E61-6900-40B9-9BE1-6409B94CE86A}"/>
            </a:ext>
          </a:extLst>
        </cdr:cNvPr>
        <cdr:cNvSpPr txBox="1"/>
      </cdr:nvSpPr>
      <cdr:spPr>
        <a:xfrm xmlns:a="http://schemas.openxmlformats.org/drawingml/2006/main">
          <a:off x="6572252" y="4471943"/>
          <a:ext cx="1166811" cy="3010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13" name="TextBox 5">
          <a:extLst xmlns:a="http://schemas.openxmlformats.org/drawingml/2006/main">
            <a:ext uri="{FF2B5EF4-FFF2-40B4-BE49-F238E27FC236}">
              <a16:creationId xmlns:a16="http://schemas.microsoft.com/office/drawing/2014/main" id="{B2F83582-707F-47E6-8451-0D584E5A87E3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14" name="TextBox 6">
          <a:extLst xmlns:a="http://schemas.openxmlformats.org/drawingml/2006/main">
            <a:ext uri="{FF2B5EF4-FFF2-40B4-BE49-F238E27FC236}">
              <a16:creationId xmlns:a16="http://schemas.microsoft.com/office/drawing/2014/main" id="{ECAE32C0-1FE0-4419-AB6D-D7B06FD0EF6B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0.35008</cdr:x>
      <cdr:y>0.23237</cdr:y>
    </cdr:from>
    <cdr:to>
      <cdr:x>0.52003</cdr:x>
      <cdr:y>0.28205</cdr:y>
    </cdr:to>
    <cdr:sp macro="" textlink="">
      <cdr:nvSpPr>
        <cdr:cNvPr id="15" name="TextBox 7">
          <a:extLst xmlns:a="http://schemas.openxmlformats.org/drawingml/2006/main">
            <a:ext uri="{FF2B5EF4-FFF2-40B4-BE49-F238E27FC236}">
              <a16:creationId xmlns:a16="http://schemas.microsoft.com/office/drawing/2014/main" id="{4B923AF2-C890-4A30-86FE-10ABB1BE5968}"/>
            </a:ext>
          </a:extLst>
        </cdr:cNvPr>
        <cdr:cNvSpPr txBox="1"/>
      </cdr:nvSpPr>
      <cdr:spPr>
        <a:xfrm xmlns:a="http://schemas.openxmlformats.org/drawingml/2006/main">
          <a:off x="2738436" y="1381126"/>
          <a:ext cx="1329420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16" name="TextBox 4">
          <a:extLst xmlns:a="http://schemas.openxmlformats.org/drawingml/2006/main">
            <a:ext uri="{FF2B5EF4-FFF2-40B4-BE49-F238E27FC236}">
              <a16:creationId xmlns:a16="http://schemas.microsoft.com/office/drawing/2014/main" id="{FA5F146E-743D-49E9-AC44-BADE02E80D5F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  <cdr:relSizeAnchor xmlns:cdr="http://schemas.openxmlformats.org/drawingml/2006/chartDrawing">
    <cdr:from>
      <cdr:x>0.80116</cdr:x>
      <cdr:y>0.71406</cdr:y>
    </cdr:from>
    <cdr:to>
      <cdr:x>0.9434</cdr:x>
      <cdr:y>0.76214</cdr:y>
    </cdr:to>
    <cdr:sp macro="" textlink="">
      <cdr:nvSpPr>
        <cdr:cNvPr id="17" name="TextBox 4">
          <a:extLst xmlns:a="http://schemas.openxmlformats.org/drawingml/2006/main">
            <a:ext uri="{FF2B5EF4-FFF2-40B4-BE49-F238E27FC236}">
              <a16:creationId xmlns:a16="http://schemas.microsoft.com/office/drawing/2014/main" id="{AC2ED0CD-2622-48BC-9C59-F986FF22CC94}"/>
            </a:ext>
          </a:extLst>
        </cdr:cNvPr>
        <cdr:cNvSpPr txBox="1"/>
      </cdr:nvSpPr>
      <cdr:spPr>
        <a:xfrm xmlns:a="http://schemas.openxmlformats.org/drawingml/2006/main">
          <a:off x="6572252" y="4471943"/>
          <a:ext cx="1166811" cy="3010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18" name="TextBox 5">
          <a:extLst xmlns:a="http://schemas.openxmlformats.org/drawingml/2006/main">
            <a:ext uri="{FF2B5EF4-FFF2-40B4-BE49-F238E27FC236}">
              <a16:creationId xmlns:a16="http://schemas.microsoft.com/office/drawing/2014/main" id="{82822E1D-05B0-4018-936C-3BA7BF7D2E60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19" name="TextBox 6">
          <a:extLst xmlns:a="http://schemas.openxmlformats.org/drawingml/2006/main">
            <a:ext uri="{FF2B5EF4-FFF2-40B4-BE49-F238E27FC236}">
              <a16:creationId xmlns:a16="http://schemas.microsoft.com/office/drawing/2014/main" id="{728BE380-F0DE-44AD-BA07-DC57072C098B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0.35008</cdr:x>
      <cdr:y>0.23237</cdr:y>
    </cdr:from>
    <cdr:to>
      <cdr:x>0.52003</cdr:x>
      <cdr:y>0.28205</cdr:y>
    </cdr:to>
    <cdr:sp macro="" textlink="">
      <cdr:nvSpPr>
        <cdr:cNvPr id="20" name="TextBox 7">
          <a:extLst xmlns:a="http://schemas.openxmlformats.org/drawingml/2006/main">
            <a:ext uri="{FF2B5EF4-FFF2-40B4-BE49-F238E27FC236}">
              <a16:creationId xmlns:a16="http://schemas.microsoft.com/office/drawing/2014/main" id="{E04E7A38-4551-45C8-A607-AA4B74C7B8A1}"/>
            </a:ext>
          </a:extLst>
        </cdr:cNvPr>
        <cdr:cNvSpPr txBox="1"/>
      </cdr:nvSpPr>
      <cdr:spPr>
        <a:xfrm xmlns:a="http://schemas.openxmlformats.org/drawingml/2006/main">
          <a:off x="2738436" y="1381126"/>
          <a:ext cx="1329420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21" name="TextBox 4">
          <a:extLst xmlns:a="http://schemas.openxmlformats.org/drawingml/2006/main">
            <a:ext uri="{FF2B5EF4-FFF2-40B4-BE49-F238E27FC236}">
              <a16:creationId xmlns:a16="http://schemas.microsoft.com/office/drawing/2014/main" id="{32A7231D-74AF-4A8E-91A0-5ABF323743DA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0.76006</cdr:x>
      <cdr:y>0.65999</cdr:y>
    </cdr:from>
    <cdr:to>
      <cdr:x>0.90354</cdr:x>
      <cdr:y>0.7161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429CC4FA-5036-45E0-9B0C-1DD7309475AC}"/>
            </a:ext>
          </a:extLst>
        </cdr:cNvPr>
        <cdr:cNvSpPr txBox="1"/>
      </cdr:nvSpPr>
      <cdr:spPr>
        <a:xfrm xmlns:a="http://schemas.openxmlformats.org/drawingml/2006/main">
          <a:off x="6223000" y="3921125"/>
          <a:ext cx="1174751" cy="33337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accent2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002B7866-65BC-4EB8-B065-6000F9DC2005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D8C841EC-0D82-4B50-9832-A57C625CDE34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0.35008</cdr:x>
      <cdr:y>0.23237</cdr:y>
    </cdr:from>
    <cdr:to>
      <cdr:x>0.52003</cdr:x>
      <cdr:y>0.28205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ECDF80C9-1CC1-40D1-AC2B-1B49D0FA2949}"/>
            </a:ext>
          </a:extLst>
        </cdr:cNvPr>
        <cdr:cNvSpPr txBox="1"/>
      </cdr:nvSpPr>
      <cdr:spPr>
        <a:xfrm xmlns:a="http://schemas.openxmlformats.org/drawingml/2006/main">
          <a:off x="2738436" y="1381126"/>
          <a:ext cx="1329420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ED641B95-092B-4076-9DA1-C3EA9CB05484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C9385950-BD17-449F-B1DD-7A9288F60016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F9531C3F-87BD-42FA-A164-CDC96D56E712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0.35008</cdr:x>
      <cdr:y>0.23237</cdr:y>
    </cdr:from>
    <cdr:to>
      <cdr:x>0.52003</cdr:x>
      <cdr:y>0.28205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3C6CAA73-A337-422C-88C5-3D4B132229FC}"/>
            </a:ext>
          </a:extLst>
        </cdr:cNvPr>
        <cdr:cNvSpPr txBox="1"/>
      </cdr:nvSpPr>
      <cdr:spPr>
        <a:xfrm xmlns:a="http://schemas.openxmlformats.org/drawingml/2006/main">
          <a:off x="2738436" y="1381126"/>
          <a:ext cx="1329420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0EBE7CB5-741B-4CA8-AF90-A1CE2A07743D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0.76006</cdr:x>
      <cdr:y>0.65999</cdr:y>
    </cdr:from>
    <cdr:to>
      <cdr:x>0.90354</cdr:x>
      <cdr:y>0.7161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B3469A02-1F58-4D16-BEC5-633FA630E8DF}"/>
            </a:ext>
          </a:extLst>
        </cdr:cNvPr>
        <cdr:cNvSpPr txBox="1"/>
      </cdr:nvSpPr>
      <cdr:spPr>
        <a:xfrm xmlns:a="http://schemas.openxmlformats.org/drawingml/2006/main">
          <a:off x="6223000" y="3921125"/>
          <a:ext cx="1174751" cy="33337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accent2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65C15A32-4CF7-46AB-8B7F-35DDD47CA7E6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C8B602E1-D2F6-4B0D-89C3-61169C29ABD0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0.35008</cdr:x>
      <cdr:y>0.23237</cdr:y>
    </cdr:from>
    <cdr:to>
      <cdr:x>0.52003</cdr:x>
      <cdr:y>0.28205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FF195E7A-55C0-4AAD-8244-4E6268AEF242}"/>
            </a:ext>
          </a:extLst>
        </cdr:cNvPr>
        <cdr:cNvSpPr txBox="1"/>
      </cdr:nvSpPr>
      <cdr:spPr>
        <a:xfrm xmlns:a="http://schemas.openxmlformats.org/drawingml/2006/main">
          <a:off x="2738436" y="1381126"/>
          <a:ext cx="1329420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F45655D5-16C6-4870-8286-6A0271C60F74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269875</xdr:colOff>
      <xdr:row>19</xdr:row>
      <xdr:rowOff>13158</xdr:rowOff>
    </xdr:from>
    <xdr:to>
      <xdr:col>47</xdr:col>
      <xdr:colOff>436563</xdr:colOff>
      <xdr:row>49</xdr:row>
      <xdr:rowOff>124025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501600" y="3632658"/>
          <a:ext cx="6872288" cy="5911592"/>
        </a:xfrm>
        <a:prstGeom prst="rect">
          <a:avLst/>
        </a:prstGeom>
        <a:noFill/>
        <a:ln w="19050" cap="flat" cmpd="sng">
          <a:noFill/>
          <a:prstDash val="solid"/>
          <a:miter lim="800000"/>
          <a:headEnd/>
          <a:tailEnd/>
        </a:ln>
        <a:effectLst/>
      </xdr:spPr>
    </xdr:pic>
    <xdr:clientData/>
  </xdr:twoCellAnchor>
  <xdr:twoCellAnchor>
    <xdr:from>
      <xdr:col>0</xdr:col>
      <xdr:colOff>634999</xdr:colOff>
      <xdr:row>1</xdr:row>
      <xdr:rowOff>3968</xdr:rowOff>
    </xdr:from>
    <xdr:to>
      <xdr:col>12</xdr:col>
      <xdr:colOff>519906</xdr:colOff>
      <xdr:row>31</xdr:row>
      <xdr:rowOff>87312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</xdr:colOff>
      <xdr:row>32</xdr:row>
      <xdr:rowOff>158750</xdr:rowOff>
    </xdr:from>
    <xdr:to>
      <xdr:col>12</xdr:col>
      <xdr:colOff>555625</xdr:colOff>
      <xdr:row>64</xdr:row>
      <xdr:rowOff>87313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119063</xdr:colOff>
      <xdr:row>31</xdr:row>
      <xdr:rowOff>31750</xdr:rowOff>
    </xdr:from>
    <xdr:to>
      <xdr:col>32</xdr:col>
      <xdr:colOff>794</xdr:colOff>
      <xdr:row>37</xdr:row>
      <xdr:rowOff>48420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8664238" y="6022975"/>
          <a:ext cx="4129881" cy="11596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0</xdr:colOff>
      <xdr:row>33</xdr:row>
      <xdr:rowOff>0</xdr:rowOff>
    </xdr:from>
    <xdr:to>
      <xdr:col>23</xdr:col>
      <xdr:colOff>678657</xdr:colOff>
      <xdr:row>64</xdr:row>
      <xdr:rowOff>35719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66</xdr:row>
      <xdr:rowOff>0</xdr:rowOff>
    </xdr:from>
    <xdr:to>
      <xdr:col>23</xdr:col>
      <xdr:colOff>678657</xdr:colOff>
      <xdr:row>97</xdr:row>
      <xdr:rowOff>35719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231321</xdr:colOff>
      <xdr:row>1</xdr:row>
      <xdr:rowOff>81643</xdr:rowOff>
    </xdr:from>
    <xdr:to>
      <xdr:col>26</xdr:col>
      <xdr:colOff>81642</xdr:colOff>
      <xdr:row>5</xdr:row>
      <xdr:rowOff>54429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14937921" y="272143"/>
          <a:ext cx="3688896" cy="734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800" b="1"/>
            <a:t>W =</a:t>
          </a:r>
          <a:r>
            <a:rPr lang="en-US" sz="1800" b="1" baseline="0"/>
            <a:t> ( gr R290)/(gr R290 + gr  Oil)</a:t>
          </a:r>
        </a:p>
        <a:p>
          <a:r>
            <a:rPr lang="en-US" sz="1800" b="1" baseline="0"/>
            <a:t>gr290 = (W.gr Oil)/(1-W)</a:t>
          </a:r>
          <a:endParaRPr lang="en-US" sz="1800" b="1"/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0.80116</cdr:x>
      <cdr:y>0.71406</cdr:y>
    </cdr:from>
    <cdr:to>
      <cdr:x>0.9434</cdr:x>
      <cdr:y>0.76214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4612ED6E-8C11-4FF7-BF94-D261901D6B1E}"/>
            </a:ext>
          </a:extLst>
        </cdr:cNvPr>
        <cdr:cNvSpPr txBox="1"/>
      </cdr:nvSpPr>
      <cdr:spPr>
        <a:xfrm xmlns:a="http://schemas.openxmlformats.org/drawingml/2006/main">
          <a:off x="6572252" y="4471943"/>
          <a:ext cx="1166811" cy="3010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C602CFB1-D931-4BD7-9779-9DBFD981A732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C4379B11-6D5A-47CF-AEDE-72EB6EB952D1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0.35008</cdr:x>
      <cdr:y>0.23237</cdr:y>
    </cdr:from>
    <cdr:to>
      <cdr:x>0.52003</cdr:x>
      <cdr:y>0.28205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055FB668-6F98-4776-B31B-8E54EBE86FB5}"/>
            </a:ext>
          </a:extLst>
        </cdr:cNvPr>
        <cdr:cNvSpPr txBox="1"/>
      </cdr:nvSpPr>
      <cdr:spPr>
        <a:xfrm xmlns:a="http://schemas.openxmlformats.org/drawingml/2006/main">
          <a:off x="2738436" y="1381126"/>
          <a:ext cx="1329420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2BDF37FF-BE86-420A-A0B5-132F0CE34312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0.80116</cdr:x>
      <cdr:y>0.71406</cdr:y>
    </cdr:from>
    <cdr:to>
      <cdr:x>0.9434</cdr:x>
      <cdr:y>0.76214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6BC5F47E-83B6-468C-9A23-44B57EF7CA3B}"/>
            </a:ext>
          </a:extLst>
        </cdr:cNvPr>
        <cdr:cNvSpPr txBox="1"/>
      </cdr:nvSpPr>
      <cdr:spPr>
        <a:xfrm xmlns:a="http://schemas.openxmlformats.org/drawingml/2006/main">
          <a:off x="6572252" y="4471943"/>
          <a:ext cx="1166811" cy="3010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6BE62513-D037-47D5-991E-12053BFD6542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57A65094-06CC-4BE1-BBB8-28FB0DBA8028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4C484251-8BFD-4E47-B512-6393583380F7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  <cdr:relSizeAnchor xmlns:cdr="http://schemas.openxmlformats.org/drawingml/2006/chartDrawing">
    <cdr:from>
      <cdr:x>0.34833</cdr:x>
      <cdr:y>0.21103</cdr:y>
    </cdr:from>
    <cdr:to>
      <cdr:x>0.51828</cdr:x>
      <cdr:y>0.26071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0B8C9B12-C944-4C10-92AC-CB344D1BA0AD}"/>
            </a:ext>
          </a:extLst>
        </cdr:cNvPr>
        <cdr:cNvSpPr txBox="1"/>
      </cdr:nvSpPr>
      <cdr:spPr>
        <a:xfrm xmlns:a="http://schemas.openxmlformats.org/drawingml/2006/main">
          <a:off x="2857500" y="1321594"/>
          <a:ext cx="1394169" cy="31113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  <cdr:relSizeAnchor xmlns:cdr="http://schemas.openxmlformats.org/drawingml/2006/chartDrawing">
    <cdr:from>
      <cdr:x>0.80116</cdr:x>
      <cdr:y>0.71406</cdr:y>
    </cdr:from>
    <cdr:to>
      <cdr:x>0.9434</cdr:x>
      <cdr:y>0.76214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9F3793B-ED36-4437-9F63-1564AF4BFB8F}"/>
            </a:ext>
          </a:extLst>
        </cdr:cNvPr>
        <cdr:cNvSpPr txBox="1"/>
      </cdr:nvSpPr>
      <cdr:spPr>
        <a:xfrm xmlns:a="http://schemas.openxmlformats.org/drawingml/2006/main">
          <a:off x="6572252" y="4471943"/>
          <a:ext cx="1166811" cy="3010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8" name="TextBox 5">
          <a:extLst xmlns:a="http://schemas.openxmlformats.org/drawingml/2006/main">
            <a:ext uri="{FF2B5EF4-FFF2-40B4-BE49-F238E27FC236}">
              <a16:creationId xmlns:a16="http://schemas.microsoft.com/office/drawing/2014/main" id="{26CF6E37-8461-40D1-B8F1-D72501A6D8FF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9" name="TextBox 6">
          <a:extLst xmlns:a="http://schemas.openxmlformats.org/drawingml/2006/main">
            <a:ext uri="{FF2B5EF4-FFF2-40B4-BE49-F238E27FC236}">
              <a16:creationId xmlns:a16="http://schemas.microsoft.com/office/drawing/2014/main" id="{48D89A99-BC38-4781-8226-B2DD61B5CE85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0.35008</cdr:x>
      <cdr:y>0.23237</cdr:y>
    </cdr:from>
    <cdr:to>
      <cdr:x>0.52003</cdr:x>
      <cdr:y>0.28205</cdr:y>
    </cdr:to>
    <cdr:sp macro="" textlink="">
      <cdr:nvSpPr>
        <cdr:cNvPr id="10" name="TextBox 7">
          <a:extLst xmlns:a="http://schemas.openxmlformats.org/drawingml/2006/main">
            <a:ext uri="{FF2B5EF4-FFF2-40B4-BE49-F238E27FC236}">
              <a16:creationId xmlns:a16="http://schemas.microsoft.com/office/drawing/2014/main" id="{242016A3-C076-42DE-8D67-D6295C97EB0E}"/>
            </a:ext>
          </a:extLst>
        </cdr:cNvPr>
        <cdr:cNvSpPr txBox="1"/>
      </cdr:nvSpPr>
      <cdr:spPr>
        <a:xfrm xmlns:a="http://schemas.openxmlformats.org/drawingml/2006/main">
          <a:off x="2738436" y="1381126"/>
          <a:ext cx="1329420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11" name="TextBox 4">
          <a:extLst xmlns:a="http://schemas.openxmlformats.org/drawingml/2006/main">
            <a:ext uri="{FF2B5EF4-FFF2-40B4-BE49-F238E27FC236}">
              <a16:creationId xmlns:a16="http://schemas.microsoft.com/office/drawing/2014/main" id="{A442B621-0E83-4F4A-B04E-8BA0EB4A674F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  <cdr:relSizeAnchor xmlns:cdr="http://schemas.openxmlformats.org/drawingml/2006/chartDrawing">
    <cdr:from>
      <cdr:x>0.80116</cdr:x>
      <cdr:y>0.71406</cdr:y>
    </cdr:from>
    <cdr:to>
      <cdr:x>0.9434</cdr:x>
      <cdr:y>0.76214</cdr:y>
    </cdr:to>
    <cdr:sp macro="" textlink="">
      <cdr:nvSpPr>
        <cdr:cNvPr id="12" name="TextBox 4">
          <a:extLst xmlns:a="http://schemas.openxmlformats.org/drawingml/2006/main">
            <a:ext uri="{FF2B5EF4-FFF2-40B4-BE49-F238E27FC236}">
              <a16:creationId xmlns:a16="http://schemas.microsoft.com/office/drawing/2014/main" id="{16C0849E-67A4-49B3-A016-E61A6361E066}"/>
            </a:ext>
          </a:extLst>
        </cdr:cNvPr>
        <cdr:cNvSpPr txBox="1"/>
      </cdr:nvSpPr>
      <cdr:spPr>
        <a:xfrm xmlns:a="http://schemas.openxmlformats.org/drawingml/2006/main">
          <a:off x="6572252" y="4471943"/>
          <a:ext cx="1166811" cy="3010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13" name="TextBox 5">
          <a:extLst xmlns:a="http://schemas.openxmlformats.org/drawingml/2006/main">
            <a:ext uri="{FF2B5EF4-FFF2-40B4-BE49-F238E27FC236}">
              <a16:creationId xmlns:a16="http://schemas.microsoft.com/office/drawing/2014/main" id="{122F594F-2C31-4F72-B275-DAA6D2C13CDB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14" name="TextBox 6">
          <a:extLst xmlns:a="http://schemas.openxmlformats.org/drawingml/2006/main">
            <a:ext uri="{FF2B5EF4-FFF2-40B4-BE49-F238E27FC236}">
              <a16:creationId xmlns:a16="http://schemas.microsoft.com/office/drawing/2014/main" id="{5F54C110-F89F-4A14-8E63-431B718B1373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0.35008</cdr:x>
      <cdr:y>0.23237</cdr:y>
    </cdr:from>
    <cdr:to>
      <cdr:x>0.52003</cdr:x>
      <cdr:y>0.28205</cdr:y>
    </cdr:to>
    <cdr:sp macro="" textlink="">
      <cdr:nvSpPr>
        <cdr:cNvPr id="15" name="TextBox 7">
          <a:extLst xmlns:a="http://schemas.openxmlformats.org/drawingml/2006/main">
            <a:ext uri="{FF2B5EF4-FFF2-40B4-BE49-F238E27FC236}">
              <a16:creationId xmlns:a16="http://schemas.microsoft.com/office/drawing/2014/main" id="{3449D50E-8FCE-4CD5-95D6-7EA41EF6C262}"/>
            </a:ext>
          </a:extLst>
        </cdr:cNvPr>
        <cdr:cNvSpPr txBox="1"/>
      </cdr:nvSpPr>
      <cdr:spPr>
        <a:xfrm xmlns:a="http://schemas.openxmlformats.org/drawingml/2006/main">
          <a:off x="2738436" y="1381126"/>
          <a:ext cx="1329420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16" name="TextBox 4">
          <a:extLst xmlns:a="http://schemas.openxmlformats.org/drawingml/2006/main">
            <a:ext uri="{FF2B5EF4-FFF2-40B4-BE49-F238E27FC236}">
              <a16:creationId xmlns:a16="http://schemas.microsoft.com/office/drawing/2014/main" id="{323E0AAC-6A1B-40F0-A802-1ADB3ADDF7F3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  <cdr:relSizeAnchor xmlns:cdr="http://schemas.openxmlformats.org/drawingml/2006/chartDrawing">
    <cdr:from>
      <cdr:x>0.80116</cdr:x>
      <cdr:y>0.71406</cdr:y>
    </cdr:from>
    <cdr:to>
      <cdr:x>0.9434</cdr:x>
      <cdr:y>0.76214</cdr:y>
    </cdr:to>
    <cdr:sp macro="" textlink="">
      <cdr:nvSpPr>
        <cdr:cNvPr id="17" name="TextBox 4">
          <a:extLst xmlns:a="http://schemas.openxmlformats.org/drawingml/2006/main">
            <a:ext uri="{FF2B5EF4-FFF2-40B4-BE49-F238E27FC236}">
              <a16:creationId xmlns:a16="http://schemas.microsoft.com/office/drawing/2014/main" id="{FC1C2D62-2DB9-4E7E-822D-2E11058F6E39}"/>
            </a:ext>
          </a:extLst>
        </cdr:cNvPr>
        <cdr:cNvSpPr txBox="1"/>
      </cdr:nvSpPr>
      <cdr:spPr>
        <a:xfrm xmlns:a="http://schemas.openxmlformats.org/drawingml/2006/main">
          <a:off x="6572252" y="4471943"/>
          <a:ext cx="1166811" cy="3010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18" name="TextBox 5">
          <a:extLst xmlns:a="http://schemas.openxmlformats.org/drawingml/2006/main">
            <a:ext uri="{FF2B5EF4-FFF2-40B4-BE49-F238E27FC236}">
              <a16:creationId xmlns:a16="http://schemas.microsoft.com/office/drawing/2014/main" id="{000188C1-0D07-44D7-8126-7C27C1DA5E97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19" name="TextBox 6">
          <a:extLst xmlns:a="http://schemas.openxmlformats.org/drawingml/2006/main">
            <a:ext uri="{FF2B5EF4-FFF2-40B4-BE49-F238E27FC236}">
              <a16:creationId xmlns:a16="http://schemas.microsoft.com/office/drawing/2014/main" id="{3053C482-7BBB-4BDC-9D98-E12375A475BD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0.35008</cdr:x>
      <cdr:y>0.23237</cdr:y>
    </cdr:from>
    <cdr:to>
      <cdr:x>0.52003</cdr:x>
      <cdr:y>0.28205</cdr:y>
    </cdr:to>
    <cdr:sp macro="" textlink="">
      <cdr:nvSpPr>
        <cdr:cNvPr id="20" name="TextBox 7">
          <a:extLst xmlns:a="http://schemas.openxmlformats.org/drawingml/2006/main">
            <a:ext uri="{FF2B5EF4-FFF2-40B4-BE49-F238E27FC236}">
              <a16:creationId xmlns:a16="http://schemas.microsoft.com/office/drawing/2014/main" id="{AF8239EE-D32F-4A01-9EBA-47F9518E5B39}"/>
            </a:ext>
          </a:extLst>
        </cdr:cNvPr>
        <cdr:cNvSpPr txBox="1"/>
      </cdr:nvSpPr>
      <cdr:spPr>
        <a:xfrm xmlns:a="http://schemas.openxmlformats.org/drawingml/2006/main">
          <a:off x="2738436" y="1381126"/>
          <a:ext cx="1329420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21" name="TextBox 4">
          <a:extLst xmlns:a="http://schemas.openxmlformats.org/drawingml/2006/main">
            <a:ext uri="{FF2B5EF4-FFF2-40B4-BE49-F238E27FC236}">
              <a16:creationId xmlns:a16="http://schemas.microsoft.com/office/drawing/2014/main" id="{31DB9F75-718C-42A7-B92E-3801B57A4DCF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0.76006</cdr:x>
      <cdr:y>0.65999</cdr:y>
    </cdr:from>
    <cdr:to>
      <cdr:x>0.90354</cdr:x>
      <cdr:y>0.7161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86C307C5-31AD-4C99-BD78-C3A5D47C4210}"/>
            </a:ext>
          </a:extLst>
        </cdr:cNvPr>
        <cdr:cNvSpPr txBox="1"/>
      </cdr:nvSpPr>
      <cdr:spPr>
        <a:xfrm xmlns:a="http://schemas.openxmlformats.org/drawingml/2006/main">
          <a:off x="6223000" y="3921125"/>
          <a:ext cx="1174751" cy="33337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accent2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95E3BF84-1D45-4CD8-BEA6-A0EBDCCBF494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2FA2CAD8-ACCB-428E-9B61-B9CB4DA4D809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0.35008</cdr:x>
      <cdr:y>0.23237</cdr:y>
    </cdr:from>
    <cdr:to>
      <cdr:x>0.52003</cdr:x>
      <cdr:y>0.28205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C1A656C2-7C0D-4C89-828D-434BA76640AA}"/>
            </a:ext>
          </a:extLst>
        </cdr:cNvPr>
        <cdr:cNvSpPr txBox="1"/>
      </cdr:nvSpPr>
      <cdr:spPr>
        <a:xfrm xmlns:a="http://schemas.openxmlformats.org/drawingml/2006/main">
          <a:off x="2738436" y="1381126"/>
          <a:ext cx="1329420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954D6790-2699-4B28-890F-184D97F1986F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0D5AC190-86E0-40AF-A022-14A434092402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C6D97085-C49E-4A5D-941D-3A5021F34ABC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0.35008</cdr:x>
      <cdr:y>0.23237</cdr:y>
    </cdr:from>
    <cdr:to>
      <cdr:x>0.52003</cdr:x>
      <cdr:y>0.28205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42283BCC-16B5-4FBB-8944-9E09F95A58F4}"/>
            </a:ext>
          </a:extLst>
        </cdr:cNvPr>
        <cdr:cNvSpPr txBox="1"/>
      </cdr:nvSpPr>
      <cdr:spPr>
        <a:xfrm xmlns:a="http://schemas.openxmlformats.org/drawingml/2006/main">
          <a:off x="2738436" y="1381126"/>
          <a:ext cx="1329420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2487F42C-C862-491E-BC11-3F1144ADF322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9</xdr:col>
      <xdr:colOff>619125</xdr:colOff>
      <xdr:row>8</xdr:row>
      <xdr:rowOff>114300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0"/>
          <a:ext cx="7086600" cy="158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14</xdr:col>
      <xdr:colOff>76200</xdr:colOff>
      <xdr:row>0</xdr:row>
      <xdr:rowOff>0</xdr:rowOff>
    </xdr:from>
    <xdr:to>
      <xdr:col>25</xdr:col>
      <xdr:colOff>361950</xdr:colOff>
      <xdr:row>20</xdr:row>
      <xdr:rowOff>47625</xdr:rowOff>
    </xdr:to>
    <xdr:pic>
      <xdr:nvPicPr>
        <xdr:cNvPr id="2050" name="Picture 1" descr="image003">
          <a:extLst>
            <a:ext uri="{FF2B5EF4-FFF2-40B4-BE49-F238E27FC236}">
              <a16:creationId xmlns:a16="http://schemas.microsoft.com/office/drawing/2014/main" id="{00000000-0008-0000-05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010650" y="0"/>
          <a:ext cx="7315200" cy="3771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104777</xdr:colOff>
      <xdr:row>27</xdr:row>
      <xdr:rowOff>123825</xdr:rowOff>
    </xdr:from>
    <xdr:to>
      <xdr:col>4</xdr:col>
      <xdr:colOff>609600</xdr:colOff>
      <xdr:row>27</xdr:row>
      <xdr:rowOff>133350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CxnSpPr/>
      </xdr:nvCxnSpPr>
      <xdr:spPr>
        <a:xfrm flipH="1" flipV="1">
          <a:off x="2181227" y="5372100"/>
          <a:ext cx="1809748" cy="9525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57154</xdr:colOff>
      <xdr:row>27</xdr:row>
      <xdr:rowOff>142875</xdr:rowOff>
    </xdr:from>
    <xdr:to>
      <xdr:col>4</xdr:col>
      <xdr:colOff>552450</xdr:colOff>
      <xdr:row>29</xdr:row>
      <xdr:rowOff>19050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CxnSpPr/>
      </xdr:nvCxnSpPr>
      <xdr:spPr>
        <a:xfrm flipH="1">
          <a:off x="2133604" y="5391150"/>
          <a:ext cx="1800221" cy="266700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</xdr:colOff>
      <xdr:row>25</xdr:row>
      <xdr:rowOff>95252</xdr:rowOff>
    </xdr:from>
    <xdr:to>
      <xdr:col>4</xdr:col>
      <xdr:colOff>581025</xdr:colOff>
      <xdr:row>27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 flipH="1" flipV="1">
          <a:off x="2076452" y="4962527"/>
          <a:ext cx="1885948" cy="400048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32</xdr:row>
      <xdr:rowOff>104775</xdr:rowOff>
    </xdr:from>
    <xdr:to>
      <xdr:col>4</xdr:col>
      <xdr:colOff>581025</xdr:colOff>
      <xdr:row>32</xdr:row>
      <xdr:rowOff>133350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 flipH="1" flipV="1">
          <a:off x="2819400" y="6315075"/>
          <a:ext cx="1143000" cy="28575"/>
        </a:xfrm>
        <a:prstGeom prst="straightConnector1">
          <a:avLst/>
        </a:prstGeom>
        <a:ln w="508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19051</xdr:colOff>
      <xdr:row>32</xdr:row>
      <xdr:rowOff>123825</xdr:rowOff>
    </xdr:from>
    <xdr:to>
      <xdr:col>4</xdr:col>
      <xdr:colOff>533400</xdr:colOff>
      <xdr:row>33</xdr:row>
      <xdr:rowOff>133350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 flipH="1">
          <a:off x="2095501" y="6334125"/>
          <a:ext cx="1819274" cy="209550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19051</xdr:colOff>
      <xdr:row>31</xdr:row>
      <xdr:rowOff>76202</xdr:rowOff>
    </xdr:from>
    <xdr:to>
      <xdr:col>4</xdr:col>
      <xdr:colOff>533400</xdr:colOff>
      <xdr:row>32</xdr:row>
      <xdr:rowOff>123825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CxnSpPr/>
      </xdr:nvCxnSpPr>
      <xdr:spPr>
        <a:xfrm flipH="1" flipV="1">
          <a:off x="2790826" y="6096002"/>
          <a:ext cx="1123949" cy="238123"/>
        </a:xfrm>
        <a:prstGeom prst="straightConnector1">
          <a:avLst/>
        </a:prstGeom>
        <a:ln w="254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0</xdr:colOff>
      <xdr:row>34</xdr:row>
      <xdr:rowOff>60783</xdr:rowOff>
    </xdr:from>
    <xdr:to>
      <xdr:col>9</xdr:col>
      <xdr:colOff>357188</xdr:colOff>
      <xdr:row>63</xdr:row>
      <xdr:rowOff>44649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6692564"/>
          <a:ext cx="6798469" cy="5960804"/>
        </a:xfrm>
        <a:prstGeom prst="rect">
          <a:avLst/>
        </a:prstGeom>
        <a:noFill/>
        <a:ln w="19050" cap="flat" cmpd="sng">
          <a:noFill/>
          <a:prstDash val="solid"/>
          <a:miter lim="800000"/>
          <a:headEnd/>
          <a:tailEnd/>
        </a:ln>
        <a:effectLst/>
      </xdr:spPr>
    </xdr:pic>
    <xdr:clientData/>
  </xdr:twoCellAnchor>
  <xdr:twoCellAnchor>
    <xdr:from>
      <xdr:col>9</xdr:col>
      <xdr:colOff>380999</xdr:colOff>
      <xdr:row>34</xdr:row>
      <xdr:rowOff>35718</xdr:rowOff>
    </xdr:from>
    <xdr:to>
      <xdr:col>21</xdr:col>
      <xdr:colOff>11906</xdr:colOff>
      <xdr:row>64</xdr:row>
      <xdr:rowOff>119062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20</xdr:col>
      <xdr:colOff>333375</xdr:colOff>
      <xdr:row>101</xdr:row>
      <xdr:rowOff>119063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21</xdr:col>
      <xdr:colOff>452438</xdr:colOff>
      <xdr:row>56</xdr:row>
      <xdr:rowOff>95250</xdr:rowOff>
    </xdr:from>
    <xdr:to>
      <xdr:col>27</xdr:col>
      <xdr:colOff>254794</xdr:colOff>
      <xdr:row>62</xdr:row>
      <xdr:rowOff>16669</xdr:rowOff>
    </xdr:to>
    <xdr:pic>
      <xdr:nvPicPr>
        <xdr:cNvPr id="2053" name="Picture 5">
          <a:extLst>
            <a:ext uri="{FF2B5EF4-FFF2-40B4-BE49-F238E27FC236}">
              <a16:creationId xmlns:a16="http://schemas.microsoft.com/office/drawing/2014/main" id="{00000000-0008-0000-05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5466219" y="11287125"/>
          <a:ext cx="4160044" cy="11358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82550</xdr:colOff>
      <xdr:row>13</xdr:row>
      <xdr:rowOff>39157</xdr:rowOff>
    </xdr:from>
    <xdr:to>
      <xdr:col>28</xdr:col>
      <xdr:colOff>275167</xdr:colOff>
      <xdr:row>32</xdr:row>
      <xdr:rowOff>42332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</xdr:row>
      <xdr:rowOff>152400</xdr:rowOff>
    </xdr:from>
    <xdr:to>
      <xdr:col>19</xdr:col>
      <xdr:colOff>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43</xdr:row>
      <xdr:rowOff>123825</xdr:rowOff>
    </xdr:from>
    <xdr:to>
      <xdr:col>17</xdr:col>
      <xdr:colOff>554832</xdr:colOff>
      <xdr:row>74</xdr:row>
      <xdr:rowOff>159544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0.31839</cdr:x>
      <cdr:y>0.3302</cdr:y>
    </cdr:from>
    <cdr:to>
      <cdr:x>0.44294</cdr:x>
      <cdr:y>0.40012</cdr:y>
    </cdr:to>
    <cdr:sp macro="" textlink="">
      <cdr:nvSpPr>
        <cdr:cNvPr id="3" name="TextBox 6">
          <a:extLst xmlns:a="http://schemas.openxmlformats.org/drawingml/2006/main">
            <a:ext uri="{FF2B5EF4-FFF2-40B4-BE49-F238E27FC236}">
              <a16:creationId xmlns:a16="http://schemas.microsoft.com/office/drawing/2014/main" id="{C601025B-CBD7-41A4-9EDE-7954DC059506}"/>
            </a:ext>
          </a:extLst>
        </cdr:cNvPr>
        <cdr:cNvSpPr txBox="1"/>
      </cdr:nvSpPr>
      <cdr:spPr>
        <a:xfrm xmlns:a="http://schemas.openxmlformats.org/drawingml/2006/main">
          <a:off x="2232020" y="1295797"/>
          <a:ext cx="873145" cy="27438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1"/>
            <a:t>Design Point</a:t>
          </a:r>
        </a:p>
      </cdr:txBody>
    </cdr:sp>
  </cdr:relSizeAnchor>
  <cdr:relSizeAnchor xmlns:cdr="http://schemas.openxmlformats.org/drawingml/2006/chartDrawing">
    <cdr:from>
      <cdr:x>0.29937</cdr:x>
      <cdr:y>0.47414</cdr:y>
    </cdr:from>
    <cdr:to>
      <cdr:x>0.3981</cdr:x>
      <cdr:y>0.56311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CAED74C9-EE31-42AA-B6EB-08B32D0785EE}"/>
            </a:ext>
          </a:extLst>
        </cdr:cNvPr>
        <cdr:cNvSpPr txBox="1"/>
      </cdr:nvSpPr>
      <cdr:spPr>
        <a:xfrm xmlns:a="http://schemas.openxmlformats.org/drawingml/2006/main">
          <a:off x="2098675" y="1860654"/>
          <a:ext cx="692149" cy="3491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/>
            <a:t>Desgign</a:t>
          </a:r>
          <a:r>
            <a:rPr lang="en-US" sz="1000" b="1" baseline="0"/>
            <a:t> Pr</a:t>
          </a:r>
          <a:endParaRPr lang="en-US" sz="1000" b="1"/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0.71009</cdr:x>
      <cdr:y>0.63365</cdr:y>
    </cdr:from>
    <cdr:to>
      <cdr:x>0.92424</cdr:x>
      <cdr:y>0.67655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240F2C24-62E2-440A-984D-6451F432F476}"/>
            </a:ext>
          </a:extLst>
        </cdr:cNvPr>
        <cdr:cNvSpPr txBox="1"/>
      </cdr:nvSpPr>
      <cdr:spPr>
        <a:xfrm xmlns:a="http://schemas.openxmlformats.org/drawingml/2006/main">
          <a:off x="5825184" y="3764643"/>
          <a:ext cx="1756716" cy="254908"/>
        </a:xfrm>
        <a:prstGeom xmlns:a="http://schemas.openxmlformats.org/drawingml/2006/main" prst="rect">
          <a:avLst/>
        </a:prstGeom>
        <a:solidFill xmlns:a="http://schemas.openxmlformats.org/drawingml/2006/main">
          <a:srgbClr val="FFFFCC">
            <a:alpha val="21000"/>
          </a:srgbClr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>
              <a:ln>
                <a:solidFill>
                  <a:srgbClr val="FFFFCC"/>
                </a:solidFill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2.5 liters Oil</a:t>
          </a:r>
          <a:r>
            <a:rPr lang="en-US" sz="1400" b="1" baseline="0">
              <a:ln>
                <a:solidFill>
                  <a:srgbClr val="FFFFCC"/>
                </a:solidFill>
              </a:ln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sump</a:t>
          </a:r>
        </a:p>
        <a:p xmlns:a="http://schemas.openxmlformats.org/drawingml/2006/main">
          <a:endParaRPr lang="en-US" sz="1200" b="1">
            <a:ln>
              <a:solidFill>
                <a:srgbClr val="FFFFCC"/>
              </a:solidFill>
            </a:ln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0.35352</cdr:x>
      <cdr:y>0.47848</cdr:y>
    </cdr:from>
    <cdr:to>
      <cdr:x>0.49816</cdr:x>
      <cdr:y>0.52411</cdr:y>
    </cdr:to>
    <cdr:sp macro="" textlink="">
      <cdr:nvSpPr>
        <cdr:cNvPr id="41" name="TextBox 4">
          <a:extLst xmlns:a="http://schemas.openxmlformats.org/drawingml/2006/main">
            <a:ext uri="{FF2B5EF4-FFF2-40B4-BE49-F238E27FC236}">
              <a16:creationId xmlns:a16="http://schemas.microsoft.com/office/drawing/2014/main" id="{CF704FEE-CC8C-41EA-A187-B451FBF9C8C5}"/>
            </a:ext>
          </a:extLst>
        </cdr:cNvPr>
        <cdr:cNvSpPr txBox="1"/>
      </cdr:nvSpPr>
      <cdr:spPr>
        <a:xfrm xmlns:a="http://schemas.openxmlformats.org/drawingml/2006/main">
          <a:off x="2900043" y="2842783"/>
          <a:ext cx="1186541" cy="27109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  <cdr:relSizeAnchor xmlns:cdr="http://schemas.openxmlformats.org/drawingml/2006/chartDrawing">
    <cdr:from>
      <cdr:x>0.71594</cdr:x>
      <cdr:y>0.69686</cdr:y>
    </cdr:from>
    <cdr:to>
      <cdr:x>0.92192</cdr:x>
      <cdr:y>0.75511</cdr:y>
    </cdr:to>
    <cdr:sp macro="" textlink="">
      <cdr:nvSpPr>
        <cdr:cNvPr id="42" name="TextBox 4">
          <a:extLst xmlns:a="http://schemas.openxmlformats.org/drawingml/2006/main">
            <a:ext uri="{FF2B5EF4-FFF2-40B4-BE49-F238E27FC236}">
              <a16:creationId xmlns:a16="http://schemas.microsoft.com/office/drawing/2014/main" id="{03040547-F477-47E4-92C4-BD2FAC66F13C}"/>
            </a:ext>
          </a:extLst>
        </cdr:cNvPr>
        <cdr:cNvSpPr txBox="1"/>
      </cdr:nvSpPr>
      <cdr:spPr>
        <a:xfrm xmlns:a="http://schemas.openxmlformats.org/drawingml/2006/main">
          <a:off x="5873131" y="4140220"/>
          <a:ext cx="1689719" cy="346055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  <a:ln xmlns:a="http://schemas.openxmlformats.org/drawingml/2006/main" w="9525" cmpd="sng">
          <a:solidFill>
            <a:schemeClr val="accent2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ysClr val="windowText" lastClr="000000"/>
              </a:solidFill>
            </a:rPr>
            <a:t>1.5 liters oil sump</a:t>
          </a:r>
          <a:endParaRPr lang="en-US" sz="1600" b="1" baseline="0">
            <a:solidFill>
              <a:sysClr val="windowText" lastClr="000000"/>
            </a:solidFill>
          </a:endParaRPr>
        </a:p>
        <a:p xmlns:a="http://schemas.openxmlformats.org/drawingml/2006/main">
          <a:endParaRPr lang="en-US" sz="14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0.25213</cdr:x>
      <cdr:y>0.08474</cdr:y>
    </cdr:from>
    <cdr:to>
      <cdr:x>0.29857</cdr:x>
      <cdr:y>0.13284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FE990BA-5E4E-4524-8171-F03E5E1A222F}"/>
            </a:ext>
          </a:extLst>
        </cdr:cNvPr>
        <cdr:cNvSpPr txBox="1"/>
      </cdr:nvSpPr>
      <cdr:spPr>
        <a:xfrm xmlns:a="http://schemas.openxmlformats.org/drawingml/2006/main">
          <a:off x="2068287" y="503463"/>
          <a:ext cx="381000" cy="285750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28</a:t>
          </a:r>
        </a:p>
      </cdr:txBody>
    </cdr:sp>
  </cdr:relSizeAnchor>
  <cdr:relSizeAnchor xmlns:cdr="http://schemas.openxmlformats.org/drawingml/2006/chartDrawing">
    <cdr:from>
      <cdr:x>0.69124</cdr:x>
      <cdr:y>0.091</cdr:y>
    </cdr:from>
    <cdr:to>
      <cdr:x>0.73769</cdr:x>
      <cdr:y>0.1391</cdr:y>
    </cdr:to>
    <cdr:sp macro="" textlink="">
      <cdr:nvSpPr>
        <cdr:cNvPr id="48" name="TextBox 1">
          <a:extLst xmlns:a="http://schemas.openxmlformats.org/drawingml/2006/main">
            <a:ext uri="{FF2B5EF4-FFF2-40B4-BE49-F238E27FC236}">
              <a16:creationId xmlns:a16="http://schemas.microsoft.com/office/drawing/2014/main" id="{E63004DE-4A71-4DE9-9BA9-01EB6D34ACA6}"/>
            </a:ext>
          </a:extLst>
        </cdr:cNvPr>
        <cdr:cNvSpPr txBox="1"/>
      </cdr:nvSpPr>
      <cdr:spPr>
        <a:xfrm xmlns:a="http://schemas.openxmlformats.org/drawingml/2006/main">
          <a:off x="5670550" y="540657"/>
          <a:ext cx="381000" cy="285750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91</a:t>
          </a:r>
        </a:p>
      </cdr:txBody>
    </cdr:sp>
  </cdr:relSizeAnchor>
  <cdr:relSizeAnchor xmlns:cdr="http://schemas.openxmlformats.org/drawingml/2006/chartDrawing">
    <cdr:from>
      <cdr:x>0.12579</cdr:x>
      <cdr:y>0.18811</cdr:y>
    </cdr:from>
    <cdr:to>
      <cdr:x>0.17223</cdr:x>
      <cdr:y>0.23621</cdr:y>
    </cdr:to>
    <cdr:sp macro="" textlink="">
      <cdr:nvSpPr>
        <cdr:cNvPr id="49" name="TextBox 1">
          <a:extLst xmlns:a="http://schemas.openxmlformats.org/drawingml/2006/main">
            <a:ext uri="{FF2B5EF4-FFF2-40B4-BE49-F238E27FC236}">
              <a16:creationId xmlns:a16="http://schemas.microsoft.com/office/drawing/2014/main" id="{F40EF157-4B16-4837-AA7D-211EE9524AE6}"/>
            </a:ext>
          </a:extLst>
        </cdr:cNvPr>
        <cdr:cNvSpPr txBox="1"/>
      </cdr:nvSpPr>
      <cdr:spPr>
        <a:xfrm xmlns:a="http://schemas.openxmlformats.org/drawingml/2006/main">
          <a:off x="1031875" y="1117600"/>
          <a:ext cx="380966" cy="285773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20</a:t>
          </a:r>
        </a:p>
      </cdr:txBody>
    </cdr:sp>
  </cdr:relSizeAnchor>
  <cdr:relSizeAnchor xmlns:cdr="http://schemas.openxmlformats.org/drawingml/2006/chartDrawing">
    <cdr:from>
      <cdr:x>0.10256</cdr:x>
      <cdr:y>0.6354</cdr:y>
    </cdr:from>
    <cdr:to>
      <cdr:x>0.149</cdr:x>
      <cdr:y>0.6835</cdr:y>
    </cdr:to>
    <cdr:sp macro="" textlink="">
      <cdr:nvSpPr>
        <cdr:cNvPr id="50" name="TextBox 1">
          <a:extLst xmlns:a="http://schemas.openxmlformats.org/drawingml/2006/main">
            <a:ext uri="{FF2B5EF4-FFF2-40B4-BE49-F238E27FC236}">
              <a16:creationId xmlns:a16="http://schemas.microsoft.com/office/drawing/2014/main" id="{31F39ABC-AB16-42C1-B6E6-B463F23E4DB2}"/>
            </a:ext>
          </a:extLst>
        </cdr:cNvPr>
        <cdr:cNvSpPr txBox="1"/>
      </cdr:nvSpPr>
      <cdr:spPr>
        <a:xfrm xmlns:a="http://schemas.openxmlformats.org/drawingml/2006/main">
          <a:off x="841375" y="3775075"/>
          <a:ext cx="380966" cy="285773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24</a:t>
          </a:r>
        </a:p>
      </cdr:txBody>
    </cdr:sp>
  </cdr:relSizeAnchor>
  <cdr:relSizeAnchor xmlns:cdr="http://schemas.openxmlformats.org/drawingml/2006/chartDrawing">
    <cdr:from>
      <cdr:x>0.35685</cdr:x>
      <cdr:y>0.66426</cdr:y>
    </cdr:from>
    <cdr:to>
      <cdr:x>0.40329</cdr:x>
      <cdr:y>0.71236</cdr:y>
    </cdr:to>
    <cdr:sp macro="" textlink="">
      <cdr:nvSpPr>
        <cdr:cNvPr id="51" name="TextBox 1">
          <a:extLst xmlns:a="http://schemas.openxmlformats.org/drawingml/2006/main">
            <a:ext uri="{FF2B5EF4-FFF2-40B4-BE49-F238E27FC236}">
              <a16:creationId xmlns:a16="http://schemas.microsoft.com/office/drawing/2014/main" id="{B2FE6167-1F98-416B-AEA0-513FEA0A9A1B}"/>
            </a:ext>
          </a:extLst>
        </cdr:cNvPr>
        <cdr:cNvSpPr txBox="1"/>
      </cdr:nvSpPr>
      <cdr:spPr>
        <a:xfrm xmlns:a="http://schemas.openxmlformats.org/drawingml/2006/main">
          <a:off x="2927350" y="3946525"/>
          <a:ext cx="380966" cy="285773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54</a:t>
          </a:r>
        </a:p>
      </cdr:txBody>
    </cdr:sp>
  </cdr:relSizeAnchor>
  <cdr:relSizeAnchor xmlns:cdr="http://schemas.openxmlformats.org/drawingml/2006/chartDrawing">
    <cdr:from>
      <cdr:x>0.82709</cdr:x>
      <cdr:y>0.17528</cdr:y>
    </cdr:from>
    <cdr:to>
      <cdr:x>0.88128</cdr:x>
      <cdr:y>0.22124</cdr:y>
    </cdr:to>
    <cdr:sp macro="" textlink="">
      <cdr:nvSpPr>
        <cdr:cNvPr id="52" name="TextBox 1">
          <a:extLst xmlns:a="http://schemas.openxmlformats.org/drawingml/2006/main">
            <a:ext uri="{FF2B5EF4-FFF2-40B4-BE49-F238E27FC236}">
              <a16:creationId xmlns:a16="http://schemas.microsoft.com/office/drawing/2014/main" id="{224499A7-6B1C-48CD-9DBC-09265D32C4B9}"/>
            </a:ext>
          </a:extLst>
        </cdr:cNvPr>
        <cdr:cNvSpPr txBox="1"/>
      </cdr:nvSpPr>
      <cdr:spPr>
        <a:xfrm xmlns:a="http://schemas.openxmlformats.org/drawingml/2006/main">
          <a:off x="6784975" y="1041401"/>
          <a:ext cx="444500" cy="273050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141</a:t>
          </a:r>
        </a:p>
      </cdr:txBody>
    </cdr:sp>
  </cdr:relSizeAnchor>
  <cdr:relSizeAnchor xmlns:cdr="http://schemas.openxmlformats.org/drawingml/2006/chartDrawing">
    <cdr:from>
      <cdr:x>0.8387</cdr:x>
      <cdr:y>0.44943</cdr:y>
    </cdr:from>
    <cdr:to>
      <cdr:x>0.89289</cdr:x>
      <cdr:y>0.49539</cdr:y>
    </cdr:to>
    <cdr:sp macro="" textlink="">
      <cdr:nvSpPr>
        <cdr:cNvPr id="53" name="TextBox 1">
          <a:extLst xmlns:a="http://schemas.openxmlformats.org/drawingml/2006/main">
            <a:ext uri="{FF2B5EF4-FFF2-40B4-BE49-F238E27FC236}">
              <a16:creationId xmlns:a16="http://schemas.microsoft.com/office/drawing/2014/main" id="{3A6D000B-B084-4280-B93E-6A77B712E679}"/>
            </a:ext>
          </a:extLst>
        </cdr:cNvPr>
        <cdr:cNvSpPr txBox="1"/>
      </cdr:nvSpPr>
      <cdr:spPr>
        <a:xfrm xmlns:a="http://schemas.openxmlformats.org/drawingml/2006/main">
          <a:off x="6880225" y="2670175"/>
          <a:ext cx="444500" cy="273050"/>
        </a:xfrm>
        <a:prstGeom xmlns:a="http://schemas.openxmlformats.org/drawingml/2006/main" prst="rect">
          <a:avLst/>
        </a:prstGeom>
        <a:solidFill xmlns:a="http://schemas.openxmlformats.org/drawingml/2006/main">
          <a:srgbClr val="FFC000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155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0.80116</cdr:x>
      <cdr:y>0.71406</cdr:y>
    </cdr:from>
    <cdr:to>
      <cdr:x>0.9434</cdr:x>
      <cdr:y>0.76214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9E98A244-C418-43A8-804B-EDF6B89D1EA8}"/>
            </a:ext>
          </a:extLst>
        </cdr:cNvPr>
        <cdr:cNvSpPr txBox="1"/>
      </cdr:nvSpPr>
      <cdr:spPr>
        <a:xfrm xmlns:a="http://schemas.openxmlformats.org/drawingml/2006/main">
          <a:off x="6572252" y="4471943"/>
          <a:ext cx="1166811" cy="3010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6B5A49C9-A892-4100-9DFE-4E7A419C3CAC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1B81E77A-5909-4E91-AC13-23F1CB9B6B3A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0.35008</cdr:x>
      <cdr:y>0.23237</cdr:y>
    </cdr:from>
    <cdr:to>
      <cdr:x>0.52003</cdr:x>
      <cdr:y>0.28205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BA6A0499-8B20-4966-8F1A-CD1E92DB6FB3}"/>
            </a:ext>
          </a:extLst>
        </cdr:cNvPr>
        <cdr:cNvSpPr txBox="1"/>
      </cdr:nvSpPr>
      <cdr:spPr>
        <a:xfrm xmlns:a="http://schemas.openxmlformats.org/drawingml/2006/main">
          <a:off x="2738436" y="1381126"/>
          <a:ext cx="1329420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6CDAA993-63E7-4C99-9B12-137D83D8E22B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0.80116</cdr:x>
      <cdr:y>0.71406</cdr:y>
    </cdr:from>
    <cdr:to>
      <cdr:x>0.9434</cdr:x>
      <cdr:y>0.76214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3A74CA1B-F903-4A35-A7FB-CF2740341E13}"/>
            </a:ext>
          </a:extLst>
        </cdr:cNvPr>
        <cdr:cNvSpPr txBox="1"/>
      </cdr:nvSpPr>
      <cdr:spPr>
        <a:xfrm xmlns:a="http://schemas.openxmlformats.org/drawingml/2006/main">
          <a:off x="6572252" y="4471943"/>
          <a:ext cx="1166811" cy="3010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7BC6ED81-14D3-40B9-B2A5-ABEE1C2B370B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3F0A4C56-A2DA-4E4A-B2E2-1E8BC66B021D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3BDADEE8-C340-433F-A400-37D9E8643E5C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  <cdr:relSizeAnchor xmlns:cdr="http://schemas.openxmlformats.org/drawingml/2006/chartDrawing">
    <cdr:from>
      <cdr:x>0.34833</cdr:x>
      <cdr:y>0.21103</cdr:y>
    </cdr:from>
    <cdr:to>
      <cdr:x>0.51828</cdr:x>
      <cdr:y>0.26071</cdr:y>
    </cdr:to>
    <cdr:sp macro="" textlink="">
      <cdr:nvSpPr>
        <cdr:cNvPr id="7" name="TextBox 7">
          <a:extLst xmlns:a="http://schemas.openxmlformats.org/drawingml/2006/main">
            <a:ext uri="{FF2B5EF4-FFF2-40B4-BE49-F238E27FC236}">
              <a16:creationId xmlns:a16="http://schemas.microsoft.com/office/drawing/2014/main" id="{3E3897D0-C666-42E5-A432-2956E8E2DE70}"/>
            </a:ext>
          </a:extLst>
        </cdr:cNvPr>
        <cdr:cNvSpPr txBox="1"/>
      </cdr:nvSpPr>
      <cdr:spPr>
        <a:xfrm xmlns:a="http://schemas.openxmlformats.org/drawingml/2006/main">
          <a:off x="2857500" y="1321594"/>
          <a:ext cx="1394169" cy="31113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269875</xdr:colOff>
      <xdr:row>19</xdr:row>
      <xdr:rowOff>13158</xdr:rowOff>
    </xdr:from>
    <xdr:to>
      <xdr:col>47</xdr:col>
      <xdr:colOff>436563</xdr:colOff>
      <xdr:row>49</xdr:row>
      <xdr:rowOff>124025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93375" y="3807283"/>
          <a:ext cx="6802438" cy="5968742"/>
        </a:xfrm>
        <a:prstGeom prst="rect">
          <a:avLst/>
        </a:prstGeom>
        <a:noFill/>
        <a:ln w="19050" cap="flat" cmpd="sng">
          <a:noFill/>
          <a:prstDash val="solid"/>
          <a:miter lim="800000"/>
          <a:headEnd/>
          <a:tailEnd/>
        </a:ln>
        <a:effectLst/>
      </xdr:spPr>
    </xdr:pic>
    <xdr:clientData/>
  </xdr:twoCellAnchor>
  <xdr:twoCellAnchor>
    <xdr:from>
      <xdr:col>0</xdr:col>
      <xdr:colOff>634999</xdr:colOff>
      <xdr:row>1</xdr:row>
      <xdr:rowOff>3968</xdr:rowOff>
    </xdr:from>
    <xdr:to>
      <xdr:col>12</xdr:col>
      <xdr:colOff>519906</xdr:colOff>
      <xdr:row>31</xdr:row>
      <xdr:rowOff>87312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</xdr:colOff>
      <xdr:row>32</xdr:row>
      <xdr:rowOff>158750</xdr:rowOff>
    </xdr:from>
    <xdr:to>
      <xdr:col>12</xdr:col>
      <xdr:colOff>555625</xdr:colOff>
      <xdr:row>64</xdr:row>
      <xdr:rowOff>87313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119063</xdr:colOff>
      <xdr:row>31</xdr:row>
      <xdr:rowOff>31750</xdr:rowOff>
    </xdr:from>
    <xdr:to>
      <xdr:col>32</xdr:col>
      <xdr:colOff>794</xdr:colOff>
      <xdr:row>37</xdr:row>
      <xdr:rowOff>48420</xdr:rowOff>
    </xdr:to>
    <xdr:pic>
      <xdr:nvPicPr>
        <xdr:cNvPr id="13" name="Picture 5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8645188" y="6080125"/>
          <a:ext cx="4136231" cy="11596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0</xdr:colOff>
      <xdr:row>33</xdr:row>
      <xdr:rowOff>0</xdr:rowOff>
    </xdr:from>
    <xdr:to>
      <xdr:col>23</xdr:col>
      <xdr:colOff>678657</xdr:colOff>
      <xdr:row>64</xdr:row>
      <xdr:rowOff>35719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</xdr:row>
      <xdr:rowOff>0</xdr:rowOff>
    </xdr:from>
    <xdr:to>
      <xdr:col>29</xdr:col>
      <xdr:colOff>149678</xdr:colOff>
      <xdr:row>5</xdr:row>
      <xdr:rowOff>163286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 txBox="1"/>
      </xdr:nvSpPr>
      <xdr:spPr>
        <a:xfrm>
          <a:off x="17185821" y="381000"/>
          <a:ext cx="3714750" cy="734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800" b="1"/>
            <a:t>W =</a:t>
          </a:r>
          <a:r>
            <a:rPr lang="en-US" sz="1800" b="1" baseline="0"/>
            <a:t> ( gr R290)/(gr R290 + gr  Oil)</a:t>
          </a:r>
        </a:p>
        <a:p>
          <a:r>
            <a:rPr lang="en-US" sz="1800" b="1" baseline="0"/>
            <a:t>gr290 = (W.gr Oil)/(1-W)</a:t>
          </a:r>
          <a:endParaRPr lang="en-US" sz="1800" b="1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0.80116</cdr:x>
      <cdr:y>0.71406</cdr:y>
    </cdr:from>
    <cdr:to>
      <cdr:x>0.9434</cdr:x>
      <cdr:y>0.76214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10963489-97B3-4A6E-908F-55DF5FB6627D}"/>
            </a:ext>
          </a:extLst>
        </cdr:cNvPr>
        <cdr:cNvSpPr txBox="1"/>
      </cdr:nvSpPr>
      <cdr:spPr>
        <a:xfrm xmlns:a="http://schemas.openxmlformats.org/drawingml/2006/main">
          <a:off x="6572252" y="4471943"/>
          <a:ext cx="1166811" cy="3010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312C235D-CF54-4B30-ACFE-2054679FE49A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F11E1181-B2A7-4791-86F3-CD5E7F6D7E4B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0.35008</cdr:x>
      <cdr:y>0.23237</cdr:y>
    </cdr:from>
    <cdr:to>
      <cdr:x>0.52003</cdr:x>
      <cdr:y>0.28205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962FCC71-5E64-43AE-8A82-68B1034D6A0E}"/>
            </a:ext>
          </a:extLst>
        </cdr:cNvPr>
        <cdr:cNvSpPr txBox="1"/>
      </cdr:nvSpPr>
      <cdr:spPr>
        <a:xfrm xmlns:a="http://schemas.openxmlformats.org/drawingml/2006/main">
          <a:off x="2738436" y="1381126"/>
          <a:ext cx="1329420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Sanitary Water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96468442-A1A7-4F1F-AA86-A3308DAE73D5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0.80116</cdr:x>
      <cdr:y>0.71406</cdr:y>
    </cdr:from>
    <cdr:to>
      <cdr:x>0.9434</cdr:x>
      <cdr:y>0.76214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BE8D7F7D-45A4-41BE-94D0-4EFFC32AFE0D}"/>
            </a:ext>
          </a:extLst>
        </cdr:cNvPr>
        <cdr:cNvSpPr txBox="1"/>
      </cdr:nvSpPr>
      <cdr:spPr>
        <a:xfrm xmlns:a="http://schemas.openxmlformats.org/drawingml/2006/main">
          <a:off x="6572252" y="4471943"/>
          <a:ext cx="1166811" cy="3010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0CA55D84-CDCC-4901-9468-D088A478F6B2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41783B5B-7929-48DE-A2CA-6F468DC37B9F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  <cdr:relSizeAnchor xmlns:cdr="http://schemas.openxmlformats.org/drawingml/2006/chartDrawing">
    <cdr:from>
      <cdr:x>0.80116</cdr:x>
      <cdr:y>0.71406</cdr:y>
    </cdr:from>
    <cdr:to>
      <cdr:x>0.9434</cdr:x>
      <cdr:y>0.76214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6AA5F49C-BEAA-45E0-94FD-B42EBA3C04CA}"/>
            </a:ext>
          </a:extLst>
        </cdr:cNvPr>
        <cdr:cNvSpPr txBox="1"/>
      </cdr:nvSpPr>
      <cdr:spPr>
        <a:xfrm xmlns:a="http://schemas.openxmlformats.org/drawingml/2006/main">
          <a:off x="6572252" y="4471943"/>
          <a:ext cx="1166811" cy="3010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8" name="TextBox 5">
          <a:extLst xmlns:a="http://schemas.openxmlformats.org/drawingml/2006/main">
            <a:ext uri="{FF2B5EF4-FFF2-40B4-BE49-F238E27FC236}">
              <a16:creationId xmlns:a16="http://schemas.microsoft.com/office/drawing/2014/main" id="{8C0D83CE-3BD1-4387-8E5A-B96D01A70EEB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11" name="TextBox 4">
          <a:extLst xmlns:a="http://schemas.openxmlformats.org/drawingml/2006/main">
            <a:ext uri="{FF2B5EF4-FFF2-40B4-BE49-F238E27FC236}">
              <a16:creationId xmlns:a16="http://schemas.microsoft.com/office/drawing/2014/main" id="{13A18AFB-2A44-41DC-9F35-07A6B077FEA2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  <cdr:relSizeAnchor xmlns:cdr="http://schemas.openxmlformats.org/drawingml/2006/chartDrawing">
    <cdr:from>
      <cdr:x>0.80116</cdr:x>
      <cdr:y>0.71406</cdr:y>
    </cdr:from>
    <cdr:to>
      <cdr:x>0.9434</cdr:x>
      <cdr:y>0.76214</cdr:y>
    </cdr:to>
    <cdr:sp macro="" textlink="">
      <cdr:nvSpPr>
        <cdr:cNvPr id="12" name="TextBox 4">
          <a:extLst xmlns:a="http://schemas.openxmlformats.org/drawingml/2006/main">
            <a:ext uri="{FF2B5EF4-FFF2-40B4-BE49-F238E27FC236}">
              <a16:creationId xmlns:a16="http://schemas.microsoft.com/office/drawing/2014/main" id="{6F57557A-6B7F-40AF-8C7A-19EEFCB2A794}"/>
            </a:ext>
          </a:extLst>
        </cdr:cNvPr>
        <cdr:cNvSpPr txBox="1"/>
      </cdr:nvSpPr>
      <cdr:spPr>
        <a:xfrm xmlns:a="http://schemas.openxmlformats.org/drawingml/2006/main">
          <a:off x="6572252" y="4471943"/>
          <a:ext cx="1166811" cy="3010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13" name="TextBox 5">
          <a:extLst xmlns:a="http://schemas.openxmlformats.org/drawingml/2006/main">
            <a:ext uri="{FF2B5EF4-FFF2-40B4-BE49-F238E27FC236}">
              <a16:creationId xmlns:a16="http://schemas.microsoft.com/office/drawing/2014/main" id="{FA9199E0-5733-4228-9578-6B38ED90DF04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16" name="TextBox 4">
          <a:extLst xmlns:a="http://schemas.openxmlformats.org/drawingml/2006/main">
            <a:ext uri="{FF2B5EF4-FFF2-40B4-BE49-F238E27FC236}">
              <a16:creationId xmlns:a16="http://schemas.microsoft.com/office/drawing/2014/main" id="{5B122644-0E3C-4995-B333-2E8CBC1124C8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  <cdr:relSizeAnchor xmlns:cdr="http://schemas.openxmlformats.org/drawingml/2006/chartDrawing">
    <cdr:from>
      <cdr:x>0.80116</cdr:x>
      <cdr:y>0.71406</cdr:y>
    </cdr:from>
    <cdr:to>
      <cdr:x>0.9434</cdr:x>
      <cdr:y>0.76214</cdr:y>
    </cdr:to>
    <cdr:sp macro="" textlink="">
      <cdr:nvSpPr>
        <cdr:cNvPr id="17" name="TextBox 4">
          <a:extLst xmlns:a="http://schemas.openxmlformats.org/drawingml/2006/main">
            <a:ext uri="{FF2B5EF4-FFF2-40B4-BE49-F238E27FC236}">
              <a16:creationId xmlns:a16="http://schemas.microsoft.com/office/drawing/2014/main" id="{2FB6BBA8-7650-41DC-A5EF-3DC463F8BE0E}"/>
            </a:ext>
          </a:extLst>
        </cdr:cNvPr>
        <cdr:cNvSpPr txBox="1"/>
      </cdr:nvSpPr>
      <cdr:spPr>
        <a:xfrm xmlns:a="http://schemas.openxmlformats.org/drawingml/2006/main">
          <a:off x="6572252" y="4471943"/>
          <a:ext cx="1166811" cy="30109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18" name="TextBox 5">
          <a:extLst xmlns:a="http://schemas.openxmlformats.org/drawingml/2006/main">
            <a:ext uri="{FF2B5EF4-FFF2-40B4-BE49-F238E27FC236}">
              <a16:creationId xmlns:a16="http://schemas.microsoft.com/office/drawing/2014/main" id="{F3DF459C-49F4-416B-8823-76909BEBE15C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0.53266</cdr:x>
      <cdr:y>0.41825</cdr:y>
    </cdr:from>
    <cdr:to>
      <cdr:x>0.6773</cdr:x>
      <cdr:y>0.46388</cdr:y>
    </cdr:to>
    <cdr:sp macro="" textlink="">
      <cdr:nvSpPr>
        <cdr:cNvPr id="21" name="TextBox 4">
          <a:extLst xmlns:a="http://schemas.openxmlformats.org/drawingml/2006/main">
            <a:ext uri="{FF2B5EF4-FFF2-40B4-BE49-F238E27FC236}">
              <a16:creationId xmlns:a16="http://schemas.microsoft.com/office/drawing/2014/main" id="{EA2FB050-D778-420F-AD30-0EDC88156294}"/>
            </a:ext>
          </a:extLst>
        </cdr:cNvPr>
        <cdr:cNvSpPr txBox="1"/>
      </cdr:nvSpPr>
      <cdr:spPr>
        <a:xfrm xmlns:a="http://schemas.openxmlformats.org/drawingml/2006/main">
          <a:off x="4369594" y="2619375"/>
          <a:ext cx="1186543" cy="2857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Text" lastClr="000000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0.76006</cdr:x>
      <cdr:y>0.65999</cdr:y>
    </cdr:from>
    <cdr:to>
      <cdr:x>0.90354</cdr:x>
      <cdr:y>0.7161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43F5DFB8-F993-4F95-A969-C72577FEBFF8}"/>
            </a:ext>
          </a:extLst>
        </cdr:cNvPr>
        <cdr:cNvSpPr txBox="1"/>
      </cdr:nvSpPr>
      <cdr:spPr>
        <a:xfrm xmlns:a="http://schemas.openxmlformats.org/drawingml/2006/main">
          <a:off x="6223000" y="3921125"/>
          <a:ext cx="1174751" cy="33337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chemeClr val="accent2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chemeClr val="accent2"/>
              </a:solidFill>
            </a:rPr>
            <a:t>gr</a:t>
          </a:r>
          <a:r>
            <a:rPr lang="en-US" sz="1600" b="1" baseline="0">
              <a:solidFill>
                <a:schemeClr val="accent2"/>
              </a:solidFill>
            </a:rPr>
            <a:t> R290/Oil</a:t>
          </a:r>
        </a:p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0.58434</cdr:x>
      <cdr:y>0.30609</cdr:y>
    </cdr:from>
    <cdr:to>
      <cdr:x>0.73603</cdr:x>
      <cdr:y>0.35577</cdr:y>
    </cdr:to>
    <cdr:sp macro="" textlink="">
      <cdr:nvSpPr>
        <cdr:cNvPr id="3" name="TextBox 5">
          <a:extLst xmlns:a="http://schemas.openxmlformats.org/drawingml/2006/main">
            <a:ext uri="{FF2B5EF4-FFF2-40B4-BE49-F238E27FC236}">
              <a16:creationId xmlns:a16="http://schemas.microsoft.com/office/drawing/2014/main" id="{AEF230C7-09E3-4551-B4EA-5A445815BCE7}"/>
            </a:ext>
          </a:extLst>
        </cdr:cNvPr>
        <cdr:cNvSpPr txBox="1"/>
      </cdr:nvSpPr>
      <cdr:spPr>
        <a:xfrm xmlns:a="http://schemas.openxmlformats.org/drawingml/2006/main">
          <a:off x="4570979" y="1819275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HCOP = 3.5</a:t>
          </a:r>
        </a:p>
      </cdr:txBody>
    </cdr:sp>
  </cdr:relSizeAnchor>
  <cdr:relSizeAnchor xmlns:cdr="http://schemas.openxmlformats.org/drawingml/2006/chartDrawing">
    <cdr:from>
      <cdr:x>0.3516</cdr:x>
      <cdr:y>0.28846</cdr:y>
    </cdr:from>
    <cdr:to>
      <cdr:x>0.50328</cdr:x>
      <cdr:y>0.33814</cdr:y>
    </cdr:to>
    <cdr:sp macro="" textlink="">
      <cdr:nvSpPr>
        <cdr:cNvPr id="4" name="TextBox 6">
          <a:extLst xmlns:a="http://schemas.openxmlformats.org/drawingml/2006/main">
            <a:ext uri="{FF2B5EF4-FFF2-40B4-BE49-F238E27FC236}">
              <a16:creationId xmlns:a16="http://schemas.microsoft.com/office/drawing/2014/main" id="{79357466-4DBF-49A4-83E2-1BDA6B22816E}"/>
            </a:ext>
          </a:extLst>
        </cdr:cNvPr>
        <cdr:cNvSpPr txBox="1"/>
      </cdr:nvSpPr>
      <cdr:spPr>
        <a:xfrm xmlns:a="http://schemas.openxmlformats.org/drawingml/2006/main">
          <a:off x="2750344" y="1714500"/>
          <a:ext cx="1186543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Design Point</a:t>
          </a:r>
        </a:p>
      </cdr:txBody>
    </cdr:sp>
  </cdr:relSizeAnchor>
  <cdr:relSizeAnchor xmlns:cdr="http://schemas.openxmlformats.org/drawingml/2006/chartDrawing">
    <cdr:from>
      <cdr:x>0.34345</cdr:x>
      <cdr:y>0.22092</cdr:y>
    </cdr:from>
    <cdr:to>
      <cdr:x>0.41966</cdr:x>
      <cdr:y>0.26567</cdr:y>
    </cdr:to>
    <cdr:sp macro="" textlink="">
      <cdr:nvSpPr>
        <cdr:cNvPr id="5" name="TextBox 7">
          <a:extLst xmlns:a="http://schemas.openxmlformats.org/drawingml/2006/main">
            <a:ext uri="{FF2B5EF4-FFF2-40B4-BE49-F238E27FC236}">
              <a16:creationId xmlns:a16="http://schemas.microsoft.com/office/drawing/2014/main" id="{2C6F8487-8BC5-47DD-B485-EA20FA7203FE}"/>
            </a:ext>
          </a:extLst>
        </cdr:cNvPr>
        <cdr:cNvSpPr txBox="1"/>
      </cdr:nvSpPr>
      <cdr:spPr>
        <a:xfrm xmlns:a="http://schemas.openxmlformats.org/drawingml/2006/main">
          <a:off x="2817421" y="1312525"/>
          <a:ext cx="625187" cy="26590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DSW</a:t>
          </a:r>
        </a:p>
      </cdr:txBody>
    </cdr:sp>
  </cdr:relSizeAnchor>
  <cdr:relSizeAnchor xmlns:cdr="http://schemas.openxmlformats.org/drawingml/2006/chartDrawing">
    <cdr:from>
      <cdr:x>0.38835</cdr:x>
      <cdr:y>0.49612</cdr:y>
    </cdr:from>
    <cdr:to>
      <cdr:x>0.53299</cdr:x>
      <cdr:y>0.54175</cdr:y>
    </cdr:to>
    <cdr:sp macro="" textlink="">
      <cdr:nvSpPr>
        <cdr:cNvPr id="6" name="TextBox 4">
          <a:extLst xmlns:a="http://schemas.openxmlformats.org/drawingml/2006/main">
            <a:ext uri="{FF2B5EF4-FFF2-40B4-BE49-F238E27FC236}">
              <a16:creationId xmlns:a16="http://schemas.microsoft.com/office/drawing/2014/main" id="{2115FD49-33BB-4046-A38F-B656AB738712}"/>
            </a:ext>
          </a:extLst>
        </cdr:cNvPr>
        <cdr:cNvSpPr txBox="1"/>
      </cdr:nvSpPr>
      <cdr:spPr>
        <a:xfrm xmlns:a="http://schemas.openxmlformats.org/drawingml/2006/main">
          <a:off x="3185805" y="2947558"/>
          <a:ext cx="1186541" cy="27109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400" b="1"/>
            <a:t>Optimization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269875</xdr:colOff>
      <xdr:row>19</xdr:row>
      <xdr:rowOff>13158</xdr:rowOff>
    </xdr:from>
    <xdr:to>
      <xdr:col>47</xdr:col>
      <xdr:colOff>436563</xdr:colOff>
      <xdr:row>49</xdr:row>
      <xdr:rowOff>124025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501600" y="3632658"/>
          <a:ext cx="6872288" cy="5911592"/>
        </a:xfrm>
        <a:prstGeom prst="rect">
          <a:avLst/>
        </a:prstGeom>
        <a:noFill/>
        <a:ln w="19050" cap="flat" cmpd="sng">
          <a:noFill/>
          <a:prstDash val="solid"/>
          <a:miter lim="800000"/>
          <a:headEnd/>
          <a:tailEnd/>
        </a:ln>
        <a:effectLst/>
      </xdr:spPr>
    </xdr:pic>
    <xdr:clientData/>
  </xdr:twoCellAnchor>
  <xdr:twoCellAnchor>
    <xdr:from>
      <xdr:col>0</xdr:col>
      <xdr:colOff>634999</xdr:colOff>
      <xdr:row>1</xdr:row>
      <xdr:rowOff>3968</xdr:rowOff>
    </xdr:from>
    <xdr:to>
      <xdr:col>12</xdr:col>
      <xdr:colOff>519906</xdr:colOff>
      <xdr:row>31</xdr:row>
      <xdr:rowOff>87312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</xdr:colOff>
      <xdr:row>32</xdr:row>
      <xdr:rowOff>158750</xdr:rowOff>
    </xdr:from>
    <xdr:to>
      <xdr:col>12</xdr:col>
      <xdr:colOff>555625</xdr:colOff>
      <xdr:row>64</xdr:row>
      <xdr:rowOff>87313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119063</xdr:colOff>
      <xdr:row>31</xdr:row>
      <xdr:rowOff>31750</xdr:rowOff>
    </xdr:from>
    <xdr:to>
      <xdr:col>32</xdr:col>
      <xdr:colOff>794</xdr:colOff>
      <xdr:row>37</xdr:row>
      <xdr:rowOff>48420</xdr:rowOff>
    </xdr:to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8664238" y="6022975"/>
          <a:ext cx="4129881" cy="11596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13</xdr:col>
      <xdr:colOff>0</xdr:colOff>
      <xdr:row>33</xdr:row>
      <xdr:rowOff>0</xdr:rowOff>
    </xdr:from>
    <xdr:to>
      <xdr:col>23</xdr:col>
      <xdr:colOff>678657</xdr:colOff>
      <xdr:row>64</xdr:row>
      <xdr:rowOff>35719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66</xdr:row>
      <xdr:rowOff>0</xdr:rowOff>
    </xdr:from>
    <xdr:to>
      <xdr:col>23</xdr:col>
      <xdr:colOff>678657</xdr:colOff>
      <xdr:row>97</xdr:row>
      <xdr:rowOff>35719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231321</xdr:colOff>
      <xdr:row>1</xdr:row>
      <xdr:rowOff>81643</xdr:rowOff>
    </xdr:from>
    <xdr:to>
      <xdr:col>26</xdr:col>
      <xdr:colOff>81642</xdr:colOff>
      <xdr:row>5</xdr:row>
      <xdr:rowOff>54429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14995071" y="272143"/>
          <a:ext cx="3714750" cy="7347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800" b="1"/>
            <a:t>W =</a:t>
          </a:r>
          <a:r>
            <a:rPr lang="en-US" sz="1800" b="1" baseline="0"/>
            <a:t> ( gr R290)/(gr R290 + gr  Oil)</a:t>
          </a:r>
        </a:p>
        <a:p>
          <a:r>
            <a:rPr lang="en-US" sz="1800" b="1" baseline="0"/>
            <a:t>gr290 = (W.gr Oil)/(1-W)</a:t>
          </a:r>
          <a:endParaRPr lang="en-US" sz="1800" b="1"/>
        </a:p>
      </xdr:txBody>
    </xdr:sp>
    <xdr:clientData/>
  </xdr:twoCellAnchor>
  <xdr:twoCellAnchor>
    <xdr:from>
      <xdr:col>24</xdr:col>
      <xdr:colOff>571500</xdr:colOff>
      <xdr:row>40</xdr:row>
      <xdr:rowOff>27214</xdr:rowOff>
    </xdr:from>
    <xdr:to>
      <xdr:col>37</xdr:col>
      <xdr:colOff>11907</xdr:colOff>
      <xdr:row>71</xdr:row>
      <xdr:rowOff>62933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ev\2012_03_Green%20HP_F7Project\30_Engineering%20Tests\VI%20Testing%20ZH18KVE-TFD\R290CVS_optimizationPoint_v4%20(2)_J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c-srv04\Marketing\Air_Conditioning\10_Market_Research_Analysis\Efficiency_Simulations\Seasonal_Effy_Calculator_v09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Microsoft%20Office\Office\Library\Reflib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Microsoft%20Office\Office\Library\refrigeration.xla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LK-SRV24\Dev\2012_03_Green%20HP_F7Project\20_Pre-study\Bivalent%20&amp;%20Optimization%20point\R290CVS_optimizationPoint_v4_JN_2014-02-06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lk-srv24\vol1\Scroll\4_Projects\10_Active%20Projects\Dev\2012_03_Green%20HP_F7Project\30_Engineering%20Tests\VI%20Testing%20proto%20ZPV095\raw-data-Valencia\HA_GHP%232_performance_re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 Sizing"/>
      <sheetName val="Charts"/>
      <sheetName val="Scroll optimization"/>
      <sheetName val="Tbiv optimization"/>
      <sheetName val="Envelope"/>
      <sheetName val="DataSupport"/>
      <sheetName val="Poli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Gas</v>
          </cell>
          <cell r="B2">
            <v>-10</v>
          </cell>
        </row>
        <row r="3">
          <cell r="A3" t="str">
            <v>Elect.</v>
          </cell>
          <cell r="B3">
            <v>-9</v>
          </cell>
        </row>
        <row r="4">
          <cell r="B4">
            <v>-8</v>
          </cell>
        </row>
        <row r="5">
          <cell r="B5">
            <v>-7</v>
          </cell>
        </row>
        <row r="6">
          <cell r="B6">
            <v>-6</v>
          </cell>
        </row>
        <row r="7">
          <cell r="B7">
            <v>-5</v>
          </cell>
        </row>
        <row r="8">
          <cell r="B8">
            <v>-4</v>
          </cell>
        </row>
        <row r="9">
          <cell r="B9">
            <v>-3</v>
          </cell>
        </row>
        <row r="10">
          <cell r="B10">
            <v>-2</v>
          </cell>
        </row>
        <row r="11">
          <cell r="B11">
            <v>-1</v>
          </cell>
        </row>
        <row r="12">
          <cell r="B12">
            <v>0</v>
          </cell>
        </row>
        <row r="13">
          <cell r="B13">
            <v>1</v>
          </cell>
        </row>
        <row r="14">
          <cell r="B14">
            <v>2</v>
          </cell>
        </row>
        <row r="15">
          <cell r="B15">
            <v>3</v>
          </cell>
        </row>
        <row r="16">
          <cell r="B16">
            <v>4</v>
          </cell>
        </row>
        <row r="17">
          <cell r="B17">
            <v>5</v>
          </cell>
        </row>
      </sheetData>
      <sheetData sheetId="6">
        <row r="4">
          <cell r="B4">
            <v>490.31216451803448</v>
          </cell>
          <cell r="C4">
            <v>-203.33137699773701</v>
          </cell>
        </row>
        <row r="5">
          <cell r="B5">
            <v>0</v>
          </cell>
          <cell r="C5">
            <v>-4.6582441544393429</v>
          </cell>
        </row>
        <row r="6">
          <cell r="B6">
            <v>-72.686799543263334</v>
          </cell>
          <cell r="C6">
            <v>31.948566883991774</v>
          </cell>
        </row>
        <row r="7">
          <cell r="B7">
            <v>2.9712190256183355</v>
          </cell>
          <cell r="C7">
            <v>0.12077231115200358</v>
          </cell>
        </row>
        <row r="8">
          <cell r="B8">
            <v>-0.37721366861210193</v>
          </cell>
          <cell r="C8">
            <v>0.1620973833694927</v>
          </cell>
        </row>
        <row r="9">
          <cell r="B9">
            <v>9.5208278818854811E-2</v>
          </cell>
          <cell r="C9">
            <v>-4.7466990110215865E-3</v>
          </cell>
        </row>
        <row r="10">
          <cell r="B10">
            <v>5.3923780243409214E-3</v>
          </cell>
          <cell r="C10">
            <v>2.4894871406027433E-3</v>
          </cell>
        </row>
        <row r="11">
          <cell r="B11">
            <v>1.0720106690248643</v>
          </cell>
          <cell r="C11">
            <v>-0.18230883070453394</v>
          </cell>
        </row>
        <row r="12">
          <cell r="B12">
            <v>1.3268035257991369</v>
          </cell>
          <cell r="C12">
            <v>-0.67224356447482236</v>
          </cell>
        </row>
        <row r="13">
          <cell r="B13">
            <v>0</v>
          </cell>
          <cell r="C13">
            <v>4.7797735703412033E-5</v>
          </cell>
        </row>
        <row r="14">
          <cell r="B14">
            <v>-3.0396948883989002E-4</v>
          </cell>
          <cell r="C14">
            <v>2.9329312300426903E-5</v>
          </cell>
        </row>
        <row r="15">
          <cell r="B15">
            <v>-2.6877649159323846E-2</v>
          </cell>
          <cell r="C15">
            <v>0</v>
          </cell>
        </row>
        <row r="16">
          <cell r="B16">
            <v>8.9200098909859491E-4</v>
          </cell>
          <cell r="C16">
            <v>-2.7104520836763366E-5</v>
          </cell>
        </row>
        <row r="17">
          <cell r="B17">
            <v>2.811381690911079E-2</v>
          </cell>
          <cell r="C17">
            <v>-6.2494449392300495E-3</v>
          </cell>
        </row>
        <row r="18">
          <cell r="B18">
            <v>0</v>
          </cell>
          <cell r="C18">
            <v>0</v>
          </cell>
        </row>
        <row r="19">
          <cell r="B19">
            <v>-1.4960934451481114E-4</v>
          </cell>
          <cell r="C19">
            <v>1.2611929607565223E-4</v>
          </cell>
        </row>
        <row r="20">
          <cell r="B20">
            <v>-7.7316284839527875E-3</v>
          </cell>
          <cell r="C20">
            <v>6.9902013693392863E-3</v>
          </cell>
        </row>
        <row r="21">
          <cell r="B21">
            <v>0</v>
          </cell>
          <cell r="C21">
            <v>6.7268051442888621E-7</v>
          </cell>
        </row>
        <row r="22">
          <cell r="B22">
            <v>-7.0056404718148246E-7</v>
          </cell>
          <cell r="C22">
            <v>0</v>
          </cell>
        </row>
        <row r="23">
          <cell r="B23">
            <v>0</v>
          </cell>
          <cell r="C23">
            <v>-1.8465025289600378E-9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EER_SEER"/>
      <sheetName val="ESEER_SEER_VS"/>
      <sheetName val="ESEER_SEER_VZH"/>
      <sheetName val="NPV"/>
      <sheetName val="SCOP"/>
      <sheetName val="SEER_VZH-stat088"/>
      <sheetName val="VZH088"/>
      <sheetName val="SEER_VZH-stat117"/>
      <sheetName val="VZH117"/>
      <sheetName val="SEER_VZH-stat170"/>
      <sheetName val="VZH170"/>
      <sheetName val="SCOP_data"/>
      <sheetName val="SEER_data"/>
      <sheetName val="DataSupport"/>
      <sheetName val="Polinomials"/>
      <sheetName val="Scenarios"/>
      <sheetName val="ZPV063"/>
      <sheetName val="ZPV60"/>
      <sheetName val="ZPV tested data"/>
      <sheetName val="Comparison"/>
      <sheetName val="ESEER_SEER_di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3">
          <cell r="N3">
            <v>-259141.53720850567</v>
          </cell>
          <cell r="O3">
            <v>0</v>
          </cell>
          <cell r="P3">
            <v>8403.6118979638632</v>
          </cell>
          <cell r="Q3">
            <v>5.8582403977959627</v>
          </cell>
          <cell r="R3">
            <v>0</v>
          </cell>
          <cell r="S3">
            <v>0.80857320361051999</v>
          </cell>
          <cell r="T3">
            <v>0</v>
          </cell>
          <cell r="U3">
            <v>-21.440169764202253</v>
          </cell>
          <cell r="V3">
            <v>-86.30510977934486</v>
          </cell>
          <cell r="W3">
            <v>0</v>
          </cell>
          <cell r="X3">
            <v>-3.6724590857065372E-3</v>
          </cell>
          <cell r="Y3">
            <v>0.16392146168397734</v>
          </cell>
          <cell r="Z3">
            <v>0</v>
          </cell>
          <cell r="AA3">
            <v>0.11314745217966472</v>
          </cell>
          <cell r="AB3">
            <v>0</v>
          </cell>
          <cell r="AC3">
            <v>0</v>
          </cell>
          <cell r="AD3">
            <v>0.27787634205474276</v>
          </cell>
          <cell r="AE3">
            <v>-3.7829487256094508E-5</v>
          </cell>
          <cell r="AF3">
            <v>1.3865246623739489E-5</v>
          </cell>
          <cell r="AG3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definedNames>
      <definedName name="P_D"/>
    </defined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frigeration"/>
    </sheetNames>
    <definedNames>
      <definedName name="pd"/>
      <definedName name="pol"/>
      <definedName name="td"/>
      <definedName name="vtp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P Sizing"/>
      <sheetName val="Charts"/>
      <sheetName val="Scroll optimization"/>
      <sheetName val="Tbiv optimization"/>
      <sheetName val="Envelope"/>
      <sheetName val="Envelope (2)"/>
      <sheetName val="DataSupport"/>
      <sheetName val="Poli"/>
    </sheetNames>
    <sheetDataSet>
      <sheetData sheetId="0">
        <row r="8">
          <cell r="J8">
            <v>-20</v>
          </cell>
          <cell r="L8">
            <v>57.333333333333336</v>
          </cell>
        </row>
        <row r="9">
          <cell r="J9">
            <v>-18.920000000000002</v>
          </cell>
          <cell r="L9">
            <v>56.222222222222221</v>
          </cell>
        </row>
        <row r="10">
          <cell r="J10">
            <v>-17.84</v>
          </cell>
          <cell r="L10">
            <v>55.111111111111114</v>
          </cell>
        </row>
        <row r="11">
          <cell r="J11">
            <v>-16.759999999999998</v>
          </cell>
          <cell r="L11">
            <v>54</v>
          </cell>
        </row>
        <row r="12">
          <cell r="J12">
            <v>-15.68</v>
          </cell>
          <cell r="L12">
            <v>52.888888888888886</v>
          </cell>
        </row>
        <row r="13">
          <cell r="J13">
            <v>-14.6</v>
          </cell>
          <cell r="L13">
            <v>51.777777777777779</v>
          </cell>
        </row>
        <row r="14">
          <cell r="J14">
            <v>-13.52</v>
          </cell>
          <cell r="L14">
            <v>50.666666666666664</v>
          </cell>
        </row>
        <row r="15">
          <cell r="J15">
            <v>-12.44</v>
          </cell>
          <cell r="L15">
            <v>49.555555555555557</v>
          </cell>
        </row>
        <row r="16">
          <cell r="J16">
            <v>-11.36</v>
          </cell>
          <cell r="L16">
            <v>48.444444444444443</v>
          </cell>
        </row>
        <row r="17">
          <cell r="J17">
            <v>-10.28</v>
          </cell>
          <cell r="L17">
            <v>47.333333333333336</v>
          </cell>
        </row>
        <row r="18">
          <cell r="J18">
            <v>-9.1999999999999993</v>
          </cell>
          <cell r="L18">
            <v>46.222222222222221</v>
          </cell>
        </row>
        <row r="19">
          <cell r="J19">
            <v>-8.1199999999999992</v>
          </cell>
          <cell r="L19">
            <v>45.111111111111114</v>
          </cell>
        </row>
        <row r="20">
          <cell r="J20">
            <v>-7.0399999999999991</v>
          </cell>
          <cell r="L20">
            <v>44</v>
          </cell>
        </row>
        <row r="21">
          <cell r="J21">
            <v>-5.9600000000000009</v>
          </cell>
          <cell r="L21">
            <v>42.888888888888886</v>
          </cell>
        </row>
        <row r="22">
          <cell r="J22">
            <v>-4.879999999999999</v>
          </cell>
          <cell r="L22">
            <v>41.777777777777779</v>
          </cell>
        </row>
        <row r="23">
          <cell r="J23">
            <v>-3.8000000000000007</v>
          </cell>
          <cell r="L23">
            <v>40.666666666666671</v>
          </cell>
        </row>
        <row r="24">
          <cell r="J24">
            <v>-2.7200000000000006</v>
          </cell>
          <cell r="L24">
            <v>39.555555555555557</v>
          </cell>
        </row>
        <row r="25">
          <cell r="J25">
            <v>-1.6400000000000006</v>
          </cell>
          <cell r="L25">
            <v>38.444444444444443</v>
          </cell>
        </row>
        <row r="26">
          <cell r="J26">
            <v>-0.5600000000000005</v>
          </cell>
          <cell r="L26">
            <v>37.333333333333329</v>
          </cell>
        </row>
        <row r="27">
          <cell r="J27">
            <v>0.51999999999999957</v>
          </cell>
          <cell r="L27">
            <v>36.222222222222221</v>
          </cell>
        </row>
        <row r="28">
          <cell r="J28">
            <v>1.5999999999999996</v>
          </cell>
          <cell r="L28">
            <v>35.111111111111114</v>
          </cell>
        </row>
        <row r="29">
          <cell r="J29">
            <v>2.6799999999999997</v>
          </cell>
          <cell r="L29">
            <v>34</v>
          </cell>
        </row>
        <row r="30">
          <cell r="J30">
            <v>3.76</v>
          </cell>
          <cell r="L30">
            <v>32.888888888888886</v>
          </cell>
        </row>
        <row r="31">
          <cell r="J31">
            <v>4.84</v>
          </cell>
          <cell r="L31">
            <v>31.777777777777779</v>
          </cell>
        </row>
        <row r="32">
          <cell r="J32">
            <v>5.92</v>
          </cell>
          <cell r="L32">
            <v>30.666666666666664</v>
          </cell>
        </row>
        <row r="33">
          <cell r="J33">
            <v>7</v>
          </cell>
          <cell r="L33">
            <v>29.555555555555554</v>
          </cell>
        </row>
      </sheetData>
      <sheetData sheetId="1"/>
      <sheetData sheetId="2"/>
      <sheetData sheetId="3"/>
      <sheetData sheetId="4"/>
      <sheetData sheetId="5">
        <row r="9">
          <cell r="Q9" t="str">
            <v>Target (HCOP = 3.5)</v>
          </cell>
          <cell r="S9">
            <v>0</v>
          </cell>
          <cell r="T9">
            <v>56</v>
          </cell>
        </row>
        <row r="10">
          <cell r="Q10" t="str">
            <v>Design Point</v>
          </cell>
          <cell r="S10">
            <v>-18</v>
          </cell>
          <cell r="T10">
            <v>58</v>
          </cell>
        </row>
        <row r="11">
          <cell r="Q11" t="str">
            <v>Opimization</v>
          </cell>
          <cell r="S11">
            <v>-5</v>
          </cell>
          <cell r="T11">
            <v>43</v>
          </cell>
        </row>
        <row r="12">
          <cell r="Q12" t="str">
            <v>Sanitary Water</v>
          </cell>
          <cell r="S12">
            <v>-18</v>
          </cell>
          <cell r="T12">
            <v>62</v>
          </cell>
        </row>
      </sheetData>
      <sheetData sheetId="6">
        <row r="2">
          <cell r="M2" t="str">
            <v>ZHV*KCU (R290)</v>
          </cell>
          <cell r="P2" t="str">
            <v>ZHW*KCU w/ EVI (R290)</v>
          </cell>
          <cell r="S2" t="str">
            <v>ZH Quantum (R290 10K/5K)</v>
          </cell>
          <cell r="W2" t="str">
            <v>ZH*KCU Quest (R290-10K)</v>
          </cell>
        </row>
        <row r="4">
          <cell r="G4">
            <v>-25</v>
          </cell>
          <cell r="H4">
            <v>17</v>
          </cell>
          <cell r="J4">
            <v>-8</v>
          </cell>
          <cell r="K4">
            <v>66.8</v>
          </cell>
          <cell r="M4">
            <v>-30</v>
          </cell>
          <cell r="N4">
            <v>45</v>
          </cell>
          <cell r="P4">
            <v>-30</v>
          </cell>
          <cell r="Q4">
            <v>45</v>
          </cell>
          <cell r="S4">
            <v>-30</v>
          </cell>
          <cell r="T4">
            <v>10</v>
          </cell>
        </row>
        <row r="5">
          <cell r="G5">
            <v>-25</v>
          </cell>
          <cell r="H5">
            <v>56</v>
          </cell>
          <cell r="J5">
            <v>15</v>
          </cell>
          <cell r="K5">
            <v>66.8</v>
          </cell>
          <cell r="M5">
            <v>-9</v>
          </cell>
          <cell r="N5">
            <v>70</v>
          </cell>
          <cell r="P5">
            <v>-30</v>
          </cell>
          <cell r="Q5">
            <v>65</v>
          </cell>
          <cell r="S5">
            <v>-10</v>
          </cell>
          <cell r="T5">
            <v>10</v>
          </cell>
        </row>
        <row r="6">
          <cell r="G6">
            <v>-15.4</v>
          </cell>
          <cell r="H6">
            <v>67</v>
          </cell>
          <cell r="J6">
            <v>25</v>
          </cell>
          <cell r="K6">
            <v>60</v>
          </cell>
          <cell r="M6">
            <v>15</v>
          </cell>
          <cell r="N6">
            <v>70</v>
          </cell>
          <cell r="P6">
            <v>-20</v>
          </cell>
          <cell r="Q6">
            <v>70</v>
          </cell>
          <cell r="S6">
            <v>10</v>
          </cell>
          <cell r="T6">
            <v>31</v>
          </cell>
        </row>
        <row r="7">
          <cell r="G7">
            <v>17.5</v>
          </cell>
          <cell r="H7">
            <v>67</v>
          </cell>
          <cell r="J7">
            <v>25</v>
          </cell>
          <cell r="K7">
            <v>40</v>
          </cell>
          <cell r="M7">
            <v>25</v>
          </cell>
          <cell r="N7">
            <v>60</v>
          </cell>
          <cell r="P7">
            <v>-9</v>
          </cell>
          <cell r="Q7">
            <v>70</v>
          </cell>
          <cell r="S7">
            <v>20</v>
          </cell>
          <cell r="T7">
            <v>42</v>
          </cell>
        </row>
        <row r="8">
          <cell r="G8">
            <v>25</v>
          </cell>
          <cell r="H8">
            <v>58</v>
          </cell>
          <cell r="J8">
            <v>-2.2999999999999998</v>
          </cell>
          <cell r="K8">
            <v>22.8</v>
          </cell>
          <cell r="M8">
            <v>25</v>
          </cell>
          <cell r="N8">
            <v>40</v>
          </cell>
          <cell r="S8">
            <v>20</v>
          </cell>
          <cell r="T8">
            <v>60</v>
          </cell>
        </row>
        <row r="9">
          <cell r="G9">
            <v>25</v>
          </cell>
          <cell r="H9">
            <v>39</v>
          </cell>
          <cell r="J9">
            <v>-22.5</v>
          </cell>
          <cell r="K9">
            <v>22.8</v>
          </cell>
          <cell r="M9">
            <v>-11</v>
          </cell>
          <cell r="N9">
            <v>17</v>
          </cell>
          <cell r="S9">
            <v>10</v>
          </cell>
          <cell r="T9">
            <v>70</v>
          </cell>
        </row>
        <row r="10">
          <cell r="G10">
            <v>-11</v>
          </cell>
          <cell r="H10">
            <v>17</v>
          </cell>
          <cell r="J10">
            <v>-22.5</v>
          </cell>
          <cell r="K10">
            <v>51</v>
          </cell>
          <cell r="M10">
            <v>-30</v>
          </cell>
          <cell r="N10">
            <v>17</v>
          </cell>
          <cell r="S10">
            <v>-10</v>
          </cell>
          <cell r="T10">
            <v>70</v>
          </cell>
        </row>
        <row r="11">
          <cell r="G11">
            <v>-25</v>
          </cell>
          <cell r="H11">
            <v>17</v>
          </cell>
          <cell r="J11">
            <v>-8</v>
          </cell>
          <cell r="K11">
            <v>66.8</v>
          </cell>
          <cell r="M11">
            <v>-30</v>
          </cell>
          <cell r="N11">
            <v>46</v>
          </cell>
          <cell r="S11">
            <v>-30</v>
          </cell>
          <cell r="T11">
            <v>45</v>
          </cell>
        </row>
        <row r="12">
          <cell r="S12">
            <v>-30</v>
          </cell>
          <cell r="T12">
            <v>10</v>
          </cell>
        </row>
        <row r="13">
          <cell r="W13">
            <v>-10</v>
          </cell>
          <cell r="X13">
            <v>70</v>
          </cell>
        </row>
        <row r="14">
          <cell r="W14">
            <v>-15</v>
          </cell>
          <cell r="X14">
            <v>70</v>
          </cell>
        </row>
        <row r="15">
          <cell r="W15">
            <v>-30</v>
          </cell>
          <cell r="X15">
            <v>52</v>
          </cell>
        </row>
        <row r="16">
          <cell r="W16">
            <v>-30</v>
          </cell>
          <cell r="X16">
            <v>45</v>
          </cell>
        </row>
      </sheetData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ints"/>
      <sheetName val="Results EVI"/>
      <sheetName val="p7 variation"/>
      <sheetName val="Results Non Evi"/>
      <sheetName val="Results EVI corrected"/>
      <sheetName val="EVI vs. nonEVI"/>
      <sheetName val="EVI vs. nonEVI values"/>
      <sheetName val="Summary Non EVI"/>
      <sheetName val="Summary EVI"/>
    </sheetNames>
    <sheetDataSet>
      <sheetData sheetId="0"/>
      <sheetData sheetId="1"/>
      <sheetData sheetId="2"/>
      <sheetData sheetId="3"/>
      <sheetData sheetId="4">
        <row r="18">
          <cell r="G18">
            <v>3000</v>
          </cell>
          <cell r="DM18">
            <v>-4.9256743738014848</v>
          </cell>
          <cell r="DN18">
            <v>42.965234243757095</v>
          </cell>
        </row>
        <row r="19">
          <cell r="G19">
            <v>3000</v>
          </cell>
          <cell r="DM19">
            <v>5.3071905658157448E-3</v>
          </cell>
          <cell r="DN19">
            <v>55.990595552130117</v>
          </cell>
        </row>
        <row r="20">
          <cell r="G20">
            <v>3000</v>
          </cell>
          <cell r="DM20">
            <v>-18.182131245048794</v>
          </cell>
          <cell r="DN20">
            <v>57.997015024983796</v>
          </cell>
        </row>
        <row r="21">
          <cell r="G21">
            <v>3000</v>
          </cell>
          <cell r="DM21">
            <v>-20.922771471458475</v>
          </cell>
          <cell r="DN21">
            <v>69.997280270937722</v>
          </cell>
        </row>
        <row r="22">
          <cell r="G22">
            <v>3000</v>
          </cell>
          <cell r="DM22">
            <v>-30.024973747554583</v>
          </cell>
          <cell r="DN22">
            <v>60.002109879281875</v>
          </cell>
        </row>
        <row r="23">
          <cell r="G23">
            <v>3000</v>
          </cell>
          <cell r="DM23">
            <v>-5.0278682904948937</v>
          </cell>
          <cell r="DN23">
            <v>43.040755248041421</v>
          </cell>
        </row>
        <row r="24">
          <cell r="G24">
            <v>3000</v>
          </cell>
          <cell r="DM24">
            <v>-17.932419743784322</v>
          </cell>
          <cell r="DN24">
            <v>57.993121632231521</v>
          </cell>
        </row>
        <row r="25">
          <cell r="G25">
            <v>3000</v>
          </cell>
          <cell r="DM25">
            <v>15.003518363394903</v>
          </cell>
          <cell r="DN25">
            <v>69.970900459029622</v>
          </cell>
        </row>
        <row r="26">
          <cell r="G26">
            <v>3000</v>
          </cell>
          <cell r="DM26">
            <v>25.009565316873307</v>
          </cell>
          <cell r="DN26">
            <v>59.751537128157338</v>
          </cell>
        </row>
        <row r="27">
          <cell r="G27">
            <v>3000</v>
          </cell>
          <cell r="DM27">
            <v>25.056347158873052</v>
          </cell>
          <cell r="DN27">
            <v>42.996638950747126</v>
          </cell>
        </row>
        <row r="28">
          <cell r="G28">
            <v>3000</v>
          </cell>
          <cell r="DM28">
            <v>8.0487973884299322</v>
          </cell>
          <cell r="DN28">
            <v>28.789284618559975</v>
          </cell>
        </row>
        <row r="29">
          <cell r="G29">
            <v>3000</v>
          </cell>
          <cell r="DM29">
            <v>-9.9403384518291773</v>
          </cell>
          <cell r="DN29">
            <v>19.983902497205008</v>
          </cell>
        </row>
        <row r="30">
          <cell r="G30">
            <v>3000</v>
          </cell>
          <cell r="DM30">
            <v>-30.005367421860143</v>
          </cell>
          <cell r="DN30">
            <v>42.991591405434065</v>
          </cell>
        </row>
        <row r="31">
          <cell r="G31">
            <v>3000</v>
          </cell>
          <cell r="DM31">
            <v>-24.925461472785514</v>
          </cell>
          <cell r="DN31">
            <v>16.652273585198657</v>
          </cell>
        </row>
        <row r="32">
          <cell r="G32">
            <v>6000</v>
          </cell>
          <cell r="DM32">
            <v>5.0615732106427345</v>
          </cell>
          <cell r="DN32">
            <v>60.010107965244629</v>
          </cell>
        </row>
        <row r="33">
          <cell r="G33">
            <v>6000</v>
          </cell>
          <cell r="DM33">
            <v>2.0156988732579748</v>
          </cell>
          <cell r="DN33">
            <v>42.866039553392113</v>
          </cell>
        </row>
        <row r="34">
          <cell r="G34">
            <v>6000</v>
          </cell>
          <cell r="DM34">
            <v>-2.4359780511588269E-2</v>
          </cell>
          <cell r="DN34">
            <v>55.996452713310759</v>
          </cell>
        </row>
        <row r="35">
          <cell r="G35">
            <v>6000</v>
          </cell>
          <cell r="DM35">
            <v>-18.04662688514918</v>
          </cell>
          <cell r="DN35">
            <v>57.977296267531301</v>
          </cell>
        </row>
        <row r="36">
          <cell r="G36">
            <v>6000</v>
          </cell>
          <cell r="DM36">
            <v>-10.037978249779144</v>
          </cell>
          <cell r="DN36">
            <v>34.807277707220351</v>
          </cell>
        </row>
        <row r="37">
          <cell r="G37">
            <v>6000</v>
          </cell>
          <cell r="DM37">
            <v>-30.042366419421114</v>
          </cell>
          <cell r="DN37">
            <v>59.998394471733036</v>
          </cell>
        </row>
        <row r="38">
          <cell r="G38">
            <v>6000</v>
          </cell>
          <cell r="DM38">
            <v>-29.869803947993177</v>
          </cell>
          <cell r="DN38">
            <v>43.009385506701847</v>
          </cell>
        </row>
        <row r="39">
          <cell r="G39">
            <v>6000</v>
          </cell>
          <cell r="DM39">
            <v>-29.8055599563979</v>
          </cell>
          <cell r="DN39">
            <v>20.464869295246899</v>
          </cell>
        </row>
        <row r="40">
          <cell r="G40">
            <v>6000</v>
          </cell>
          <cell r="DM40">
            <v>-21.315816863232925</v>
          </cell>
          <cell r="DN40">
            <v>70.001923722182028</v>
          </cell>
        </row>
        <row r="41">
          <cell r="G41">
            <v>1800</v>
          </cell>
          <cell r="DM41">
            <v>-3.8576906744708594E-2</v>
          </cell>
          <cell r="DN41">
            <v>56.004933651731847</v>
          </cell>
        </row>
        <row r="42">
          <cell r="G42">
            <v>6000</v>
          </cell>
          <cell r="DM42">
            <v>1.9643954077707804E-2</v>
          </cell>
          <cell r="DN42">
            <v>66.967372390074843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X199"/>
  <sheetViews>
    <sheetView tabSelected="1" topLeftCell="D1" zoomScale="70" zoomScaleNormal="70" workbookViewId="0">
      <pane ySplit="11" topLeftCell="A12" activePane="bottomLeft" state="frozen"/>
      <selection pane="bottomLeft" activeCell="T23" sqref="T23"/>
    </sheetView>
  </sheetViews>
  <sheetFormatPr defaultRowHeight="15" x14ac:dyDescent="0.25"/>
  <cols>
    <col min="1" max="1" width="12.28515625" bestFit="1" customWidth="1"/>
    <col min="2" max="2" width="29.85546875" bestFit="1" customWidth="1"/>
    <col min="3" max="3" width="92.5703125" customWidth="1"/>
    <col min="4" max="4" width="6.42578125" bestFit="1" customWidth="1"/>
    <col min="5" max="5" width="7.140625" bestFit="1" customWidth="1"/>
    <col min="6" max="6" width="4.7109375" bestFit="1" customWidth="1"/>
    <col min="7" max="7" width="6.28515625" bestFit="1" customWidth="1"/>
    <col min="8" max="9" width="12.28515625" bestFit="1" customWidth="1"/>
    <col min="10" max="10" width="17.85546875" customWidth="1"/>
    <col min="11" max="11" width="13.7109375" bestFit="1" customWidth="1"/>
    <col min="12" max="12" width="8.140625" bestFit="1" customWidth="1"/>
    <col min="13" max="14" width="12.7109375" bestFit="1" customWidth="1"/>
    <col min="15" max="15" width="12.85546875" bestFit="1" customWidth="1"/>
    <col min="16" max="16" width="11.85546875" bestFit="1" customWidth="1"/>
    <col min="17" max="17" width="9.140625" style="64"/>
    <col min="18" max="16384" width="9.140625" style="63"/>
  </cols>
  <sheetData>
    <row r="1" spans="1:24" x14ac:dyDescent="0.25">
      <c r="A1" s="58"/>
      <c r="B1" s="58"/>
      <c r="C1" s="58"/>
      <c r="D1" s="58"/>
      <c r="E1" s="58"/>
      <c r="F1" s="58"/>
      <c r="G1" s="58"/>
      <c r="K1" s="58"/>
      <c r="L1" s="59" t="s">
        <v>38</v>
      </c>
      <c r="M1" s="60" t="s">
        <v>50</v>
      </c>
      <c r="N1" s="61" t="s">
        <v>39</v>
      </c>
      <c r="O1" s="62" t="s">
        <v>40</v>
      </c>
      <c r="P1" s="63"/>
    </row>
    <row r="2" spans="1:24" x14ac:dyDescent="0.25">
      <c r="A2" s="58"/>
      <c r="B2" s="58"/>
      <c r="C2" s="58"/>
      <c r="D2" s="58"/>
      <c r="E2" s="58"/>
      <c r="F2" s="58"/>
      <c r="G2" s="58"/>
      <c r="K2" s="65"/>
      <c r="L2" s="59" t="s">
        <v>41</v>
      </c>
      <c r="M2" s="66">
        <v>19.314499999999999</v>
      </c>
      <c r="N2" s="67">
        <v>5.4186100000000001</v>
      </c>
      <c r="O2" s="62">
        <v>1.2115100000000001</v>
      </c>
      <c r="P2" s="63"/>
      <c r="Q2" s="68"/>
    </row>
    <row r="3" spans="1:24" x14ac:dyDescent="0.25">
      <c r="A3" s="58"/>
      <c r="B3" s="58"/>
      <c r="C3" s="58"/>
      <c r="D3" s="58"/>
      <c r="E3" s="58"/>
      <c r="F3" s="58"/>
      <c r="G3" s="58"/>
      <c r="K3" s="65"/>
      <c r="L3" s="59" t="s">
        <v>42</v>
      </c>
      <c r="M3" s="66">
        <v>-3.1118199999999998</v>
      </c>
      <c r="N3" s="67">
        <v>-1539.69</v>
      </c>
      <c r="O3" s="62">
        <v>-8.3845000000000002E-4</v>
      </c>
      <c r="P3" s="63"/>
      <c r="Q3" s="68"/>
    </row>
    <row r="4" spans="1:24" x14ac:dyDescent="0.25">
      <c r="A4" s="58"/>
      <c r="B4" s="58"/>
      <c r="C4" s="58"/>
      <c r="D4" s="58"/>
      <c r="E4" s="58"/>
      <c r="F4" s="58"/>
      <c r="G4" s="58"/>
      <c r="K4" s="65"/>
      <c r="L4" s="59" t="s">
        <v>43</v>
      </c>
      <c r="M4" s="66">
        <v>0</v>
      </c>
      <c r="N4" s="67">
        <v>68731.899999999994</v>
      </c>
      <c r="O4" s="62">
        <v>1.8236E-7</v>
      </c>
      <c r="P4" s="63"/>
      <c r="Q4" s="68"/>
    </row>
    <row r="5" spans="1:24" x14ac:dyDescent="0.25">
      <c r="A5" s="58"/>
      <c r="B5" s="58"/>
      <c r="C5" s="58"/>
      <c r="D5" s="58"/>
      <c r="E5" s="58"/>
      <c r="F5" s="58"/>
      <c r="G5" s="58"/>
      <c r="K5" s="65"/>
      <c r="L5" s="59" t="s">
        <v>44</v>
      </c>
      <c r="M5" s="66">
        <v>5.5114999999999998</v>
      </c>
      <c r="N5" s="67">
        <v>1.8588800000000001</v>
      </c>
      <c r="O5" s="62">
        <v>4.5602700000000003E-2</v>
      </c>
      <c r="P5" s="63"/>
      <c r="Q5" s="68"/>
    </row>
    <row r="6" spans="1:24" x14ac:dyDescent="0.25">
      <c r="A6" s="58"/>
      <c r="B6" s="58"/>
      <c r="C6" s="58"/>
      <c r="D6" s="58"/>
      <c r="E6" s="58"/>
      <c r="F6" s="58"/>
      <c r="G6" s="58"/>
      <c r="K6" s="65"/>
      <c r="L6" s="59" t="s">
        <v>45</v>
      </c>
      <c r="M6" s="66">
        <v>-1.7501899999999999</v>
      </c>
      <c r="N6" s="67">
        <v>-892.73199999999997</v>
      </c>
      <c r="O6" s="62">
        <v>-4.6536199999999998E-3</v>
      </c>
      <c r="P6" s="63"/>
      <c r="Q6" s="68"/>
    </row>
    <row r="7" spans="1:24" x14ac:dyDescent="0.25">
      <c r="A7" s="58"/>
      <c r="B7" s="58"/>
      <c r="C7" s="58"/>
      <c r="D7" s="58"/>
      <c r="E7" s="58"/>
      <c r="F7" s="58"/>
      <c r="G7" s="58"/>
      <c r="J7">
        <f>J9+K9</f>
        <v>2.4029497359460686E-14</v>
      </c>
      <c r="K7" s="65"/>
      <c r="L7" s="59" t="s">
        <v>46</v>
      </c>
      <c r="M7" s="66">
        <v>0</v>
      </c>
      <c r="N7" s="67">
        <v>99709.4</v>
      </c>
      <c r="O7" s="62">
        <v>6.9773899999999996E-6</v>
      </c>
      <c r="P7" s="63"/>
      <c r="Q7" s="68"/>
    </row>
    <row r="8" spans="1:24" ht="15.75" thickBot="1" x14ac:dyDescent="0.3">
      <c r="A8" s="58"/>
      <c r="B8" s="58"/>
      <c r="C8" s="58"/>
      <c r="D8" s="58"/>
      <c r="E8" s="58"/>
      <c r="F8" s="58"/>
      <c r="G8" s="58"/>
      <c r="K8" s="65"/>
      <c r="L8" s="59" t="s">
        <v>47</v>
      </c>
      <c r="M8" s="66">
        <v>113.4</v>
      </c>
      <c r="N8" s="67">
        <v>-1.8773999999999999E-2</v>
      </c>
      <c r="O8" s="62">
        <v>-1.32314</v>
      </c>
      <c r="P8" s="63"/>
      <c r="Q8" s="68"/>
    </row>
    <row r="9" spans="1:24" ht="15.75" thickBot="1" x14ac:dyDescent="0.3">
      <c r="A9" s="58"/>
      <c r="B9" s="58"/>
      <c r="C9" s="58"/>
      <c r="D9" s="58"/>
      <c r="E9" s="58"/>
      <c r="F9" s="58"/>
      <c r="G9" s="58"/>
      <c r="I9" s="69" t="s">
        <v>75</v>
      </c>
      <c r="J9" s="70">
        <f>SUM(J12:J23)</f>
        <v>3.0023581351750519E-15</v>
      </c>
      <c r="K9" s="71">
        <f>SUM(K12:K23)</f>
        <v>2.1027139224285636E-14</v>
      </c>
      <c r="L9" s="59" t="s">
        <v>48</v>
      </c>
      <c r="M9" s="66">
        <v>-20.460599999999999</v>
      </c>
      <c r="N9" s="67">
        <v>-141.49100000000001</v>
      </c>
      <c r="O9" s="62">
        <v>1.10445E-2</v>
      </c>
      <c r="P9" s="63"/>
      <c r="Q9" s="68"/>
    </row>
    <row r="10" spans="1:24" ht="15.75" thickBot="1" x14ac:dyDescent="0.3">
      <c r="A10" s="58"/>
      <c r="B10" s="58"/>
      <c r="C10" s="58"/>
      <c r="D10" s="58"/>
      <c r="E10" s="58"/>
      <c r="F10" s="58"/>
      <c r="G10" s="58"/>
      <c r="J10" s="72"/>
      <c r="K10" s="73"/>
      <c r="L10" s="59" t="s">
        <v>49</v>
      </c>
      <c r="M10" s="66">
        <v>0</v>
      </c>
      <c r="N10" s="67">
        <v>17125.900000000001</v>
      </c>
      <c r="O10" s="62">
        <v>-1.9386799999999999E-5</v>
      </c>
      <c r="P10" s="63"/>
      <c r="Q10" s="68"/>
    </row>
    <row r="11" spans="1:24" ht="16.5" thickBot="1" x14ac:dyDescent="0.3">
      <c r="A11" s="74" t="s">
        <v>13</v>
      </c>
      <c r="B11" s="75" t="s">
        <v>76</v>
      </c>
      <c r="C11" s="76" t="s">
        <v>77</v>
      </c>
      <c r="D11" s="77" t="s">
        <v>12</v>
      </c>
      <c r="E11" s="58" t="s">
        <v>8</v>
      </c>
      <c r="F11" s="58" t="s">
        <v>9</v>
      </c>
      <c r="G11" s="58" t="s">
        <v>10</v>
      </c>
      <c r="H11" s="78" t="s">
        <v>78</v>
      </c>
      <c r="I11" s="79" t="s">
        <v>79</v>
      </c>
      <c r="J11" s="80" t="s">
        <v>80</v>
      </c>
      <c r="K11" s="81" t="s">
        <v>81</v>
      </c>
      <c r="L11" s="63" t="s">
        <v>11</v>
      </c>
      <c r="M11" s="58"/>
      <c r="N11" s="58"/>
      <c r="O11" s="58"/>
      <c r="P11" s="58"/>
      <c r="Q11" s="96" t="s">
        <v>139</v>
      </c>
      <c r="R11" s="215" t="s">
        <v>140</v>
      </c>
      <c r="S11" s="215" t="s">
        <v>141</v>
      </c>
      <c r="T11" s="215" t="s">
        <v>142</v>
      </c>
      <c r="U11" s="215" t="s">
        <v>40</v>
      </c>
      <c r="V11" s="63" t="s">
        <v>143</v>
      </c>
      <c r="W11" s="215" t="s">
        <v>144</v>
      </c>
    </row>
    <row r="12" spans="1:24" x14ac:dyDescent="0.25">
      <c r="A12" s="82">
        <v>49.894665692220961</v>
      </c>
      <c r="B12" s="60">
        <f t="shared" ref="B12:B14" si="0">LN(LN(u+0.7+EXP(-u)*BESSELK(u+1.244068,0)))</f>
        <v>1.3670723333997903</v>
      </c>
      <c r="C12" s="83">
        <f>visc1+visc2*LN(T)+visc3*LN(T)^2+w*(visc4+visc5*LN(T)+visc6*LN(T)^2)+w^2*(visc7+visc8*LN(T)+visc9*LN(T)^2)</f>
        <v>1.3670723334021291</v>
      </c>
      <c r="D12" s="84">
        <v>3.5915795688294637E-2</v>
      </c>
      <c r="E12" s="58">
        <f>TC+273.15</f>
        <v>303.14999999999998</v>
      </c>
      <c r="F12" s="85">
        <f>S12</f>
        <v>30</v>
      </c>
      <c r="G12" s="103">
        <f>R12</f>
        <v>2.9145831041200827</v>
      </c>
      <c r="H12" s="61">
        <f t="shared" ref="H12:H40" si="1">LOG(p)</f>
        <v>0.46457644296176875</v>
      </c>
      <c r="I12" s="61">
        <f>Pres1+pres2/T+pres3/(T^2)+LOG(w)*(pres4+pres5/T+pres6/(T^2))+LOG(w)^2*(pres7+pres8/T+pres9/(T^2))</f>
        <v>0.46457644321176117</v>
      </c>
      <c r="J12" s="60">
        <f t="shared" ref="J12:J66" si="2">(B12-C12)^2</f>
        <v>5.4699659048412812E-24</v>
      </c>
      <c r="K12" s="60">
        <f>(H12-I12)^2</f>
        <v>6.2496207886209287E-20</v>
      </c>
      <c r="L12" s="86">
        <f>$O$2+$O$3*T+$O$4*T^2+w*($O$5+$O$6*T+$O$7*T^2)+w^2*($O$8+$O$9*T+$O$10*T^2)</f>
        <v>0.94840648200600086</v>
      </c>
      <c r="M12" s="58"/>
      <c r="N12" s="58"/>
      <c r="O12" s="58"/>
      <c r="P12" s="58"/>
      <c r="Q12" s="96">
        <v>-15</v>
      </c>
      <c r="R12" s="215">
        <f>[3]!P_D("r290",Q12+273.15)/100000</f>
        <v>2.9145831041200827</v>
      </c>
      <c r="S12" s="215">
        <v>30</v>
      </c>
      <c r="T12" s="216">
        <f>D12</f>
        <v>3.5915795688294637E-2</v>
      </c>
      <c r="U12" s="217">
        <f>L12</f>
        <v>0.94840648200600086</v>
      </c>
      <c r="V12" s="63">
        <v>0.73899999999999999</v>
      </c>
      <c r="W12" s="63">
        <f>V12*U12*1000*T12</f>
        <v>25.172389570077357</v>
      </c>
    </row>
    <row r="13" spans="1:24" x14ac:dyDescent="0.25">
      <c r="A13" s="82">
        <v>42.954854066425661</v>
      </c>
      <c r="B13" s="60">
        <f t="shared" si="0"/>
        <v>1.3287485288126319</v>
      </c>
      <c r="C13" s="83">
        <f t="shared" ref="C13:C43" si="3">visc1+visc2*LN(T)+visc3*LN(T)^2+w*(visc4+visc5*LN(T)+visc6*LN(T)^2)+w^2*(visc7+visc8*LN(T)+visc9*LN(T)^2)</f>
        <v>1.3287485095336902</v>
      </c>
      <c r="D13" s="84">
        <v>4.3949579367539342E-2</v>
      </c>
      <c r="E13" s="58">
        <f t="shared" ref="E13:E14" si="4">TC+273.15</f>
        <v>303.14999999999998</v>
      </c>
      <c r="F13" s="85">
        <f t="shared" ref="F13:F66" si="5">S13</f>
        <v>30</v>
      </c>
      <c r="G13" s="103">
        <f t="shared" ref="G13:G66" si="6">R13</f>
        <v>3.4512025711321992</v>
      </c>
      <c r="H13" s="61">
        <f t="shared" si="1"/>
        <v>0.53797045130625332</v>
      </c>
      <c r="I13" s="61">
        <f t="shared" ref="I13:I40" si="7">Pres1+pres2/T+pres3/(T^2)+LOG(w)*(pres4+pres5/T+pres6/(T^2))+LOG(w)^2*(pres7+pres8/T+pres9/(T^2))</f>
        <v>0.53797043283210932</v>
      </c>
      <c r="J13" s="60">
        <f t="shared" si="2"/>
        <v>3.7167759601531669E-16</v>
      </c>
      <c r="K13" s="60">
        <f t="shared" ref="K13:K66" si="8">(H13-I13)^2</f>
        <v>3.4129399625060381E-16</v>
      </c>
      <c r="L13" s="86">
        <f t="shared" ref="L13:L43" si="9">$O$2+$O$3*T+$O$4*T^2+w*($O$5+$O$6*T+$O$7*T^2)+w^2*($O$8+$O$9*T+$O$10*T^2)</f>
        <v>0.94274680204111483</v>
      </c>
      <c r="M13" s="58"/>
      <c r="N13" s="58"/>
      <c r="O13" s="58"/>
      <c r="P13" s="58"/>
      <c r="Q13" s="96">
        <v>-10</v>
      </c>
      <c r="R13" s="215">
        <f>[3]!P_D("r290",Q13+273.15)/100000</f>
        <v>3.4512025711321992</v>
      </c>
      <c r="S13" s="215">
        <v>30</v>
      </c>
      <c r="T13" s="216">
        <f t="shared" ref="T13:T20" si="10">D13</f>
        <v>4.3949579367539342E-2</v>
      </c>
      <c r="U13" s="217">
        <f t="shared" ref="U13:U20" si="11">L13</f>
        <v>0.94274680204111483</v>
      </c>
      <c r="V13" s="63">
        <v>0.73899999999999999</v>
      </c>
      <c r="W13" s="63">
        <f t="shared" ref="W13:W20" si="12">V13*U13*1000*T13</f>
        <v>30.619227470452106</v>
      </c>
    </row>
    <row r="14" spans="1:24" x14ac:dyDescent="0.25">
      <c r="A14" s="104">
        <v>35.766122238292233</v>
      </c>
      <c r="B14" s="105">
        <f t="shared" si="0"/>
        <v>1.2799288049469535</v>
      </c>
      <c r="C14" s="106">
        <f>visc1+visc2*LN(T)+visc3*LN(T)^2+w*(visc4+visc5*LN(T)+visc6*LN(T)^2)+w^2*(visc7+visc8*LN(T)+visc9*LN(T)^2)</f>
        <v>1.2799287978816611</v>
      </c>
      <c r="D14" s="107">
        <v>5.4048612432072526E-2</v>
      </c>
      <c r="E14" s="108">
        <f t="shared" si="4"/>
        <v>303.14999999999998</v>
      </c>
      <c r="F14" s="85">
        <f t="shared" si="5"/>
        <v>30</v>
      </c>
      <c r="G14" s="103">
        <f t="shared" si="6"/>
        <v>4.0588523911642369</v>
      </c>
      <c r="H14" s="109">
        <f t="shared" si="1"/>
        <v>0.6084032575581062</v>
      </c>
      <c r="I14" s="109">
        <f t="shared" si="7"/>
        <v>0.6084032490844048</v>
      </c>
      <c r="J14" s="60">
        <f t="shared" si="2"/>
        <v>4.9918356007523811E-17</v>
      </c>
      <c r="K14" s="105">
        <f t="shared" si="8"/>
        <v>7.1803615538703997E-17</v>
      </c>
      <c r="L14" s="110">
        <f t="shared" si="9"/>
        <v>0.93567674897268194</v>
      </c>
      <c r="M14" s="58"/>
      <c r="N14" s="58"/>
      <c r="O14" s="58"/>
      <c r="P14" s="58"/>
      <c r="Q14" s="93">
        <v>-5</v>
      </c>
      <c r="R14" s="219">
        <f>[3]!P_D("r290",Q14+273.15)/100000</f>
        <v>4.0588523911642369</v>
      </c>
      <c r="S14" s="219">
        <v>30</v>
      </c>
      <c r="T14" s="220">
        <f t="shared" si="10"/>
        <v>5.4048612432072526E-2</v>
      </c>
      <c r="U14" s="221">
        <f t="shared" si="11"/>
        <v>0.93567674897268194</v>
      </c>
      <c r="V14" s="63">
        <v>0.73899999999999999</v>
      </c>
      <c r="W14" s="218">
        <f>V14*U14*1000*D14</f>
        <v>37.372730145558393</v>
      </c>
      <c r="X14" s="63">
        <f>W14*0.47/V14</f>
        <v>23.768854084455267</v>
      </c>
    </row>
    <row r="15" spans="1:24" x14ac:dyDescent="0.25">
      <c r="A15" s="104">
        <v>63.248004523098082</v>
      </c>
      <c r="B15" s="105">
        <f t="shared" ref="B15:B66" si="13">LN(LN(u+0.7+EXP(-u)*BESSELK(u+1.244068,0)))</f>
        <v>1.4250511021916741</v>
      </c>
      <c r="C15" s="106">
        <f t="shared" si="3"/>
        <v>1.425051105279171</v>
      </c>
      <c r="D15" s="107">
        <v>4.6506547326397252E-2</v>
      </c>
      <c r="E15" s="108">
        <f t="shared" ref="E15:E66" si="14">TC+273.15</f>
        <v>293.14999999999998</v>
      </c>
      <c r="F15" s="85">
        <f t="shared" si="5"/>
        <v>20</v>
      </c>
      <c r="G15" s="103">
        <f t="shared" si="6"/>
        <v>2.9145831041200827</v>
      </c>
      <c r="H15" s="109">
        <f t="shared" si="1"/>
        <v>0.46457644296176875</v>
      </c>
      <c r="I15" s="109">
        <f t="shared" si="7"/>
        <v>0.46457643993922737</v>
      </c>
      <c r="J15" s="60">
        <f t="shared" si="2"/>
        <v>9.5326372605989552E-18</v>
      </c>
      <c r="K15" s="105">
        <f t="shared" si="8"/>
        <v>9.1357564170606875E-18</v>
      </c>
      <c r="L15" s="110">
        <f t="shared" si="9"/>
        <v>0.9484895693794293</v>
      </c>
      <c r="M15" s="58"/>
      <c r="N15" s="58"/>
      <c r="O15" s="58"/>
      <c r="P15" s="58"/>
      <c r="Q15" s="96">
        <v>-15</v>
      </c>
      <c r="R15" s="215">
        <f>[3]!P_D("r290",Q15+273.15)/100000</f>
        <v>2.9145831041200827</v>
      </c>
      <c r="S15" s="215">
        <v>20</v>
      </c>
      <c r="T15" s="216">
        <f t="shared" si="10"/>
        <v>4.6506547326397252E-2</v>
      </c>
      <c r="U15" s="217">
        <f t="shared" si="11"/>
        <v>0.9484895693794293</v>
      </c>
      <c r="V15" s="63">
        <v>0.73899999999999999</v>
      </c>
      <c r="W15" s="63">
        <f t="shared" si="12"/>
        <v>32.598010559687609</v>
      </c>
    </row>
    <row r="16" spans="1:24" x14ac:dyDescent="0.25">
      <c r="A16" s="82">
        <v>50.367972868847033</v>
      </c>
      <c r="B16" s="60">
        <f t="shared" si="13"/>
        <v>1.3694425502835268</v>
      </c>
      <c r="C16" s="83">
        <f t="shared" si="3"/>
        <v>1.369442538895931</v>
      </c>
      <c r="D16" s="84">
        <v>5.8269789514773719E-2</v>
      </c>
      <c r="E16" s="58">
        <f t="shared" si="14"/>
        <v>293.14999999999998</v>
      </c>
      <c r="F16" s="85">
        <f t="shared" si="5"/>
        <v>20</v>
      </c>
      <c r="G16" s="103">
        <f t="shared" si="6"/>
        <v>3.4512025711321992</v>
      </c>
      <c r="H16" s="61">
        <f t="shared" si="1"/>
        <v>0.53797045130625332</v>
      </c>
      <c r="I16" s="61">
        <f t="shared" si="7"/>
        <v>0.53797041865514283</v>
      </c>
      <c r="J16" s="60">
        <f t="shared" si="2"/>
        <v>1.2967733708503969E-16</v>
      </c>
      <c r="K16" s="60">
        <f t="shared" si="8"/>
        <v>1.0660950157082328E-15</v>
      </c>
      <c r="L16" s="86">
        <f t="shared" si="9"/>
        <v>0.94033820398175161</v>
      </c>
      <c r="M16" s="58"/>
      <c r="N16" s="58"/>
      <c r="O16" s="58"/>
      <c r="P16" s="58"/>
      <c r="Q16" s="96">
        <v>-10</v>
      </c>
      <c r="R16" s="215">
        <f>[3]!P_D("r290",Q16+273.15)/100000</f>
        <v>3.4512025711321992</v>
      </c>
      <c r="S16" s="215">
        <v>20</v>
      </c>
      <c r="T16" s="216">
        <f t="shared" si="10"/>
        <v>5.8269789514773719E-2</v>
      </c>
      <c r="U16" s="217">
        <f t="shared" si="11"/>
        <v>0.94033820398175161</v>
      </c>
      <c r="V16" s="63">
        <v>0.73899999999999999</v>
      </c>
      <c r="W16" s="63">
        <f t="shared" si="12"/>
        <v>40.492255512631878</v>
      </c>
    </row>
    <row r="17" spans="1:23" x14ac:dyDescent="0.25">
      <c r="A17" s="82">
        <v>37.833275782529583</v>
      </c>
      <c r="B17" s="60">
        <f t="shared" si="13"/>
        <v>1.2951441146423863</v>
      </c>
      <c r="C17" s="83">
        <f t="shared" si="3"/>
        <v>1.2951441170682896</v>
      </c>
      <c r="D17" s="84">
        <v>7.3734524757087416E-2</v>
      </c>
      <c r="E17" s="58">
        <f t="shared" si="14"/>
        <v>293.14999999999998</v>
      </c>
      <c r="F17" s="85">
        <f t="shared" si="5"/>
        <v>20</v>
      </c>
      <c r="G17" s="103">
        <f t="shared" si="6"/>
        <v>4.0588523911642369</v>
      </c>
      <c r="H17" s="61">
        <f t="shared" si="1"/>
        <v>0.6084032575581062</v>
      </c>
      <c r="I17" s="61">
        <f t="shared" si="7"/>
        <v>0.60840325223295522</v>
      </c>
      <c r="J17" s="60">
        <f t="shared" si="2"/>
        <v>5.8850066077316028E-18</v>
      </c>
      <c r="K17" s="60">
        <f t="shared" si="8"/>
        <v>2.8357233032585671E-17</v>
      </c>
      <c r="L17" s="86">
        <f t="shared" si="9"/>
        <v>0.92972652289628233</v>
      </c>
      <c r="M17" s="58"/>
      <c r="N17" s="58"/>
      <c r="O17" s="58"/>
      <c r="P17" s="58"/>
      <c r="Q17" s="96">
        <v>-5</v>
      </c>
      <c r="R17" s="215">
        <f>[3]!P_D("r290",Q17+273.15)/100000</f>
        <v>4.0588523911642369</v>
      </c>
      <c r="S17" s="215">
        <v>20</v>
      </c>
      <c r="T17" s="216">
        <f t="shared" si="10"/>
        <v>7.3734524757087416E-2</v>
      </c>
      <c r="U17" s="217">
        <f t="shared" si="11"/>
        <v>0.92972652289628233</v>
      </c>
      <c r="V17" s="63">
        <v>0.73899999999999999</v>
      </c>
      <c r="W17" s="63">
        <f t="shared" si="12"/>
        <v>50.660625113344558</v>
      </c>
    </row>
    <row r="18" spans="1:23" x14ac:dyDescent="0.25">
      <c r="A18" s="82">
        <v>72.185715822816007</v>
      </c>
      <c r="B18" s="60">
        <f t="shared" si="13"/>
        <v>1.45602858254543</v>
      </c>
      <c r="C18" s="83">
        <f t="shared" si="3"/>
        <v>1.4560285855316342</v>
      </c>
      <c r="D18" s="84">
        <v>6.4181403874117776E-2</v>
      </c>
      <c r="E18" s="58">
        <f t="shared" si="14"/>
        <v>283.14999999999998</v>
      </c>
      <c r="F18" s="85">
        <f t="shared" si="5"/>
        <v>10</v>
      </c>
      <c r="G18" s="103">
        <f t="shared" si="6"/>
        <v>2.9145831041200827</v>
      </c>
      <c r="H18" s="61">
        <f t="shared" si="1"/>
        <v>0.46457644296176875</v>
      </c>
      <c r="I18" s="61">
        <f t="shared" si="7"/>
        <v>0.46457644043357299</v>
      </c>
      <c r="J18" s="60">
        <f t="shared" si="2"/>
        <v>8.9174153618148279E-18</v>
      </c>
      <c r="K18" s="60">
        <f t="shared" si="8"/>
        <v>6.3917738203552303E-18</v>
      </c>
      <c r="L18" s="86">
        <f t="shared" si="9"/>
        <v>0.94401251994272672</v>
      </c>
      <c r="M18" s="58"/>
      <c r="N18" s="58"/>
      <c r="O18" s="58"/>
      <c r="P18" s="58"/>
      <c r="Q18" s="96">
        <v>-15</v>
      </c>
      <c r="R18" s="215">
        <f>[3]!P_D("r290",Q18+273.15)/100000</f>
        <v>2.9145831041200827</v>
      </c>
      <c r="S18" s="215">
        <v>10</v>
      </c>
      <c r="T18" s="216">
        <f t="shared" si="10"/>
        <v>6.4181403874117776E-2</v>
      </c>
      <c r="U18" s="217">
        <f t="shared" si="11"/>
        <v>0.94401251994272672</v>
      </c>
      <c r="V18" s="63">
        <v>0.73899999999999999</v>
      </c>
      <c r="W18" s="63">
        <f t="shared" si="12"/>
        <v>44.774568066649508</v>
      </c>
    </row>
    <row r="19" spans="1:23" x14ac:dyDescent="0.25">
      <c r="A19" s="82">
        <v>49.587088428120886</v>
      </c>
      <c r="B19" s="60">
        <f t="shared" si="13"/>
        <v>1.365517088992283</v>
      </c>
      <c r="C19" s="83">
        <f t="shared" si="3"/>
        <v>1.365517085361027</v>
      </c>
      <c r="D19" s="84">
        <v>8.3508478323491425E-2</v>
      </c>
      <c r="E19" s="58">
        <f t="shared" si="14"/>
        <v>283.14999999999998</v>
      </c>
      <c r="F19" s="85">
        <f t="shared" si="5"/>
        <v>10</v>
      </c>
      <c r="G19" s="103">
        <f t="shared" si="6"/>
        <v>3.4512025711321992</v>
      </c>
      <c r="H19" s="61">
        <f t="shared" si="1"/>
        <v>0.53797045130625332</v>
      </c>
      <c r="I19" s="61">
        <f t="shared" si="7"/>
        <v>0.53797045447731073</v>
      </c>
      <c r="J19" s="60">
        <f t="shared" si="2"/>
        <v>1.3186019865833791E-17</v>
      </c>
      <c r="K19" s="60">
        <f t="shared" si="8"/>
        <v>1.0055605139697467E-17</v>
      </c>
      <c r="L19" s="86">
        <f t="shared" si="9"/>
        <v>0.93095180532127664</v>
      </c>
      <c r="M19" s="58"/>
      <c r="N19" s="58"/>
      <c r="O19" s="58"/>
      <c r="P19" s="58"/>
      <c r="Q19" s="96">
        <v>-10</v>
      </c>
      <c r="R19" s="215">
        <f>[3]!P_D("r290",Q19+273.15)/100000</f>
        <v>3.4512025711321992</v>
      </c>
      <c r="S19" s="215">
        <v>10</v>
      </c>
      <c r="T19" s="216">
        <f t="shared" si="10"/>
        <v>8.3508478323491425E-2</v>
      </c>
      <c r="U19" s="217">
        <f t="shared" si="11"/>
        <v>0.93095180532127664</v>
      </c>
      <c r="V19" s="63">
        <v>0.73899999999999999</v>
      </c>
      <c r="W19" s="63">
        <f t="shared" si="12"/>
        <v>57.451610435961513</v>
      </c>
    </row>
    <row r="20" spans="1:23" x14ac:dyDescent="0.25">
      <c r="A20" s="82">
        <v>30.321366528033796</v>
      </c>
      <c r="B20" s="60">
        <f t="shared" si="13"/>
        <v>1.2339226591953232</v>
      </c>
      <c r="C20" s="83">
        <f t="shared" si="3"/>
        <v>1.233922610302622</v>
      </c>
      <c r="D20" s="84">
        <v>0.11102456338518646</v>
      </c>
      <c r="E20" s="58">
        <f t="shared" si="14"/>
        <v>283.14999999999998</v>
      </c>
      <c r="F20" s="85">
        <f t="shared" si="5"/>
        <v>10</v>
      </c>
      <c r="G20" s="103">
        <f t="shared" si="6"/>
        <v>4.0588523911642369</v>
      </c>
      <c r="H20" s="61">
        <f t="shared" si="1"/>
        <v>0.6084032575581062</v>
      </c>
      <c r="I20" s="61">
        <f t="shared" si="7"/>
        <v>0.60840311795015267</v>
      </c>
      <c r="J20" s="60">
        <f t="shared" si="2"/>
        <v>2.3904962326852671E-15</v>
      </c>
      <c r="K20" s="60">
        <f t="shared" si="8"/>
        <v>1.9490380689103371E-14</v>
      </c>
      <c r="L20" s="86">
        <f t="shared" si="9"/>
        <v>0.91267914867751443</v>
      </c>
      <c r="M20" s="58"/>
      <c r="N20" s="58"/>
      <c r="O20" s="58"/>
      <c r="P20" s="58"/>
      <c r="Q20" s="96">
        <v>-5</v>
      </c>
      <c r="R20" s="215">
        <f>[3]!P_D("r290",Q20+273.15)/100000</f>
        <v>4.0588523911642369</v>
      </c>
      <c r="S20" s="215">
        <v>10</v>
      </c>
      <c r="T20" s="216">
        <f t="shared" si="10"/>
        <v>0.11102456338518646</v>
      </c>
      <c r="U20" s="217">
        <f t="shared" si="11"/>
        <v>0.91267914867751443</v>
      </c>
      <c r="V20" s="63">
        <v>0.73899999999999999</v>
      </c>
      <c r="W20" s="63">
        <f t="shared" si="12"/>
        <v>74.882725150594013</v>
      </c>
    </row>
    <row r="21" spans="1:23" x14ac:dyDescent="0.25">
      <c r="A21" s="82">
        <v>38.034716572172933</v>
      </c>
      <c r="B21" s="60">
        <f t="shared" si="13"/>
        <v>1.2965710192459556</v>
      </c>
      <c r="C21" s="83">
        <f t="shared" si="3"/>
        <v>1.2965710149126743</v>
      </c>
      <c r="D21" s="84">
        <v>2.8985359955491036E-2</v>
      </c>
      <c r="E21" s="58">
        <f t="shared" si="14"/>
        <v>313.14999999999998</v>
      </c>
      <c r="F21" s="85">
        <f t="shared" si="5"/>
        <v>40</v>
      </c>
      <c r="G21" s="103">
        <f t="shared" si="6"/>
        <v>2.9145831041200827</v>
      </c>
      <c r="H21" s="61">
        <f t="shared" si="1"/>
        <v>0.46457644296176875</v>
      </c>
      <c r="I21" s="61">
        <f t="shared" si="7"/>
        <v>0.46457644354540761</v>
      </c>
      <c r="J21" s="60">
        <f t="shared" si="2"/>
        <v>1.8777326732615014E-17</v>
      </c>
      <c r="K21" s="60">
        <f t="shared" si="8"/>
        <v>3.4063431827617653E-19</v>
      </c>
      <c r="L21" s="86">
        <f t="shared" si="9"/>
        <v>0.94594345101297228</v>
      </c>
      <c r="M21" s="58"/>
      <c r="N21" s="58"/>
      <c r="O21" s="58"/>
      <c r="P21" s="58"/>
      <c r="Q21" s="96">
        <v>-15</v>
      </c>
      <c r="R21" s="215">
        <f>[3]!P_D("r290",Q21+273.15)/100000</f>
        <v>2.9145831041200827</v>
      </c>
      <c r="S21" s="215">
        <v>40</v>
      </c>
      <c r="T21" s="216">
        <f t="shared" ref="T21:T23" si="15">D21</f>
        <v>2.8985359955491036E-2</v>
      </c>
      <c r="U21" s="217">
        <f t="shared" ref="U21:U23" si="16">L21</f>
        <v>0.94594345101297228</v>
      </c>
      <c r="V21" s="63">
        <v>0.73899999999999999</v>
      </c>
      <c r="W21" s="63">
        <f t="shared" ref="W21:W23" si="17">V21*U21*1000*T21</f>
        <v>20.262279943186151</v>
      </c>
    </row>
    <row r="22" spans="1:23" x14ac:dyDescent="0.25">
      <c r="A22" s="82">
        <v>34.261586244494161</v>
      </c>
      <c r="B22" s="60">
        <f t="shared" si="13"/>
        <v>1.268144048836904</v>
      </c>
      <c r="C22" s="83">
        <f t="shared" si="3"/>
        <v>1.2681440486287954</v>
      </c>
      <c r="D22" s="84">
        <v>3.4891247864576258E-2</v>
      </c>
      <c r="E22" s="58">
        <f t="shared" si="14"/>
        <v>313.14999999999998</v>
      </c>
      <c r="F22" s="85">
        <f t="shared" si="5"/>
        <v>40</v>
      </c>
      <c r="G22" s="103">
        <f t="shared" si="6"/>
        <v>3.4512025711321992</v>
      </c>
      <c r="H22" s="61">
        <f t="shared" si="1"/>
        <v>0.53797045130625332</v>
      </c>
      <c r="I22" s="61">
        <f t="shared" si="7"/>
        <v>0.53797044951571893</v>
      </c>
      <c r="J22" s="60">
        <f t="shared" si="2"/>
        <v>4.3309206638142691E-20</v>
      </c>
      <c r="K22" s="60">
        <f t="shared" si="8"/>
        <v>3.2060133925503948E-18</v>
      </c>
      <c r="L22" s="86">
        <f t="shared" si="9"/>
        <v>0.94173557880886327</v>
      </c>
      <c r="M22" s="58"/>
      <c r="N22" s="58"/>
      <c r="O22" s="58"/>
      <c r="P22" s="58"/>
      <c r="Q22" s="96">
        <v>-10</v>
      </c>
      <c r="R22" s="215">
        <f>[3]!P_D("r290",Q22+273.15)/100000</f>
        <v>3.4512025711321992</v>
      </c>
      <c r="S22" s="215">
        <v>40</v>
      </c>
      <c r="T22" s="216">
        <f t="shared" si="15"/>
        <v>3.4891247864576258E-2</v>
      </c>
      <c r="U22" s="217">
        <f t="shared" si="16"/>
        <v>0.94173557880886327</v>
      </c>
      <c r="V22" s="63">
        <v>0.73899999999999999</v>
      </c>
      <c r="W22" s="63">
        <f t="shared" si="17"/>
        <v>24.282305502798462</v>
      </c>
    </row>
    <row r="23" spans="1:23" x14ac:dyDescent="0.25">
      <c r="A23" s="82">
        <v>30.227718174222922</v>
      </c>
      <c r="B23" s="60">
        <f t="shared" si="13"/>
        <v>1.2330420139519895</v>
      </c>
      <c r="C23" s="83">
        <f t="shared" si="3"/>
        <v>1.2330420118911904</v>
      </c>
      <c r="D23" s="84">
        <v>4.2101781835726694E-2</v>
      </c>
      <c r="E23" s="58">
        <f t="shared" si="14"/>
        <v>313.14999999999998</v>
      </c>
      <c r="F23" s="85">
        <f t="shared" si="5"/>
        <v>40</v>
      </c>
      <c r="G23" s="103">
        <f t="shared" si="6"/>
        <v>4.0588523911642369</v>
      </c>
      <c r="H23" s="61">
        <f t="shared" si="1"/>
        <v>0.6084032575581062</v>
      </c>
      <c r="I23" s="61">
        <f t="shared" si="7"/>
        <v>0.60840325743006185</v>
      </c>
      <c r="J23" s="60">
        <f t="shared" si="2"/>
        <v>4.2468928767067078E-18</v>
      </c>
      <c r="K23" s="60">
        <f t="shared" si="8"/>
        <v>1.6395356309162574E-20</v>
      </c>
      <c r="L23" s="86">
        <f t="shared" si="9"/>
        <v>0.93662032343662549</v>
      </c>
      <c r="M23" s="58"/>
      <c r="N23" s="58"/>
      <c r="O23" s="58"/>
      <c r="P23" s="58"/>
      <c r="Q23" s="96">
        <v>-5</v>
      </c>
      <c r="R23" s="215">
        <f>[3]!P_D("r290",Q23+273.15)/100000</f>
        <v>4.0588523911642369</v>
      </c>
      <c r="S23" s="215">
        <v>40</v>
      </c>
      <c r="T23" s="216">
        <f t="shared" si="15"/>
        <v>4.2101781835726694E-2</v>
      </c>
      <c r="U23" s="217">
        <f t="shared" si="16"/>
        <v>0.93662032343662549</v>
      </c>
      <c r="V23" s="63">
        <v>0.73899999999999999</v>
      </c>
      <c r="W23" s="63">
        <f t="shared" si="17"/>
        <v>29.141271160454831</v>
      </c>
    </row>
    <row r="24" spans="1:23" x14ac:dyDescent="0.25">
      <c r="A24" s="82">
        <v>37.563980687090307</v>
      </c>
      <c r="B24" s="60">
        <f t="shared" si="13"/>
        <v>1.2932216517643498</v>
      </c>
      <c r="C24" s="83">
        <f t="shared" si="3"/>
        <v>1.7921804437371065</v>
      </c>
      <c r="D24" s="84">
        <v>1.5005905554972734E-2</v>
      </c>
      <c r="E24" s="58">
        <f t="shared" si="14"/>
        <v>273.14999999999998</v>
      </c>
      <c r="F24" s="85">
        <f t="shared" si="5"/>
        <v>0</v>
      </c>
      <c r="G24" s="103">
        <f t="shared" si="6"/>
        <v>0</v>
      </c>
      <c r="H24" s="61" t="e">
        <f t="shared" si="1"/>
        <v>#NUM!</v>
      </c>
      <c r="I24" s="61">
        <f t="shared" si="7"/>
        <v>-0.18569222142197017</v>
      </c>
      <c r="J24" s="60">
        <f t="shared" si="2"/>
        <v>0.24895987608691272</v>
      </c>
      <c r="K24" s="60" t="e">
        <f t="shared" si="8"/>
        <v>#NUM!</v>
      </c>
      <c r="L24" s="86">
        <f t="shared" si="9"/>
        <v>0.98557076915009822</v>
      </c>
      <c r="M24" s="58"/>
      <c r="N24" s="58"/>
      <c r="O24" s="58"/>
      <c r="P24" s="58"/>
    </row>
    <row r="25" spans="1:23" x14ac:dyDescent="0.25">
      <c r="A25" s="82">
        <v>28.420371751368311</v>
      </c>
      <c r="B25" s="60">
        <f t="shared" si="13"/>
        <v>1.2153393564485644</v>
      </c>
      <c r="C25" s="83">
        <f t="shared" si="3"/>
        <v>1.7656435413559413</v>
      </c>
      <c r="D25" s="84">
        <v>2.1096426113906417E-2</v>
      </c>
      <c r="E25" s="58">
        <f t="shared" si="14"/>
        <v>273.14999999999998</v>
      </c>
      <c r="F25" s="85">
        <f t="shared" si="5"/>
        <v>0</v>
      </c>
      <c r="G25" s="103">
        <f t="shared" si="6"/>
        <v>0</v>
      </c>
      <c r="H25" s="61" t="e">
        <f t="shared" si="1"/>
        <v>#NUM!</v>
      </c>
      <c r="I25" s="61">
        <f t="shared" si="7"/>
        <v>-3.7425149369147315E-2</v>
      </c>
      <c r="J25" s="60">
        <f t="shared" si="2"/>
        <v>0.30283469592657242</v>
      </c>
      <c r="K25" s="60" t="e">
        <f t="shared" si="8"/>
        <v>#NUM!</v>
      </c>
      <c r="L25" s="86">
        <f t="shared" si="9"/>
        <v>0.98133164704588316</v>
      </c>
      <c r="M25" s="58"/>
      <c r="N25" s="58"/>
      <c r="O25" s="58"/>
      <c r="P25" s="58"/>
    </row>
    <row r="26" spans="1:23" x14ac:dyDescent="0.25">
      <c r="A26" s="82">
        <v>28.420456601995689</v>
      </c>
      <c r="B26" s="60">
        <f t="shared" si="13"/>
        <v>1.2153402207040531</v>
      </c>
      <c r="C26" s="83">
        <f t="shared" si="3"/>
        <v>1.7656433076383831</v>
      </c>
      <c r="D26" s="84">
        <v>2.1096479651136393E-2</v>
      </c>
      <c r="E26" s="58">
        <f t="shared" si="14"/>
        <v>273.14999999999998</v>
      </c>
      <c r="F26" s="85">
        <f t="shared" si="5"/>
        <v>0</v>
      </c>
      <c r="G26" s="103">
        <f t="shared" si="6"/>
        <v>0</v>
      </c>
      <c r="H26" s="61" t="e">
        <f t="shared" si="1"/>
        <v>#NUM!</v>
      </c>
      <c r="I26" s="61">
        <f t="shared" si="7"/>
        <v>-3.7424094954461196E-2</v>
      </c>
      <c r="J26" s="60">
        <f t="shared" si="2"/>
        <v>0.30283348748945271</v>
      </c>
      <c r="K26" s="60" t="e">
        <f t="shared" si="8"/>
        <v>#NUM!</v>
      </c>
      <c r="L26" s="86">
        <f t="shared" si="9"/>
        <v>0.98133160986352252</v>
      </c>
      <c r="M26" s="58"/>
      <c r="N26" s="58"/>
      <c r="O26" s="58"/>
      <c r="P26" s="58"/>
    </row>
    <row r="27" spans="1:23" x14ac:dyDescent="0.25">
      <c r="A27" s="82">
        <v>29.631659818890377</v>
      </c>
      <c r="B27" s="60">
        <f t="shared" si="13"/>
        <v>1.2273549133681474</v>
      </c>
      <c r="C27" s="83">
        <f t="shared" si="3"/>
        <v>1.6774686529911298</v>
      </c>
      <c r="D27" s="84">
        <v>4.1166736021907707E-2</v>
      </c>
      <c r="E27" s="58">
        <f t="shared" si="14"/>
        <v>273.14999999999998</v>
      </c>
      <c r="F27" s="85">
        <f t="shared" si="5"/>
        <v>0</v>
      </c>
      <c r="G27" s="103">
        <f t="shared" si="6"/>
        <v>0</v>
      </c>
      <c r="H27" s="61" t="e">
        <f t="shared" si="1"/>
        <v>#NUM!</v>
      </c>
      <c r="I27" s="61">
        <f t="shared" si="7"/>
        <v>0.21444533883313577</v>
      </c>
      <c r="J27" s="60">
        <f t="shared" si="2"/>
        <v>0.202602378597386</v>
      </c>
      <c r="K27" s="60" t="e">
        <f t="shared" si="8"/>
        <v>#NUM!</v>
      </c>
      <c r="L27" s="86">
        <f t="shared" si="9"/>
        <v>0.9674921094463248</v>
      </c>
      <c r="M27" s="58"/>
      <c r="N27" s="58"/>
      <c r="O27" s="58"/>
      <c r="P27" s="58"/>
    </row>
    <row r="28" spans="1:23" x14ac:dyDescent="0.25">
      <c r="A28" s="82">
        <v>21.987020887980933</v>
      </c>
      <c r="B28" s="60">
        <f t="shared" si="13"/>
        <v>1.1384075142949734</v>
      </c>
      <c r="C28" s="83">
        <f t="shared" si="3"/>
        <v>1.6792041848225976</v>
      </c>
      <c r="D28" s="84">
        <v>4.0774129865342491E-2</v>
      </c>
      <c r="E28" s="58">
        <f t="shared" si="14"/>
        <v>273.14999999999998</v>
      </c>
      <c r="F28" s="85">
        <f t="shared" si="5"/>
        <v>0</v>
      </c>
      <c r="G28" s="103">
        <f t="shared" si="6"/>
        <v>0</v>
      </c>
      <c r="H28" s="61" t="e">
        <f t="shared" si="1"/>
        <v>#NUM!</v>
      </c>
      <c r="I28" s="61">
        <f t="shared" si="7"/>
        <v>0.21120091081907189</v>
      </c>
      <c r="J28" s="60">
        <f t="shared" si="2"/>
        <v>0.29246103885376368</v>
      </c>
      <c r="K28" s="60" t="e">
        <f t="shared" si="8"/>
        <v>#NUM!</v>
      </c>
      <c r="L28" s="86">
        <f t="shared" si="9"/>
        <v>0.9677609223544269</v>
      </c>
      <c r="M28" s="58"/>
      <c r="N28" s="58"/>
      <c r="O28" s="58"/>
      <c r="P28" s="58"/>
    </row>
    <row r="29" spans="1:23" x14ac:dyDescent="0.25">
      <c r="A29" s="82">
        <v>30.816001947400682</v>
      </c>
      <c r="B29" s="60">
        <f t="shared" si="13"/>
        <v>1.238517819335222</v>
      </c>
      <c r="C29" s="83">
        <f t="shared" si="3"/>
        <v>1.7690007705908679</v>
      </c>
      <c r="D29" s="84">
        <v>2.03272044373436E-2</v>
      </c>
      <c r="E29" s="58">
        <f t="shared" si="14"/>
        <v>273.14999999999998</v>
      </c>
      <c r="F29" s="85">
        <f t="shared" si="5"/>
        <v>0</v>
      </c>
      <c r="G29" s="103">
        <f t="shared" si="6"/>
        <v>0</v>
      </c>
      <c r="H29" s="61" t="e">
        <f t="shared" si="1"/>
        <v>#NUM!</v>
      </c>
      <c r="I29" s="61">
        <f t="shared" si="7"/>
        <v>-5.2938028329945874E-2</v>
      </c>
      <c r="J29" s="60">
        <f t="shared" si="2"/>
        <v>0.2814121615729</v>
      </c>
      <c r="K29" s="60" t="e">
        <f t="shared" si="8"/>
        <v>#NUM!</v>
      </c>
      <c r="L29" s="86">
        <f t="shared" si="9"/>
        <v>0.98186602861680072</v>
      </c>
      <c r="M29" s="58"/>
      <c r="N29" s="58"/>
      <c r="O29" s="58"/>
      <c r="P29" s="58"/>
    </row>
    <row r="30" spans="1:23" x14ac:dyDescent="0.25">
      <c r="A30" s="82">
        <v>19.747777602904364</v>
      </c>
      <c r="B30" s="60">
        <f t="shared" si="13"/>
        <v>1.1045526768754181</v>
      </c>
      <c r="C30" s="83">
        <f t="shared" si="3"/>
        <v>1.5774121709433406</v>
      </c>
      <c r="D30" s="84">
        <v>6.3640241616931603E-2</v>
      </c>
      <c r="E30" s="58">
        <f t="shared" si="14"/>
        <v>273.14999999999998</v>
      </c>
      <c r="F30" s="85">
        <f t="shared" si="5"/>
        <v>0</v>
      </c>
      <c r="G30" s="103">
        <f t="shared" si="6"/>
        <v>0</v>
      </c>
      <c r="H30" s="61" t="e">
        <f t="shared" si="1"/>
        <v>#NUM!</v>
      </c>
      <c r="I30" s="61">
        <f t="shared" si="7"/>
        <v>0.3506933986827922</v>
      </c>
      <c r="J30" s="60">
        <f t="shared" si="2"/>
        <v>0.22359610113017162</v>
      </c>
      <c r="K30" s="60" t="e">
        <f t="shared" si="8"/>
        <v>#NUM!</v>
      </c>
      <c r="L30" s="86">
        <f t="shared" si="9"/>
        <v>0.95223178991578983</v>
      </c>
      <c r="M30" s="58"/>
      <c r="N30" s="58"/>
      <c r="O30" s="58"/>
      <c r="P30" s="58"/>
    </row>
    <row r="31" spans="1:23" x14ac:dyDescent="0.25">
      <c r="A31" s="82">
        <v>71.027445328266779</v>
      </c>
      <c r="B31" s="60">
        <f t="shared" si="13"/>
        <v>1.4522865410573316</v>
      </c>
      <c r="C31" s="83">
        <f t="shared" si="3"/>
        <v>1.679602741434981</v>
      </c>
      <c r="D31" s="84">
        <v>4.068395609917988E-2</v>
      </c>
      <c r="E31" s="58">
        <f t="shared" si="14"/>
        <v>273.14999999999998</v>
      </c>
      <c r="F31" s="85">
        <f t="shared" si="5"/>
        <v>0</v>
      </c>
      <c r="G31" s="103">
        <f t="shared" si="6"/>
        <v>0</v>
      </c>
      <c r="H31" s="61" t="e">
        <f t="shared" si="1"/>
        <v>#NUM!</v>
      </c>
      <c r="I31" s="61">
        <f t="shared" si="7"/>
        <v>0.21044980619016695</v>
      </c>
      <c r="J31" s="60">
        <f t="shared" si="2"/>
        <v>5.1672654954131668E-2</v>
      </c>
      <c r="K31" s="60" t="e">
        <f t="shared" si="8"/>
        <v>#NUM!</v>
      </c>
      <c r="L31" s="86">
        <f t="shared" si="9"/>
        <v>0.96782267405383338</v>
      </c>
      <c r="M31" s="58"/>
      <c r="N31" s="58"/>
      <c r="O31" s="58"/>
      <c r="P31" s="58"/>
    </row>
    <row r="32" spans="1:23" x14ac:dyDescent="0.25">
      <c r="A32" s="82">
        <v>67.453236919927718</v>
      </c>
      <c r="B32" s="60">
        <f t="shared" si="13"/>
        <v>1.4402517838901416</v>
      </c>
      <c r="C32" s="83">
        <f t="shared" si="3"/>
        <v>1.6888912241826042</v>
      </c>
      <c r="D32" s="84">
        <v>3.8580984511822333E-2</v>
      </c>
      <c r="E32" s="58">
        <f t="shared" si="14"/>
        <v>273.14999999999998</v>
      </c>
      <c r="F32" s="85">
        <f t="shared" si="5"/>
        <v>0</v>
      </c>
      <c r="G32" s="103">
        <f t="shared" si="6"/>
        <v>0</v>
      </c>
      <c r="H32" s="61" t="e">
        <f t="shared" si="1"/>
        <v>#NUM!</v>
      </c>
      <c r="I32" s="61">
        <f t="shared" si="7"/>
        <v>0.19227412853334458</v>
      </c>
      <c r="J32" s="60">
        <f t="shared" si="2"/>
        <v>6.1821571268949049E-2</v>
      </c>
      <c r="K32" s="60" t="e">
        <f t="shared" si="8"/>
        <v>#NUM!</v>
      </c>
      <c r="L32" s="86">
        <f t="shared" si="9"/>
        <v>0.96926394553104178</v>
      </c>
      <c r="M32" s="58"/>
      <c r="N32" s="58"/>
      <c r="O32" s="58"/>
      <c r="P32" s="58"/>
    </row>
    <row r="33" spans="1:16" x14ac:dyDescent="0.25">
      <c r="A33" s="82">
        <v>63.921195844476728</v>
      </c>
      <c r="B33" s="60">
        <f t="shared" si="13"/>
        <v>1.4275664461790443</v>
      </c>
      <c r="C33" s="83">
        <f t="shared" si="3"/>
        <v>1.6973514733515604</v>
      </c>
      <c r="D33" s="84">
        <v>3.6663113223704316E-2</v>
      </c>
      <c r="E33" s="58">
        <f t="shared" si="14"/>
        <v>273.14999999999998</v>
      </c>
      <c r="F33" s="85">
        <f t="shared" si="5"/>
        <v>0</v>
      </c>
      <c r="G33" s="103">
        <f t="shared" si="6"/>
        <v>0</v>
      </c>
      <c r="H33" s="61" t="e">
        <f t="shared" si="1"/>
        <v>#NUM!</v>
      </c>
      <c r="I33" s="61">
        <f t="shared" si="7"/>
        <v>0.17450531872279118</v>
      </c>
      <c r="J33" s="60">
        <f t="shared" si="2"/>
        <v>7.2783960886475291E-2</v>
      </c>
      <c r="K33" s="60" t="e">
        <f t="shared" si="8"/>
        <v>#NUM!</v>
      </c>
      <c r="L33" s="86">
        <f t="shared" si="9"/>
        <v>0.97058026478535275</v>
      </c>
      <c r="M33" s="58"/>
      <c r="N33" s="58"/>
      <c r="O33" s="58"/>
      <c r="P33" s="58"/>
    </row>
    <row r="34" spans="1:16" x14ac:dyDescent="0.25">
      <c r="A34" s="82">
        <v>60.472350315390848</v>
      </c>
      <c r="B34" s="60">
        <f t="shared" si="13"/>
        <v>1.4143217231492522</v>
      </c>
      <c r="C34" s="83">
        <f t="shared" si="3"/>
        <v>1.7050830753779285</v>
      </c>
      <c r="D34" s="84">
        <v>3.4908398014472083E-2</v>
      </c>
      <c r="E34" s="58">
        <f t="shared" si="14"/>
        <v>273.14999999999998</v>
      </c>
      <c r="F34" s="85">
        <f t="shared" si="5"/>
        <v>0</v>
      </c>
      <c r="G34" s="103">
        <f t="shared" si="6"/>
        <v>0</v>
      </c>
      <c r="H34" s="61" t="e">
        <f t="shared" si="1"/>
        <v>#NUM!</v>
      </c>
      <c r="I34" s="61">
        <f t="shared" si="7"/>
        <v>0.15712989970091429</v>
      </c>
      <c r="J34" s="60">
        <f t="shared" si="2"/>
        <v>8.4542163949848342E-2</v>
      </c>
      <c r="K34" s="60" t="e">
        <f t="shared" si="8"/>
        <v>#NUM!</v>
      </c>
      <c r="L34" s="86">
        <f t="shared" si="9"/>
        <v>0.97178619589033655</v>
      </c>
      <c r="M34" s="58"/>
      <c r="N34" s="58"/>
      <c r="O34" s="58"/>
      <c r="P34" s="58"/>
    </row>
    <row r="35" spans="1:16" x14ac:dyDescent="0.25">
      <c r="A35" s="82">
        <v>57.136207447311357</v>
      </c>
      <c r="B35" s="60">
        <f t="shared" si="13"/>
        <v>1.4005953640540361</v>
      </c>
      <c r="C35" s="83">
        <f t="shared" si="3"/>
        <v>1.7121708036436478</v>
      </c>
      <c r="D35" s="84">
        <v>3.3298109797795183E-2</v>
      </c>
      <c r="E35" s="58">
        <f t="shared" si="14"/>
        <v>273.14999999999998</v>
      </c>
      <c r="F35" s="85">
        <f t="shared" si="5"/>
        <v>0</v>
      </c>
      <c r="G35" s="103">
        <f t="shared" si="6"/>
        <v>0</v>
      </c>
      <c r="H35" s="61" t="e">
        <f t="shared" si="1"/>
        <v>#NUM!</v>
      </c>
      <c r="I35" s="61">
        <f t="shared" si="7"/>
        <v>0.14013472635201618</v>
      </c>
      <c r="J35" s="60">
        <f t="shared" si="2"/>
        <v>9.7079254555459807E-2</v>
      </c>
      <c r="K35" s="60" t="e">
        <f t="shared" si="8"/>
        <v>#NUM!</v>
      </c>
      <c r="L35" s="86">
        <f t="shared" si="9"/>
        <v>0.97289420876551536</v>
      </c>
      <c r="M35" s="58"/>
      <c r="N35" s="58"/>
      <c r="O35" s="58"/>
      <c r="P35" s="58"/>
    </row>
    <row r="36" spans="1:16" x14ac:dyDescent="0.25">
      <c r="A36" s="82">
        <v>53.93295979034307</v>
      </c>
      <c r="B36" s="88">
        <f t="shared" si="13"/>
        <v>1.3864536883730674</v>
      </c>
      <c r="C36" s="89">
        <f t="shared" si="3"/>
        <v>1.7186869739126502</v>
      </c>
      <c r="D36" s="84">
        <v>3.1816234814772248E-2</v>
      </c>
      <c r="E36" s="58">
        <f t="shared" si="14"/>
        <v>273.14999999999998</v>
      </c>
      <c r="F36" s="85">
        <f t="shared" si="5"/>
        <v>0</v>
      </c>
      <c r="G36" s="103">
        <f t="shared" si="6"/>
        <v>0</v>
      </c>
      <c r="H36" s="61" t="e">
        <f t="shared" si="1"/>
        <v>#NUM!</v>
      </c>
      <c r="I36" s="61">
        <f t="shared" si="7"/>
        <v>0.12350766787974998</v>
      </c>
      <c r="J36" s="60">
        <f t="shared" si="2"/>
        <v>0.11037895602042601</v>
      </c>
      <c r="K36" s="60" t="e">
        <f t="shared" si="8"/>
        <v>#NUM!</v>
      </c>
      <c r="L36" s="86">
        <f t="shared" si="9"/>
        <v>0.97391499531477699</v>
      </c>
      <c r="M36" s="58"/>
      <c r="N36" s="58"/>
      <c r="O36" s="58"/>
      <c r="P36" s="58"/>
    </row>
    <row r="37" spans="1:16" x14ac:dyDescent="0.25">
      <c r="A37" s="82">
        <v>50.875502348162264</v>
      </c>
      <c r="B37" s="88">
        <f t="shared" si="13"/>
        <v>1.3719537237214403</v>
      </c>
      <c r="C37" s="89">
        <f t="shared" si="3"/>
        <v>1.724693785139316</v>
      </c>
      <c r="D37" s="84">
        <v>3.0448969286686257E-2</v>
      </c>
      <c r="E37" s="58">
        <f t="shared" si="14"/>
        <v>273.14999999999998</v>
      </c>
      <c r="F37" s="85">
        <f t="shared" si="5"/>
        <v>0</v>
      </c>
      <c r="G37" s="103">
        <f t="shared" si="6"/>
        <v>0</v>
      </c>
      <c r="H37" s="61" t="e">
        <f t="shared" si="1"/>
        <v>#NUM!</v>
      </c>
      <c r="I37" s="61">
        <f t="shared" si="7"/>
        <v>0.10723709311044316</v>
      </c>
      <c r="J37" s="60">
        <f t="shared" si="2"/>
        <v>0.12442555092908673</v>
      </c>
      <c r="K37" s="60" t="e">
        <f t="shared" si="8"/>
        <v>#NUM!</v>
      </c>
      <c r="L37" s="86">
        <f t="shared" si="9"/>
        <v>0.9748577963437417</v>
      </c>
      <c r="M37" s="58"/>
      <c r="N37" s="58"/>
      <c r="O37" s="58"/>
      <c r="P37" s="58"/>
    </row>
    <row r="38" spans="1:16" x14ac:dyDescent="0.25">
      <c r="A38" s="82">
        <v>47.971083744515155</v>
      </c>
      <c r="B38" s="88">
        <f t="shared" si="13"/>
        <v>1.3571448859723481</v>
      </c>
      <c r="C38" s="89">
        <f t="shared" si="3"/>
        <v>1.730245125377897</v>
      </c>
      <c r="D38" s="84">
        <v>2.9184328862714673E-2</v>
      </c>
      <c r="E38" s="58">
        <f t="shared" si="14"/>
        <v>273.14999999999998</v>
      </c>
      <c r="F38" s="85">
        <f t="shared" si="5"/>
        <v>0</v>
      </c>
      <c r="G38" s="103">
        <f t="shared" si="6"/>
        <v>0</v>
      </c>
      <c r="H38" s="61" t="e">
        <f t="shared" si="1"/>
        <v>#NUM!</v>
      </c>
      <c r="I38" s="61">
        <f t="shared" si="7"/>
        <v>9.131148531979516E-2</v>
      </c>
      <c r="J38" s="60">
        <f t="shared" si="2"/>
        <v>0.13920378864447794</v>
      </c>
      <c r="K38" s="60" t="e">
        <f t="shared" si="8"/>
        <v>#NUM!</v>
      </c>
      <c r="L38" s="86">
        <f t="shared" si="9"/>
        <v>0.97573065477859999</v>
      </c>
      <c r="M38" s="58"/>
      <c r="N38" s="58"/>
      <c r="O38" s="58"/>
      <c r="P38" s="58"/>
    </row>
    <row r="39" spans="1:16" x14ac:dyDescent="0.25">
      <c r="A39" s="82">
        <v>45.222544333122627</v>
      </c>
      <c r="B39" s="88">
        <f t="shared" si="13"/>
        <v>1.3420697505189507</v>
      </c>
      <c r="C39" s="89">
        <f t="shared" si="3"/>
        <v>1.7353875658959577</v>
      </c>
      <c r="D39" s="84">
        <v>2.8011938037899323E-2</v>
      </c>
      <c r="E39" s="58">
        <f t="shared" si="14"/>
        <v>273.14999999999998</v>
      </c>
      <c r="F39" s="85">
        <f t="shared" si="5"/>
        <v>0</v>
      </c>
      <c r="G39" s="103">
        <f t="shared" si="6"/>
        <v>0</v>
      </c>
      <c r="H39" s="61" t="e">
        <f t="shared" si="1"/>
        <v>#NUM!</v>
      </c>
      <c r="I39" s="61">
        <f t="shared" si="7"/>
        <v>7.5720459868171108E-2</v>
      </c>
      <c r="J39" s="60">
        <f t="shared" si="2"/>
        <v>0.15469890389294133</v>
      </c>
      <c r="K39" s="60" t="e">
        <f t="shared" si="8"/>
        <v>#NUM!</v>
      </c>
      <c r="L39" s="86">
        <f t="shared" si="9"/>
        <v>0.97654054855941264</v>
      </c>
      <c r="M39" s="58"/>
      <c r="N39" s="58"/>
      <c r="O39" s="58"/>
      <c r="P39" s="58"/>
    </row>
    <row r="40" spans="1:16" x14ac:dyDescent="0.25">
      <c r="A40" s="82">
        <v>42.629474270154461</v>
      </c>
      <c r="B40" s="88">
        <f t="shared" si="13"/>
        <v>1.3267654316695381</v>
      </c>
      <c r="C40" s="89">
        <f t="shared" si="3"/>
        <v>1.7401617780598466</v>
      </c>
      <c r="D40" s="84">
        <v>2.6922719654403505E-2</v>
      </c>
      <c r="E40" s="58">
        <f t="shared" si="14"/>
        <v>273.14999999999998</v>
      </c>
      <c r="F40" s="85">
        <f t="shared" si="5"/>
        <v>0</v>
      </c>
      <c r="G40" s="103">
        <f t="shared" si="6"/>
        <v>0</v>
      </c>
      <c r="H40" s="61" t="e">
        <f t="shared" si="1"/>
        <v>#NUM!</v>
      </c>
      <c r="I40" s="61">
        <f t="shared" si="7"/>
        <v>6.0453926586676143E-2</v>
      </c>
      <c r="J40" s="60">
        <f t="shared" si="2"/>
        <v>0.17089653920885595</v>
      </c>
      <c r="K40" s="60" t="e">
        <f t="shared" si="8"/>
        <v>#NUM!</v>
      </c>
      <c r="L40" s="86">
        <f t="shared" si="9"/>
        <v>0.97729359532251114</v>
      </c>
      <c r="M40" s="58"/>
      <c r="N40" s="58"/>
      <c r="O40" s="58"/>
      <c r="P40" s="58"/>
    </row>
    <row r="41" spans="1:16" x14ac:dyDescent="0.25">
      <c r="A41" s="82">
        <v>40.189087564221254</v>
      </c>
      <c r="B41" s="88">
        <f t="shared" si="13"/>
        <v>1.3112645233362623</v>
      </c>
      <c r="C41" s="89">
        <f t="shared" si="3"/>
        <v>1.7446034998753095</v>
      </c>
      <c r="D41" s="84">
        <v>2.5908684055589055E-2</v>
      </c>
      <c r="E41" s="58">
        <f t="shared" si="14"/>
        <v>273.14999999999998</v>
      </c>
      <c r="F41" s="85">
        <f t="shared" si="5"/>
        <v>0</v>
      </c>
      <c r="G41" s="103">
        <f t="shared" si="6"/>
        <v>0</v>
      </c>
      <c r="H41" s="61" t="e">
        <f t="shared" ref="H41:H66" si="18">LOG(p)</f>
        <v>#NUM!</v>
      </c>
      <c r="I41" s="61">
        <f t="shared" ref="I41:I66" si="19">Pres1+pres2/T+pres3/(T^2)+LOG(w)*(pres4+pres5/T+pres6/(T^2))+LOG(w)^2*(pres7+pres8/T+pres9/(T^2))</f>
        <v>4.5501811841136885E-2</v>
      </c>
      <c r="J41" s="60">
        <f t="shared" si="2"/>
        <v>0.18778266858790887</v>
      </c>
      <c r="K41" s="60" t="e">
        <f t="shared" si="8"/>
        <v>#NUM!</v>
      </c>
      <c r="L41" s="86">
        <f t="shared" si="9"/>
        <v>0.97799519060618689</v>
      </c>
      <c r="M41" s="58"/>
      <c r="N41" s="58"/>
      <c r="O41" s="58"/>
      <c r="P41" s="58"/>
    </row>
    <row r="42" spans="1:16" x14ac:dyDescent="0.25">
      <c r="A42" s="82">
        <v>37.896836366884351</v>
      </c>
      <c r="B42" s="88">
        <f t="shared" si="13"/>
        <v>1.2955953696950635</v>
      </c>
      <c r="C42" s="89">
        <f t="shared" si="3"/>
        <v>1.7487439969176664</v>
      </c>
      <c r="D42" s="84">
        <v>2.4962831537014597E-2</v>
      </c>
      <c r="E42" s="58">
        <f t="shared" si="14"/>
        <v>273.14999999999998</v>
      </c>
      <c r="F42" s="85">
        <f t="shared" si="5"/>
        <v>0</v>
      </c>
      <c r="G42" s="103">
        <f t="shared" si="6"/>
        <v>0</v>
      </c>
      <c r="H42" s="61" t="e">
        <f t="shared" si="18"/>
        <v>#NUM!</v>
      </c>
      <c r="I42" s="61">
        <f t="shared" si="19"/>
        <v>3.0854973028984656E-2</v>
      </c>
      <c r="J42" s="60">
        <f t="shared" si="2"/>
        <v>0.20534367835372949</v>
      </c>
      <c r="K42" s="60" t="e">
        <f t="shared" si="8"/>
        <v>#NUM!</v>
      </c>
      <c r="L42" s="86">
        <f t="shared" si="9"/>
        <v>0.97865006933621246</v>
      </c>
      <c r="M42" s="58"/>
      <c r="N42" s="58"/>
      <c r="O42" s="58"/>
      <c r="P42" s="58"/>
    </row>
    <row r="43" spans="1:16" x14ac:dyDescent="0.25">
      <c r="A43" s="82">
        <v>35.747000804521868</v>
      </c>
      <c r="B43" s="88">
        <f t="shared" si="13"/>
        <v>1.2797829536107177</v>
      </c>
      <c r="C43" s="89">
        <f t="shared" si="3"/>
        <v>1.7526109136194001</v>
      </c>
      <c r="D43" s="84">
        <v>2.4078964087516485E-2</v>
      </c>
      <c r="E43" s="58">
        <f t="shared" si="14"/>
        <v>273.14999999999998</v>
      </c>
      <c r="F43" s="85">
        <f t="shared" si="5"/>
        <v>0</v>
      </c>
      <c r="G43" s="103">
        <f t="shared" si="6"/>
        <v>0</v>
      </c>
      <c r="H43" s="61" t="e">
        <f t="shared" si="18"/>
        <v>#NUM!</v>
      </c>
      <c r="I43" s="61">
        <f t="shared" si="19"/>
        <v>1.6504442106958783E-2</v>
      </c>
      <c r="J43" s="60">
        <f t="shared" si="2"/>
        <v>0.22356627976597221</v>
      </c>
      <c r="K43" s="60" t="e">
        <f t="shared" si="8"/>
        <v>#NUM!</v>
      </c>
      <c r="L43" s="86">
        <f t="shared" si="9"/>
        <v>0.97926243131741009</v>
      </c>
      <c r="M43" s="58"/>
      <c r="N43" s="58"/>
      <c r="O43" s="58"/>
      <c r="P43" s="58"/>
    </row>
    <row r="44" spans="1:16" x14ac:dyDescent="0.25">
      <c r="A44" s="82">
        <v>33.733094781408965</v>
      </c>
      <c r="B44" s="88">
        <f t="shared" si="13"/>
        <v>1.2638493326012599</v>
      </c>
      <c r="C44" s="89">
        <f t="shared" ref="C44:C66" si="20">visc1+visc2*LN(T)+visc3*LN(T)^2+w*(visc4+visc5*LN(T)+visc6*LN(T)^2)+w^2*(visc7+visc8*LN(T)+visc9*LN(T)^2)</f>
        <v>1.756228736897633</v>
      </c>
      <c r="D44" s="84">
        <v>2.3251584304051071E-2</v>
      </c>
      <c r="E44" s="58">
        <f t="shared" si="14"/>
        <v>273.14999999999998</v>
      </c>
      <c r="F44" s="85">
        <f t="shared" si="5"/>
        <v>0</v>
      </c>
      <c r="G44" s="103">
        <f t="shared" si="6"/>
        <v>0</v>
      </c>
      <c r="H44" s="61" t="e">
        <f t="shared" si="18"/>
        <v>#NUM!</v>
      </c>
      <c r="I44" s="61">
        <f t="shared" si="19"/>
        <v>2.4415620762628931E-3</v>
      </c>
      <c r="J44" s="60">
        <f t="shared" si="2"/>
        <v>0.24243747777525129</v>
      </c>
      <c r="K44" s="60" t="e">
        <f t="shared" si="8"/>
        <v>#NUM!</v>
      </c>
      <c r="L44" s="86">
        <f t="shared" ref="L44:L66" si="21">$O$2+$O$3*T+$O$4*T^2+w*($O$5+$O$6*T+$O$7*T^2)+w^2*($O$8+$O$9*T+$O$10*T^2)</f>
        <v>0.97983600744990962</v>
      </c>
      <c r="M44" s="58"/>
      <c r="N44" s="58"/>
      <c r="O44" s="58"/>
      <c r="P44" s="58"/>
    </row>
    <row r="45" spans="1:16" x14ac:dyDescent="0.25">
      <c r="A45" s="82">
        <v>31.848171335971941</v>
      </c>
      <c r="B45" s="88">
        <f t="shared" si="13"/>
        <v>1.2478139384874807</v>
      </c>
      <c r="C45" s="89">
        <f t="shared" si="20"/>
        <v>1.7596191931801224</v>
      </c>
      <c r="D45" s="84">
        <v>2.2475808563037169E-2</v>
      </c>
      <c r="E45" s="58">
        <f t="shared" si="14"/>
        <v>273.14999999999998</v>
      </c>
      <c r="F45" s="85">
        <f t="shared" si="5"/>
        <v>0</v>
      </c>
      <c r="G45" s="103">
        <f t="shared" si="6"/>
        <v>0</v>
      </c>
      <c r="H45" s="61" t="e">
        <f t="shared" si="18"/>
        <v>#NUM!</v>
      </c>
      <c r="I45" s="61">
        <f t="shared" si="19"/>
        <v>-1.1341891617202005E-2</v>
      </c>
      <c r="J45" s="60">
        <f t="shared" si="2"/>
        <v>0.26194461873099983</v>
      </c>
      <c r="K45" s="60" t="e">
        <f t="shared" si="8"/>
        <v>#NUM!</v>
      </c>
      <c r="L45" s="86">
        <f t="shared" si="21"/>
        <v>0.98037411682339548</v>
      </c>
      <c r="M45" s="58"/>
      <c r="N45" s="58"/>
      <c r="O45" s="58"/>
      <c r="P45" s="58"/>
    </row>
    <row r="46" spans="1:16" x14ac:dyDescent="0.25">
      <c r="A46" s="82">
        <v>30.085076807869598</v>
      </c>
      <c r="B46" s="88">
        <f t="shared" si="13"/>
        <v>1.2316940124300761</v>
      </c>
      <c r="C46" s="89">
        <f t="shared" si="20"/>
        <v>1.7628016468968846</v>
      </c>
      <c r="D46" s="84">
        <v>2.1747279068912006E-2</v>
      </c>
      <c r="E46" s="58">
        <f t="shared" si="14"/>
        <v>273.14999999999998</v>
      </c>
      <c r="F46" s="85">
        <f t="shared" si="5"/>
        <v>0</v>
      </c>
      <c r="G46" s="103">
        <f t="shared" si="6"/>
        <v>0</v>
      </c>
      <c r="H46" s="61" t="e">
        <f t="shared" si="18"/>
        <v>#NUM!</v>
      </c>
      <c r="I46" s="61">
        <f t="shared" si="19"/>
        <v>-2.485385276967822E-2</v>
      </c>
      <c r="J46" s="60">
        <f t="shared" si="2"/>
        <v>0.28207531938892899</v>
      </c>
      <c r="K46" s="60" t="e">
        <f t="shared" si="8"/>
        <v>#NUM!</v>
      </c>
      <c r="L46" s="86">
        <f t="shared" si="21"/>
        <v>0.98087972520466127</v>
      </c>
      <c r="M46" s="58"/>
      <c r="N46" s="58"/>
      <c r="O46" s="58"/>
      <c r="P46" s="58"/>
    </row>
    <row r="47" spans="1:16" x14ac:dyDescent="0.25">
      <c r="A47" s="82">
        <v>28.436625045549455</v>
      </c>
      <c r="B47" s="88">
        <f t="shared" si="13"/>
        <v>1.2155048466170228</v>
      </c>
      <c r="C47" s="89">
        <f t="shared" si="20"/>
        <v>1.7657934011665912</v>
      </c>
      <c r="D47" s="84">
        <v>2.1062097641981425E-2</v>
      </c>
      <c r="E47" s="58">
        <f t="shared" si="14"/>
        <v>273.14999999999998</v>
      </c>
      <c r="F47" s="85">
        <f t="shared" si="5"/>
        <v>0</v>
      </c>
      <c r="G47" s="103">
        <f t="shared" si="6"/>
        <v>0</v>
      </c>
      <c r="H47" s="61" t="e">
        <f t="shared" si="18"/>
        <v>#NUM!</v>
      </c>
      <c r="I47" s="61">
        <f t="shared" si="19"/>
        <v>-3.8101953407692735E-2</v>
      </c>
      <c r="J47" s="60">
        <f t="shared" si="2"/>
        <v>0.3028174932682533</v>
      </c>
      <c r="K47" s="60" t="e">
        <f t="shared" si="8"/>
        <v>#NUM!</v>
      </c>
      <c r="L47" s="86">
        <f t="shared" si="21"/>
        <v>0.98135548894510438</v>
      </c>
      <c r="M47" s="58"/>
      <c r="N47" s="58"/>
      <c r="O47" s="58"/>
      <c r="P47" s="58"/>
    </row>
    <row r="48" spans="1:16" x14ac:dyDescent="0.25">
      <c r="A48" s="82">
        <v>26.895731740573673</v>
      </c>
      <c r="B48" s="88">
        <f t="shared" si="13"/>
        <v>1.1992600508327405</v>
      </c>
      <c r="C48" s="89">
        <f t="shared" si="20"/>
        <v>1.7686099610700488</v>
      </c>
      <c r="D48" s="84">
        <v>2.0416767573272945E-2</v>
      </c>
      <c r="E48" s="58">
        <f t="shared" si="14"/>
        <v>273.14999999999998</v>
      </c>
      <c r="F48" s="85">
        <f t="shared" si="5"/>
        <v>0</v>
      </c>
      <c r="G48" s="103">
        <f t="shared" si="6"/>
        <v>0</v>
      </c>
      <c r="H48" s="61" t="e">
        <f t="shared" si="18"/>
        <v>#NUM!</v>
      </c>
      <c r="I48" s="61">
        <f t="shared" si="19"/>
        <v>-5.109354574990177E-2</v>
      </c>
      <c r="J48" s="60">
        <f t="shared" si="2"/>
        <v>0.32415932028723099</v>
      </c>
      <c r="K48" s="60" t="e">
        <f t="shared" si="8"/>
        <v>#NUM!</v>
      </c>
      <c r="L48" s="86">
        <f t="shared" si="21"/>
        <v>0.98180379367774395</v>
      </c>
      <c r="M48" s="58"/>
      <c r="N48" s="58"/>
      <c r="O48" s="58"/>
      <c r="P48" s="58"/>
    </row>
    <row r="49" spans="1:16" x14ac:dyDescent="0.25">
      <c r="A49" s="82">
        <v>25.455506511830304</v>
      </c>
      <c r="B49" s="88">
        <f t="shared" si="13"/>
        <v>1.1829717403686359</v>
      </c>
      <c r="C49" s="89">
        <f t="shared" si="20"/>
        <v>1.7712652500643182</v>
      </c>
      <c r="D49" s="84">
        <v>1.9808145811275789E-2</v>
      </c>
      <c r="E49" s="58">
        <f t="shared" si="14"/>
        <v>273.14999999999998</v>
      </c>
      <c r="F49" s="85">
        <f t="shared" si="5"/>
        <v>0</v>
      </c>
      <c r="G49" s="103">
        <f t="shared" si="6"/>
        <v>0</v>
      </c>
      <c r="H49" s="61" t="e">
        <f t="shared" si="18"/>
        <v>#NUM!</v>
      </c>
      <c r="I49" s="61">
        <f t="shared" si="19"/>
        <v>-6.38356838028592E-2</v>
      </c>
      <c r="J49" s="60">
        <f t="shared" si="2"/>
        <v>0.34608925355006381</v>
      </c>
      <c r="K49" s="60" t="e">
        <f t="shared" si="8"/>
        <v>#NUM!</v>
      </c>
      <c r="L49" s="86">
        <f t="shared" si="21"/>
        <v>0.98222678615203385</v>
      </c>
      <c r="M49" s="58"/>
      <c r="N49" s="58"/>
      <c r="O49" s="58"/>
      <c r="P49" s="58"/>
    </row>
    <row r="50" spans="1:16" x14ac:dyDescent="0.25">
      <c r="A50" s="82">
        <v>24.109320621550086</v>
      </c>
      <c r="B50" s="88">
        <f t="shared" si="13"/>
        <v>1.1666507447809735</v>
      </c>
      <c r="C50" s="89">
        <f t="shared" si="20"/>
        <v>1.7737718119398824</v>
      </c>
      <c r="D50" s="84">
        <v>1.9233398137407067E-2</v>
      </c>
      <c r="E50" s="58">
        <f t="shared" si="14"/>
        <v>273.14999999999998</v>
      </c>
      <c r="F50" s="85">
        <f t="shared" si="5"/>
        <v>0</v>
      </c>
      <c r="G50" s="103">
        <f t="shared" si="6"/>
        <v>0</v>
      </c>
      <c r="H50" s="61" t="e">
        <f t="shared" si="18"/>
        <v>#NUM!</v>
      </c>
      <c r="I50" s="61">
        <f t="shared" si="19"/>
        <v>-7.6335185799812244E-2</v>
      </c>
      <c r="J50" s="60">
        <f t="shared" si="2"/>
        <v>0.36859599018817235</v>
      </c>
      <c r="K50" s="60" t="e">
        <f t="shared" si="8"/>
        <v>#NUM!</v>
      </c>
      <c r="L50" s="86">
        <f t="shared" si="21"/>
        <v>0.98262640424466652</v>
      </c>
      <c r="M50" s="58"/>
      <c r="N50" s="58"/>
      <c r="O50" s="58"/>
      <c r="P50" s="58"/>
    </row>
    <row r="51" spans="1:16" x14ac:dyDescent="0.25">
      <c r="A51" s="82">
        <v>22.850846844038394</v>
      </c>
      <c r="B51" s="88">
        <f t="shared" si="13"/>
        <v>1.1503067326716931</v>
      </c>
      <c r="C51" s="89">
        <f t="shared" si="20"/>
        <v>1.7761409657581213</v>
      </c>
      <c r="D51" s="84">
        <v>1.8689964855648195E-2</v>
      </c>
      <c r="E51" s="58">
        <f t="shared" si="14"/>
        <v>273.14999999999998</v>
      </c>
      <c r="F51" s="85">
        <f t="shared" si="5"/>
        <v>0</v>
      </c>
      <c r="G51" s="103">
        <f t="shared" si="6"/>
        <v>0</v>
      </c>
      <c r="H51" s="61" t="e">
        <f t="shared" si="18"/>
        <v>#NUM!</v>
      </c>
      <c r="I51" s="61">
        <f t="shared" si="19"/>
        <v>-8.8598601616637462E-2</v>
      </c>
      <c r="J51" s="60">
        <f t="shared" si="2"/>
        <v>0.39166848730287768</v>
      </c>
      <c r="K51" s="60" t="e">
        <f t="shared" si="8"/>
        <v>#NUM!</v>
      </c>
      <c r="L51" s="86">
        <f t="shared" si="21"/>
        <v>0.98300439986811294</v>
      </c>
      <c r="M51" s="58"/>
      <c r="N51" s="58"/>
      <c r="O51" s="58"/>
      <c r="P51" s="58"/>
    </row>
    <row r="52" spans="1:16" x14ac:dyDescent="0.25">
      <c r="A52" s="82">
        <v>21.674086641179205</v>
      </c>
      <c r="B52" s="88">
        <f t="shared" si="13"/>
        <v>1.1339483647196436</v>
      </c>
      <c r="C52" s="89">
        <f t="shared" si="20"/>
        <v>1.7783829558353694</v>
      </c>
      <c r="D52" s="84">
        <v>1.8175527405879251E-2</v>
      </c>
      <c r="E52" s="58">
        <f t="shared" si="14"/>
        <v>273.14999999999998</v>
      </c>
      <c r="F52" s="85">
        <f t="shared" si="5"/>
        <v>0</v>
      </c>
      <c r="G52" s="103">
        <f t="shared" si="6"/>
        <v>0</v>
      </c>
      <c r="H52" s="61" t="e">
        <f t="shared" si="18"/>
        <v>#NUM!</v>
      </c>
      <c r="I52" s="61">
        <f t="shared" si="19"/>
        <v>-0.10063226503954603</v>
      </c>
      <c r="J52" s="60">
        <f t="shared" si="2"/>
        <v>0.4152959422264928</v>
      </c>
      <c r="K52" s="60" t="e">
        <f t="shared" si="8"/>
        <v>#NUM!</v>
      </c>
      <c r="L52" s="86">
        <f t="shared" si="21"/>
        <v>0.98336236140209288</v>
      </c>
      <c r="M52" s="58"/>
      <c r="N52" s="58"/>
      <c r="O52" s="58"/>
      <c r="P52" s="58"/>
    </row>
    <row r="53" spans="1:16" x14ac:dyDescent="0.25">
      <c r="A53" s="82">
        <v>20.57338223959297</v>
      </c>
      <c r="B53" s="88">
        <f t="shared" si="13"/>
        <v>1.1175834040553863</v>
      </c>
      <c r="C53" s="89">
        <f t="shared" si="20"/>
        <v>1.7805070681827408</v>
      </c>
      <c r="D53" s="84">
        <v>1.768798249608447E-2</v>
      </c>
      <c r="E53" s="58">
        <f t="shared" si="14"/>
        <v>273.14999999999998</v>
      </c>
      <c r="F53" s="85">
        <f t="shared" si="5"/>
        <v>0</v>
      </c>
      <c r="G53" s="103">
        <f t="shared" si="6"/>
        <v>0</v>
      </c>
      <c r="H53" s="61" t="e">
        <f t="shared" si="18"/>
        <v>#NUM!</v>
      </c>
      <c r="I53" s="61">
        <f t="shared" si="19"/>
        <v>-0.11244227286555086</v>
      </c>
      <c r="J53" s="60">
        <f t="shared" si="2"/>
        <v>0.43946778446003765</v>
      </c>
      <c r="K53" s="60" t="e">
        <f t="shared" si="8"/>
        <v>#NUM!</v>
      </c>
      <c r="L53" s="86">
        <f t="shared" si="21"/>
        <v>0.98370173103173697</v>
      </c>
      <c r="M53" s="58"/>
      <c r="N53" s="58"/>
      <c r="O53" s="58"/>
      <c r="P53" s="58"/>
    </row>
    <row r="54" spans="1:16" x14ac:dyDescent="0.25">
      <c r="A54" s="82">
        <v>19.543419630613982</v>
      </c>
      <c r="B54" s="88">
        <f t="shared" si="13"/>
        <v>1.1012188167969053</v>
      </c>
      <c r="C54" s="89">
        <f t="shared" si="20"/>
        <v>1.7825217405354139</v>
      </c>
      <c r="D54" s="84">
        <v>1.7225417563305759E-2</v>
      </c>
      <c r="E54" s="58">
        <f t="shared" si="14"/>
        <v>273.14999999999998</v>
      </c>
      <c r="F54" s="85">
        <f t="shared" si="5"/>
        <v>0</v>
      </c>
      <c r="G54" s="103">
        <f t="shared" si="6"/>
        <v>0</v>
      </c>
      <c r="H54" s="61" t="e">
        <f t="shared" si="18"/>
        <v>#NUM!</v>
      </c>
      <c r="I54" s="61">
        <f t="shared" si="19"/>
        <v>-0.12403451320631631</v>
      </c>
      <c r="J54" s="60">
        <f t="shared" si="2"/>
        <v>0.46417367389464015</v>
      </c>
      <c r="K54" s="60" t="e">
        <f t="shared" si="8"/>
        <v>#NUM!</v>
      </c>
      <c r="L54" s="86">
        <f t="shared" si="21"/>
        <v>0.98402382127181098</v>
      </c>
      <c r="M54" s="58"/>
      <c r="N54" s="58"/>
      <c r="O54" s="58"/>
      <c r="P54" s="58"/>
    </row>
    <row r="55" spans="1:16" x14ac:dyDescent="0.25">
      <c r="A55" s="82">
        <v>18.579224613963977</v>
      </c>
      <c r="B55" s="88">
        <f t="shared" si="13"/>
        <v>1.0848608601103562</v>
      </c>
      <c r="C55" s="89">
        <f t="shared" si="20"/>
        <v>1.7844346539618261</v>
      </c>
      <c r="D55" s="84">
        <v>1.6786090343708933E-2</v>
      </c>
      <c r="E55" s="58">
        <f t="shared" si="14"/>
        <v>273.14999999999998</v>
      </c>
      <c r="F55" s="85">
        <f t="shared" si="5"/>
        <v>0</v>
      </c>
      <c r="G55" s="103">
        <f t="shared" si="6"/>
        <v>0</v>
      </c>
      <c r="H55" s="61" t="e">
        <f t="shared" si="18"/>
        <v>#NUM!</v>
      </c>
      <c r="I55" s="61">
        <f t="shared" si="19"/>
        <v>-0.13541466901826216</v>
      </c>
      <c r="J55" s="60">
        <f t="shared" si="2"/>
        <v>0.48940349304373887</v>
      </c>
      <c r="K55" s="60" t="e">
        <f t="shared" si="8"/>
        <v>#NUM!</v>
      </c>
      <c r="L55" s="86">
        <f t="shared" si="21"/>
        <v>0.98432982872311658</v>
      </c>
      <c r="M55" s="58"/>
      <c r="N55" s="58"/>
      <c r="O55" s="58"/>
      <c r="P55" s="58"/>
    </row>
    <row r="56" spans="1:16" x14ac:dyDescent="0.25">
      <c r="A56" s="82">
        <v>17.676153841667169</v>
      </c>
      <c r="B56" s="88">
        <f t="shared" si="13"/>
        <v>1.0685151590039297</v>
      </c>
      <c r="C56" s="89">
        <f t="shared" si="20"/>
        <v>1.7862528141319229</v>
      </c>
      <c r="D56" s="84">
        <v>1.636841071934441E-2</v>
      </c>
      <c r="E56" s="58">
        <f t="shared" si="14"/>
        <v>273.14999999999998</v>
      </c>
      <c r="F56" s="85">
        <f t="shared" si="5"/>
        <v>0</v>
      </c>
      <c r="G56" s="103">
        <f t="shared" si="6"/>
        <v>0</v>
      </c>
      <c r="H56" s="61" t="e">
        <f t="shared" si="18"/>
        <v>#NUM!</v>
      </c>
      <c r="I56" s="61">
        <f t="shared" si="19"/>
        <v>-0.14658822845365038</v>
      </c>
      <c r="J56" s="60">
        <f t="shared" si="2"/>
        <v>0.51514734158863018</v>
      </c>
      <c r="K56" s="60" t="e">
        <f t="shared" si="8"/>
        <v>#NUM!</v>
      </c>
      <c r="L56" s="86">
        <f t="shared" si="21"/>
        <v>0.98462084631947777</v>
      </c>
      <c r="M56" s="58"/>
      <c r="N56" s="58"/>
      <c r="O56" s="58"/>
      <c r="P56" s="58"/>
    </row>
    <row r="57" spans="1:16" x14ac:dyDescent="0.25">
      <c r="A57" s="82">
        <v>16.829882454441094</v>
      </c>
      <c r="B57" s="88">
        <f t="shared" si="13"/>
        <v>1.0521867742402806</v>
      </c>
      <c r="C57" s="89">
        <f t="shared" si="20"/>
        <v>1.7879826222589421</v>
      </c>
      <c r="D57" s="84">
        <v>1.5970924855157404E-2</v>
      </c>
      <c r="E57" s="58">
        <f t="shared" si="14"/>
        <v>273.14999999999998</v>
      </c>
      <c r="F57" s="85">
        <f t="shared" si="5"/>
        <v>0</v>
      </c>
      <c r="G57" s="103">
        <f t="shared" si="6"/>
        <v>0</v>
      </c>
      <c r="H57" s="61" t="e">
        <f t="shared" si="18"/>
        <v>#NUM!</v>
      </c>
      <c r="I57" s="61">
        <f t="shared" si="19"/>
        <v>-0.15756049323137467</v>
      </c>
      <c r="J57" s="60">
        <f t="shared" si="2"/>
        <v>0.5413955299615012</v>
      </c>
      <c r="K57" s="60" t="e">
        <f t="shared" si="8"/>
        <v>#NUM!</v>
      </c>
      <c r="L57" s="86">
        <f t="shared" si="21"/>
        <v>0.98489787404274509</v>
      </c>
      <c r="M57" s="58"/>
      <c r="N57" s="58"/>
      <c r="O57" s="58"/>
      <c r="P57" s="58"/>
    </row>
    <row r="58" spans="1:16" x14ac:dyDescent="0.25">
      <c r="A58" s="82">
        <v>16.036389410553745</v>
      </c>
      <c r="B58" s="88">
        <f t="shared" si="13"/>
        <v>1.0358802612203302</v>
      </c>
      <c r="C58" s="89">
        <f t="shared" si="20"/>
        <v>1.7896299375109019</v>
      </c>
      <c r="D58" s="84">
        <v>1.5592301227784355E-2</v>
      </c>
      <c r="E58" s="58">
        <f t="shared" si="14"/>
        <v>273.14999999999998</v>
      </c>
      <c r="F58" s="85">
        <f t="shared" si="5"/>
        <v>0</v>
      </c>
      <c r="G58" s="103">
        <f t="shared" si="6"/>
        <v>0</v>
      </c>
      <c r="H58" s="61" t="e">
        <f t="shared" si="18"/>
        <v>#NUM!</v>
      </c>
      <c r="I58" s="61">
        <f t="shared" si="19"/>
        <v>-0.1683365872298892</v>
      </c>
      <c r="J58" s="60">
        <f t="shared" si="2"/>
        <v>0.56813857450814176</v>
      </c>
      <c r="K58" s="60" t="e">
        <f t="shared" si="8"/>
        <v>#NUM!</v>
      </c>
      <c r="L58" s="86">
        <f t="shared" si="21"/>
        <v>0.9851618283724396</v>
      </c>
      <c r="M58" s="58"/>
      <c r="N58" s="58"/>
      <c r="O58" s="58"/>
      <c r="P58" s="58"/>
    </row>
    <row r="59" spans="1:16" x14ac:dyDescent="0.25">
      <c r="A59" s="82">
        <v>15.291941522315502</v>
      </c>
      <c r="B59" s="88">
        <f t="shared" si="13"/>
        <v>1.0195997231770184</v>
      </c>
      <c r="C59" s="89">
        <f t="shared" si="20"/>
        <v>1.7912001318020112</v>
      </c>
      <c r="D59" s="84">
        <v>1.523131834852799E-2</v>
      </c>
      <c r="E59" s="58">
        <f t="shared" si="14"/>
        <v>273.14999999999998</v>
      </c>
      <c r="F59" s="85">
        <f t="shared" si="5"/>
        <v>0</v>
      </c>
      <c r="G59" s="103">
        <f t="shared" si="6"/>
        <v>0</v>
      </c>
      <c r="H59" s="61" t="e">
        <f t="shared" si="18"/>
        <v>#NUM!</v>
      </c>
      <c r="I59" s="61">
        <f t="shared" si="19"/>
        <v>-0.17892146355944127</v>
      </c>
      <c r="J59" s="60">
        <f t="shared" si="2"/>
        <v>0.59536719059025589</v>
      </c>
      <c r="K59" s="60" t="e">
        <f t="shared" si="8"/>
        <v>#NUM!</v>
      </c>
      <c r="L59" s="86">
        <f t="shared" si="21"/>
        <v>0.98541355059878277</v>
      </c>
      <c r="M59" s="58"/>
      <c r="N59" s="58"/>
      <c r="O59" s="58"/>
      <c r="P59" s="58"/>
    </row>
    <row r="60" spans="1:16" x14ac:dyDescent="0.25">
      <c r="A60" s="82">
        <v>14.593076356656244</v>
      </c>
      <c r="B60" s="88">
        <f t="shared" si="13"/>
        <v>1.0033488478701302</v>
      </c>
      <c r="C60" s="89">
        <f t="shared" si="20"/>
        <v>1.7926981382820515</v>
      </c>
      <c r="D60" s="84">
        <v>1.4886853887095975E-2</v>
      </c>
      <c r="E60" s="58">
        <f t="shared" si="14"/>
        <v>273.14999999999998</v>
      </c>
      <c r="F60" s="85">
        <f t="shared" si="5"/>
        <v>0</v>
      </c>
      <c r="G60" s="103">
        <f t="shared" si="6"/>
        <v>0</v>
      </c>
      <c r="H60" s="61" t="e">
        <f t="shared" si="18"/>
        <v>#NUM!</v>
      </c>
      <c r="I60" s="61">
        <f t="shared" si="19"/>
        <v>-0.1893199120812683</v>
      </c>
      <c r="J60" s="60">
        <f t="shared" si="2"/>
        <v>0.62307230227380361</v>
      </c>
      <c r="K60" s="60" t="e">
        <f t="shared" si="8"/>
        <v>#NUM!</v>
      </c>
      <c r="L60" s="86">
        <f t="shared" si="21"/>
        <v>0.98565381419626408</v>
      </c>
      <c r="M60" s="58"/>
      <c r="N60" s="58"/>
      <c r="O60" s="58"/>
      <c r="P60" s="58"/>
    </row>
    <row r="61" spans="1:16" x14ac:dyDescent="0.25">
      <c r="A61" s="82">
        <v>13.93658640618467</v>
      </c>
      <c r="B61" s="88">
        <f t="shared" si="13"/>
        <v>0.98713097254101356</v>
      </c>
      <c r="C61" s="89">
        <f t="shared" si="20"/>
        <v>1.7941284941965845</v>
      </c>
      <c r="D61" s="84">
        <v>1.4557875049233684E-2</v>
      </c>
      <c r="E61" s="58">
        <f t="shared" si="14"/>
        <v>273.14999999999998</v>
      </c>
      <c r="F61" s="85">
        <f t="shared" si="5"/>
        <v>0</v>
      </c>
      <c r="G61" s="103">
        <f t="shared" si="6"/>
        <v>0</v>
      </c>
      <c r="H61" s="61" t="e">
        <f t="shared" si="18"/>
        <v>#NUM!</v>
      </c>
      <c r="I61" s="61">
        <f t="shared" si="19"/>
        <v>-0.19953656626306671</v>
      </c>
      <c r="J61" s="60">
        <f t="shared" si="2"/>
        <v>0.65124499995823371</v>
      </c>
      <c r="K61" s="60" t="e">
        <f t="shared" si="8"/>
        <v>#NUM!</v>
      </c>
      <c r="L61" s="86">
        <f t="shared" si="21"/>
        <v>0.98588333135408679</v>
      </c>
      <c r="M61" s="58"/>
      <c r="N61" s="58"/>
      <c r="O61" s="58"/>
      <c r="P61" s="58"/>
    </row>
    <row r="62" spans="1:16" x14ac:dyDescent="0.25">
      <c r="A62" s="82">
        <v>13.319501524043519</v>
      </c>
      <c r="B62" s="88">
        <f t="shared" si="13"/>
        <v>0.97094910204764107</v>
      </c>
      <c r="C62" s="89">
        <f t="shared" si="20"/>
        <v>1.7954953788750687</v>
      </c>
      <c r="D62" s="84">
        <v>1.4243430040677628E-2</v>
      </c>
      <c r="E62" s="58">
        <f t="shared" si="14"/>
        <v>273.14999999999998</v>
      </c>
      <c r="F62" s="85">
        <f t="shared" si="5"/>
        <v>0</v>
      </c>
      <c r="G62" s="103">
        <f t="shared" si="6"/>
        <v>0</v>
      </c>
      <c r="H62" s="61" t="e">
        <f t="shared" si="18"/>
        <v>#NUM!</v>
      </c>
      <c r="I62" s="61">
        <f t="shared" si="19"/>
        <v>-0.20957590953671434</v>
      </c>
      <c r="J62" s="60">
        <f t="shared" si="2"/>
        <v>0.67987656262997298</v>
      </c>
      <c r="K62" s="60" t="e">
        <f t="shared" si="8"/>
        <v>#NUM!</v>
      </c>
      <c r="L62" s="86">
        <f t="shared" si="21"/>
        <v>0.98610275877531672</v>
      </c>
      <c r="M62" s="58"/>
      <c r="N62" s="58"/>
      <c r="O62" s="58"/>
      <c r="P62" s="58"/>
    </row>
    <row r="63" spans="1:16" x14ac:dyDescent="0.25">
      <c r="A63" s="82">
        <v>12.739071798677822</v>
      </c>
      <c r="B63" s="88">
        <f t="shared" si="13"/>
        <v>0.95480591547373539</v>
      </c>
      <c r="C63" s="89">
        <f t="shared" si="20"/>
        <v>1.7968026475231218</v>
      </c>
      <c r="D63" s="84">
        <v>1.3942640467302614E-2</v>
      </c>
      <c r="E63" s="58">
        <f t="shared" si="14"/>
        <v>273.14999999999998</v>
      </c>
      <c r="F63" s="85">
        <f t="shared" si="5"/>
        <v>0</v>
      </c>
      <c r="G63" s="103">
        <f t="shared" si="6"/>
        <v>0</v>
      </c>
      <c r="H63" s="61" t="e">
        <f t="shared" si="18"/>
        <v>#NUM!</v>
      </c>
      <c r="I63" s="61">
        <f t="shared" si="19"/>
        <v>-0.21944228156063827</v>
      </c>
      <c r="J63" s="60">
        <f t="shared" si="2"/>
        <v>0.70895849678184619</v>
      </c>
      <c r="K63" s="60" t="e">
        <f t="shared" si="8"/>
        <v>#NUM!</v>
      </c>
      <c r="L63" s="86">
        <f t="shared" si="21"/>
        <v>0.98631270284527395</v>
      </c>
      <c r="M63" s="58"/>
      <c r="N63" s="58"/>
      <c r="O63" s="58"/>
      <c r="P63" s="58"/>
    </row>
    <row r="64" spans="1:16" x14ac:dyDescent="0.25">
      <c r="A64" s="82">
        <v>12.192754497881202</v>
      </c>
      <c r="B64" s="88">
        <f t="shared" si="13"/>
        <v>0.93870386520234517</v>
      </c>
      <c r="C64" s="89">
        <f t="shared" si="20"/>
        <v>1.7980538612244572</v>
      </c>
      <c r="D64" s="84">
        <v>1.365469458268548E-2</v>
      </c>
      <c r="E64" s="58">
        <f t="shared" si="14"/>
        <v>273.14999999999998</v>
      </c>
      <c r="F64" s="85">
        <f t="shared" si="5"/>
        <v>0</v>
      </c>
      <c r="G64" s="103">
        <f t="shared" si="6"/>
        <v>0</v>
      </c>
      <c r="H64" s="61" t="e">
        <f t="shared" si="18"/>
        <v>#NUM!</v>
      </c>
      <c r="I64" s="61">
        <f t="shared" si="19"/>
        <v>-0.22913988344840042</v>
      </c>
      <c r="J64" s="60">
        <f t="shared" si="2"/>
        <v>0.73848241566320394</v>
      </c>
      <c r="K64" s="60" t="e">
        <f t="shared" si="8"/>
        <v>#NUM!</v>
      </c>
      <c r="L64" s="86">
        <f t="shared" si="21"/>
        <v>0.98651372422761519</v>
      </c>
      <c r="M64" s="58"/>
      <c r="N64" s="58"/>
      <c r="O64" s="58"/>
      <c r="P64" s="58"/>
    </row>
    <row r="65" spans="1:16" x14ac:dyDescent="0.25">
      <c r="A65" s="82">
        <v>11.678196475490429</v>
      </c>
      <c r="B65" s="88">
        <f t="shared" si="13"/>
        <v>0.92264513031342321</v>
      </c>
      <c r="C65" s="89">
        <f t="shared" si="20"/>
        <v>1.7992523139668188</v>
      </c>
      <c r="D65" s="84">
        <v>1.3378841199482799E-2</v>
      </c>
      <c r="E65" s="58">
        <f t="shared" si="14"/>
        <v>273.14999999999998</v>
      </c>
      <c r="F65" s="85">
        <f t="shared" si="5"/>
        <v>0</v>
      </c>
      <c r="G65" s="103">
        <f t="shared" si="6"/>
        <v>0</v>
      </c>
      <c r="H65" s="61" t="e">
        <f t="shared" si="18"/>
        <v>#NUM!</v>
      </c>
      <c r="I65" s="61">
        <f t="shared" si="19"/>
        <v>-0.23867278471372466</v>
      </c>
      <c r="J65" s="60">
        <f t="shared" si="2"/>
        <v>0.76844015443273805</v>
      </c>
      <c r="K65" s="60" t="e">
        <f t="shared" si="8"/>
        <v>#NUM!</v>
      </c>
      <c r="L65" s="86">
        <f t="shared" si="21"/>
        <v>0.98670634201333607</v>
      </c>
      <c r="M65" s="58"/>
      <c r="N65" s="58"/>
      <c r="O65" s="58"/>
      <c r="P65" s="58"/>
    </row>
    <row r="66" spans="1:16" x14ac:dyDescent="0.25">
      <c r="A66" s="82">
        <v>11.19322151934564</v>
      </c>
      <c r="B66" s="88">
        <f t="shared" si="13"/>
        <v>0.90663168010584294</v>
      </c>
      <c r="C66" s="89">
        <f t="shared" si="20"/>
        <v>1.8004010563887693</v>
      </c>
      <c r="D66" s="84">
        <v>1.3114384337551176E-2</v>
      </c>
      <c r="E66" s="58">
        <f t="shared" si="14"/>
        <v>273.14999999999998</v>
      </c>
      <c r="F66" s="85">
        <f t="shared" si="5"/>
        <v>0</v>
      </c>
      <c r="G66" s="103">
        <f t="shared" si="6"/>
        <v>0</v>
      </c>
      <c r="H66" s="61" t="e">
        <f t="shared" si="18"/>
        <v>#NUM!</v>
      </c>
      <c r="I66" s="61">
        <f t="shared" si="19"/>
        <v>-0.24804492655378807</v>
      </c>
      <c r="J66" s="60">
        <f t="shared" si="2"/>
        <v>0.79882369798117125</v>
      </c>
      <c r="K66" s="60" t="e">
        <f t="shared" si="8"/>
        <v>#NUM!</v>
      </c>
      <c r="L66" s="86">
        <f t="shared" si="21"/>
        <v>0.98689103736932526</v>
      </c>
      <c r="M66" s="58"/>
      <c r="N66" s="58"/>
      <c r="O66" s="58"/>
      <c r="P66" s="58"/>
    </row>
    <row r="67" spans="1:16" x14ac:dyDescent="0.25">
      <c r="A67" s="58"/>
      <c r="B67" s="90"/>
      <c r="C67" s="91"/>
      <c r="D67" s="92"/>
      <c r="E67" s="58"/>
      <c r="F67" s="87"/>
      <c r="G67" s="58"/>
      <c r="H67" s="58"/>
      <c r="I67" s="58"/>
      <c r="J67" s="58"/>
      <c r="K67" s="58"/>
      <c r="L67" s="63"/>
      <c r="M67" s="58"/>
      <c r="N67" s="58"/>
      <c r="O67" s="58"/>
      <c r="P67" s="58"/>
    </row>
    <row r="68" spans="1:16" x14ac:dyDescent="0.25">
      <c r="A68" s="58"/>
      <c r="B68" s="90"/>
      <c r="C68" s="91"/>
      <c r="D68" s="92"/>
      <c r="E68" s="58"/>
      <c r="F68" s="59"/>
      <c r="G68" s="58"/>
      <c r="H68" s="58"/>
      <c r="I68" s="58"/>
      <c r="J68" s="58"/>
      <c r="K68" s="58"/>
      <c r="L68" s="63"/>
      <c r="M68" s="58"/>
      <c r="N68" s="58"/>
      <c r="O68" s="58"/>
      <c r="P68" s="58"/>
    </row>
    <row r="69" spans="1:16" x14ac:dyDescent="0.25">
      <c r="A69" s="58"/>
      <c r="B69" s="90"/>
      <c r="C69" s="91"/>
      <c r="D69" s="92"/>
      <c r="E69" s="58"/>
      <c r="F69" s="59"/>
      <c r="G69" s="58"/>
      <c r="H69" s="58"/>
      <c r="I69" s="58"/>
      <c r="J69" s="58"/>
      <c r="K69" s="58"/>
      <c r="L69" s="63"/>
      <c r="M69" s="58"/>
      <c r="N69" s="58"/>
      <c r="O69" s="58"/>
      <c r="P69" s="58"/>
    </row>
    <row r="70" spans="1:16" x14ac:dyDescent="0.25">
      <c r="A70" s="58"/>
      <c r="B70" s="90"/>
      <c r="C70" s="91"/>
      <c r="D70" s="92"/>
      <c r="E70" s="58"/>
      <c r="F70" s="59"/>
      <c r="G70" s="58"/>
      <c r="H70" s="58"/>
      <c r="I70" s="58"/>
      <c r="J70" s="58"/>
      <c r="K70" s="58"/>
      <c r="L70" s="63"/>
      <c r="M70" s="58"/>
      <c r="N70" s="58"/>
      <c r="O70" s="58"/>
      <c r="P70" s="58"/>
    </row>
    <row r="71" spans="1:16" x14ac:dyDescent="0.25">
      <c r="A71" s="58"/>
      <c r="B71" s="90"/>
      <c r="C71" s="91"/>
      <c r="D71" s="92"/>
      <c r="E71" s="58"/>
      <c r="F71" s="59"/>
      <c r="G71" s="58"/>
      <c r="H71" s="58"/>
      <c r="I71" s="58"/>
      <c r="J71" s="58"/>
      <c r="K71" s="58"/>
      <c r="L71" s="63"/>
      <c r="M71" s="58"/>
      <c r="N71" s="58"/>
      <c r="O71" s="58"/>
      <c r="P71" s="58"/>
    </row>
    <row r="72" spans="1:16" ht="15.75" x14ac:dyDescent="0.25">
      <c r="A72" s="64"/>
      <c r="B72" s="93"/>
      <c r="C72" s="94"/>
      <c r="D72" s="95"/>
      <c r="E72" s="93"/>
      <c r="F72" s="96"/>
      <c r="G72" s="64"/>
      <c r="H72" s="93"/>
      <c r="I72" s="93"/>
      <c r="J72" s="93"/>
      <c r="K72" s="93"/>
      <c r="L72" s="63"/>
      <c r="M72" s="64"/>
    </row>
    <row r="73" spans="1:16" ht="15.75" x14ac:dyDescent="0.25">
      <c r="A73" s="64"/>
      <c r="B73" s="93"/>
      <c r="C73" s="94"/>
      <c r="D73" s="95"/>
      <c r="E73" s="93"/>
      <c r="F73" s="96"/>
      <c r="G73" s="64"/>
      <c r="H73" s="93"/>
      <c r="I73" s="93"/>
      <c r="J73" s="93"/>
      <c r="K73" s="93"/>
      <c r="L73" s="63"/>
      <c r="M73" s="64"/>
    </row>
    <row r="74" spans="1:16" ht="15.75" x14ac:dyDescent="0.25">
      <c r="A74" s="64"/>
      <c r="B74" s="93"/>
      <c r="C74" s="94"/>
      <c r="D74" s="95"/>
      <c r="E74" s="93"/>
      <c r="F74" s="96"/>
      <c r="G74" s="64"/>
      <c r="H74" s="93"/>
      <c r="I74" s="93"/>
      <c r="J74" s="93"/>
      <c r="K74" s="93"/>
      <c r="L74" s="63"/>
      <c r="M74" s="64"/>
    </row>
    <row r="75" spans="1:16" ht="15.75" x14ac:dyDescent="0.25">
      <c r="A75" s="64"/>
      <c r="B75" s="93"/>
      <c r="C75" s="94"/>
      <c r="D75" s="95"/>
      <c r="E75" s="93"/>
      <c r="F75" s="96"/>
      <c r="G75" s="64"/>
      <c r="H75" s="93"/>
      <c r="I75" s="93"/>
      <c r="J75" s="93"/>
      <c r="K75" s="93"/>
      <c r="L75" s="63"/>
      <c r="M75" s="64"/>
    </row>
    <row r="76" spans="1:16" ht="15.75" x14ac:dyDescent="0.25">
      <c r="A76" s="64"/>
      <c r="B76" s="93"/>
      <c r="C76" s="94"/>
      <c r="D76" s="95"/>
      <c r="E76" s="93"/>
      <c r="F76" s="96"/>
      <c r="G76" s="64"/>
      <c r="H76" s="93"/>
      <c r="I76" s="93"/>
      <c r="J76" s="93"/>
      <c r="K76" s="93"/>
      <c r="L76" s="63"/>
      <c r="M76" s="64"/>
    </row>
    <row r="77" spans="1:16" ht="15.75" x14ac:dyDescent="0.25">
      <c r="A77" s="64"/>
      <c r="B77" s="93"/>
      <c r="C77" s="94"/>
      <c r="D77" s="95"/>
      <c r="E77" s="93"/>
      <c r="F77" s="96"/>
      <c r="G77" s="64"/>
      <c r="H77" s="93"/>
      <c r="I77" s="93"/>
      <c r="J77" s="93"/>
      <c r="K77" s="93"/>
      <c r="L77" s="63"/>
      <c r="M77" s="64"/>
    </row>
    <row r="78" spans="1:16" ht="15.75" x14ac:dyDescent="0.25">
      <c r="A78" s="64"/>
      <c r="B78" s="93"/>
      <c r="C78" s="94"/>
      <c r="D78" s="95"/>
      <c r="E78" s="93"/>
      <c r="F78" s="64"/>
      <c r="G78" s="64"/>
      <c r="H78" s="93"/>
      <c r="I78" s="93"/>
      <c r="J78" s="93"/>
      <c r="K78" s="93"/>
      <c r="L78" s="63"/>
      <c r="M78" s="64"/>
    </row>
    <row r="79" spans="1:16" ht="15.75" x14ac:dyDescent="0.25">
      <c r="A79" s="64"/>
      <c r="B79" s="93"/>
      <c r="C79" s="94"/>
      <c r="D79" s="95"/>
      <c r="E79" s="93"/>
      <c r="F79" s="64"/>
      <c r="G79" s="64"/>
      <c r="H79" s="93"/>
      <c r="I79" s="93"/>
      <c r="J79" s="93"/>
      <c r="K79" s="93"/>
      <c r="L79" s="63"/>
      <c r="M79" s="64"/>
    </row>
    <row r="80" spans="1:16" ht="15.75" x14ac:dyDescent="0.25">
      <c r="A80" s="64"/>
      <c r="B80" s="93"/>
      <c r="C80" s="94"/>
      <c r="D80" s="95"/>
      <c r="E80" s="93"/>
      <c r="F80" s="64"/>
      <c r="G80" s="64"/>
      <c r="H80" s="93"/>
      <c r="I80" s="93"/>
      <c r="J80" s="93"/>
      <c r="K80" s="93"/>
      <c r="L80" s="63"/>
      <c r="M80" s="64"/>
    </row>
    <row r="81" spans="1:13" ht="15.75" x14ac:dyDescent="0.25">
      <c r="A81" s="64"/>
      <c r="B81" s="93"/>
      <c r="C81" s="94"/>
      <c r="D81" s="95"/>
      <c r="E81" s="93"/>
      <c r="F81" s="64"/>
      <c r="G81" s="64"/>
      <c r="H81" s="93"/>
      <c r="I81" s="93"/>
      <c r="J81" s="93"/>
      <c r="K81" s="93"/>
      <c r="L81" s="63"/>
      <c r="M81" s="64"/>
    </row>
    <row r="82" spans="1:13" ht="15.75" x14ac:dyDescent="0.25">
      <c r="A82" s="64"/>
      <c r="B82" s="93"/>
      <c r="C82" s="94"/>
      <c r="D82" s="95"/>
      <c r="E82" s="93"/>
      <c r="F82" s="64"/>
      <c r="G82" s="64"/>
      <c r="H82" s="93"/>
      <c r="I82" s="93"/>
      <c r="J82" s="93"/>
      <c r="K82" s="93"/>
      <c r="L82" s="63"/>
      <c r="M82" s="64"/>
    </row>
    <row r="83" spans="1:13" ht="15.75" x14ac:dyDescent="0.25">
      <c r="A83" s="64"/>
      <c r="B83" s="93"/>
      <c r="C83" s="94"/>
      <c r="D83" s="95"/>
      <c r="E83" s="93"/>
      <c r="F83" s="64"/>
      <c r="G83" s="64"/>
      <c r="H83" s="93"/>
      <c r="I83" s="93"/>
      <c r="J83" s="93"/>
      <c r="K83" s="93"/>
      <c r="L83" s="63"/>
      <c r="M83" s="64"/>
    </row>
    <row r="84" spans="1:13" ht="15.75" x14ac:dyDescent="0.25">
      <c r="A84" s="64"/>
      <c r="B84" s="93"/>
      <c r="C84" s="94"/>
      <c r="D84" s="95"/>
      <c r="E84" s="93"/>
      <c r="F84" s="64"/>
      <c r="G84" s="64"/>
      <c r="H84" s="93"/>
      <c r="I84" s="93"/>
      <c r="J84" s="93"/>
      <c r="K84" s="93"/>
      <c r="L84" s="63"/>
      <c r="M84" s="64"/>
    </row>
    <row r="85" spans="1:13" ht="15.75" x14ac:dyDescent="0.25">
      <c r="A85" s="64"/>
      <c r="B85" s="93"/>
      <c r="C85" s="94"/>
      <c r="D85" s="95"/>
      <c r="E85" s="93"/>
      <c r="F85" s="64"/>
      <c r="G85" s="64"/>
      <c r="H85" s="93"/>
      <c r="I85" s="93"/>
      <c r="J85" s="93"/>
      <c r="K85" s="93"/>
      <c r="L85" s="63"/>
      <c r="M85" s="64"/>
    </row>
    <row r="86" spans="1:13" ht="15.75" x14ac:dyDescent="0.25">
      <c r="A86" s="64"/>
      <c r="B86" s="93"/>
      <c r="C86" s="94"/>
      <c r="D86" s="95"/>
      <c r="E86" s="93"/>
      <c r="F86" s="64"/>
      <c r="G86" s="64"/>
      <c r="H86" s="93"/>
      <c r="I86" s="93"/>
      <c r="J86" s="93"/>
      <c r="K86" s="93"/>
      <c r="L86" s="63"/>
      <c r="M86" s="64"/>
    </row>
    <row r="87" spans="1:13" ht="15.75" x14ac:dyDescent="0.25">
      <c r="A87" s="64"/>
      <c r="B87" s="93"/>
      <c r="C87" s="94"/>
      <c r="D87" s="95"/>
      <c r="E87" s="93"/>
      <c r="F87" s="64"/>
      <c r="G87" s="64"/>
      <c r="H87" s="93"/>
      <c r="I87" s="93"/>
      <c r="J87" s="93"/>
      <c r="K87" s="93"/>
      <c r="L87" s="63"/>
      <c r="M87" s="64"/>
    </row>
    <row r="88" spans="1:13" ht="15.75" x14ac:dyDescent="0.25">
      <c r="A88" s="64"/>
      <c r="B88" s="93"/>
      <c r="C88" s="94"/>
      <c r="D88" s="95"/>
      <c r="E88" s="93"/>
      <c r="F88" s="64"/>
      <c r="G88" s="64"/>
      <c r="H88" s="93"/>
      <c r="I88" s="93"/>
      <c r="J88" s="93"/>
      <c r="K88" s="93"/>
      <c r="L88" s="63"/>
      <c r="M88" s="64"/>
    </row>
    <row r="89" spans="1:13" ht="15.75" x14ac:dyDescent="0.25">
      <c r="A89" s="64"/>
      <c r="B89" s="93"/>
      <c r="C89" s="94"/>
      <c r="D89" s="95"/>
      <c r="E89" s="93"/>
      <c r="F89" s="64"/>
      <c r="G89" s="64"/>
      <c r="H89" s="93"/>
      <c r="I89" s="93"/>
      <c r="J89" s="93"/>
      <c r="K89" s="93"/>
      <c r="L89" s="63"/>
      <c r="M89" s="64"/>
    </row>
    <row r="90" spans="1:13" ht="15.75" x14ac:dyDescent="0.25">
      <c r="A90" s="64"/>
      <c r="B90" s="93"/>
      <c r="C90" s="94"/>
      <c r="D90" s="95"/>
      <c r="E90" s="93"/>
      <c r="F90" s="64"/>
      <c r="G90" s="64"/>
      <c r="H90" s="93"/>
      <c r="I90" s="93"/>
      <c r="J90" s="93"/>
      <c r="K90" s="93"/>
      <c r="L90" s="63"/>
      <c r="M90" s="64"/>
    </row>
    <row r="91" spans="1:13" ht="15.75" x14ac:dyDescent="0.25">
      <c r="A91" s="64"/>
      <c r="B91" s="93"/>
      <c r="C91" s="94"/>
      <c r="D91" s="95"/>
      <c r="E91" s="93"/>
      <c r="F91" s="64"/>
      <c r="G91" s="64"/>
      <c r="H91" s="93"/>
      <c r="I91" s="93"/>
      <c r="J91" s="93"/>
      <c r="K91" s="93"/>
      <c r="L91" s="63"/>
      <c r="M91" s="64"/>
    </row>
    <row r="92" spans="1:13" ht="15.75" x14ac:dyDescent="0.25">
      <c r="A92" s="64"/>
      <c r="B92" s="93"/>
      <c r="C92" s="94"/>
      <c r="D92" s="95"/>
      <c r="E92" s="93"/>
      <c r="F92" s="64"/>
      <c r="G92" s="64"/>
      <c r="H92" s="93"/>
      <c r="I92" s="93"/>
      <c r="J92" s="93"/>
      <c r="K92" s="93"/>
      <c r="L92" s="63"/>
      <c r="M92" s="64"/>
    </row>
    <row r="93" spans="1:13" ht="15.75" x14ac:dyDescent="0.25">
      <c r="A93" s="64"/>
      <c r="B93" s="93"/>
      <c r="C93" s="94"/>
      <c r="D93" s="95"/>
      <c r="E93" s="93"/>
      <c r="F93" s="64"/>
      <c r="G93" s="64"/>
      <c r="H93" s="93"/>
      <c r="I93" s="93"/>
      <c r="J93" s="93"/>
      <c r="K93" s="93"/>
      <c r="L93" s="63"/>
      <c r="M93" s="64"/>
    </row>
    <row r="94" spans="1:13" x14ac:dyDescent="0.25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3"/>
      <c r="M94" s="64"/>
    </row>
    <row r="95" spans="1:13" x14ac:dyDescent="0.25">
      <c r="L95" s="63"/>
    </row>
    <row r="96" spans="1:13" x14ac:dyDescent="0.25">
      <c r="L96" s="63"/>
    </row>
    <row r="97" spans="12:12" x14ac:dyDescent="0.25">
      <c r="L97" s="63"/>
    </row>
    <row r="98" spans="12:12" x14ac:dyDescent="0.25">
      <c r="L98" s="63"/>
    </row>
    <row r="99" spans="12:12" x14ac:dyDescent="0.25">
      <c r="L99" s="63"/>
    </row>
    <row r="100" spans="12:12" x14ac:dyDescent="0.25">
      <c r="L100" s="63"/>
    </row>
    <row r="101" spans="12:12" x14ac:dyDescent="0.25">
      <c r="L101" s="63"/>
    </row>
    <row r="102" spans="12:12" x14ac:dyDescent="0.25">
      <c r="L102" s="63"/>
    </row>
    <row r="103" spans="12:12" x14ac:dyDescent="0.25">
      <c r="L103" s="63"/>
    </row>
    <row r="104" spans="12:12" x14ac:dyDescent="0.25">
      <c r="L104" s="63"/>
    </row>
    <row r="105" spans="12:12" x14ac:dyDescent="0.25">
      <c r="L105" s="63"/>
    </row>
    <row r="106" spans="12:12" x14ac:dyDescent="0.25">
      <c r="L106" s="63"/>
    </row>
    <row r="107" spans="12:12" x14ac:dyDescent="0.25">
      <c r="L107" s="63"/>
    </row>
    <row r="108" spans="12:12" x14ac:dyDescent="0.25">
      <c r="L108" s="63"/>
    </row>
    <row r="109" spans="12:12" x14ac:dyDescent="0.25">
      <c r="L109" s="63"/>
    </row>
    <row r="110" spans="12:12" x14ac:dyDescent="0.25">
      <c r="L110" s="63"/>
    </row>
    <row r="111" spans="12:12" x14ac:dyDescent="0.25">
      <c r="L111" s="63"/>
    </row>
    <row r="112" spans="12:12" x14ac:dyDescent="0.25">
      <c r="L112" s="63"/>
    </row>
    <row r="113" spans="12:12" x14ac:dyDescent="0.25">
      <c r="L113" s="63"/>
    </row>
    <row r="114" spans="12:12" x14ac:dyDescent="0.25">
      <c r="L114" s="63"/>
    </row>
    <row r="115" spans="12:12" x14ac:dyDescent="0.25">
      <c r="L115" s="63"/>
    </row>
    <row r="116" spans="12:12" x14ac:dyDescent="0.25">
      <c r="L116" s="63"/>
    </row>
    <row r="117" spans="12:12" x14ac:dyDescent="0.25">
      <c r="L117" s="63"/>
    </row>
    <row r="118" spans="12:12" x14ac:dyDescent="0.25">
      <c r="L118" s="63"/>
    </row>
    <row r="119" spans="12:12" x14ac:dyDescent="0.25">
      <c r="L119" s="63"/>
    </row>
    <row r="120" spans="12:12" x14ac:dyDescent="0.25">
      <c r="L120" s="63"/>
    </row>
    <row r="121" spans="12:12" x14ac:dyDescent="0.25">
      <c r="L121" s="63"/>
    </row>
    <row r="122" spans="12:12" x14ac:dyDescent="0.25">
      <c r="L122" s="63"/>
    </row>
    <row r="123" spans="12:12" x14ac:dyDescent="0.25">
      <c r="L123" s="63"/>
    </row>
    <row r="124" spans="12:12" x14ac:dyDescent="0.25">
      <c r="L124" s="63"/>
    </row>
    <row r="125" spans="12:12" x14ac:dyDescent="0.25">
      <c r="L125" s="63"/>
    </row>
    <row r="126" spans="12:12" x14ac:dyDescent="0.25">
      <c r="L126" s="63"/>
    </row>
    <row r="127" spans="12:12" x14ac:dyDescent="0.25">
      <c r="L127" s="63"/>
    </row>
    <row r="128" spans="12:12" x14ac:dyDescent="0.25">
      <c r="L128" s="63"/>
    </row>
    <row r="129" spans="12:12" x14ac:dyDescent="0.25">
      <c r="L129" s="63"/>
    </row>
    <row r="130" spans="12:12" x14ac:dyDescent="0.25">
      <c r="L130" s="63"/>
    </row>
    <row r="131" spans="12:12" x14ac:dyDescent="0.25">
      <c r="L131" s="63"/>
    </row>
    <row r="132" spans="12:12" x14ac:dyDescent="0.25">
      <c r="L132" s="63"/>
    </row>
    <row r="133" spans="12:12" x14ac:dyDescent="0.25">
      <c r="L133" s="63"/>
    </row>
    <row r="134" spans="12:12" x14ac:dyDescent="0.25">
      <c r="L134" s="63"/>
    </row>
    <row r="135" spans="12:12" x14ac:dyDescent="0.25">
      <c r="L135" s="63"/>
    </row>
    <row r="136" spans="12:12" x14ac:dyDescent="0.25">
      <c r="L136" s="63"/>
    </row>
    <row r="137" spans="12:12" x14ac:dyDescent="0.25">
      <c r="L137" s="63"/>
    </row>
    <row r="138" spans="12:12" x14ac:dyDescent="0.25">
      <c r="L138" s="63"/>
    </row>
    <row r="139" spans="12:12" x14ac:dyDescent="0.25">
      <c r="L139" s="63"/>
    </row>
    <row r="140" spans="12:12" x14ac:dyDescent="0.25">
      <c r="L140" s="63"/>
    </row>
    <row r="141" spans="12:12" x14ac:dyDescent="0.25">
      <c r="L141" s="63"/>
    </row>
    <row r="142" spans="12:12" x14ac:dyDescent="0.25">
      <c r="L142" s="63"/>
    </row>
    <row r="143" spans="12:12" x14ac:dyDescent="0.25">
      <c r="L143" s="63"/>
    </row>
    <row r="144" spans="12:12" x14ac:dyDescent="0.25">
      <c r="L144" s="63"/>
    </row>
    <row r="145" spans="12:12" x14ac:dyDescent="0.25">
      <c r="L145" s="63"/>
    </row>
    <row r="146" spans="12:12" x14ac:dyDescent="0.25">
      <c r="L146" s="63"/>
    </row>
    <row r="147" spans="12:12" x14ac:dyDescent="0.25">
      <c r="L147" s="63"/>
    </row>
    <row r="148" spans="12:12" x14ac:dyDescent="0.25">
      <c r="L148" s="63"/>
    </row>
    <row r="149" spans="12:12" x14ac:dyDescent="0.25">
      <c r="L149" s="63"/>
    </row>
    <row r="150" spans="12:12" x14ac:dyDescent="0.25">
      <c r="L150" s="63"/>
    </row>
    <row r="151" spans="12:12" x14ac:dyDescent="0.25">
      <c r="L151" s="63"/>
    </row>
    <row r="152" spans="12:12" x14ac:dyDescent="0.25">
      <c r="L152" s="63"/>
    </row>
    <row r="153" spans="12:12" x14ac:dyDescent="0.25">
      <c r="L153" s="63"/>
    </row>
    <row r="154" spans="12:12" x14ac:dyDescent="0.25">
      <c r="L154" s="63"/>
    </row>
    <row r="155" spans="12:12" x14ac:dyDescent="0.25">
      <c r="L155" s="63"/>
    </row>
    <row r="156" spans="12:12" x14ac:dyDescent="0.25">
      <c r="L156" s="63"/>
    </row>
    <row r="157" spans="12:12" x14ac:dyDescent="0.25">
      <c r="L157" s="63"/>
    </row>
    <row r="158" spans="12:12" x14ac:dyDescent="0.25">
      <c r="L158" s="63"/>
    </row>
    <row r="159" spans="12:12" x14ac:dyDescent="0.25">
      <c r="L159" s="63"/>
    </row>
    <row r="160" spans="12:12" x14ac:dyDescent="0.25">
      <c r="L160" s="63"/>
    </row>
    <row r="161" spans="12:12" x14ac:dyDescent="0.25">
      <c r="L161" s="63"/>
    </row>
    <row r="162" spans="12:12" x14ac:dyDescent="0.25">
      <c r="L162" s="63"/>
    </row>
    <row r="163" spans="12:12" x14ac:dyDescent="0.25">
      <c r="L163" s="63"/>
    </row>
    <row r="164" spans="12:12" x14ac:dyDescent="0.25">
      <c r="L164" s="63"/>
    </row>
    <row r="165" spans="12:12" x14ac:dyDescent="0.25">
      <c r="L165" s="63"/>
    </row>
    <row r="166" spans="12:12" x14ac:dyDescent="0.25">
      <c r="L166" s="63"/>
    </row>
    <row r="167" spans="12:12" x14ac:dyDescent="0.25">
      <c r="L167" s="63"/>
    </row>
    <row r="168" spans="12:12" x14ac:dyDescent="0.25">
      <c r="L168" s="63"/>
    </row>
    <row r="169" spans="12:12" x14ac:dyDescent="0.25">
      <c r="L169" s="63"/>
    </row>
    <row r="170" spans="12:12" x14ac:dyDescent="0.25">
      <c r="L170" s="63"/>
    </row>
    <row r="171" spans="12:12" x14ac:dyDescent="0.25">
      <c r="L171" s="63"/>
    </row>
    <row r="172" spans="12:12" x14ac:dyDescent="0.25">
      <c r="L172" s="63"/>
    </row>
    <row r="173" spans="12:12" x14ac:dyDescent="0.25">
      <c r="L173" s="63"/>
    </row>
    <row r="174" spans="12:12" x14ac:dyDescent="0.25">
      <c r="L174" s="63"/>
    </row>
    <row r="175" spans="12:12" x14ac:dyDescent="0.25">
      <c r="L175" s="63"/>
    </row>
    <row r="176" spans="12:12" x14ac:dyDescent="0.25">
      <c r="L176" s="63"/>
    </row>
    <row r="177" spans="12:12" x14ac:dyDescent="0.25">
      <c r="L177" s="63"/>
    </row>
    <row r="178" spans="12:12" x14ac:dyDescent="0.25">
      <c r="L178" s="63"/>
    </row>
    <row r="179" spans="12:12" x14ac:dyDescent="0.25">
      <c r="L179" s="63"/>
    </row>
    <row r="180" spans="12:12" x14ac:dyDescent="0.25">
      <c r="L180" s="63"/>
    </row>
    <row r="181" spans="12:12" x14ac:dyDescent="0.25">
      <c r="L181" s="63"/>
    </row>
    <row r="182" spans="12:12" x14ac:dyDescent="0.25">
      <c r="L182" s="63"/>
    </row>
    <row r="183" spans="12:12" x14ac:dyDescent="0.25">
      <c r="L183" s="63"/>
    </row>
    <row r="184" spans="12:12" x14ac:dyDescent="0.25">
      <c r="L184" s="63"/>
    </row>
    <row r="185" spans="12:12" x14ac:dyDescent="0.25">
      <c r="L185" s="63"/>
    </row>
    <row r="186" spans="12:12" x14ac:dyDescent="0.25">
      <c r="L186" s="63"/>
    </row>
    <row r="187" spans="12:12" x14ac:dyDescent="0.25">
      <c r="L187" s="63"/>
    </row>
    <row r="188" spans="12:12" x14ac:dyDescent="0.25">
      <c r="L188" s="63"/>
    </row>
    <row r="189" spans="12:12" x14ac:dyDescent="0.25">
      <c r="L189" s="63"/>
    </row>
    <row r="190" spans="12:12" x14ac:dyDescent="0.25">
      <c r="L190" s="63"/>
    </row>
    <row r="191" spans="12:12" x14ac:dyDescent="0.25">
      <c r="L191" s="63"/>
    </row>
    <row r="192" spans="12:12" x14ac:dyDescent="0.25">
      <c r="L192" s="63"/>
    </row>
    <row r="193" spans="12:12" x14ac:dyDescent="0.25">
      <c r="L193" s="63"/>
    </row>
    <row r="194" spans="12:12" x14ac:dyDescent="0.25">
      <c r="L194" s="63"/>
    </row>
    <row r="195" spans="12:12" x14ac:dyDescent="0.25">
      <c r="L195" s="63"/>
    </row>
    <row r="196" spans="12:12" x14ac:dyDescent="0.25">
      <c r="L196" s="63"/>
    </row>
    <row r="197" spans="12:12" x14ac:dyDescent="0.25">
      <c r="L197" s="63"/>
    </row>
    <row r="198" spans="12:12" x14ac:dyDescent="0.25">
      <c r="L198" s="63"/>
    </row>
    <row r="199" spans="12:12" x14ac:dyDescent="0.25">
      <c r="L199" s="6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R42" sqref="R4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AE90"/>
  <sheetViews>
    <sheetView zoomScale="60" zoomScaleNormal="60" workbookViewId="0">
      <selection activeCell="AB40" sqref="AB40"/>
    </sheetView>
  </sheetViews>
  <sheetFormatPr defaultRowHeight="15" x14ac:dyDescent="0.25"/>
  <cols>
    <col min="1" max="1" width="21.140625" bestFit="1" customWidth="1"/>
    <col min="2" max="2" width="10" bestFit="1" customWidth="1"/>
    <col min="3" max="3" width="10.42578125" customWidth="1"/>
    <col min="5" max="5" width="9.7109375" customWidth="1"/>
    <col min="10" max="10" width="11.5703125" bestFit="1" customWidth="1"/>
    <col min="13" max="13" width="11.7109375" bestFit="1" customWidth="1"/>
    <col min="14" max="15" width="14" bestFit="1" customWidth="1"/>
    <col min="19" max="19" width="10.140625" bestFit="1" customWidth="1"/>
    <col min="20" max="20" width="11" bestFit="1" customWidth="1"/>
    <col min="21" max="21" width="10.5703125" bestFit="1" customWidth="1"/>
    <col min="22" max="22" width="19.85546875" customWidth="1"/>
    <col min="28" max="28" width="10.7109375" bestFit="1" customWidth="1"/>
    <col min="30" max="30" width="13.5703125" bestFit="1" customWidth="1"/>
  </cols>
  <sheetData>
    <row r="9" spans="1:14" ht="15.75" thickBot="1" x14ac:dyDescent="0.3"/>
    <row r="10" spans="1:14" ht="15.75" thickBot="1" x14ac:dyDescent="0.3">
      <c r="A10" s="26" t="s">
        <v>38</v>
      </c>
      <c r="B10" s="27" t="s">
        <v>39</v>
      </c>
      <c r="C10" s="27" t="s">
        <v>40</v>
      </c>
      <c r="M10" s="31" t="s">
        <v>38</v>
      </c>
      <c r="N10" s="32" t="s">
        <v>50</v>
      </c>
    </row>
    <row r="11" spans="1:14" ht="15.75" thickBot="1" x14ac:dyDescent="0.3">
      <c r="A11" s="28" t="s">
        <v>41</v>
      </c>
      <c r="B11" s="30">
        <v>5.4186100000000001</v>
      </c>
      <c r="C11" s="30">
        <v>1.2115100000000001</v>
      </c>
      <c r="M11" s="33" t="s">
        <v>41</v>
      </c>
      <c r="N11" s="30">
        <v>19.314499999999999</v>
      </c>
    </row>
    <row r="12" spans="1:14" ht="15.75" thickBot="1" x14ac:dyDescent="0.3">
      <c r="A12" s="28" t="s">
        <v>42</v>
      </c>
      <c r="B12" s="30">
        <v>-1539.69</v>
      </c>
      <c r="C12" s="30">
        <v>-8.3845000000000002E-4</v>
      </c>
      <c r="M12" s="33" t="s">
        <v>42</v>
      </c>
      <c r="N12" s="30">
        <v>-3.1118199999999998</v>
      </c>
    </row>
    <row r="13" spans="1:14" ht="15.75" thickBot="1" x14ac:dyDescent="0.3">
      <c r="A13" s="28" t="s">
        <v>43</v>
      </c>
      <c r="B13" s="30">
        <v>68731.899999999994</v>
      </c>
      <c r="C13" s="30">
        <v>1.8236E-7</v>
      </c>
      <c r="M13" s="33" t="s">
        <v>43</v>
      </c>
      <c r="N13" s="30">
        <v>0</v>
      </c>
    </row>
    <row r="14" spans="1:14" ht="15.75" thickBot="1" x14ac:dyDescent="0.3">
      <c r="A14" s="28" t="s">
        <v>44</v>
      </c>
      <c r="B14" s="30">
        <v>1.8588800000000001</v>
      </c>
      <c r="C14" s="30">
        <v>4.5602700000000003E-2</v>
      </c>
      <c r="M14" s="33" t="s">
        <v>44</v>
      </c>
      <c r="N14" s="30">
        <v>5.5114999999999998</v>
      </c>
    </row>
    <row r="15" spans="1:14" ht="15.75" thickBot="1" x14ac:dyDescent="0.3">
      <c r="A15" s="28" t="s">
        <v>45</v>
      </c>
      <c r="B15" s="30">
        <v>-892.73199999999997</v>
      </c>
      <c r="C15" s="30">
        <v>-4.6536199999999998E-3</v>
      </c>
      <c r="M15" s="33" t="s">
        <v>45</v>
      </c>
      <c r="N15" s="30">
        <v>-1.7501899999999999</v>
      </c>
    </row>
    <row r="16" spans="1:14" ht="15.75" thickBot="1" x14ac:dyDescent="0.3">
      <c r="A16" s="28" t="s">
        <v>46</v>
      </c>
      <c r="B16" s="30">
        <v>99709.4</v>
      </c>
      <c r="C16" s="30">
        <v>6.9773899999999996E-6</v>
      </c>
      <c r="M16" s="33" t="s">
        <v>46</v>
      </c>
      <c r="N16" s="30">
        <v>0</v>
      </c>
    </row>
    <row r="17" spans="1:15" ht="15.75" thickBot="1" x14ac:dyDescent="0.3">
      <c r="A17" s="28" t="s">
        <v>47</v>
      </c>
      <c r="B17" s="30">
        <v>-1.8773999999999999E-2</v>
      </c>
      <c r="C17" s="30">
        <v>-1.32314</v>
      </c>
      <c r="M17" s="33" t="s">
        <v>47</v>
      </c>
      <c r="N17" s="30">
        <v>113.4</v>
      </c>
    </row>
    <row r="18" spans="1:15" ht="15.75" thickBot="1" x14ac:dyDescent="0.3">
      <c r="A18" s="28" t="s">
        <v>48</v>
      </c>
      <c r="B18" s="30">
        <v>-141.49100000000001</v>
      </c>
      <c r="C18" s="30">
        <v>1.10445E-2</v>
      </c>
      <c r="M18" s="33" t="s">
        <v>48</v>
      </c>
      <c r="N18" s="30">
        <v>-20.460599999999999</v>
      </c>
    </row>
    <row r="19" spans="1:15" ht="15.75" thickBot="1" x14ac:dyDescent="0.3">
      <c r="A19" s="28" t="s">
        <v>49</v>
      </c>
      <c r="B19" s="30">
        <v>17125.900000000001</v>
      </c>
      <c r="C19" s="30">
        <v>-1.9386799999999999E-5</v>
      </c>
      <c r="M19" s="33" t="s">
        <v>49</v>
      </c>
      <c r="N19" s="30">
        <v>0</v>
      </c>
    </row>
    <row r="20" spans="1:15" x14ac:dyDescent="0.25">
      <c r="A20" s="36"/>
      <c r="B20" s="37"/>
      <c r="C20" s="37"/>
      <c r="M20" s="38" t="s">
        <v>65</v>
      </c>
      <c r="N20" s="47">
        <v>1.2444067769</v>
      </c>
    </row>
    <row r="21" spans="1:15" x14ac:dyDescent="0.25">
      <c r="A21" s="39" t="s">
        <v>55</v>
      </c>
      <c r="B21" s="14" t="s">
        <v>0</v>
      </c>
      <c r="C21" s="14" t="s">
        <v>67</v>
      </c>
      <c r="M21" s="38" t="s">
        <v>66</v>
      </c>
      <c r="N21" s="47">
        <v>2.7182818284590402</v>
      </c>
    </row>
    <row r="22" spans="1:15" x14ac:dyDescent="0.25">
      <c r="A22" s="34" t="s">
        <v>59</v>
      </c>
      <c r="B22" s="41" t="s">
        <v>56</v>
      </c>
      <c r="C22" s="25" t="s">
        <v>57</v>
      </c>
    </row>
    <row r="23" spans="1:15" x14ac:dyDescent="0.25">
      <c r="B23" s="40">
        <v>-10</v>
      </c>
      <c r="C23" s="23">
        <f>B23+273.15</f>
        <v>263.14999999999998</v>
      </c>
      <c r="M23" s="54" t="s">
        <v>70</v>
      </c>
      <c r="N23" s="14"/>
    </row>
    <row r="24" spans="1:15" x14ac:dyDescent="0.25">
      <c r="A24" s="42" t="s">
        <v>1</v>
      </c>
      <c r="B24" s="25" t="s">
        <v>58</v>
      </c>
      <c r="C24" s="42" t="s">
        <v>2</v>
      </c>
      <c r="D24" s="41" t="s">
        <v>56</v>
      </c>
      <c r="M24" s="56" t="s">
        <v>21</v>
      </c>
      <c r="N24" s="43">
        <v>2.5</v>
      </c>
      <c r="O24" t="s">
        <v>71</v>
      </c>
    </row>
    <row r="25" spans="1:15" x14ac:dyDescent="0.25">
      <c r="B25" s="43">
        <v>2.62</v>
      </c>
      <c r="D25" s="16" t="e">
        <f ca="1">[4]!td($B$21,B25)</f>
        <v>#NAME?</v>
      </c>
      <c r="M25" s="56" t="s">
        <v>40</v>
      </c>
      <c r="N25" s="44">
        <f>B31</f>
        <v>0.90913855837614599</v>
      </c>
      <c r="O25" t="s">
        <v>51</v>
      </c>
    </row>
    <row r="26" spans="1:15" x14ac:dyDescent="0.25">
      <c r="A26" s="35" t="s">
        <v>60</v>
      </c>
      <c r="B26" s="49">
        <f>LOG($B$25,10)</f>
        <v>0.41830129131974547</v>
      </c>
      <c r="E26" s="51" t="s">
        <v>68</v>
      </c>
      <c r="M26" s="56" t="s">
        <v>72</v>
      </c>
      <c r="N26" s="23">
        <f>N24*N25*1000</f>
        <v>2272.8463959403648</v>
      </c>
    </row>
    <row r="27" spans="1:15" x14ac:dyDescent="0.25">
      <c r="M27" s="55"/>
      <c r="N27" s="14"/>
    </row>
    <row r="28" spans="1:15" ht="15.75" x14ac:dyDescent="0.25">
      <c r="A28" s="34" t="s">
        <v>61</v>
      </c>
      <c r="B28" s="45">
        <f>$B$11+($B$12/$C$23)+($B$13/$C$23^2)+LOG($B$29,10)*($B$14+($B$15/$C$23)+($B$16/$C$23^2))+(LOG($B$29,10)*LOG($B$29,10))*($B$17+($B$18/$C$23)+($B$19/$C$23^2))</f>
        <v>0.41830021968634357</v>
      </c>
      <c r="F28" s="46" t="s">
        <v>62</v>
      </c>
      <c r="M28" s="56" t="s">
        <v>73</v>
      </c>
      <c r="N28" s="57">
        <f>N26*B29</f>
        <v>324.22179780989444</v>
      </c>
    </row>
    <row r="29" spans="1:15" x14ac:dyDescent="0.25">
      <c r="A29" t="s">
        <v>52</v>
      </c>
      <c r="B29" s="52">
        <v>0.14265011414277792</v>
      </c>
    </row>
    <row r="30" spans="1:15" x14ac:dyDescent="0.25">
      <c r="A30" s="35" t="s">
        <v>40</v>
      </c>
    </row>
    <row r="31" spans="1:15" x14ac:dyDescent="0.25">
      <c r="A31" t="s">
        <v>53</v>
      </c>
      <c r="B31" s="53">
        <f>C11+C12*C23+C13*C23^2+B29*(C14+C15*C23+C16*C23^2)+B29^2*(C17+C18*C23+C19*C23^2)</f>
        <v>0.90913855837614599</v>
      </c>
      <c r="C31" s="29">
        <f>$N$11+$N$12*LN($C$23)+$B$29*$N$14+$N$15*LN($C$23)+($B$29^2)*N17+$N$18*LN($C$23)</f>
        <v>-118.70762290450044</v>
      </c>
    </row>
    <row r="32" spans="1:15" x14ac:dyDescent="0.25">
      <c r="A32" s="35" t="s">
        <v>63</v>
      </c>
      <c r="B32" s="50" t="e">
        <f>N11+N12*LOG(C23,e)+N13*(LOG(C23,e)*LOG(C23,e))+B29*N14+N15*LOG(C23,e)+N16*(LOG(C23,e)*LOG(C23,e))+(B29^2)*N17+N18*LOG(C23,e)+N19*(LOG(C23,e)*LOG(C23,e))</f>
        <v>#NAME?</v>
      </c>
      <c r="C32" s="49">
        <f>$N$11+$N$12*LN($C$23)+$N$13*((LN($C$23))^2)+$B$29*$N$14+$N$15*LN($C$23)+$N$16*((LN($C$23))^2)+($B$29^2)*N17+$N$18*LN($C$23)+N19*((LN($C$23))^2)</f>
        <v>-118.70762290450044</v>
      </c>
      <c r="E32" s="35" t="s">
        <v>68</v>
      </c>
    </row>
    <row r="33" spans="1:31" ht="15.75" x14ac:dyDescent="0.25">
      <c r="A33" s="35" t="s">
        <v>64</v>
      </c>
      <c r="B33" s="48">
        <f>LOG(LOG(B34+0.7+(N21^(-B34))*BESSELK(B34+N20,0)))</f>
        <v>0.26424824969550537</v>
      </c>
      <c r="C33" s="48">
        <f>LN(LN($B$34+0.7+EXP(-$B$34)*BESSELK($B$34+1.244068,0)))</f>
        <v>1.4424865258465949</v>
      </c>
      <c r="F33" s="46" t="s">
        <v>69</v>
      </c>
    </row>
    <row r="34" spans="1:31" x14ac:dyDescent="0.25">
      <c r="A34" t="s">
        <v>54</v>
      </c>
      <c r="B34" s="52">
        <v>68.099999999999994</v>
      </c>
    </row>
    <row r="35" spans="1:31" ht="15.75" thickBot="1" x14ac:dyDescent="0.3">
      <c r="V35" s="15" t="s">
        <v>0</v>
      </c>
      <c r="W35" s="25" t="s">
        <v>2</v>
      </c>
      <c r="X35" s="25" t="s">
        <v>3</v>
      </c>
      <c r="Y35" s="25" t="s">
        <v>1</v>
      </c>
      <c r="Z35" s="25" t="s">
        <v>23</v>
      </c>
      <c r="AA35" s="25" t="s">
        <v>22</v>
      </c>
      <c r="AB35" s="25" t="s">
        <v>14</v>
      </c>
      <c r="AC35" s="42" t="s">
        <v>70</v>
      </c>
      <c r="AD35" s="25" t="s">
        <v>84</v>
      </c>
    </row>
    <row r="36" spans="1:31" ht="16.5" thickBot="1" x14ac:dyDescent="0.3">
      <c r="A36" s="1" t="s">
        <v>11</v>
      </c>
      <c r="B36" s="2" t="s">
        <v>12</v>
      </c>
      <c r="C36" s="2" t="s">
        <v>8</v>
      </c>
      <c r="D36" s="2" t="s">
        <v>10</v>
      </c>
      <c r="F36" s="222" t="s">
        <v>10</v>
      </c>
      <c r="G36" s="17" t="s">
        <v>15</v>
      </c>
      <c r="H36" s="222" t="s">
        <v>16</v>
      </c>
      <c r="I36" s="222" t="s">
        <v>17</v>
      </c>
      <c r="J36" s="17" t="s">
        <v>18</v>
      </c>
      <c r="W36" s="25" t="s">
        <v>19</v>
      </c>
      <c r="X36" s="25" t="s">
        <v>19</v>
      </c>
      <c r="Y36" s="25" t="s">
        <v>5</v>
      </c>
      <c r="Z36" s="25" t="s">
        <v>19</v>
      </c>
      <c r="AA36" s="35"/>
      <c r="AB36" s="35"/>
      <c r="AC36" s="25" t="s">
        <v>74</v>
      </c>
      <c r="AD36" s="25" t="s">
        <v>74</v>
      </c>
    </row>
    <row r="37" spans="1:31" ht="16.5" thickBot="1" x14ac:dyDescent="0.3">
      <c r="A37" s="4">
        <v>0.80689999999999995</v>
      </c>
      <c r="B37" s="5">
        <v>0.3</v>
      </c>
      <c r="C37" s="5">
        <v>273.14999999999998</v>
      </c>
      <c r="D37" s="5">
        <v>4.54</v>
      </c>
      <c r="F37" s="223"/>
      <c r="G37" s="18" t="s">
        <v>19</v>
      </c>
      <c r="H37" s="223"/>
      <c r="I37" s="223"/>
      <c r="J37" s="18" t="s">
        <v>20</v>
      </c>
      <c r="W37" s="14">
        <v>-30</v>
      </c>
      <c r="X37" s="24">
        <v>17</v>
      </c>
      <c r="Y37" s="23" t="e">
        <f ca="1">[4]!pd($V$35,W38)</f>
        <v>#NAME?</v>
      </c>
      <c r="Z37" s="14">
        <v>40</v>
      </c>
      <c r="AA37" s="24">
        <v>0.95470999999999995</v>
      </c>
      <c r="AB37" s="24">
        <v>1.6799999999999999E-2</v>
      </c>
      <c r="AC37" s="16">
        <f>AA37*$N$24*1000</f>
        <v>2386.7750000000001</v>
      </c>
      <c r="AD37" s="23">
        <f>AC37*AB37</f>
        <v>40.097819999999999</v>
      </c>
      <c r="AE37" s="14">
        <v>40</v>
      </c>
    </row>
    <row r="38" spans="1:31" ht="16.5" thickBot="1" x14ac:dyDescent="0.3">
      <c r="A38" s="4">
        <v>0.7974</v>
      </c>
      <c r="B38" s="5">
        <v>0.3</v>
      </c>
      <c r="C38" s="5">
        <v>283.14999999999998</v>
      </c>
      <c r="D38" s="5">
        <v>6.04</v>
      </c>
      <c r="F38" s="19">
        <v>2.62</v>
      </c>
      <c r="G38" s="6">
        <v>-18</v>
      </c>
      <c r="H38" s="6">
        <v>0.81179999999999997</v>
      </c>
      <c r="I38" s="6">
        <v>7.1</v>
      </c>
      <c r="J38" s="7">
        <v>0.32300000000000001</v>
      </c>
      <c r="V38" t="s">
        <v>24</v>
      </c>
      <c r="W38" s="14">
        <v>-11</v>
      </c>
      <c r="X38" s="24">
        <v>17</v>
      </c>
      <c r="Y38" s="23" t="e">
        <f ca="1">[4]!pd($V$35,W38)</f>
        <v>#NAME?</v>
      </c>
      <c r="Z38" s="14">
        <v>36</v>
      </c>
      <c r="AA38" s="24">
        <v>0.94342999999999999</v>
      </c>
      <c r="AB38" s="24">
        <v>3.6700000000000003E-2</v>
      </c>
      <c r="AC38" s="16">
        <f t="shared" ref="AC38:AC55" si="0">AA38*$N$24*1000</f>
        <v>2358.5750000000003</v>
      </c>
      <c r="AD38" s="23">
        <f t="shared" ref="AD38:AD55" si="1">AC38*AB38</f>
        <v>86.559702500000014</v>
      </c>
      <c r="AE38" s="14">
        <v>36</v>
      </c>
    </row>
    <row r="39" spans="1:31" ht="16.5" thickBot="1" x14ac:dyDescent="0.3">
      <c r="A39" s="4">
        <v>0.78810000000000002</v>
      </c>
      <c r="B39" s="5">
        <v>0.3</v>
      </c>
      <c r="C39" s="5">
        <v>293.14999999999998</v>
      </c>
      <c r="D39" s="5">
        <v>7.89</v>
      </c>
      <c r="F39" s="8">
        <v>2.62</v>
      </c>
      <c r="G39" s="9">
        <v>-16</v>
      </c>
      <c r="H39" s="9">
        <v>0.8538</v>
      </c>
      <c r="I39" s="9">
        <v>15</v>
      </c>
      <c r="J39" s="10">
        <v>0.24399999999999999</v>
      </c>
      <c r="W39" s="14">
        <v>25</v>
      </c>
      <c r="X39" s="24">
        <v>40</v>
      </c>
      <c r="Y39" s="23" t="e">
        <f ca="1">[4]!pd($V$35,W40)</f>
        <v>#NAME?</v>
      </c>
      <c r="Z39" s="14">
        <v>52</v>
      </c>
      <c r="AA39" s="24">
        <v>0.88893</v>
      </c>
      <c r="AB39" s="24">
        <v>9.7699999999999995E-2</v>
      </c>
      <c r="AC39" s="16">
        <f t="shared" si="0"/>
        <v>2222.3250000000003</v>
      </c>
      <c r="AD39" s="23">
        <f t="shared" si="1"/>
        <v>217.12115250000002</v>
      </c>
      <c r="AE39" s="14">
        <v>52</v>
      </c>
    </row>
    <row r="40" spans="1:31" ht="16.5" thickBot="1" x14ac:dyDescent="0.3">
      <c r="A40" s="4">
        <v>0.77880000000000005</v>
      </c>
      <c r="B40" s="5">
        <v>0.3</v>
      </c>
      <c r="C40" s="5">
        <v>303.14999999999998</v>
      </c>
      <c r="D40" s="5">
        <v>10.15</v>
      </c>
      <c r="F40" s="11">
        <v>2.62</v>
      </c>
      <c r="G40" s="12">
        <v>-14</v>
      </c>
      <c r="H40" s="12">
        <v>0.87909999999999999</v>
      </c>
      <c r="I40" s="12">
        <v>24.9</v>
      </c>
      <c r="J40" s="13">
        <v>0.19700000000000001</v>
      </c>
      <c r="W40" s="14">
        <v>25</v>
      </c>
      <c r="X40" s="24">
        <v>40</v>
      </c>
      <c r="Y40" s="23" t="e">
        <f ca="1">[4]!pd($V$35,W41)</f>
        <v>#NAME?</v>
      </c>
      <c r="Z40" s="14">
        <v>40</v>
      </c>
      <c r="AA40" s="24">
        <v>0.86416999999999999</v>
      </c>
      <c r="AB40" s="24">
        <v>0.1482</v>
      </c>
      <c r="AC40" s="16">
        <f t="shared" si="0"/>
        <v>2160.4250000000002</v>
      </c>
      <c r="AD40" s="23">
        <f t="shared" si="1"/>
        <v>320.17498500000005</v>
      </c>
      <c r="AE40" s="14">
        <v>40</v>
      </c>
    </row>
    <row r="41" spans="1:31" ht="16.5" thickBot="1" x14ac:dyDescent="0.3">
      <c r="A41" s="4">
        <v>0.76970000000000005</v>
      </c>
      <c r="B41" s="5">
        <v>0.3</v>
      </c>
      <c r="C41" s="5">
        <v>313.14999999999998</v>
      </c>
      <c r="D41" s="5">
        <v>12.85</v>
      </c>
      <c r="F41" s="11">
        <v>2.62</v>
      </c>
      <c r="G41" s="12">
        <v>-12</v>
      </c>
      <c r="H41" s="12">
        <v>0.89649999999999996</v>
      </c>
      <c r="I41" s="12">
        <v>36.200000000000003</v>
      </c>
      <c r="J41" s="13">
        <v>0.16600000000000001</v>
      </c>
      <c r="W41" s="14">
        <v>25</v>
      </c>
      <c r="X41" s="24">
        <v>60</v>
      </c>
      <c r="Y41" s="23" t="e">
        <f ca="1">[4]!pd($V$35,W42)</f>
        <v>#NAME?</v>
      </c>
      <c r="Z41" s="14" t="s">
        <v>30</v>
      </c>
      <c r="AA41" s="24">
        <v>0.89219999999999999</v>
      </c>
      <c r="AB41" s="24">
        <v>8.9800000000000005E-2</v>
      </c>
      <c r="AC41" s="16">
        <f t="shared" si="0"/>
        <v>2230.5</v>
      </c>
      <c r="AD41" s="23">
        <f t="shared" si="1"/>
        <v>200.2989</v>
      </c>
      <c r="AE41" s="14">
        <v>55</v>
      </c>
    </row>
    <row r="42" spans="1:31" ht="16.5" thickBot="1" x14ac:dyDescent="0.3">
      <c r="A42" s="4">
        <v>0.76070000000000004</v>
      </c>
      <c r="B42" s="5">
        <v>0.3</v>
      </c>
      <c r="C42" s="5">
        <v>323.14999999999998</v>
      </c>
      <c r="D42" s="5">
        <v>16.05</v>
      </c>
      <c r="F42" s="11">
        <v>2.62</v>
      </c>
      <c r="G42" s="12">
        <v>-10</v>
      </c>
      <c r="H42" s="12">
        <v>0.90910000000000002</v>
      </c>
      <c r="I42" s="12">
        <v>47.7</v>
      </c>
      <c r="J42" s="13">
        <v>0.14299999999999999</v>
      </c>
      <c r="W42" s="14">
        <v>15</v>
      </c>
      <c r="X42" s="24">
        <v>70</v>
      </c>
      <c r="Y42" s="23" t="e">
        <f ca="1">[4]!pd($V$35,W43)</f>
        <v>#NAME?</v>
      </c>
      <c r="Z42" s="14" t="s">
        <v>31</v>
      </c>
      <c r="AA42" s="24">
        <v>0.8639</v>
      </c>
      <c r="AB42" s="24">
        <v>5.9400000000000001E-2</v>
      </c>
      <c r="AC42" s="16">
        <f t="shared" si="0"/>
        <v>2159.75</v>
      </c>
      <c r="AD42" s="23">
        <f t="shared" si="1"/>
        <v>128.28915000000001</v>
      </c>
      <c r="AE42" s="14">
        <v>57</v>
      </c>
    </row>
    <row r="43" spans="1:31" ht="16.5" thickBot="1" x14ac:dyDescent="0.3">
      <c r="A43" s="4">
        <v>0.75170000000000003</v>
      </c>
      <c r="B43" s="5">
        <v>0.3</v>
      </c>
      <c r="C43" s="5">
        <v>333.15</v>
      </c>
      <c r="D43" s="5">
        <v>19.8</v>
      </c>
      <c r="F43" s="11">
        <v>2.62</v>
      </c>
      <c r="G43" s="12">
        <v>-8</v>
      </c>
      <c r="H43" s="12">
        <v>0.91869999999999996</v>
      </c>
      <c r="I43" s="12">
        <v>58.5</v>
      </c>
      <c r="J43" s="13">
        <v>0.125</v>
      </c>
      <c r="W43" s="14">
        <v>-9</v>
      </c>
      <c r="X43" s="24">
        <v>70</v>
      </c>
      <c r="Y43" s="23" t="e">
        <f ca="1">[4]!pd($V$35,W44)</f>
        <v>#NAME?</v>
      </c>
      <c r="Z43" s="14" t="s">
        <v>32</v>
      </c>
      <c r="AA43" s="24">
        <v>0.93459999999999999</v>
      </c>
      <c r="AB43" s="24">
        <v>2.5600000000000001E-2</v>
      </c>
      <c r="AC43" s="16">
        <f t="shared" si="0"/>
        <v>2336.5</v>
      </c>
      <c r="AD43" s="23">
        <f t="shared" si="1"/>
        <v>59.814400000000006</v>
      </c>
      <c r="AE43" s="14">
        <v>59</v>
      </c>
    </row>
    <row r="44" spans="1:31" ht="16.5" thickBot="1" x14ac:dyDescent="0.3">
      <c r="A44" s="4">
        <v>0.7429</v>
      </c>
      <c r="B44" s="5">
        <v>0.3</v>
      </c>
      <c r="C44" s="5">
        <v>343.15</v>
      </c>
      <c r="D44" s="5">
        <v>24.15</v>
      </c>
      <c r="F44" s="11">
        <v>2.62</v>
      </c>
      <c r="G44" s="12">
        <v>-6</v>
      </c>
      <c r="H44" s="12">
        <v>0.92610000000000003</v>
      </c>
      <c r="I44" s="12">
        <v>68.099999999999994</v>
      </c>
      <c r="J44" s="13">
        <v>0.111</v>
      </c>
      <c r="V44">
        <v>53</v>
      </c>
      <c r="W44" s="14">
        <v>-15</v>
      </c>
      <c r="X44" s="24">
        <v>70</v>
      </c>
      <c r="Y44" s="23" t="e">
        <f ca="1">[4]!pd($V$35,W45)</f>
        <v>#NAME?</v>
      </c>
      <c r="Z44" s="14" t="s">
        <v>7</v>
      </c>
      <c r="AA44" s="24">
        <v>0.94079999999999997</v>
      </c>
      <c r="AB44" s="24">
        <v>2.3E-2</v>
      </c>
      <c r="AC44" s="16">
        <f t="shared" si="0"/>
        <v>2352</v>
      </c>
      <c r="AD44" s="23">
        <f t="shared" si="1"/>
        <v>54.095999999999997</v>
      </c>
      <c r="AE44" s="14">
        <v>53</v>
      </c>
    </row>
    <row r="45" spans="1:31" ht="15.75" thickBot="1" x14ac:dyDescent="0.3">
      <c r="A45" s="4">
        <v>0.73419999999999996</v>
      </c>
      <c r="B45" s="5">
        <v>0.3</v>
      </c>
      <c r="C45" s="5">
        <v>353.15</v>
      </c>
      <c r="D45" s="5">
        <v>29.14</v>
      </c>
      <c r="V45">
        <v>53</v>
      </c>
      <c r="W45" s="14">
        <v>-20</v>
      </c>
      <c r="X45" s="24">
        <v>70</v>
      </c>
      <c r="Y45" s="23" t="e">
        <f ca="1">[4]!pd($V$35,W46)</f>
        <v>#NAME?</v>
      </c>
      <c r="Z45" s="14" t="s">
        <v>7</v>
      </c>
      <c r="AA45" s="24">
        <v>0.94338999999999995</v>
      </c>
      <c r="AB45" s="24">
        <v>1.9400000000000001E-2</v>
      </c>
      <c r="AC45" s="16">
        <f t="shared" si="0"/>
        <v>2358.4749999999999</v>
      </c>
      <c r="AD45" s="23">
        <f t="shared" si="1"/>
        <v>45.754415000000002</v>
      </c>
      <c r="AE45" s="14">
        <v>53</v>
      </c>
    </row>
    <row r="46" spans="1:31" ht="15.75" thickBot="1" x14ac:dyDescent="0.3">
      <c r="A46" s="4">
        <v>0.72560000000000002</v>
      </c>
      <c r="B46" s="5">
        <v>0.3</v>
      </c>
      <c r="C46" s="5">
        <v>363.15</v>
      </c>
      <c r="D46" s="5">
        <v>34.83</v>
      </c>
      <c r="W46" s="14">
        <v>-30</v>
      </c>
      <c r="X46" s="24">
        <v>65</v>
      </c>
      <c r="Y46" s="23" t="e">
        <f ca="1">[4]!pd($V$35,W47)</f>
        <v>#NAME?</v>
      </c>
      <c r="Z46" s="14">
        <v>53</v>
      </c>
      <c r="AA46" s="24">
        <v>0.94740999999999997</v>
      </c>
      <c r="AB46" s="24">
        <v>1.38E-2</v>
      </c>
      <c r="AC46" s="16">
        <f t="shared" si="0"/>
        <v>2368.5250000000001</v>
      </c>
      <c r="AD46" s="23">
        <f t="shared" si="1"/>
        <v>32.685645000000001</v>
      </c>
      <c r="AE46" s="14">
        <v>53</v>
      </c>
    </row>
    <row r="47" spans="1:31" ht="15.75" thickBot="1" x14ac:dyDescent="0.3">
      <c r="A47" s="4"/>
      <c r="B47" s="5"/>
      <c r="C47" s="5"/>
      <c r="D47" s="5"/>
      <c r="W47" s="14">
        <v>-35</v>
      </c>
      <c r="X47" s="24">
        <v>50</v>
      </c>
      <c r="Y47" s="23" t="e">
        <f ca="1">[4]!pd($V$35,W48)</f>
        <v>#NAME?</v>
      </c>
      <c r="Z47" s="14">
        <v>53</v>
      </c>
      <c r="AA47" s="24">
        <v>0.94740999999999997</v>
      </c>
      <c r="AB47" s="24">
        <v>1.38E-2</v>
      </c>
      <c r="AC47" s="16">
        <f t="shared" ref="AC47" si="2">AA47*$N$24*1000</f>
        <v>2368.5250000000001</v>
      </c>
      <c r="AD47" s="23">
        <f t="shared" ref="AD47" si="3">AC47*AB47</f>
        <v>32.685645000000001</v>
      </c>
      <c r="AE47" s="14">
        <v>53</v>
      </c>
    </row>
    <row r="48" spans="1:31" ht="15.75" thickBot="1" x14ac:dyDescent="0.3">
      <c r="A48" s="4">
        <v>0.71709999999999996</v>
      </c>
      <c r="B48" s="5">
        <v>0.3</v>
      </c>
      <c r="C48" s="5">
        <v>373.15</v>
      </c>
      <c r="D48" s="5">
        <v>41.25</v>
      </c>
      <c r="W48" s="14">
        <v>-30</v>
      </c>
      <c r="X48" s="24">
        <v>45</v>
      </c>
      <c r="Y48" s="23" t="e">
        <f ca="1">[4]!pd($V$35,W49)</f>
        <v>#NAME?</v>
      </c>
      <c r="Z48" s="14">
        <v>53</v>
      </c>
      <c r="AA48" s="24">
        <v>0.94740999999999997</v>
      </c>
      <c r="AB48" s="24">
        <v>1.38E-2</v>
      </c>
      <c r="AC48" s="16">
        <f t="shared" si="0"/>
        <v>2368.5250000000001</v>
      </c>
      <c r="AD48" s="23">
        <f t="shared" si="1"/>
        <v>32.685645000000001</v>
      </c>
      <c r="AE48" s="14">
        <v>53</v>
      </c>
    </row>
    <row r="49" spans="1:31" ht="15.75" thickBot="1" x14ac:dyDescent="0.3">
      <c r="A49" s="4">
        <v>0.86499999999999999</v>
      </c>
      <c r="B49" s="5">
        <v>0.2</v>
      </c>
      <c r="C49" s="5">
        <v>273.14999999999998</v>
      </c>
      <c r="D49" s="5">
        <v>4.0199999999999996</v>
      </c>
      <c r="W49" s="14">
        <v>-30</v>
      </c>
      <c r="X49" s="24">
        <v>35</v>
      </c>
      <c r="Y49" s="23" t="e">
        <f ca="1">[4]!pd($V$35,W50)</f>
        <v>#NAME?</v>
      </c>
      <c r="Z49" s="14">
        <v>47</v>
      </c>
      <c r="AA49" s="24">
        <v>0.95086000000000004</v>
      </c>
      <c r="AB49" s="24">
        <v>1.4999999999999999E-2</v>
      </c>
      <c r="AC49" s="16">
        <f t="shared" si="0"/>
        <v>2377.1500000000005</v>
      </c>
      <c r="AD49" s="23">
        <f t="shared" si="1"/>
        <v>35.657250000000005</v>
      </c>
      <c r="AE49" s="14">
        <v>47</v>
      </c>
    </row>
    <row r="50" spans="1:31" ht="15.75" thickBot="1" x14ac:dyDescent="0.3">
      <c r="A50" s="4">
        <v>0.85619999999999996</v>
      </c>
      <c r="B50" s="5">
        <v>0.2</v>
      </c>
      <c r="C50" s="5">
        <v>283.14999999999998</v>
      </c>
      <c r="D50" s="5">
        <v>5.3</v>
      </c>
      <c r="V50" t="s">
        <v>25</v>
      </c>
      <c r="W50" s="14">
        <v>-18</v>
      </c>
      <c r="X50" s="24">
        <v>62</v>
      </c>
      <c r="Y50" s="23" t="e">
        <f ca="1">[4]!pd($V$35,W51)</f>
        <v>#NAME?</v>
      </c>
      <c r="Z50" s="14" t="s">
        <v>33</v>
      </c>
      <c r="AA50" s="24">
        <v>0.94289000000000001</v>
      </c>
      <c r="AB50" s="24">
        <v>2.1100000000000001E-2</v>
      </c>
      <c r="AC50" s="16">
        <f t="shared" si="0"/>
        <v>2357.2249999999999</v>
      </c>
      <c r="AD50" s="23">
        <f t="shared" si="1"/>
        <v>49.737447500000002</v>
      </c>
      <c r="AE50" s="14">
        <v>52</v>
      </c>
    </row>
    <row r="51" spans="1:31" ht="15.75" thickBot="1" x14ac:dyDescent="0.3">
      <c r="A51" s="4">
        <v>0.84750000000000003</v>
      </c>
      <c r="B51" s="5">
        <v>0.2</v>
      </c>
      <c r="C51" s="5">
        <v>293.14999999999998</v>
      </c>
      <c r="D51" s="5">
        <v>6.87</v>
      </c>
      <c r="V51" t="s">
        <v>26</v>
      </c>
      <c r="W51" s="14">
        <v>-18</v>
      </c>
      <c r="X51" s="24">
        <v>58</v>
      </c>
      <c r="Y51" s="23" t="e">
        <f ca="1">[4]!pd($V$35,W52)</f>
        <v>#NAME?</v>
      </c>
      <c r="Z51" s="14" t="s">
        <v>33</v>
      </c>
      <c r="AA51" s="24">
        <v>0.94289000000000001</v>
      </c>
      <c r="AB51" s="24">
        <v>2.1100000000000001E-2</v>
      </c>
      <c r="AC51" s="16">
        <f t="shared" si="0"/>
        <v>2357.2249999999999</v>
      </c>
      <c r="AD51" s="23">
        <f t="shared" si="1"/>
        <v>49.737447500000002</v>
      </c>
      <c r="AE51" s="14">
        <v>52</v>
      </c>
    </row>
    <row r="52" spans="1:31" ht="15.75" thickBot="1" x14ac:dyDescent="0.3">
      <c r="A52" s="4">
        <v>0.83899999999999997</v>
      </c>
      <c r="B52" s="5">
        <v>0.2</v>
      </c>
      <c r="C52" s="5">
        <v>303.14999999999998</v>
      </c>
      <c r="D52" s="5">
        <v>8.75</v>
      </c>
      <c r="V52" t="s">
        <v>27</v>
      </c>
      <c r="W52" s="14">
        <v>-5</v>
      </c>
      <c r="X52" s="24">
        <v>43</v>
      </c>
      <c r="Y52" s="23" t="e">
        <f ca="1">[4]!pd($V$35,W53)</f>
        <v>#NAME?</v>
      </c>
      <c r="Z52" s="14" t="s">
        <v>34</v>
      </c>
      <c r="AA52" s="24">
        <v>0.93652999999999997</v>
      </c>
      <c r="AB52" s="24">
        <v>4.1200000000000001E-2</v>
      </c>
      <c r="AC52" s="16">
        <f t="shared" si="0"/>
        <v>2341.3249999999998</v>
      </c>
      <c r="AD52" s="23">
        <f t="shared" si="1"/>
        <v>96.462589999999992</v>
      </c>
      <c r="AE52" s="14">
        <v>41</v>
      </c>
    </row>
    <row r="53" spans="1:31" ht="15.75" thickBot="1" x14ac:dyDescent="0.3">
      <c r="A53" s="4">
        <v>0.83069999999999999</v>
      </c>
      <c r="B53" s="5">
        <v>0.2</v>
      </c>
      <c r="C53" s="5">
        <v>313.14999999999998</v>
      </c>
      <c r="D53" s="5">
        <v>10.98</v>
      </c>
      <c r="V53" t="s">
        <v>28</v>
      </c>
      <c r="W53" s="14">
        <v>0</v>
      </c>
      <c r="X53" s="24">
        <v>56</v>
      </c>
      <c r="Y53" s="23" t="e">
        <f ca="1">[4]!pd($V$35,W54)</f>
        <v>#NAME?</v>
      </c>
      <c r="Z53" s="14" t="s">
        <v>35</v>
      </c>
      <c r="AA53" s="24">
        <v>0.93025000000000002</v>
      </c>
      <c r="AB53" s="24">
        <v>4.07E-2</v>
      </c>
      <c r="AC53" s="16">
        <f t="shared" si="0"/>
        <v>2325.625</v>
      </c>
      <c r="AD53" s="23">
        <f t="shared" si="1"/>
        <v>94.652937499999993</v>
      </c>
      <c r="AE53" s="14">
        <v>50</v>
      </c>
    </row>
    <row r="54" spans="1:31" ht="15.75" thickBot="1" x14ac:dyDescent="0.3">
      <c r="A54" s="4">
        <v>0.82250000000000001</v>
      </c>
      <c r="B54" s="5">
        <v>0.2</v>
      </c>
      <c r="C54" s="5">
        <v>323.14999999999998</v>
      </c>
      <c r="D54" s="5">
        <v>13.6</v>
      </c>
      <c r="V54" t="s">
        <v>29</v>
      </c>
      <c r="W54" s="14">
        <v>-20</v>
      </c>
      <c r="X54" s="24">
        <v>57</v>
      </c>
      <c r="Y54" s="23" t="e">
        <f ca="1">[4]!pd($V$35,W55)</f>
        <v>#NAME?</v>
      </c>
      <c r="Z54" s="14" t="s">
        <v>36</v>
      </c>
      <c r="AA54" s="24">
        <v>0.94489000000000001</v>
      </c>
      <c r="AB54" s="24">
        <v>2.0299999999999999E-2</v>
      </c>
      <c r="AC54" s="16">
        <f t="shared" si="0"/>
        <v>2362.2249999999999</v>
      </c>
      <c r="AD54" s="23">
        <f t="shared" si="1"/>
        <v>47.953167499999992</v>
      </c>
      <c r="AE54" s="14">
        <v>50</v>
      </c>
    </row>
    <row r="55" spans="1:31" ht="15.75" thickBot="1" x14ac:dyDescent="0.3">
      <c r="A55" s="4">
        <v>0.8145</v>
      </c>
      <c r="B55" s="5">
        <v>0.2</v>
      </c>
      <c r="C55" s="5">
        <v>333.15</v>
      </c>
      <c r="D55" s="5">
        <v>16.62</v>
      </c>
      <c r="V55" t="s">
        <v>29</v>
      </c>
      <c r="W55" s="14">
        <v>7</v>
      </c>
      <c r="X55" s="24">
        <v>30</v>
      </c>
      <c r="Y55" s="23" t="e">
        <f ca="1">[4]!pd($V$35,W56)</f>
        <v>#NAME?</v>
      </c>
      <c r="Z55" s="14" t="s">
        <v>37</v>
      </c>
      <c r="AA55" s="24">
        <v>0.92</v>
      </c>
      <c r="AB55" s="24">
        <v>6.3600000000000004E-2</v>
      </c>
      <c r="AC55" s="16">
        <f t="shared" si="0"/>
        <v>2300.0000000000005</v>
      </c>
      <c r="AD55" s="23">
        <f t="shared" si="1"/>
        <v>146.28000000000003</v>
      </c>
      <c r="AE55" s="14">
        <v>42</v>
      </c>
    </row>
    <row r="56" spans="1:31" ht="15.75" thickBot="1" x14ac:dyDescent="0.3">
      <c r="A56" s="4">
        <v>0.80669999999999997</v>
      </c>
      <c r="B56" s="5">
        <v>0.2</v>
      </c>
      <c r="C56" s="5">
        <v>343.15</v>
      </c>
      <c r="D56" s="5">
        <v>20.09</v>
      </c>
    </row>
    <row r="57" spans="1:31" ht="15.75" thickBot="1" x14ac:dyDescent="0.3">
      <c r="A57" s="4">
        <v>0.79900000000000004</v>
      </c>
      <c r="B57" s="5">
        <v>0.2</v>
      </c>
      <c r="C57" s="5">
        <v>353.15</v>
      </c>
      <c r="D57" s="5">
        <v>24.03</v>
      </c>
    </row>
    <row r="58" spans="1:31" ht="15.75" thickBot="1" x14ac:dyDescent="0.3">
      <c r="A58" s="4">
        <v>0.79149999999999998</v>
      </c>
      <c r="B58" s="5">
        <v>0.2</v>
      </c>
      <c r="C58" s="5">
        <v>363.15</v>
      </c>
      <c r="D58" s="5">
        <v>28.47</v>
      </c>
    </row>
    <row r="59" spans="1:31" ht="15.75" thickBot="1" x14ac:dyDescent="0.3">
      <c r="A59" s="4">
        <v>0.78410000000000002</v>
      </c>
      <c r="B59" s="5">
        <v>0.2</v>
      </c>
      <c r="C59" s="5">
        <v>373.15</v>
      </c>
      <c r="D59" s="5">
        <v>33.43</v>
      </c>
    </row>
    <row r="60" spans="1:31" ht="15.75" thickBot="1" x14ac:dyDescent="0.3">
      <c r="A60" s="4">
        <v>0.92810000000000004</v>
      </c>
      <c r="B60" s="5">
        <v>0.1</v>
      </c>
      <c r="C60" s="5">
        <v>273.14999999999998</v>
      </c>
      <c r="D60" s="5">
        <v>2.94</v>
      </c>
    </row>
    <row r="61" spans="1:31" ht="15.75" thickBot="1" x14ac:dyDescent="0.3">
      <c r="A61" s="4">
        <v>0.92</v>
      </c>
      <c r="B61" s="5">
        <v>0.1</v>
      </c>
      <c r="C61" s="5">
        <v>283.14999999999998</v>
      </c>
      <c r="D61" s="5">
        <v>3.83</v>
      </c>
    </row>
    <row r="62" spans="1:31" ht="15.75" thickBot="1" x14ac:dyDescent="0.3">
      <c r="A62" s="4">
        <v>0.91200000000000003</v>
      </c>
      <c r="B62" s="5">
        <v>0.1</v>
      </c>
      <c r="C62" s="5">
        <v>293.14999999999998</v>
      </c>
      <c r="D62" s="5">
        <v>4.9000000000000004</v>
      </c>
    </row>
    <row r="63" spans="1:31" ht="15.75" thickBot="1" x14ac:dyDescent="0.3">
      <c r="A63" s="4">
        <v>0.90410000000000001</v>
      </c>
      <c r="B63" s="5">
        <v>0.1</v>
      </c>
      <c r="C63" s="5">
        <v>303.14999999999998</v>
      </c>
      <c r="D63" s="5">
        <v>6.16</v>
      </c>
    </row>
    <row r="64" spans="1:31" ht="15.75" thickBot="1" x14ac:dyDescent="0.3">
      <c r="A64" s="4">
        <v>0.89639999999999997</v>
      </c>
      <c r="B64" s="5">
        <v>0.1</v>
      </c>
      <c r="C64" s="5">
        <v>313.14999999999998</v>
      </c>
      <c r="D64" s="5">
        <v>7.62</v>
      </c>
    </row>
    <row r="65" spans="1:4" ht="15.75" thickBot="1" x14ac:dyDescent="0.3">
      <c r="A65" s="4">
        <v>0.88890000000000002</v>
      </c>
      <c r="B65" s="5">
        <v>0.1</v>
      </c>
      <c r="C65" s="5">
        <v>323.14999999999998</v>
      </c>
      <c r="D65" s="5">
        <v>9.3000000000000007</v>
      </c>
    </row>
    <row r="66" spans="1:4" ht="15.75" thickBot="1" x14ac:dyDescent="0.3">
      <c r="A66" s="4">
        <v>0.88139999999999996</v>
      </c>
      <c r="B66" s="5">
        <v>0.1</v>
      </c>
      <c r="C66" s="5">
        <v>333.15</v>
      </c>
      <c r="D66" s="5">
        <v>11.21</v>
      </c>
    </row>
    <row r="67" spans="1:4" ht="15.75" thickBot="1" x14ac:dyDescent="0.3">
      <c r="A67" s="4">
        <v>0.87409999999999999</v>
      </c>
      <c r="B67" s="5">
        <v>0.1</v>
      </c>
      <c r="C67" s="5">
        <v>343.15</v>
      </c>
      <c r="D67" s="5">
        <v>13.35</v>
      </c>
    </row>
    <row r="68" spans="1:4" ht="15.75" thickBot="1" x14ac:dyDescent="0.3">
      <c r="A68" s="4">
        <v>0.86699999999999999</v>
      </c>
      <c r="B68" s="5">
        <v>0.1</v>
      </c>
      <c r="C68" s="5">
        <v>353.15</v>
      </c>
      <c r="D68" s="5">
        <v>15.75</v>
      </c>
    </row>
    <row r="69" spans="1:4" ht="15.75" thickBot="1" x14ac:dyDescent="0.3">
      <c r="A69" s="4">
        <v>0.86</v>
      </c>
      <c r="B69" s="5">
        <v>0.1</v>
      </c>
      <c r="C69" s="5">
        <v>363.15</v>
      </c>
      <c r="D69" s="5">
        <v>18.399999999999999</v>
      </c>
    </row>
    <row r="70" spans="1:4" ht="15.75" thickBot="1" x14ac:dyDescent="0.3">
      <c r="A70" s="4">
        <v>0.85309999999999997</v>
      </c>
      <c r="B70" s="5">
        <v>0.1</v>
      </c>
      <c r="C70" s="5">
        <v>373.15</v>
      </c>
      <c r="D70" s="5">
        <v>21.31</v>
      </c>
    </row>
    <row r="71" spans="1:4" ht="15.75" thickBot="1" x14ac:dyDescent="0.3">
      <c r="A71" s="4">
        <v>0.96150000000000002</v>
      </c>
      <c r="B71" s="5">
        <v>0.05</v>
      </c>
      <c r="C71" s="5">
        <v>273.14999999999998</v>
      </c>
      <c r="D71" s="5">
        <v>1.9</v>
      </c>
    </row>
    <row r="72" spans="1:4" ht="15.75" thickBot="1" x14ac:dyDescent="0.3">
      <c r="A72" s="4">
        <v>0.95369999999999999</v>
      </c>
      <c r="B72" s="5">
        <v>0.05</v>
      </c>
      <c r="C72" s="5">
        <v>283.14999999999998</v>
      </c>
      <c r="D72" s="5">
        <v>2.44</v>
      </c>
    </row>
    <row r="73" spans="1:4" ht="15.75" thickBot="1" x14ac:dyDescent="0.3">
      <c r="A73" s="4">
        <v>0.94610000000000005</v>
      </c>
      <c r="B73" s="5">
        <v>0.05</v>
      </c>
      <c r="C73" s="5">
        <v>293.14999999999998</v>
      </c>
      <c r="D73" s="5">
        <v>3.08</v>
      </c>
    </row>
    <row r="74" spans="1:4" ht="15.75" thickBot="1" x14ac:dyDescent="0.3">
      <c r="A74" s="4">
        <v>0.9385</v>
      </c>
      <c r="B74" s="5">
        <v>0.05</v>
      </c>
      <c r="C74" s="5">
        <v>303.14999999999998</v>
      </c>
      <c r="D74" s="5">
        <v>3.82</v>
      </c>
    </row>
    <row r="75" spans="1:4" ht="15.75" thickBot="1" x14ac:dyDescent="0.3">
      <c r="A75" s="4">
        <v>0.93100000000000005</v>
      </c>
      <c r="B75" s="5">
        <v>0.05</v>
      </c>
      <c r="C75" s="5">
        <v>313.14999999999998</v>
      </c>
      <c r="D75" s="5">
        <v>4.67</v>
      </c>
    </row>
    <row r="76" spans="1:4" ht="15.75" thickBot="1" x14ac:dyDescent="0.3">
      <c r="A76" s="4">
        <v>0.92369999999999997</v>
      </c>
      <c r="B76" s="5">
        <v>0.05</v>
      </c>
      <c r="C76" s="5">
        <v>323.14999999999998</v>
      </c>
      <c r="D76" s="5">
        <v>5.63</v>
      </c>
    </row>
    <row r="77" spans="1:4" ht="15.75" thickBot="1" x14ac:dyDescent="0.3">
      <c r="A77" s="4">
        <v>0.91639999999999999</v>
      </c>
      <c r="B77" s="5">
        <v>0.05</v>
      </c>
      <c r="C77" s="5">
        <v>333.15</v>
      </c>
      <c r="D77" s="5">
        <v>6.7</v>
      </c>
    </row>
    <row r="78" spans="1:4" ht="15.75" thickBot="1" x14ac:dyDescent="0.3">
      <c r="A78" s="4">
        <v>0.90920000000000001</v>
      </c>
      <c r="B78" s="5">
        <v>0.05</v>
      </c>
      <c r="C78" s="5">
        <v>343.15</v>
      </c>
      <c r="D78" s="5">
        <v>7.88</v>
      </c>
    </row>
    <row r="79" spans="1:4" ht="15.75" thickBot="1" x14ac:dyDescent="0.3">
      <c r="A79" s="4">
        <v>0.9022</v>
      </c>
      <c r="B79" s="5">
        <v>0.05</v>
      </c>
      <c r="C79" s="5">
        <v>353.15</v>
      </c>
      <c r="D79" s="5">
        <v>9.17</v>
      </c>
    </row>
    <row r="80" spans="1:4" ht="15.75" thickBot="1" x14ac:dyDescent="0.3">
      <c r="A80" s="4">
        <v>0.8952</v>
      </c>
      <c r="B80" s="5">
        <v>0.05</v>
      </c>
      <c r="C80" s="5">
        <v>363.15</v>
      </c>
      <c r="D80" s="5">
        <v>10.59</v>
      </c>
    </row>
    <row r="81" spans="1:4" ht="15.75" thickBot="1" x14ac:dyDescent="0.3">
      <c r="A81" s="4">
        <v>0.88829999999999998</v>
      </c>
      <c r="B81" s="5">
        <v>0.05</v>
      </c>
      <c r="C81" s="5">
        <v>373.15</v>
      </c>
      <c r="D81" s="5">
        <v>12.11</v>
      </c>
    </row>
    <row r="82" spans="1:4" ht="15.75" thickBot="1" x14ac:dyDescent="0.3">
      <c r="A82" s="4">
        <v>0.98140000000000005</v>
      </c>
      <c r="B82" s="5">
        <v>0</v>
      </c>
      <c r="C82" s="5">
        <v>293.14999999999998</v>
      </c>
      <c r="D82" s="5">
        <v>0</v>
      </c>
    </row>
    <row r="83" spans="1:4" ht="15.75" thickBot="1" x14ac:dyDescent="0.3">
      <c r="A83" s="4">
        <v>0.97409999999999997</v>
      </c>
      <c r="B83" s="5">
        <v>0</v>
      </c>
      <c r="C83" s="5">
        <v>303.14999999999998</v>
      </c>
      <c r="D83" s="5">
        <v>0</v>
      </c>
    </row>
    <row r="84" spans="1:4" ht="15.75" thickBot="1" x14ac:dyDescent="0.3">
      <c r="A84" s="4">
        <v>0.96679999999999999</v>
      </c>
      <c r="B84" s="5">
        <v>0</v>
      </c>
      <c r="C84" s="5">
        <v>313.14999999999998</v>
      </c>
      <c r="D84" s="5">
        <v>0</v>
      </c>
    </row>
    <row r="85" spans="1:4" ht="15.75" thickBot="1" x14ac:dyDescent="0.3">
      <c r="A85" s="4">
        <v>0.95960000000000001</v>
      </c>
      <c r="B85" s="5">
        <v>0</v>
      </c>
      <c r="C85" s="5">
        <v>323.14999999999998</v>
      </c>
      <c r="D85" s="5">
        <v>0</v>
      </c>
    </row>
    <row r="86" spans="1:4" ht="15.75" thickBot="1" x14ac:dyDescent="0.3">
      <c r="A86" s="4">
        <v>0.95240000000000002</v>
      </c>
      <c r="B86" s="5">
        <v>0</v>
      </c>
      <c r="C86" s="5">
        <v>333.15</v>
      </c>
      <c r="D86" s="5">
        <v>0</v>
      </c>
    </row>
    <row r="87" spans="1:4" ht="15.75" thickBot="1" x14ac:dyDescent="0.3">
      <c r="A87" s="4">
        <v>0.94530000000000003</v>
      </c>
      <c r="B87" s="5">
        <v>0</v>
      </c>
      <c r="C87" s="5">
        <v>343.15</v>
      </c>
      <c r="D87" s="5">
        <v>0</v>
      </c>
    </row>
    <row r="88" spans="1:4" ht="15.75" thickBot="1" x14ac:dyDescent="0.3">
      <c r="A88" s="4">
        <v>0.93820000000000003</v>
      </c>
      <c r="B88" s="5">
        <v>0</v>
      </c>
      <c r="C88" s="5">
        <v>353.15</v>
      </c>
      <c r="D88" s="5">
        <v>0</v>
      </c>
    </row>
    <row r="89" spans="1:4" ht="15.75" thickBot="1" x14ac:dyDescent="0.3">
      <c r="A89" s="4">
        <v>0.93110000000000004</v>
      </c>
      <c r="B89" s="5">
        <v>0</v>
      </c>
      <c r="C89" s="5">
        <v>363.15</v>
      </c>
      <c r="D89" s="5">
        <v>0</v>
      </c>
    </row>
    <row r="90" spans="1:4" ht="15.75" thickBot="1" x14ac:dyDescent="0.3">
      <c r="A90" s="4">
        <v>0.92400000000000004</v>
      </c>
      <c r="B90" s="5">
        <v>0</v>
      </c>
      <c r="C90" s="5">
        <v>373.15</v>
      </c>
      <c r="D90" s="5">
        <v>0</v>
      </c>
    </row>
  </sheetData>
  <mergeCells count="3">
    <mergeCell ref="F36:F37"/>
    <mergeCell ref="H36:H37"/>
    <mergeCell ref="I36:I3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6"/>
  <sheetViews>
    <sheetView topLeftCell="F16" zoomScale="70" zoomScaleNormal="70" workbookViewId="0">
      <selection activeCell="AI45" sqref="AI45"/>
    </sheetView>
  </sheetViews>
  <sheetFormatPr defaultRowHeight="15" x14ac:dyDescent="0.25"/>
  <cols>
    <col min="1" max="1" width="9.7109375" customWidth="1"/>
    <col min="6" max="6" width="11.5703125" bestFit="1" customWidth="1"/>
    <col min="9" max="9" width="11.7109375" bestFit="1" customWidth="1"/>
    <col min="10" max="11" width="14" bestFit="1" customWidth="1"/>
    <col min="15" max="15" width="21.85546875" bestFit="1" customWidth="1"/>
    <col min="16" max="16" width="11" bestFit="1" customWidth="1"/>
    <col min="17" max="17" width="7.7109375" customWidth="1"/>
    <col min="18" max="18" width="11.5703125" customWidth="1"/>
    <col min="19" max="19" width="8.7109375" customWidth="1"/>
    <col min="20" max="20" width="7.28515625" customWidth="1"/>
    <col min="22" max="23" width="13" customWidth="1"/>
    <col min="24" max="24" width="10.140625" customWidth="1"/>
    <col min="25" max="26" width="10.7109375" customWidth="1"/>
    <col min="27" max="27" width="8" bestFit="1" customWidth="1"/>
    <col min="28" max="28" width="11.5703125" bestFit="1" customWidth="1"/>
    <col min="29" max="29" width="12.28515625" bestFit="1" customWidth="1"/>
    <col min="30" max="30" width="12" bestFit="1" customWidth="1"/>
    <col min="31" max="31" width="10.7109375" bestFit="1" customWidth="1"/>
  </cols>
  <sheetData>
    <row r="2" spans="9:35" x14ac:dyDescent="0.25">
      <c r="O2" s="54" t="s">
        <v>70</v>
      </c>
      <c r="P2" s="14"/>
    </row>
    <row r="3" spans="9:35" x14ac:dyDescent="0.25">
      <c r="O3" s="56" t="s">
        <v>21</v>
      </c>
      <c r="P3" s="43">
        <v>2.5</v>
      </c>
      <c r="Q3" t="s">
        <v>71</v>
      </c>
      <c r="R3">
        <f>P3/1000</f>
        <v>2.5000000000000001E-3</v>
      </c>
      <c r="S3" t="s">
        <v>92</v>
      </c>
      <c r="T3">
        <f>P3*1000</f>
        <v>2500</v>
      </c>
      <c r="U3" t="s">
        <v>83</v>
      </c>
    </row>
    <row r="4" spans="9:35" x14ac:dyDescent="0.25">
      <c r="O4" s="56" t="s">
        <v>40</v>
      </c>
      <c r="P4" s="44">
        <f>D10</f>
        <v>0</v>
      </c>
      <c r="Q4" t="s">
        <v>51</v>
      </c>
    </row>
    <row r="5" spans="9:35" x14ac:dyDescent="0.25">
      <c r="O5" s="56" t="s">
        <v>72</v>
      </c>
      <c r="P5" s="23">
        <f>P3*P4*1000</f>
        <v>0</v>
      </c>
    </row>
    <row r="6" spans="9:35" x14ac:dyDescent="0.25">
      <c r="O6" s="56" t="s">
        <v>86</v>
      </c>
      <c r="P6">
        <v>0.98</v>
      </c>
      <c r="Q6" t="s">
        <v>71</v>
      </c>
      <c r="R6">
        <f>P6/1000</f>
        <v>9.7999999999999997E-4</v>
      </c>
      <c r="S6" t="s">
        <v>92</v>
      </c>
    </row>
    <row r="7" spans="9:35" x14ac:dyDescent="0.25">
      <c r="O7" s="56" t="s">
        <v>87</v>
      </c>
      <c r="P7" s="43">
        <v>7</v>
      </c>
      <c r="Q7" t="s">
        <v>71</v>
      </c>
      <c r="R7">
        <f>P7/1000</f>
        <v>7.0000000000000001E-3</v>
      </c>
      <c r="S7" t="s">
        <v>92</v>
      </c>
    </row>
    <row r="10" spans="9:35" x14ac:dyDescent="0.25">
      <c r="I10" s="99"/>
      <c r="J10" s="99"/>
      <c r="K10" s="64"/>
      <c r="O10" s="15" t="s">
        <v>0</v>
      </c>
      <c r="P10" s="25" t="s">
        <v>2</v>
      </c>
      <c r="Q10" s="25" t="s">
        <v>3</v>
      </c>
      <c r="R10" s="25" t="s">
        <v>1</v>
      </c>
      <c r="S10" s="25" t="s">
        <v>4</v>
      </c>
      <c r="T10" s="25" t="s">
        <v>23</v>
      </c>
      <c r="U10" s="25" t="s">
        <v>82</v>
      </c>
      <c r="V10" s="25" t="s">
        <v>88</v>
      </c>
      <c r="W10" s="25" t="s">
        <v>85</v>
      </c>
      <c r="X10" s="25" t="s">
        <v>90</v>
      </c>
      <c r="Y10" s="25" t="s">
        <v>18</v>
      </c>
      <c r="Z10" s="25" t="s">
        <v>13</v>
      </c>
      <c r="AA10" s="42" t="s">
        <v>70</v>
      </c>
      <c r="AB10" s="42" t="s">
        <v>94</v>
      </c>
      <c r="AC10" s="25" t="s">
        <v>0</v>
      </c>
      <c r="AD10" s="25" t="s">
        <v>95</v>
      </c>
      <c r="AE10" s="25" t="s">
        <v>23</v>
      </c>
    </row>
    <row r="11" spans="9:35" x14ac:dyDescent="0.25">
      <c r="I11" s="99"/>
      <c r="J11" s="100"/>
      <c r="K11" s="64"/>
      <c r="P11" s="25" t="s">
        <v>19</v>
      </c>
      <c r="Q11" s="25" t="s">
        <v>19</v>
      </c>
      <c r="R11" s="25" t="s">
        <v>5</v>
      </c>
      <c r="S11" s="25" t="s">
        <v>6</v>
      </c>
      <c r="T11" s="25" t="s">
        <v>19</v>
      </c>
      <c r="U11" s="25" t="s">
        <v>19</v>
      </c>
      <c r="V11" s="25" t="s">
        <v>89</v>
      </c>
      <c r="W11" s="25" t="s">
        <v>74</v>
      </c>
      <c r="X11" s="25" t="s">
        <v>53</v>
      </c>
      <c r="Y11" s="35" t="s">
        <v>91</v>
      </c>
      <c r="Z11" s="35" t="s">
        <v>96</v>
      </c>
      <c r="AA11" s="25" t="s">
        <v>74</v>
      </c>
      <c r="AB11" s="25" t="s">
        <v>74</v>
      </c>
      <c r="AC11" s="25" t="s">
        <v>74</v>
      </c>
      <c r="AD11" s="25" t="s">
        <v>74</v>
      </c>
      <c r="AE11" s="25" t="s">
        <v>19</v>
      </c>
      <c r="AH11" s="14">
        <v>-30</v>
      </c>
      <c r="AI11" s="24">
        <v>45</v>
      </c>
    </row>
    <row r="12" spans="9:35" x14ac:dyDescent="0.25">
      <c r="I12" s="99"/>
      <c r="J12" s="100"/>
      <c r="K12" s="64"/>
      <c r="P12" s="14">
        <v>-30</v>
      </c>
      <c r="Q12" s="24">
        <v>17</v>
      </c>
      <c r="R12" s="23" t="e">
        <f ca="1">[4]!pd($O$10,P12)</f>
        <v>#NAME?</v>
      </c>
      <c r="S12" s="23">
        <v>10</v>
      </c>
      <c r="T12" s="14">
        <v>40</v>
      </c>
      <c r="U12" s="23">
        <f>P12+S12</f>
        <v>-20</v>
      </c>
      <c r="V12" s="23" t="e">
        <f ca="1">1/([4]!vtp($O$10,U12,R12))</f>
        <v>#NAME?</v>
      </c>
      <c r="W12" s="23" t="e">
        <f ca="1">V12*$R$7*1000</f>
        <v>#NAME?</v>
      </c>
      <c r="X12" s="24">
        <f>Example!L12</f>
        <v>0.94840648200600086</v>
      </c>
      <c r="Y12" s="24">
        <f>Example!D12</f>
        <v>3.5915795688294637E-2</v>
      </c>
      <c r="Z12" s="114">
        <f>Example!A12</f>
        <v>49.894665692220961</v>
      </c>
      <c r="AA12" s="16">
        <f>X12*$T$3</f>
        <v>2371.016205015002</v>
      </c>
      <c r="AB12" s="16">
        <f>$X$31*$T$3</f>
        <v>2463.9269228752455</v>
      </c>
      <c r="AC12" s="16">
        <f>AA12*Y12</f>
        <v>85.156933592954516</v>
      </c>
      <c r="AD12" s="16">
        <f>(Y12*AB12)/(1-Y12)</f>
        <v>91.790629446164218</v>
      </c>
      <c r="AE12" s="14">
        <v>40</v>
      </c>
      <c r="AH12" s="14">
        <v>-30</v>
      </c>
      <c r="AI12" s="24">
        <v>60</v>
      </c>
    </row>
    <row r="13" spans="9:35" x14ac:dyDescent="0.25">
      <c r="I13" s="99"/>
      <c r="J13" s="100"/>
      <c r="K13" s="64"/>
      <c r="O13" t="s">
        <v>24</v>
      </c>
      <c r="P13" s="14">
        <v>-11</v>
      </c>
      <c r="Q13" s="24">
        <v>17</v>
      </c>
      <c r="R13" s="23" t="e">
        <f ca="1">[4]!pd($O$10,P13)</f>
        <v>#NAME?</v>
      </c>
      <c r="S13" s="23">
        <v>10</v>
      </c>
      <c r="T13" s="14">
        <v>36</v>
      </c>
      <c r="U13" s="23">
        <f t="shared" ref="U13:U30" si="0">P13+S13</f>
        <v>-1</v>
      </c>
      <c r="V13" s="23" t="e">
        <f ca="1">1/([4]!vtp($O$10,U13,R13))</f>
        <v>#NAME?</v>
      </c>
      <c r="W13" s="23" t="e">
        <f t="shared" ref="W13:W30" ca="1" si="1">V13*$R$7*1000</f>
        <v>#NAME?</v>
      </c>
      <c r="X13" s="24">
        <f>Example!L13</f>
        <v>0.94274680204111483</v>
      </c>
      <c r="Y13" s="24">
        <f>Example!D13</f>
        <v>4.3949579367539342E-2</v>
      </c>
      <c r="Z13" s="114">
        <f>Example!A13</f>
        <v>42.954854066425661</v>
      </c>
      <c r="AA13" s="16">
        <f t="shared" ref="AA13:AA30" si="2">X13*$T$3</f>
        <v>2356.8670051027871</v>
      </c>
      <c r="AB13" s="16">
        <f t="shared" ref="AB13:AB30" si="3">$X$31*$T$3</f>
        <v>2463.9269228752455</v>
      </c>
      <c r="AC13" s="16">
        <f t="shared" ref="AC13:AC30" si="4">AA13*Y13</f>
        <v>103.5833134994997</v>
      </c>
      <c r="AD13" s="16">
        <f t="shared" ref="AD13:AD30" si="5">(Y13*AB13)/(1-Y13)</f>
        <v>113.26656995881655</v>
      </c>
      <c r="AE13" s="14">
        <v>36</v>
      </c>
      <c r="AH13" s="111">
        <v>-20</v>
      </c>
      <c r="AI13" s="112">
        <v>70</v>
      </c>
    </row>
    <row r="14" spans="9:35" x14ac:dyDescent="0.25">
      <c r="I14" s="99"/>
      <c r="J14" s="100"/>
      <c r="K14" s="64"/>
      <c r="P14" s="111">
        <v>25</v>
      </c>
      <c r="Q14" s="112">
        <v>40</v>
      </c>
      <c r="R14" s="113" t="e">
        <f ca="1">[4]!pd($O$10,P14)</f>
        <v>#NAME?</v>
      </c>
      <c r="S14" s="113">
        <v>10</v>
      </c>
      <c r="T14" s="111">
        <v>52</v>
      </c>
      <c r="U14" s="113">
        <f t="shared" si="0"/>
        <v>35</v>
      </c>
      <c r="V14" s="113" t="e">
        <f ca="1">1/([4]!vtp($O$10,U14,R14))</f>
        <v>#NAME?</v>
      </c>
      <c r="W14" s="113" t="e">
        <f ca="1">V14*$R$7*1000</f>
        <v>#NAME?</v>
      </c>
      <c r="X14" s="112">
        <f>Example!L14</f>
        <v>0.93567674897268194</v>
      </c>
      <c r="Y14" s="112">
        <f>Example!D14</f>
        <v>5.4048612432072526E-2</v>
      </c>
      <c r="Z14" s="115">
        <f>Example!A14</f>
        <v>35.766122238292233</v>
      </c>
      <c r="AA14" s="16">
        <f t="shared" si="2"/>
        <v>2339.1918724317047</v>
      </c>
      <c r="AB14" s="16">
        <f t="shared" si="3"/>
        <v>2463.9269228752455</v>
      </c>
      <c r="AC14" s="16">
        <f t="shared" si="4"/>
        <v>126.43007491731525</v>
      </c>
      <c r="AD14" s="16">
        <f t="shared" si="5"/>
        <v>140.78084039584994</v>
      </c>
      <c r="AE14" s="14">
        <v>52</v>
      </c>
      <c r="AH14" s="111">
        <v>-10</v>
      </c>
      <c r="AI14" s="112">
        <v>70</v>
      </c>
    </row>
    <row r="15" spans="9:35" x14ac:dyDescent="0.25">
      <c r="I15" s="99"/>
      <c r="J15" s="100"/>
      <c r="K15" s="64"/>
      <c r="P15" s="111">
        <v>25</v>
      </c>
      <c r="Q15" s="112">
        <v>40</v>
      </c>
      <c r="R15" s="113" t="e">
        <f ca="1">[4]!pd($O$10,P15)</f>
        <v>#NAME?</v>
      </c>
      <c r="S15" s="113">
        <v>10</v>
      </c>
      <c r="T15" s="111">
        <v>40</v>
      </c>
      <c r="U15" s="113">
        <f t="shared" si="0"/>
        <v>35</v>
      </c>
      <c r="V15" s="113" t="e">
        <f ca="1">1/([4]!vtp($O$10,U15,R15))</f>
        <v>#NAME?</v>
      </c>
      <c r="W15" s="113" t="e">
        <f t="shared" ca="1" si="1"/>
        <v>#NAME?</v>
      </c>
      <c r="X15" s="112">
        <f>Example!L15</f>
        <v>0.9484895693794293</v>
      </c>
      <c r="Y15" s="112">
        <f>Example!D15</f>
        <v>4.6506547326397252E-2</v>
      </c>
      <c r="Z15" s="115">
        <f>Example!A15</f>
        <v>63.248004523098082</v>
      </c>
      <c r="AA15" s="16">
        <f t="shared" si="2"/>
        <v>2371.2239234485733</v>
      </c>
      <c r="AB15" s="16">
        <f t="shared" si="3"/>
        <v>2463.9269228752455</v>
      </c>
      <c r="AC15" s="16">
        <f t="shared" si="4"/>
        <v>110.27743761734645</v>
      </c>
      <c r="AD15" s="16">
        <f t="shared" si="5"/>
        <v>120.17778803427993</v>
      </c>
      <c r="AE15" s="14">
        <v>40</v>
      </c>
      <c r="AH15" s="14"/>
      <c r="AI15" s="24"/>
    </row>
    <row r="16" spans="9:35" x14ac:dyDescent="0.25">
      <c r="I16" s="99"/>
      <c r="J16" s="100"/>
      <c r="K16" s="64"/>
      <c r="P16" s="14">
        <v>25</v>
      </c>
      <c r="Q16" s="24">
        <v>60</v>
      </c>
      <c r="R16" s="23" t="e">
        <f ca="1">[4]!pd($O$10,P16)</f>
        <v>#NAME?</v>
      </c>
      <c r="S16" s="23">
        <v>10</v>
      </c>
      <c r="T16" s="14">
        <v>55</v>
      </c>
      <c r="U16" s="23">
        <f t="shared" si="0"/>
        <v>35</v>
      </c>
      <c r="V16" s="23" t="e">
        <f ca="1">1/([4]!vtp($O$10,U16,R16))</f>
        <v>#NAME?</v>
      </c>
      <c r="W16" s="23" t="e">
        <f t="shared" ca="1" si="1"/>
        <v>#NAME?</v>
      </c>
      <c r="X16" s="24">
        <f>Example!L16</f>
        <v>0.94033820398175161</v>
      </c>
      <c r="Y16" s="24">
        <f>Example!D16</f>
        <v>5.8269789514773719E-2</v>
      </c>
      <c r="Z16" s="114">
        <f>Example!A16</f>
        <v>50.367972868847033</v>
      </c>
      <c r="AA16" s="16">
        <f t="shared" si="2"/>
        <v>2350.8455099543789</v>
      </c>
      <c r="AB16" s="16">
        <f t="shared" si="3"/>
        <v>2463.9269228752455</v>
      </c>
      <c r="AC16" s="16">
        <f t="shared" si="4"/>
        <v>136.98327304679253</v>
      </c>
      <c r="AD16" s="16">
        <f t="shared" si="5"/>
        <v>152.45608729250486</v>
      </c>
      <c r="AE16" s="14" t="s">
        <v>30</v>
      </c>
      <c r="AH16" s="14"/>
      <c r="AI16" s="24"/>
    </row>
    <row r="17" spans="1:35" x14ac:dyDescent="0.25">
      <c r="I17" s="99"/>
      <c r="J17" s="100"/>
      <c r="K17" s="64"/>
      <c r="P17" s="14">
        <v>15</v>
      </c>
      <c r="Q17" s="24">
        <v>70</v>
      </c>
      <c r="R17" s="23" t="e">
        <f ca="1">[4]!pd($O$10,P17)</f>
        <v>#NAME?</v>
      </c>
      <c r="S17" s="23">
        <v>10</v>
      </c>
      <c r="T17" s="14">
        <v>57</v>
      </c>
      <c r="U17" s="23">
        <f t="shared" si="0"/>
        <v>25</v>
      </c>
      <c r="V17" s="23" t="e">
        <f ca="1">1/([4]!vtp($O$10,U17,R17))</f>
        <v>#NAME?</v>
      </c>
      <c r="W17" s="23" t="e">
        <f t="shared" ca="1" si="1"/>
        <v>#NAME?</v>
      </c>
      <c r="X17" s="24">
        <f>Example!L17</f>
        <v>0.92972652289628233</v>
      </c>
      <c r="Y17" s="24">
        <f>Example!D17</f>
        <v>7.3734524757087416E-2</v>
      </c>
      <c r="Z17" s="114">
        <f>Example!A17</f>
        <v>37.833275782529583</v>
      </c>
      <c r="AA17" s="16">
        <f t="shared" si="2"/>
        <v>2324.316307240706</v>
      </c>
      <c r="AB17" s="16">
        <f t="shared" si="3"/>
        <v>2463.9269228752455</v>
      </c>
      <c r="AC17" s="16">
        <f t="shared" si="4"/>
        <v>171.38235829954183</v>
      </c>
      <c r="AD17" s="16">
        <f t="shared" si="5"/>
        <v>196.13867249748725</v>
      </c>
      <c r="AE17" s="14" t="s">
        <v>31</v>
      </c>
      <c r="AH17" s="14"/>
      <c r="AI17" s="24"/>
    </row>
    <row r="18" spans="1:35" x14ac:dyDescent="0.25">
      <c r="I18" s="99"/>
      <c r="J18" s="100"/>
      <c r="K18" s="64"/>
      <c r="P18" s="14">
        <v>-9</v>
      </c>
      <c r="Q18" s="24">
        <v>70</v>
      </c>
      <c r="R18" s="23" t="e">
        <f ca="1">[4]!pd($O$10,P18)</f>
        <v>#NAME?</v>
      </c>
      <c r="S18" s="23">
        <v>10</v>
      </c>
      <c r="T18" s="14">
        <v>59</v>
      </c>
      <c r="U18" s="23">
        <f t="shared" si="0"/>
        <v>1</v>
      </c>
      <c r="V18" s="23" t="e">
        <f ca="1">1/([4]!vtp($O$10,U18,R18))</f>
        <v>#NAME?</v>
      </c>
      <c r="W18" s="23" t="e">
        <f t="shared" ca="1" si="1"/>
        <v>#NAME?</v>
      </c>
      <c r="X18" s="24">
        <f>Example!L18</f>
        <v>0.94401251994272672</v>
      </c>
      <c r="Y18" s="24">
        <f>Example!D18</f>
        <v>6.4181403874117776E-2</v>
      </c>
      <c r="Z18" s="114">
        <f>Example!A18</f>
        <v>72.185715822816007</v>
      </c>
      <c r="AA18" s="16">
        <f t="shared" si="2"/>
        <v>2360.031299856817</v>
      </c>
      <c r="AB18" s="16">
        <f t="shared" si="3"/>
        <v>2463.9269228752455</v>
      </c>
      <c r="AC18" s="16">
        <f t="shared" si="4"/>
        <v>151.47012201166953</v>
      </c>
      <c r="AD18" s="16">
        <f t="shared" si="5"/>
        <v>168.98391377135692</v>
      </c>
      <c r="AE18" s="14" t="s">
        <v>32</v>
      </c>
      <c r="AH18" s="14"/>
      <c r="AI18" s="24"/>
    </row>
    <row r="19" spans="1:35" x14ac:dyDescent="0.25">
      <c r="A19" s="3"/>
      <c r="B19" s="3"/>
      <c r="C19" s="3"/>
      <c r="D19" s="3"/>
      <c r="E19" s="3"/>
      <c r="F19" s="3"/>
      <c r="G19" s="3"/>
      <c r="H19" s="3"/>
      <c r="I19" s="99"/>
      <c r="J19" s="100"/>
      <c r="K19" s="64"/>
      <c r="O19">
        <v>53</v>
      </c>
      <c r="P19" s="14">
        <v>-15</v>
      </c>
      <c r="Q19" s="24">
        <v>70</v>
      </c>
      <c r="R19" s="23" t="e">
        <f ca="1">[4]!pd($O$10,P19)</f>
        <v>#NAME?</v>
      </c>
      <c r="S19" s="23">
        <v>10</v>
      </c>
      <c r="T19" s="14">
        <v>53</v>
      </c>
      <c r="U19" s="23">
        <f t="shared" si="0"/>
        <v>-5</v>
      </c>
      <c r="V19" s="23" t="e">
        <f ca="1">1/([4]!vtp($O$10,U19,R19))</f>
        <v>#NAME?</v>
      </c>
      <c r="W19" s="23" t="e">
        <f t="shared" ca="1" si="1"/>
        <v>#NAME?</v>
      </c>
      <c r="X19" s="24">
        <f>Example!L19</f>
        <v>0.93095180532127664</v>
      </c>
      <c r="Y19" s="24">
        <f>Example!D19</f>
        <v>8.3508478323491425E-2</v>
      </c>
      <c r="Z19" s="114">
        <f>Example!A19</f>
        <v>49.587088428120886</v>
      </c>
      <c r="AA19" s="16">
        <f t="shared" si="2"/>
        <v>2327.3795133031917</v>
      </c>
      <c r="AB19" s="16">
        <f t="shared" si="3"/>
        <v>2463.9269228752455</v>
      </c>
      <c r="AC19" s="16">
        <f t="shared" si="4"/>
        <v>194.35592163721762</v>
      </c>
      <c r="AD19" s="16">
        <f t="shared" si="5"/>
        <v>224.50702833912354</v>
      </c>
      <c r="AE19" s="14" t="s">
        <v>7</v>
      </c>
      <c r="AH19" s="14"/>
      <c r="AI19" s="24"/>
    </row>
    <row r="20" spans="1:35" x14ac:dyDescent="0.25">
      <c r="A20" s="3"/>
      <c r="B20" s="3"/>
      <c r="C20" s="3"/>
      <c r="D20" s="3"/>
      <c r="E20" s="3"/>
      <c r="F20" s="3"/>
      <c r="G20" s="3"/>
      <c r="H20" s="3"/>
      <c r="O20">
        <v>53</v>
      </c>
      <c r="P20" s="14">
        <v>-20</v>
      </c>
      <c r="Q20" s="24">
        <v>70</v>
      </c>
      <c r="R20" s="23" t="e">
        <f ca="1">[4]!pd($O$10,P20)</f>
        <v>#NAME?</v>
      </c>
      <c r="S20" s="23">
        <v>10</v>
      </c>
      <c r="T20" s="14">
        <v>53</v>
      </c>
      <c r="U20" s="23">
        <f t="shared" si="0"/>
        <v>-10</v>
      </c>
      <c r="V20" s="23" t="e">
        <f ca="1">1/([4]!vtp($O$10,U20,R20))</f>
        <v>#NAME?</v>
      </c>
      <c r="W20" s="23" t="e">
        <f t="shared" ca="1" si="1"/>
        <v>#NAME?</v>
      </c>
      <c r="X20" s="24">
        <f>Example!L20</f>
        <v>0.91267914867751443</v>
      </c>
      <c r="Y20" s="24">
        <f>Example!D20</f>
        <v>0.11102456338518646</v>
      </c>
      <c r="Z20" s="114">
        <f>Example!A20</f>
        <v>30.321366528033796</v>
      </c>
      <c r="AA20" s="16">
        <f t="shared" si="2"/>
        <v>2281.6978716937861</v>
      </c>
      <c r="AB20" s="16">
        <f t="shared" si="3"/>
        <v>2463.9269228752455</v>
      </c>
      <c r="AC20" s="16">
        <f t="shared" si="4"/>
        <v>253.3245099817118</v>
      </c>
      <c r="AD20" s="16">
        <f t="shared" si="5"/>
        <v>307.72100055646428</v>
      </c>
      <c r="AE20" s="14" t="s">
        <v>7</v>
      </c>
      <c r="AH20" s="14"/>
      <c r="AI20" s="24"/>
    </row>
    <row r="21" spans="1:35" ht="15.75" x14ac:dyDescent="0.25">
      <c r="A21" s="3"/>
      <c r="B21" s="224"/>
      <c r="C21" s="97"/>
      <c r="D21" s="224"/>
      <c r="E21" s="224"/>
      <c r="F21" s="97"/>
      <c r="G21" s="3"/>
      <c r="H21" s="3"/>
      <c r="P21" s="14">
        <v>-30</v>
      </c>
      <c r="Q21" s="24">
        <v>65</v>
      </c>
      <c r="R21" s="23" t="e">
        <f ca="1">[4]!pd($O$10,P21)</f>
        <v>#NAME?</v>
      </c>
      <c r="S21" s="23">
        <v>10</v>
      </c>
      <c r="T21" s="14">
        <v>53</v>
      </c>
      <c r="U21" s="23">
        <f t="shared" si="0"/>
        <v>-20</v>
      </c>
      <c r="V21" s="23" t="e">
        <f ca="1">1/([4]!vtp($O$10,U21,R21))</f>
        <v>#NAME?</v>
      </c>
      <c r="W21" s="23" t="e">
        <f t="shared" ca="1" si="1"/>
        <v>#NAME?</v>
      </c>
      <c r="X21" s="24">
        <f>Example!L21</f>
        <v>0.94594345101297228</v>
      </c>
      <c r="Y21" s="24">
        <f>Example!D21</f>
        <v>2.8985359955491036E-2</v>
      </c>
      <c r="Z21" s="114">
        <f>Example!A21</f>
        <v>38.034716572172933</v>
      </c>
      <c r="AA21" s="16">
        <f t="shared" si="2"/>
        <v>2364.8586275324305</v>
      </c>
      <c r="AB21" s="16">
        <f t="shared" si="3"/>
        <v>2463.9269228752455</v>
      </c>
      <c r="AC21" s="16">
        <f t="shared" si="4"/>
        <v>68.546278562875997</v>
      </c>
      <c r="AD21" s="16">
        <f t="shared" si="5"/>
        <v>73.549672495453592</v>
      </c>
      <c r="AE21" s="14">
        <v>53</v>
      </c>
      <c r="AH21" s="14"/>
      <c r="AI21" s="24"/>
    </row>
    <row r="22" spans="1:35" ht="15.75" x14ac:dyDescent="0.25">
      <c r="A22" s="3"/>
      <c r="B22" s="224"/>
      <c r="C22" s="97"/>
      <c r="D22" s="224"/>
      <c r="E22" s="224"/>
      <c r="F22" s="97"/>
      <c r="G22" s="3"/>
      <c r="H22" s="3"/>
      <c r="P22" s="14">
        <v>-35</v>
      </c>
      <c r="Q22" s="24">
        <v>50</v>
      </c>
      <c r="R22" s="23" t="e">
        <f ca="1">[4]!pd($O$10,P22)</f>
        <v>#NAME?</v>
      </c>
      <c r="S22" s="23">
        <v>10</v>
      </c>
      <c r="T22" s="14">
        <v>53</v>
      </c>
      <c r="U22" s="23">
        <f t="shared" si="0"/>
        <v>-25</v>
      </c>
      <c r="V22" s="23" t="e">
        <f ca="1">1/([4]!vtp($O$10,U22,R22))</f>
        <v>#NAME?</v>
      </c>
      <c r="W22" s="23" t="e">
        <f t="shared" ca="1" si="1"/>
        <v>#NAME?</v>
      </c>
      <c r="X22" s="24">
        <f>Example!L22</f>
        <v>0.94173557880886327</v>
      </c>
      <c r="Y22" s="24">
        <f>Example!D22</f>
        <v>3.4891247864576258E-2</v>
      </c>
      <c r="Z22" s="114">
        <f>Example!A22</f>
        <v>34.261586244494161</v>
      </c>
      <c r="AA22" s="16">
        <f t="shared" si="2"/>
        <v>2354.3389470221582</v>
      </c>
      <c r="AB22" s="16">
        <f t="shared" si="3"/>
        <v>2463.9269228752455</v>
      </c>
      <c r="AC22" s="16">
        <f t="shared" si="4"/>
        <v>82.145823757775588</v>
      </c>
      <c r="AD22" s="16">
        <f t="shared" si="5"/>
        <v>89.077510483688627</v>
      </c>
      <c r="AE22" s="14">
        <v>53</v>
      </c>
      <c r="AH22" s="14"/>
      <c r="AI22" s="24"/>
    </row>
    <row r="23" spans="1:35" ht="15.75" x14ac:dyDescent="0.25">
      <c r="A23" s="3"/>
      <c r="B23" s="97"/>
      <c r="C23" s="97"/>
      <c r="D23" s="97"/>
      <c r="E23" s="97"/>
      <c r="F23" s="98"/>
      <c r="G23" s="3"/>
      <c r="H23" s="3"/>
      <c r="P23" s="14">
        <v>-30</v>
      </c>
      <c r="Q23" s="24">
        <v>45</v>
      </c>
      <c r="R23" s="23" t="e">
        <f ca="1">[4]!pd($O$10,P23)</f>
        <v>#NAME?</v>
      </c>
      <c r="S23" s="23">
        <v>10</v>
      </c>
      <c r="T23" s="14">
        <v>53</v>
      </c>
      <c r="U23" s="23">
        <f t="shared" si="0"/>
        <v>-20</v>
      </c>
      <c r="V23" s="23" t="e">
        <f ca="1">1/([4]!vtp($O$10,U23,R23))</f>
        <v>#NAME?</v>
      </c>
      <c r="W23" s="23" t="e">
        <f t="shared" ca="1" si="1"/>
        <v>#NAME?</v>
      </c>
      <c r="X23" s="24">
        <f>Example!L23</f>
        <v>0.93662032343662549</v>
      </c>
      <c r="Y23" s="24">
        <f>Example!D23</f>
        <v>4.2101781835726694E-2</v>
      </c>
      <c r="Z23" s="114">
        <f>Example!A23</f>
        <v>30.227718174222922</v>
      </c>
      <c r="AA23" s="16">
        <f t="shared" si="2"/>
        <v>2341.5508085915635</v>
      </c>
      <c r="AB23" s="16">
        <f t="shared" si="3"/>
        <v>2463.9269228752455</v>
      </c>
      <c r="AC23" s="16">
        <f t="shared" si="4"/>
        <v>98.583461300591438</v>
      </c>
      <c r="AD23" s="16">
        <f t="shared" si="5"/>
        <v>108.29513177805805</v>
      </c>
      <c r="AE23" s="14">
        <v>53</v>
      </c>
      <c r="AH23" s="14"/>
      <c r="AI23" s="24"/>
    </row>
    <row r="24" spans="1:35" ht="15.75" x14ac:dyDescent="0.25">
      <c r="A24" s="3"/>
      <c r="B24" s="97"/>
      <c r="C24" s="97"/>
      <c r="D24" s="97"/>
      <c r="E24" s="97"/>
      <c r="F24" s="98"/>
      <c r="G24" s="3"/>
      <c r="H24" s="3"/>
      <c r="P24" s="14">
        <v>-30</v>
      </c>
      <c r="Q24" s="24">
        <v>35</v>
      </c>
      <c r="R24" s="23" t="e">
        <f ca="1">[4]!pd($O$10,P24)</f>
        <v>#NAME?</v>
      </c>
      <c r="S24" s="23">
        <v>10</v>
      </c>
      <c r="T24" s="14">
        <v>47</v>
      </c>
      <c r="U24" s="23">
        <f t="shared" si="0"/>
        <v>-20</v>
      </c>
      <c r="V24" s="23" t="e">
        <f ca="1">1/([4]!vtp($O$10,U24,R24))</f>
        <v>#NAME?</v>
      </c>
      <c r="W24" s="23" t="e">
        <f t="shared" ca="1" si="1"/>
        <v>#NAME?</v>
      </c>
      <c r="X24" s="24">
        <f>Example!L24</f>
        <v>0.98557076915009822</v>
      </c>
      <c r="Y24" s="24">
        <f>Example!D24</f>
        <v>1.5005905554972734E-2</v>
      </c>
      <c r="Z24" s="114">
        <f>Example!A24</f>
        <v>37.563980687090307</v>
      </c>
      <c r="AA24" s="16">
        <f t="shared" si="2"/>
        <v>2463.9269228752455</v>
      </c>
      <c r="AB24" s="16">
        <f t="shared" si="3"/>
        <v>2463.9269228752455</v>
      </c>
      <c r="AC24" s="16">
        <f t="shared" si="4"/>
        <v>36.973454699020522</v>
      </c>
      <c r="AD24" s="16">
        <f t="shared" si="5"/>
        <v>37.536727283479181</v>
      </c>
      <c r="AE24" s="14">
        <v>47</v>
      </c>
      <c r="AH24" s="14"/>
      <c r="AI24" s="24"/>
    </row>
    <row r="25" spans="1:35" ht="15.75" x14ac:dyDescent="0.25">
      <c r="A25" s="3"/>
      <c r="B25" s="97"/>
      <c r="C25" s="97"/>
      <c r="D25" s="97"/>
      <c r="E25" s="97"/>
      <c r="F25" s="98"/>
      <c r="G25" s="3"/>
      <c r="H25" s="3"/>
      <c r="O25" t="s">
        <v>25</v>
      </c>
      <c r="P25" s="14">
        <v>-18</v>
      </c>
      <c r="Q25" s="24">
        <v>62</v>
      </c>
      <c r="R25" s="23" t="e">
        <f ca="1">[4]!pd($O$10,P25)</f>
        <v>#NAME?</v>
      </c>
      <c r="S25" s="23">
        <v>10</v>
      </c>
      <c r="T25" s="14">
        <v>52</v>
      </c>
      <c r="U25" s="23">
        <f t="shared" si="0"/>
        <v>-8</v>
      </c>
      <c r="V25" s="23" t="e">
        <f ca="1">1/([4]!vtp($O$10,U25,R25))</f>
        <v>#NAME?</v>
      </c>
      <c r="W25" s="23" t="e">
        <f t="shared" ca="1" si="1"/>
        <v>#NAME?</v>
      </c>
      <c r="X25" s="24">
        <f>Example!L25</f>
        <v>0.98133164704588316</v>
      </c>
      <c r="Y25" s="24">
        <f>Example!D25</f>
        <v>2.1096426113906417E-2</v>
      </c>
      <c r="Z25" s="114">
        <f>Example!A25</f>
        <v>28.420371751368311</v>
      </c>
      <c r="AA25" s="16">
        <f t="shared" si="2"/>
        <v>2453.3291176147077</v>
      </c>
      <c r="AB25" s="16">
        <f t="shared" si="3"/>
        <v>2463.9269228752455</v>
      </c>
      <c r="AC25" s="16">
        <f t="shared" si="4"/>
        <v>51.756476462853904</v>
      </c>
      <c r="AD25" s="16">
        <f t="shared" si="5"/>
        <v>53.10027837793028</v>
      </c>
      <c r="AE25" s="14" t="s">
        <v>33</v>
      </c>
      <c r="AH25" s="14"/>
      <c r="AI25" s="24"/>
    </row>
    <row r="26" spans="1:35" ht="15.75" x14ac:dyDescent="0.25">
      <c r="A26" s="3"/>
      <c r="B26" s="97"/>
      <c r="C26" s="97"/>
      <c r="D26" s="97"/>
      <c r="E26" s="97"/>
      <c r="F26" s="98"/>
      <c r="G26" s="3"/>
      <c r="H26" s="3"/>
      <c r="O26" t="s">
        <v>26</v>
      </c>
      <c r="P26" s="14">
        <v>-18</v>
      </c>
      <c r="Q26" s="24">
        <v>58</v>
      </c>
      <c r="R26" s="23" t="e">
        <f ca="1">[4]!pd($O$10,P26)</f>
        <v>#NAME?</v>
      </c>
      <c r="S26" s="23">
        <v>10</v>
      </c>
      <c r="T26" s="14">
        <v>52</v>
      </c>
      <c r="U26" s="23">
        <f t="shared" si="0"/>
        <v>-8</v>
      </c>
      <c r="V26" s="23" t="e">
        <f ca="1">1/([4]!vtp($O$10,U26,R26))</f>
        <v>#NAME?</v>
      </c>
      <c r="W26" s="23" t="e">
        <f t="shared" ca="1" si="1"/>
        <v>#NAME?</v>
      </c>
      <c r="X26" s="24">
        <f>Example!L26</f>
        <v>0.98133160986352252</v>
      </c>
      <c r="Y26" s="24">
        <f>Example!D26</f>
        <v>2.1096479651136393E-2</v>
      </c>
      <c r="Z26" s="114">
        <f>Example!A26</f>
        <v>28.420456601995689</v>
      </c>
      <c r="AA26" s="16">
        <f t="shared" si="2"/>
        <v>2453.3290246588062</v>
      </c>
      <c r="AB26" s="16">
        <f t="shared" si="3"/>
        <v>2463.9269228752455</v>
      </c>
      <c r="AC26" s="16">
        <f t="shared" si="4"/>
        <v>51.756605846256797</v>
      </c>
      <c r="AD26" s="16">
        <f t="shared" si="5"/>
        <v>53.100416036710058</v>
      </c>
      <c r="AE26" s="14" t="s">
        <v>33</v>
      </c>
      <c r="AH26" s="14"/>
      <c r="AI26" s="24"/>
    </row>
    <row r="27" spans="1:35" ht="15.75" x14ac:dyDescent="0.25">
      <c r="A27" s="3"/>
      <c r="B27" s="97"/>
      <c r="C27" s="97"/>
      <c r="D27" s="97"/>
      <c r="E27" s="97"/>
      <c r="F27" s="98"/>
      <c r="G27" s="3"/>
      <c r="H27" s="3"/>
      <c r="O27" t="s">
        <v>27</v>
      </c>
      <c r="P27" s="14">
        <v>-5</v>
      </c>
      <c r="Q27" s="24">
        <v>43</v>
      </c>
      <c r="R27" s="23" t="e">
        <f ca="1">[4]!pd($O$10,P27)</f>
        <v>#NAME?</v>
      </c>
      <c r="S27" s="23">
        <v>10</v>
      </c>
      <c r="T27" s="14">
        <v>41</v>
      </c>
      <c r="U27" s="23">
        <f t="shared" si="0"/>
        <v>5</v>
      </c>
      <c r="V27" s="23" t="e">
        <f ca="1">1/([4]!vtp($O$10,U27,R27))</f>
        <v>#NAME?</v>
      </c>
      <c r="W27" s="23" t="e">
        <f t="shared" ca="1" si="1"/>
        <v>#NAME?</v>
      </c>
      <c r="X27" s="24">
        <f>Example!L27</f>
        <v>0.9674921094463248</v>
      </c>
      <c r="Y27" s="24">
        <f>Example!D27</f>
        <v>4.1166736021907707E-2</v>
      </c>
      <c r="Z27" s="114">
        <f>Example!A27</f>
        <v>29.631659818890377</v>
      </c>
      <c r="AA27" s="16">
        <f t="shared" si="2"/>
        <v>2418.7302736158122</v>
      </c>
      <c r="AB27" s="16">
        <f t="shared" si="3"/>
        <v>2463.9269228752455</v>
      </c>
      <c r="AC27" s="16">
        <f t="shared" si="4"/>
        <v>99.571230682138733</v>
      </c>
      <c r="AD27" s="16">
        <f t="shared" si="5"/>
        <v>105.78672332502028</v>
      </c>
      <c r="AE27" s="14" t="s">
        <v>34</v>
      </c>
      <c r="AH27" s="14"/>
      <c r="AI27" s="24"/>
    </row>
    <row r="28" spans="1:35" ht="15.75" x14ac:dyDescent="0.25">
      <c r="A28" s="3"/>
      <c r="B28" s="97"/>
      <c r="C28" s="97"/>
      <c r="D28" s="97"/>
      <c r="E28" s="97"/>
      <c r="F28" s="98"/>
      <c r="G28" s="3"/>
      <c r="H28" s="3"/>
      <c r="O28" t="s">
        <v>28</v>
      </c>
      <c r="P28" s="14">
        <v>0</v>
      </c>
      <c r="Q28" s="24">
        <v>56</v>
      </c>
      <c r="R28" s="23" t="e">
        <f ca="1">[4]!pd($O$10,P28)</f>
        <v>#NAME?</v>
      </c>
      <c r="S28" s="23">
        <v>10</v>
      </c>
      <c r="T28" s="14">
        <v>50</v>
      </c>
      <c r="U28" s="23">
        <f t="shared" si="0"/>
        <v>10</v>
      </c>
      <c r="V28" s="23" t="e">
        <f ca="1">1/([4]!vtp($O$10,U28,R28))</f>
        <v>#NAME?</v>
      </c>
      <c r="W28" s="23" t="e">
        <f t="shared" ca="1" si="1"/>
        <v>#NAME?</v>
      </c>
      <c r="X28" s="24">
        <f>Example!L28</f>
        <v>0.9677609223544269</v>
      </c>
      <c r="Y28" s="24">
        <f>Example!D28</f>
        <v>4.0774129865342491E-2</v>
      </c>
      <c r="Z28" s="114">
        <f>Example!A28</f>
        <v>21.987020887980933</v>
      </c>
      <c r="AA28" s="16">
        <f t="shared" si="2"/>
        <v>2419.4023058860671</v>
      </c>
      <c r="AB28" s="16">
        <f t="shared" si="3"/>
        <v>2463.9269228752455</v>
      </c>
      <c r="AC28" s="16">
        <f t="shared" si="4"/>
        <v>98.649023816707583</v>
      </c>
      <c r="AD28" s="16">
        <f t="shared" si="5"/>
        <v>104.73495290314223</v>
      </c>
      <c r="AE28" s="14" t="s">
        <v>35</v>
      </c>
      <c r="AH28" s="14"/>
      <c r="AI28" s="24"/>
    </row>
    <row r="29" spans="1:35" ht="15.75" x14ac:dyDescent="0.25">
      <c r="A29" s="3"/>
      <c r="B29" s="97"/>
      <c r="C29" s="97"/>
      <c r="D29" s="97"/>
      <c r="E29" s="97"/>
      <c r="F29" s="98"/>
      <c r="G29" s="3"/>
      <c r="H29" s="3"/>
      <c r="O29" t="s">
        <v>29</v>
      </c>
      <c r="P29" s="14">
        <v>-20</v>
      </c>
      <c r="Q29" s="24">
        <v>57</v>
      </c>
      <c r="R29" s="23" t="e">
        <f ca="1">[4]!pd($O$10,P29)</f>
        <v>#NAME?</v>
      </c>
      <c r="S29" s="23">
        <v>10</v>
      </c>
      <c r="T29" s="14">
        <v>50</v>
      </c>
      <c r="U29" s="23">
        <f t="shared" si="0"/>
        <v>-10</v>
      </c>
      <c r="V29" s="23" t="e">
        <f ca="1">1/([4]!vtp($O$10,U29,R29))</f>
        <v>#NAME?</v>
      </c>
      <c r="W29" s="23" t="e">
        <f t="shared" ca="1" si="1"/>
        <v>#NAME?</v>
      </c>
      <c r="X29" s="24">
        <f>Example!L29</f>
        <v>0.98186602861680072</v>
      </c>
      <c r="Y29" s="24">
        <f>Example!D29</f>
        <v>2.03272044373436E-2</v>
      </c>
      <c r="Z29" s="114">
        <f>Example!A29</f>
        <v>30.816001947400682</v>
      </c>
      <c r="AA29" s="16">
        <f t="shared" si="2"/>
        <v>2454.6650715420019</v>
      </c>
      <c r="AB29" s="16">
        <f t="shared" si="3"/>
        <v>2463.9269228752455</v>
      </c>
      <c r="AC29" s="16">
        <f t="shared" si="4"/>
        <v>49.896478734440926</v>
      </c>
      <c r="AD29" s="16">
        <f t="shared" si="5"/>
        <v>51.123953330963765</v>
      </c>
      <c r="AE29" s="14" t="s">
        <v>36</v>
      </c>
      <c r="AH29" s="14"/>
      <c r="AI29" s="24"/>
    </row>
    <row r="30" spans="1:35" x14ac:dyDescent="0.25">
      <c r="A30" s="3"/>
      <c r="B30" s="3"/>
      <c r="C30" s="3"/>
      <c r="D30" s="3"/>
      <c r="E30" s="3"/>
      <c r="F30" s="3"/>
      <c r="G30" s="3"/>
      <c r="H30" s="3"/>
      <c r="O30" t="s">
        <v>29</v>
      </c>
      <c r="P30" s="14">
        <v>7</v>
      </c>
      <c r="Q30" s="24">
        <v>30</v>
      </c>
      <c r="R30" s="23" t="e">
        <f ca="1">[4]!pd($O$10,P30)</f>
        <v>#NAME?</v>
      </c>
      <c r="S30" s="23">
        <v>10</v>
      </c>
      <c r="T30" s="14">
        <v>42</v>
      </c>
      <c r="U30" s="23">
        <f t="shared" si="0"/>
        <v>17</v>
      </c>
      <c r="V30" s="23" t="e">
        <f ca="1">1/([4]!vtp($O$10,U30,R30))</f>
        <v>#NAME?</v>
      </c>
      <c r="W30" s="23" t="e">
        <f t="shared" ca="1" si="1"/>
        <v>#NAME?</v>
      </c>
      <c r="X30" s="24">
        <f>Example!L30</f>
        <v>0.95223178991578983</v>
      </c>
      <c r="Y30" s="24">
        <f>Example!D30</f>
        <v>6.3640241616931603E-2</v>
      </c>
      <c r="Z30" s="114">
        <f>Example!A30</f>
        <v>19.747777602904364</v>
      </c>
      <c r="AA30" s="16">
        <f t="shared" si="2"/>
        <v>2380.5794747894747</v>
      </c>
      <c r="AB30" s="16">
        <f t="shared" si="3"/>
        <v>2463.9269228752455</v>
      </c>
      <c r="AC30" s="16">
        <f t="shared" si="4"/>
        <v>151.50065296391031</v>
      </c>
      <c r="AD30" s="16">
        <f t="shared" si="5"/>
        <v>167.46224225720511</v>
      </c>
      <c r="AE30" s="14" t="s">
        <v>37</v>
      </c>
    </row>
    <row r="31" spans="1:35" x14ac:dyDescent="0.25">
      <c r="A31" s="3"/>
      <c r="B31" s="3"/>
      <c r="C31" s="3"/>
      <c r="D31" s="3"/>
      <c r="E31" s="3"/>
      <c r="F31" s="3"/>
      <c r="G31" s="3"/>
      <c r="H31" s="3"/>
      <c r="W31" s="101" t="s">
        <v>93</v>
      </c>
      <c r="X31" s="102">
        <f>MAX(X12:X30)</f>
        <v>0.98557076915009822</v>
      </c>
    </row>
    <row r="32" spans="1:35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</sheetData>
  <mergeCells count="3">
    <mergeCell ref="B21:B22"/>
    <mergeCell ref="D21:D22"/>
    <mergeCell ref="E21:E2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6"/>
  <sheetViews>
    <sheetView topLeftCell="A49" zoomScale="70" zoomScaleNormal="70" workbookViewId="0">
      <selection activeCell="Z82" sqref="Z82"/>
    </sheetView>
  </sheetViews>
  <sheetFormatPr defaultRowHeight="15" x14ac:dyDescent="0.25"/>
  <cols>
    <col min="1" max="1" width="9.7109375" customWidth="1"/>
    <col min="6" max="6" width="11.5703125" bestFit="1" customWidth="1"/>
    <col min="9" max="9" width="11.7109375" bestFit="1" customWidth="1"/>
    <col min="10" max="11" width="14" bestFit="1" customWidth="1"/>
    <col min="15" max="15" width="21.85546875" bestFit="1" customWidth="1"/>
    <col min="16" max="16" width="11" bestFit="1" customWidth="1"/>
    <col min="17" max="17" width="7.7109375" customWidth="1"/>
    <col min="18" max="18" width="11.5703125" customWidth="1"/>
    <col min="19" max="19" width="8.7109375" customWidth="1"/>
    <col min="20" max="20" width="7.28515625" customWidth="1"/>
    <col min="22" max="23" width="13" customWidth="1"/>
    <col min="24" max="24" width="10.140625" customWidth="1"/>
    <col min="25" max="26" width="10.7109375" customWidth="1"/>
    <col min="27" max="27" width="8" bestFit="1" customWidth="1"/>
    <col min="28" max="28" width="11.5703125" bestFit="1" customWidth="1"/>
    <col min="29" max="29" width="12.28515625" bestFit="1" customWidth="1"/>
    <col min="30" max="30" width="12" bestFit="1" customWidth="1"/>
    <col min="31" max="31" width="10.7109375" bestFit="1" customWidth="1"/>
  </cols>
  <sheetData>
    <row r="2" spans="9:31" x14ac:dyDescent="0.25">
      <c r="O2" s="54" t="s">
        <v>70</v>
      </c>
      <c r="P2" s="14"/>
    </row>
    <row r="3" spans="9:31" x14ac:dyDescent="0.25">
      <c r="O3" s="56" t="s">
        <v>21</v>
      </c>
      <c r="P3" s="43">
        <v>1.5</v>
      </c>
      <c r="Q3" t="s">
        <v>71</v>
      </c>
      <c r="R3">
        <f>P3/1000</f>
        <v>1.5E-3</v>
      </c>
      <c r="S3" t="s">
        <v>92</v>
      </c>
      <c r="T3">
        <f>P3*1000</f>
        <v>1500</v>
      </c>
      <c r="U3" t="s">
        <v>83</v>
      </c>
    </row>
    <row r="4" spans="9:31" x14ac:dyDescent="0.25">
      <c r="O4" s="56" t="s">
        <v>40</v>
      </c>
      <c r="P4" s="44">
        <f>D10</f>
        <v>0</v>
      </c>
      <c r="Q4" t="s">
        <v>51</v>
      </c>
    </row>
    <row r="5" spans="9:31" x14ac:dyDescent="0.25">
      <c r="O5" s="56" t="s">
        <v>72</v>
      </c>
      <c r="P5" s="23">
        <f>P3*P4*1000</f>
        <v>0</v>
      </c>
    </row>
    <row r="6" spans="9:31" x14ac:dyDescent="0.25">
      <c r="O6" s="56" t="s">
        <v>86</v>
      </c>
      <c r="P6">
        <v>0.98</v>
      </c>
      <c r="Q6" t="s">
        <v>71</v>
      </c>
      <c r="R6">
        <f>P6/1000</f>
        <v>9.7999999999999997E-4</v>
      </c>
      <c r="S6" t="s">
        <v>92</v>
      </c>
    </row>
    <row r="7" spans="9:31" x14ac:dyDescent="0.25">
      <c r="O7" s="56" t="s">
        <v>87</v>
      </c>
      <c r="P7" s="43">
        <v>7</v>
      </c>
      <c r="Q7" t="s">
        <v>71</v>
      </c>
      <c r="R7">
        <f>P7/1000</f>
        <v>7.0000000000000001E-3</v>
      </c>
      <c r="S7" t="s">
        <v>92</v>
      </c>
    </row>
    <row r="10" spans="9:31" x14ac:dyDescent="0.25">
      <c r="I10" s="99"/>
      <c r="J10" s="99"/>
      <c r="K10" s="64"/>
      <c r="O10" s="15" t="s">
        <v>0</v>
      </c>
      <c r="P10" s="25" t="s">
        <v>2</v>
      </c>
      <c r="Q10" s="25" t="s">
        <v>3</v>
      </c>
      <c r="R10" s="25" t="s">
        <v>1</v>
      </c>
      <c r="S10" s="25" t="s">
        <v>4</v>
      </c>
      <c r="T10" s="25" t="s">
        <v>23</v>
      </c>
      <c r="U10" s="25" t="s">
        <v>82</v>
      </c>
      <c r="V10" s="25" t="s">
        <v>88</v>
      </c>
      <c r="W10" s="25" t="s">
        <v>85</v>
      </c>
      <c r="X10" s="25" t="s">
        <v>90</v>
      </c>
      <c r="Y10" s="25" t="s">
        <v>18</v>
      </c>
      <c r="Z10" s="25" t="s">
        <v>13</v>
      </c>
      <c r="AA10" s="42" t="s">
        <v>70</v>
      </c>
      <c r="AB10" s="42" t="s">
        <v>94</v>
      </c>
      <c r="AC10" s="25" t="s">
        <v>0</v>
      </c>
      <c r="AD10" s="25" t="s">
        <v>95</v>
      </c>
      <c r="AE10" s="25" t="s">
        <v>23</v>
      </c>
    </row>
    <row r="11" spans="9:31" x14ac:dyDescent="0.25">
      <c r="I11" s="99"/>
      <c r="J11" s="100"/>
      <c r="K11" s="64"/>
      <c r="P11" s="25" t="s">
        <v>19</v>
      </c>
      <c r="Q11" s="25" t="s">
        <v>19</v>
      </c>
      <c r="R11" s="25" t="s">
        <v>5</v>
      </c>
      <c r="S11" s="25" t="s">
        <v>6</v>
      </c>
      <c r="T11" s="25" t="s">
        <v>19</v>
      </c>
      <c r="U11" s="25" t="s">
        <v>19</v>
      </c>
      <c r="V11" s="25" t="s">
        <v>89</v>
      </c>
      <c r="W11" s="25" t="s">
        <v>74</v>
      </c>
      <c r="X11" s="25" t="s">
        <v>53</v>
      </c>
      <c r="Y11" s="35" t="s">
        <v>91</v>
      </c>
      <c r="Z11" s="35" t="s">
        <v>96</v>
      </c>
      <c r="AA11" s="25" t="s">
        <v>74</v>
      </c>
      <c r="AB11" s="25" t="s">
        <v>74</v>
      </c>
      <c r="AC11" s="25" t="s">
        <v>74</v>
      </c>
      <c r="AD11" s="25" t="s">
        <v>74</v>
      </c>
      <c r="AE11" s="25" t="s">
        <v>19</v>
      </c>
    </row>
    <row r="12" spans="9:31" x14ac:dyDescent="0.25">
      <c r="I12" s="99"/>
      <c r="J12" s="100"/>
      <c r="K12" s="64"/>
      <c r="P12" s="14">
        <v>-30</v>
      </c>
      <c r="Q12" s="24">
        <v>17</v>
      </c>
      <c r="R12" s="23" t="e">
        <f ca="1">[4]!pd($O$10,P12)</f>
        <v>#NAME?</v>
      </c>
      <c r="S12" s="23">
        <v>10</v>
      </c>
      <c r="T12" s="14">
        <v>40</v>
      </c>
      <c r="U12" s="23">
        <f>P12+S12</f>
        <v>-20</v>
      </c>
      <c r="V12" s="23" t="e">
        <f ca="1">1/([4]!vtp($O$10,U12,R12))</f>
        <v>#NAME?</v>
      </c>
      <c r="W12" s="23" t="e">
        <f ca="1">V12*$R$7*1000</f>
        <v>#NAME?</v>
      </c>
      <c r="X12" s="24">
        <f>Example!L12</f>
        <v>0.94840648200600086</v>
      </c>
      <c r="Y12" s="24">
        <f>Example!D12</f>
        <v>3.5915795688294637E-2</v>
      </c>
      <c r="Z12" s="114">
        <f>Example!A12</f>
        <v>49.894665692220961</v>
      </c>
      <c r="AA12" s="16">
        <f>X12*$T$3</f>
        <v>1422.6097230090013</v>
      </c>
      <c r="AB12" s="16">
        <f>$X$31*$T$3</f>
        <v>1478.3561537251474</v>
      </c>
      <c r="AC12" s="16">
        <f>AA12*Y12</f>
        <v>51.09416015577272</v>
      </c>
      <c r="AD12" s="16">
        <f>(Y12*AB12)/(1-Y12)</f>
        <v>55.074377667698528</v>
      </c>
      <c r="AE12" s="14">
        <v>40</v>
      </c>
    </row>
    <row r="13" spans="9:31" x14ac:dyDescent="0.25">
      <c r="I13" s="99"/>
      <c r="J13" s="100"/>
      <c r="K13" s="64"/>
      <c r="O13" t="s">
        <v>24</v>
      </c>
      <c r="P13" s="14">
        <v>-11</v>
      </c>
      <c r="Q13" s="24">
        <v>17</v>
      </c>
      <c r="R13" s="23" t="e">
        <f ca="1">[4]!pd($O$10,P13)</f>
        <v>#NAME?</v>
      </c>
      <c r="S13" s="23">
        <v>10</v>
      </c>
      <c r="T13" s="14">
        <v>36</v>
      </c>
      <c r="U13" s="23">
        <f t="shared" ref="U13:U30" si="0">P13+S13</f>
        <v>-1</v>
      </c>
      <c r="V13" s="23" t="e">
        <f ca="1">1/([4]!vtp($O$10,U13,R13))</f>
        <v>#NAME?</v>
      </c>
      <c r="W13" s="23" t="e">
        <f t="shared" ref="W13:W30" ca="1" si="1">V13*$R$7*1000</f>
        <v>#NAME?</v>
      </c>
      <c r="X13" s="24">
        <f>Example!L13</f>
        <v>0.94274680204111483</v>
      </c>
      <c r="Y13" s="24">
        <f>Example!D13</f>
        <v>4.3949579367539342E-2</v>
      </c>
      <c r="Z13" s="114">
        <f>Example!A13</f>
        <v>42.954854066425661</v>
      </c>
      <c r="AA13" s="16">
        <f t="shared" ref="AA13:AA30" si="2">X13*$T$3</f>
        <v>1414.1202030616723</v>
      </c>
      <c r="AB13" s="16">
        <f t="shared" ref="AB13:AB30" si="3">$X$31*$T$3</f>
        <v>1478.3561537251474</v>
      </c>
      <c r="AC13" s="16">
        <f>AA13*Y13</f>
        <v>62.149988099699819</v>
      </c>
      <c r="AD13" s="16">
        <f t="shared" ref="AD13:AD30" si="4">(Y13*AB13)/(1-Y13)</f>
        <v>67.959941975289922</v>
      </c>
      <c r="AE13" s="14">
        <v>36</v>
      </c>
    </row>
    <row r="14" spans="9:31" x14ac:dyDescent="0.25">
      <c r="I14" s="99"/>
      <c r="J14" s="100"/>
      <c r="K14" s="64"/>
      <c r="P14" s="111">
        <v>25</v>
      </c>
      <c r="Q14" s="112">
        <v>40</v>
      </c>
      <c r="R14" s="113" t="e">
        <f ca="1">[4]!pd($O$10,P14)</f>
        <v>#NAME?</v>
      </c>
      <c r="S14" s="113">
        <v>10</v>
      </c>
      <c r="T14" s="111">
        <v>52</v>
      </c>
      <c r="U14" s="113">
        <f t="shared" si="0"/>
        <v>35</v>
      </c>
      <c r="V14" s="113" t="e">
        <f ca="1">1/([4]!vtp($O$10,U14,R14))</f>
        <v>#NAME?</v>
      </c>
      <c r="W14" s="113" t="e">
        <f ca="1">V14*$R$7*1000</f>
        <v>#NAME?</v>
      </c>
      <c r="X14" s="112">
        <f>Example!L14</f>
        <v>0.93567674897268194</v>
      </c>
      <c r="Y14" s="112">
        <f>Example!D14</f>
        <v>5.4048612432072526E-2</v>
      </c>
      <c r="Z14" s="115">
        <f>Example!A14</f>
        <v>35.766122238292233</v>
      </c>
      <c r="AA14" s="16">
        <f t="shared" si="2"/>
        <v>1403.515123459023</v>
      </c>
      <c r="AB14" s="16">
        <f t="shared" si="3"/>
        <v>1478.3561537251474</v>
      </c>
      <c r="AC14" s="16">
        <f t="shared" ref="AC14:AC30" si="5">AA14*Y14</f>
        <v>75.858044950389157</v>
      </c>
      <c r="AD14" s="16">
        <f t="shared" si="4"/>
        <v>84.468504237509975</v>
      </c>
      <c r="AE14" s="14">
        <v>52</v>
      </c>
    </row>
    <row r="15" spans="9:31" x14ac:dyDescent="0.25">
      <c r="I15" s="99"/>
      <c r="J15" s="100"/>
      <c r="K15" s="64"/>
      <c r="P15" s="111">
        <v>25</v>
      </c>
      <c r="Q15" s="112">
        <v>40</v>
      </c>
      <c r="R15" s="113" t="e">
        <f ca="1">[4]!pd($O$10,P15)</f>
        <v>#NAME?</v>
      </c>
      <c r="S15" s="113">
        <v>10</v>
      </c>
      <c r="T15" s="111">
        <v>40</v>
      </c>
      <c r="U15" s="113">
        <f t="shared" si="0"/>
        <v>35</v>
      </c>
      <c r="V15" s="113" t="e">
        <f ca="1">1/([4]!vtp($O$10,U15,R15))</f>
        <v>#NAME?</v>
      </c>
      <c r="W15" s="113" t="e">
        <f t="shared" ca="1" si="1"/>
        <v>#NAME?</v>
      </c>
      <c r="X15" s="112">
        <f>Example!L15</f>
        <v>0.9484895693794293</v>
      </c>
      <c r="Y15" s="112">
        <f>Example!D15</f>
        <v>4.6506547326397252E-2</v>
      </c>
      <c r="Z15" s="115">
        <f>Example!A15</f>
        <v>63.248004523098082</v>
      </c>
      <c r="AA15" s="16">
        <f t="shared" si="2"/>
        <v>1422.734354069144</v>
      </c>
      <c r="AB15" s="16">
        <f t="shared" si="3"/>
        <v>1478.3561537251474</v>
      </c>
      <c r="AC15" s="16">
        <f t="shared" si="5"/>
        <v>66.166462570407873</v>
      </c>
      <c r="AD15" s="16">
        <f t="shared" si="4"/>
        <v>72.106672820567965</v>
      </c>
      <c r="AE15" s="14">
        <v>40</v>
      </c>
    </row>
    <row r="16" spans="9:31" x14ac:dyDescent="0.25">
      <c r="I16" s="99"/>
      <c r="J16" s="100"/>
      <c r="K16" s="64"/>
      <c r="P16" s="14">
        <v>25</v>
      </c>
      <c r="Q16" s="24">
        <v>60</v>
      </c>
      <c r="R16" s="23" t="e">
        <f ca="1">[4]!pd($O$10,P16)</f>
        <v>#NAME?</v>
      </c>
      <c r="S16" s="23">
        <v>10</v>
      </c>
      <c r="T16" s="14">
        <v>55</v>
      </c>
      <c r="U16" s="23">
        <f t="shared" si="0"/>
        <v>35</v>
      </c>
      <c r="V16" s="23" t="e">
        <f ca="1">1/([4]!vtp($O$10,U16,R16))</f>
        <v>#NAME?</v>
      </c>
      <c r="W16" s="23" t="e">
        <f t="shared" ca="1" si="1"/>
        <v>#NAME?</v>
      </c>
      <c r="X16" s="24">
        <f>Example!L16</f>
        <v>0.94033820398175161</v>
      </c>
      <c r="Y16" s="24">
        <f>Example!D16</f>
        <v>5.8269789514773719E-2</v>
      </c>
      <c r="Z16" s="114">
        <f>Example!A16</f>
        <v>50.367972868847033</v>
      </c>
      <c r="AA16" s="16">
        <f t="shared" si="2"/>
        <v>1410.5073059726274</v>
      </c>
      <c r="AB16" s="16">
        <f t="shared" si="3"/>
        <v>1478.3561537251474</v>
      </c>
      <c r="AC16" s="16">
        <f t="shared" si="5"/>
        <v>82.189963828075534</v>
      </c>
      <c r="AD16" s="16">
        <f t="shared" si="4"/>
        <v>91.473652375502922</v>
      </c>
      <c r="AE16" s="14" t="s">
        <v>30</v>
      </c>
    </row>
    <row r="17" spans="1:31" x14ac:dyDescent="0.25">
      <c r="I17" s="99"/>
      <c r="J17" s="100"/>
      <c r="K17" s="64"/>
      <c r="P17" s="14">
        <v>15</v>
      </c>
      <c r="Q17" s="24">
        <v>70</v>
      </c>
      <c r="R17" s="23" t="e">
        <f ca="1">[4]!pd($O$10,P17)</f>
        <v>#NAME?</v>
      </c>
      <c r="S17" s="23">
        <v>10</v>
      </c>
      <c r="T17" s="14">
        <v>57</v>
      </c>
      <c r="U17" s="23">
        <f t="shared" si="0"/>
        <v>25</v>
      </c>
      <c r="V17" s="23" t="e">
        <f ca="1">1/([4]!vtp($O$10,U17,R17))</f>
        <v>#NAME?</v>
      </c>
      <c r="W17" s="23" t="e">
        <f t="shared" ca="1" si="1"/>
        <v>#NAME?</v>
      </c>
      <c r="X17" s="24">
        <f>Example!L17</f>
        <v>0.92972652289628233</v>
      </c>
      <c r="Y17" s="24">
        <f>Example!D17</f>
        <v>7.3734524757087416E-2</v>
      </c>
      <c r="Z17" s="114">
        <f>Example!A17</f>
        <v>37.833275782529583</v>
      </c>
      <c r="AA17" s="16">
        <f t="shared" si="2"/>
        <v>1394.5897843444234</v>
      </c>
      <c r="AB17" s="16">
        <f t="shared" si="3"/>
        <v>1478.3561537251474</v>
      </c>
      <c r="AC17" s="16">
        <f t="shared" si="5"/>
        <v>102.82941497972509</v>
      </c>
      <c r="AD17" s="16">
        <f>(Y17*AB17)/(1-Y17)</f>
        <v>117.68320349849235</v>
      </c>
      <c r="AE17" s="14" t="s">
        <v>31</v>
      </c>
    </row>
    <row r="18" spans="1:31" x14ac:dyDescent="0.25">
      <c r="I18" s="99"/>
      <c r="J18" s="100"/>
      <c r="K18" s="64"/>
      <c r="P18" s="14">
        <v>-9</v>
      </c>
      <c r="Q18" s="24">
        <v>70</v>
      </c>
      <c r="R18" s="23" t="e">
        <f ca="1">[4]!pd($O$10,P18)</f>
        <v>#NAME?</v>
      </c>
      <c r="S18" s="23">
        <v>10</v>
      </c>
      <c r="T18" s="14">
        <v>59</v>
      </c>
      <c r="U18" s="23">
        <f t="shared" si="0"/>
        <v>1</v>
      </c>
      <c r="V18" s="23" t="e">
        <f ca="1">1/([4]!vtp($O$10,U18,R18))</f>
        <v>#NAME?</v>
      </c>
      <c r="W18" s="23" t="e">
        <f t="shared" ca="1" si="1"/>
        <v>#NAME?</v>
      </c>
      <c r="X18" s="24">
        <f>Example!L18</f>
        <v>0.94401251994272672</v>
      </c>
      <c r="Y18" s="24">
        <f>Example!D18</f>
        <v>6.4181403874117776E-2</v>
      </c>
      <c r="Z18" s="114">
        <f>Example!A18</f>
        <v>72.185715822816007</v>
      </c>
      <c r="AA18" s="16">
        <f t="shared" si="2"/>
        <v>1416.0187799140901</v>
      </c>
      <c r="AB18" s="16">
        <f t="shared" si="3"/>
        <v>1478.3561537251474</v>
      </c>
      <c r="AC18" s="16">
        <f t="shared" si="5"/>
        <v>90.88207320700171</v>
      </c>
      <c r="AD18" s="16">
        <f t="shared" si="4"/>
        <v>101.39034826281416</v>
      </c>
      <c r="AE18" s="14" t="s">
        <v>32</v>
      </c>
    </row>
    <row r="19" spans="1:31" x14ac:dyDescent="0.25">
      <c r="A19" s="3"/>
      <c r="B19" s="3"/>
      <c r="C19" s="3"/>
      <c r="D19" s="3"/>
      <c r="E19" s="3"/>
      <c r="F19" s="3"/>
      <c r="G19" s="3"/>
      <c r="H19" s="3"/>
      <c r="I19" s="99"/>
      <c r="J19" s="100"/>
      <c r="K19" s="64"/>
      <c r="O19">
        <v>53</v>
      </c>
      <c r="P19" s="14">
        <v>-15</v>
      </c>
      <c r="Q19" s="24">
        <v>70</v>
      </c>
      <c r="R19" s="23" t="e">
        <f ca="1">[4]!pd($O$10,P19)</f>
        <v>#NAME?</v>
      </c>
      <c r="S19" s="23">
        <v>10</v>
      </c>
      <c r="T19" s="14">
        <v>53</v>
      </c>
      <c r="U19" s="23">
        <f t="shared" si="0"/>
        <v>-5</v>
      </c>
      <c r="V19" s="23" t="e">
        <f ca="1">1/([4]!vtp($O$10,U19,R19))</f>
        <v>#NAME?</v>
      </c>
      <c r="W19" s="23" t="e">
        <f t="shared" ca="1" si="1"/>
        <v>#NAME?</v>
      </c>
      <c r="X19" s="24">
        <f>Example!L19</f>
        <v>0.93095180532127664</v>
      </c>
      <c r="Y19" s="24">
        <f>Example!D19</f>
        <v>8.3508478323491425E-2</v>
      </c>
      <c r="Z19" s="114">
        <f>Example!A19</f>
        <v>49.587088428120886</v>
      </c>
      <c r="AA19" s="16">
        <f t="shared" si="2"/>
        <v>1396.4277079819149</v>
      </c>
      <c r="AB19" s="16">
        <f t="shared" si="3"/>
        <v>1478.3561537251474</v>
      </c>
      <c r="AC19" s="16">
        <f t="shared" si="5"/>
        <v>116.61355298233055</v>
      </c>
      <c r="AD19" s="16">
        <f t="shared" si="4"/>
        <v>134.70421700347413</v>
      </c>
      <c r="AE19" s="14" t="s">
        <v>7</v>
      </c>
    </row>
    <row r="20" spans="1:31" x14ac:dyDescent="0.25">
      <c r="A20" s="3"/>
      <c r="B20" s="3"/>
      <c r="C20" s="3"/>
      <c r="D20" s="3"/>
      <c r="E20" s="3"/>
      <c r="F20" s="3"/>
      <c r="G20" s="3"/>
      <c r="H20" s="3"/>
      <c r="O20">
        <v>53</v>
      </c>
      <c r="P20" s="14">
        <v>-20</v>
      </c>
      <c r="Q20" s="24">
        <v>70</v>
      </c>
      <c r="R20" s="23" t="e">
        <f ca="1">[4]!pd($O$10,P20)</f>
        <v>#NAME?</v>
      </c>
      <c r="S20" s="23">
        <v>10</v>
      </c>
      <c r="T20" s="14">
        <v>53</v>
      </c>
      <c r="U20" s="23">
        <f t="shared" si="0"/>
        <v>-10</v>
      </c>
      <c r="V20" s="23" t="e">
        <f ca="1">1/([4]!vtp($O$10,U20,R20))</f>
        <v>#NAME?</v>
      </c>
      <c r="W20" s="23" t="e">
        <f t="shared" ca="1" si="1"/>
        <v>#NAME?</v>
      </c>
      <c r="X20" s="24">
        <f>Example!L20</f>
        <v>0.91267914867751443</v>
      </c>
      <c r="Y20" s="24">
        <f>Example!D20</f>
        <v>0.11102456338518646</v>
      </c>
      <c r="Z20" s="114">
        <f>Example!A20</f>
        <v>30.321366528033796</v>
      </c>
      <c r="AA20" s="16">
        <f t="shared" si="2"/>
        <v>1369.0187230162717</v>
      </c>
      <c r="AB20" s="16">
        <f t="shared" si="3"/>
        <v>1478.3561537251474</v>
      </c>
      <c r="AC20" s="16">
        <f t="shared" si="5"/>
        <v>151.99470598902707</v>
      </c>
      <c r="AD20" s="16">
        <f t="shared" si="4"/>
        <v>184.63260033387857</v>
      </c>
      <c r="AE20" s="14" t="s">
        <v>7</v>
      </c>
    </row>
    <row r="21" spans="1:31" ht="15.75" x14ac:dyDescent="0.25">
      <c r="A21" s="3"/>
      <c r="B21" s="224"/>
      <c r="C21" s="97"/>
      <c r="D21" s="224"/>
      <c r="E21" s="224"/>
      <c r="F21" s="97"/>
      <c r="G21" s="3"/>
      <c r="H21" s="3"/>
      <c r="P21" s="14">
        <v>-30</v>
      </c>
      <c r="Q21" s="24">
        <v>65</v>
      </c>
      <c r="R21" s="23" t="e">
        <f ca="1">[4]!pd($O$10,P21)</f>
        <v>#NAME?</v>
      </c>
      <c r="S21" s="23">
        <v>10</v>
      </c>
      <c r="T21" s="14">
        <v>53</v>
      </c>
      <c r="U21" s="23">
        <f t="shared" si="0"/>
        <v>-20</v>
      </c>
      <c r="V21" s="23" t="e">
        <f ca="1">1/([4]!vtp($O$10,U21,R21))</f>
        <v>#NAME?</v>
      </c>
      <c r="W21" s="23" t="e">
        <f t="shared" ca="1" si="1"/>
        <v>#NAME?</v>
      </c>
      <c r="X21" s="24">
        <f>Example!L21</f>
        <v>0.94594345101297228</v>
      </c>
      <c r="Y21" s="24">
        <f>Example!D21</f>
        <v>2.8985359955491036E-2</v>
      </c>
      <c r="Z21" s="114">
        <f>Example!A21</f>
        <v>38.034716572172933</v>
      </c>
      <c r="AA21" s="16">
        <f t="shared" si="2"/>
        <v>1418.9151765194583</v>
      </c>
      <c r="AB21" s="16">
        <f t="shared" si="3"/>
        <v>1478.3561537251474</v>
      </c>
      <c r="AC21" s="16">
        <f t="shared" si="5"/>
        <v>41.127767137725598</v>
      </c>
      <c r="AD21" s="16">
        <f t="shared" si="4"/>
        <v>44.12980349727215</v>
      </c>
      <c r="AE21" s="14">
        <v>53</v>
      </c>
    </row>
    <row r="22" spans="1:31" ht="15.75" x14ac:dyDescent="0.25">
      <c r="A22" s="3"/>
      <c r="B22" s="224"/>
      <c r="C22" s="97"/>
      <c r="D22" s="224"/>
      <c r="E22" s="224"/>
      <c r="F22" s="97"/>
      <c r="G22" s="3"/>
      <c r="H22" s="3"/>
      <c r="P22" s="14">
        <v>-35</v>
      </c>
      <c r="Q22" s="24">
        <v>50</v>
      </c>
      <c r="R22" s="23" t="e">
        <f ca="1">[4]!pd($O$10,P22)</f>
        <v>#NAME?</v>
      </c>
      <c r="S22" s="23">
        <v>10</v>
      </c>
      <c r="T22" s="14">
        <v>53</v>
      </c>
      <c r="U22" s="23">
        <f t="shared" si="0"/>
        <v>-25</v>
      </c>
      <c r="V22" s="23" t="e">
        <f ca="1">1/([4]!vtp($O$10,U22,R22))</f>
        <v>#NAME?</v>
      </c>
      <c r="W22" s="23" t="e">
        <f t="shared" ca="1" si="1"/>
        <v>#NAME?</v>
      </c>
      <c r="X22" s="24">
        <f>Example!L22</f>
        <v>0.94173557880886327</v>
      </c>
      <c r="Y22" s="24">
        <f>Example!D22</f>
        <v>3.4891247864576258E-2</v>
      </c>
      <c r="Z22" s="114">
        <f>Example!A22</f>
        <v>34.261586244494161</v>
      </c>
      <c r="AA22" s="16">
        <f t="shared" si="2"/>
        <v>1412.603368213295</v>
      </c>
      <c r="AB22" s="16">
        <f t="shared" si="3"/>
        <v>1478.3561537251474</v>
      </c>
      <c r="AC22" s="16">
        <f t="shared" si="5"/>
        <v>49.287494254665354</v>
      </c>
      <c r="AD22" s="16">
        <f t="shared" si="4"/>
        <v>53.446506290213179</v>
      </c>
      <c r="AE22" s="14">
        <v>53</v>
      </c>
    </row>
    <row r="23" spans="1:31" ht="15.75" x14ac:dyDescent="0.25">
      <c r="A23" s="3"/>
      <c r="B23" s="97"/>
      <c r="C23" s="97"/>
      <c r="D23" s="97"/>
      <c r="E23" s="97"/>
      <c r="F23" s="98"/>
      <c r="G23" s="3"/>
      <c r="H23" s="3"/>
      <c r="P23" s="14">
        <v>-30</v>
      </c>
      <c r="Q23" s="24">
        <v>45</v>
      </c>
      <c r="R23" s="23" t="e">
        <f ca="1">[4]!pd($O$10,P23)</f>
        <v>#NAME?</v>
      </c>
      <c r="S23" s="23">
        <v>10</v>
      </c>
      <c r="T23" s="14">
        <v>53</v>
      </c>
      <c r="U23" s="23">
        <f t="shared" si="0"/>
        <v>-20</v>
      </c>
      <c r="V23" s="23" t="e">
        <f ca="1">1/([4]!vtp($O$10,U23,R23))</f>
        <v>#NAME?</v>
      </c>
      <c r="W23" s="23" t="e">
        <f t="shared" ca="1" si="1"/>
        <v>#NAME?</v>
      </c>
      <c r="X23" s="24">
        <f>Example!L23</f>
        <v>0.93662032343662549</v>
      </c>
      <c r="Y23" s="24">
        <f>Example!D23</f>
        <v>4.2101781835726694E-2</v>
      </c>
      <c r="Z23" s="114">
        <f>Example!A23</f>
        <v>30.227718174222922</v>
      </c>
      <c r="AA23" s="16">
        <f t="shared" si="2"/>
        <v>1404.9304851549382</v>
      </c>
      <c r="AB23" s="16">
        <f t="shared" si="3"/>
        <v>1478.3561537251474</v>
      </c>
      <c r="AC23" s="16">
        <f t="shared" si="5"/>
        <v>59.150076780354865</v>
      </c>
      <c r="AD23" s="16">
        <f t="shared" si="4"/>
        <v>64.977079066834833</v>
      </c>
      <c r="AE23" s="14">
        <v>53</v>
      </c>
    </row>
    <row r="24" spans="1:31" ht="15.75" x14ac:dyDescent="0.25">
      <c r="A24" s="3"/>
      <c r="B24" s="97"/>
      <c r="C24" s="97"/>
      <c r="D24" s="97"/>
      <c r="E24" s="97"/>
      <c r="F24" s="98"/>
      <c r="G24" s="3"/>
      <c r="H24" s="3"/>
      <c r="P24" s="14">
        <v>-30</v>
      </c>
      <c r="Q24" s="24">
        <v>35</v>
      </c>
      <c r="R24" s="23" t="e">
        <f ca="1">[4]!pd($O$10,P24)</f>
        <v>#NAME?</v>
      </c>
      <c r="S24" s="23">
        <v>10</v>
      </c>
      <c r="T24" s="14">
        <v>47</v>
      </c>
      <c r="U24" s="23">
        <f t="shared" si="0"/>
        <v>-20</v>
      </c>
      <c r="V24" s="23" t="e">
        <f ca="1">1/([4]!vtp($O$10,U24,R24))</f>
        <v>#NAME?</v>
      </c>
      <c r="W24" s="23" t="e">
        <f t="shared" ca="1" si="1"/>
        <v>#NAME?</v>
      </c>
      <c r="X24" s="24">
        <f>Example!L24</f>
        <v>0.98557076915009822</v>
      </c>
      <c r="Y24" s="24">
        <f>Example!D24</f>
        <v>1.5005905554972734E-2</v>
      </c>
      <c r="Z24" s="114">
        <f>Example!A24</f>
        <v>37.563980687090307</v>
      </c>
      <c r="AA24" s="16">
        <f t="shared" si="2"/>
        <v>1478.3561537251474</v>
      </c>
      <c r="AB24" s="16">
        <f t="shared" si="3"/>
        <v>1478.3561537251474</v>
      </c>
      <c r="AC24" s="16">
        <f t="shared" si="5"/>
        <v>22.184072819412314</v>
      </c>
      <c r="AD24" s="16">
        <f t="shared" si="4"/>
        <v>22.522036370087509</v>
      </c>
      <c r="AE24" s="14">
        <v>47</v>
      </c>
    </row>
    <row r="25" spans="1:31" ht="15.75" x14ac:dyDescent="0.25">
      <c r="A25" s="3"/>
      <c r="B25" s="97"/>
      <c r="C25" s="97"/>
      <c r="D25" s="97"/>
      <c r="E25" s="97"/>
      <c r="F25" s="98"/>
      <c r="G25" s="3"/>
      <c r="H25" s="3"/>
      <c r="O25" t="s">
        <v>25</v>
      </c>
      <c r="P25" s="14">
        <v>-18</v>
      </c>
      <c r="Q25" s="24">
        <v>62</v>
      </c>
      <c r="R25" s="23" t="e">
        <f ca="1">[4]!pd($O$10,P25)</f>
        <v>#NAME?</v>
      </c>
      <c r="S25" s="23">
        <v>10</v>
      </c>
      <c r="T25" s="14">
        <v>52</v>
      </c>
      <c r="U25" s="23">
        <f t="shared" si="0"/>
        <v>-8</v>
      </c>
      <c r="V25" s="23" t="e">
        <f ca="1">1/([4]!vtp($O$10,U25,R25))</f>
        <v>#NAME?</v>
      </c>
      <c r="W25" s="23" t="e">
        <f t="shared" ca="1" si="1"/>
        <v>#NAME?</v>
      </c>
      <c r="X25" s="24">
        <f>Example!L25</f>
        <v>0.98133164704588316</v>
      </c>
      <c r="Y25" s="24">
        <f>Example!D25</f>
        <v>2.1096426113906417E-2</v>
      </c>
      <c r="Z25" s="114">
        <f>Example!A25</f>
        <v>28.420371751368311</v>
      </c>
      <c r="AA25" s="16">
        <f t="shared" si="2"/>
        <v>1471.9974705688248</v>
      </c>
      <c r="AB25" s="16">
        <f t="shared" si="3"/>
        <v>1478.3561537251474</v>
      </c>
      <c r="AC25" s="16">
        <f t="shared" si="5"/>
        <v>31.05388587771235</v>
      </c>
      <c r="AD25" s="16">
        <f t="shared" si="4"/>
        <v>31.86016702675817</v>
      </c>
      <c r="AE25" s="14" t="s">
        <v>33</v>
      </c>
    </row>
    <row r="26" spans="1:31" ht="15.75" x14ac:dyDescent="0.25">
      <c r="A26" s="3"/>
      <c r="B26" s="97"/>
      <c r="C26" s="97"/>
      <c r="D26" s="97"/>
      <c r="E26" s="97"/>
      <c r="F26" s="98"/>
      <c r="G26" s="3"/>
      <c r="H26" s="3"/>
      <c r="O26" t="s">
        <v>26</v>
      </c>
      <c r="P26" s="14">
        <v>-18</v>
      </c>
      <c r="Q26" s="24">
        <v>58</v>
      </c>
      <c r="R26" s="23" t="e">
        <f ca="1">[4]!pd($O$10,P26)</f>
        <v>#NAME?</v>
      </c>
      <c r="S26" s="23">
        <v>10</v>
      </c>
      <c r="T26" s="14">
        <v>52</v>
      </c>
      <c r="U26" s="23">
        <f t="shared" si="0"/>
        <v>-8</v>
      </c>
      <c r="V26" s="23" t="e">
        <f ca="1">1/([4]!vtp($O$10,U26,R26))</f>
        <v>#NAME?</v>
      </c>
      <c r="W26" s="23" t="e">
        <f t="shared" ca="1" si="1"/>
        <v>#NAME?</v>
      </c>
      <c r="X26" s="24">
        <f>Example!L26</f>
        <v>0.98133160986352252</v>
      </c>
      <c r="Y26" s="24">
        <f>Example!D26</f>
        <v>2.1096479651136393E-2</v>
      </c>
      <c r="Z26" s="114">
        <f>Example!A26</f>
        <v>28.420456601995689</v>
      </c>
      <c r="AA26" s="16">
        <f t="shared" si="2"/>
        <v>1471.9974147952837</v>
      </c>
      <c r="AB26" s="16">
        <f t="shared" si="3"/>
        <v>1478.3561537251474</v>
      </c>
      <c r="AC26" s="16">
        <f t="shared" si="5"/>
        <v>31.05396350775408</v>
      </c>
      <c r="AD26" s="16">
        <f t="shared" si="4"/>
        <v>31.860249622026032</v>
      </c>
      <c r="AE26" s="14" t="s">
        <v>33</v>
      </c>
    </row>
    <row r="27" spans="1:31" ht="15.75" x14ac:dyDescent="0.25">
      <c r="A27" s="3"/>
      <c r="B27" s="97"/>
      <c r="C27" s="97"/>
      <c r="D27" s="97"/>
      <c r="E27" s="97"/>
      <c r="F27" s="98"/>
      <c r="G27" s="3"/>
      <c r="H27" s="3"/>
      <c r="O27" t="s">
        <v>27</v>
      </c>
      <c r="P27" s="14">
        <v>-5</v>
      </c>
      <c r="Q27" s="24">
        <v>43</v>
      </c>
      <c r="R27" s="23" t="e">
        <f ca="1">[4]!pd($O$10,P27)</f>
        <v>#NAME?</v>
      </c>
      <c r="S27" s="23">
        <v>10</v>
      </c>
      <c r="T27" s="14">
        <v>41</v>
      </c>
      <c r="U27" s="23">
        <f t="shared" si="0"/>
        <v>5</v>
      </c>
      <c r="V27" s="23" t="e">
        <f ca="1">1/([4]!vtp($O$10,U27,R27))</f>
        <v>#NAME?</v>
      </c>
      <c r="W27" s="23" t="e">
        <f t="shared" ca="1" si="1"/>
        <v>#NAME?</v>
      </c>
      <c r="X27" s="24">
        <f>Example!L27</f>
        <v>0.9674921094463248</v>
      </c>
      <c r="Y27" s="24">
        <f>Example!D27</f>
        <v>4.1166736021907707E-2</v>
      </c>
      <c r="Z27" s="114">
        <f>Example!A27</f>
        <v>29.631659818890377</v>
      </c>
      <c r="AA27" s="16">
        <f t="shared" si="2"/>
        <v>1451.2381641694872</v>
      </c>
      <c r="AB27" s="16">
        <f t="shared" si="3"/>
        <v>1478.3561537251474</v>
      </c>
      <c r="AC27" s="16">
        <f t="shared" si="5"/>
        <v>59.742738409283241</v>
      </c>
      <c r="AD27" s="16">
        <f t="shared" si="4"/>
        <v>63.472033995012168</v>
      </c>
      <c r="AE27" s="14" t="s">
        <v>34</v>
      </c>
    </row>
    <row r="28" spans="1:31" ht="15.75" x14ac:dyDescent="0.25">
      <c r="A28" s="3"/>
      <c r="B28" s="97"/>
      <c r="C28" s="97"/>
      <c r="D28" s="97"/>
      <c r="E28" s="97"/>
      <c r="F28" s="98"/>
      <c r="G28" s="3"/>
      <c r="H28" s="3"/>
      <c r="O28" t="s">
        <v>28</v>
      </c>
      <c r="P28" s="14">
        <v>0</v>
      </c>
      <c r="Q28" s="24">
        <v>56</v>
      </c>
      <c r="R28" s="23" t="e">
        <f ca="1">[4]!pd($O$10,P28)</f>
        <v>#NAME?</v>
      </c>
      <c r="S28" s="23">
        <v>10</v>
      </c>
      <c r="T28" s="14">
        <v>50</v>
      </c>
      <c r="U28" s="23">
        <f t="shared" si="0"/>
        <v>10</v>
      </c>
      <c r="V28" s="23" t="e">
        <f ca="1">1/([4]!vtp($O$10,U28,R28))</f>
        <v>#NAME?</v>
      </c>
      <c r="W28" s="23" t="e">
        <f t="shared" ca="1" si="1"/>
        <v>#NAME?</v>
      </c>
      <c r="X28" s="24">
        <f>Example!L28</f>
        <v>0.9677609223544269</v>
      </c>
      <c r="Y28" s="24">
        <f>Example!D28</f>
        <v>4.0774129865342491E-2</v>
      </c>
      <c r="Z28" s="114">
        <f>Example!A28</f>
        <v>21.987020887980933</v>
      </c>
      <c r="AA28" s="16">
        <f t="shared" si="2"/>
        <v>1451.6413835316403</v>
      </c>
      <c r="AB28" s="16">
        <f t="shared" si="3"/>
        <v>1478.3561537251474</v>
      </c>
      <c r="AC28" s="16">
        <f t="shared" si="5"/>
        <v>59.189414290024544</v>
      </c>
      <c r="AD28" s="16">
        <f t="shared" si="4"/>
        <v>62.840971741885333</v>
      </c>
      <c r="AE28" s="14" t="s">
        <v>35</v>
      </c>
    </row>
    <row r="29" spans="1:31" ht="15.75" x14ac:dyDescent="0.25">
      <c r="A29" s="3"/>
      <c r="B29" s="97"/>
      <c r="C29" s="97"/>
      <c r="D29" s="97"/>
      <c r="E29" s="97"/>
      <c r="F29" s="98"/>
      <c r="G29" s="3"/>
      <c r="H29" s="3"/>
      <c r="O29" t="s">
        <v>29</v>
      </c>
      <c r="P29" s="14">
        <v>-20</v>
      </c>
      <c r="Q29" s="24">
        <v>57</v>
      </c>
      <c r="R29" s="23" t="e">
        <f ca="1">[4]!pd($O$10,P29)</f>
        <v>#NAME?</v>
      </c>
      <c r="S29" s="23">
        <v>10</v>
      </c>
      <c r="T29" s="14">
        <v>50</v>
      </c>
      <c r="U29" s="23">
        <f t="shared" si="0"/>
        <v>-10</v>
      </c>
      <c r="V29" s="23" t="e">
        <f ca="1">1/([4]!vtp($O$10,U29,R29))</f>
        <v>#NAME?</v>
      </c>
      <c r="W29" s="23" t="e">
        <f t="shared" ca="1" si="1"/>
        <v>#NAME?</v>
      </c>
      <c r="X29" s="24">
        <f>Example!L29</f>
        <v>0.98186602861680072</v>
      </c>
      <c r="Y29" s="24">
        <f>Example!D29</f>
        <v>2.03272044373436E-2</v>
      </c>
      <c r="Z29" s="114">
        <f>Example!A29</f>
        <v>30.816001947400682</v>
      </c>
      <c r="AA29" s="16">
        <f t="shared" si="2"/>
        <v>1472.7990429252011</v>
      </c>
      <c r="AB29" s="16">
        <f t="shared" si="3"/>
        <v>1478.3561537251474</v>
      </c>
      <c r="AC29" s="16">
        <f t="shared" si="5"/>
        <v>29.937887240664555</v>
      </c>
      <c r="AD29" s="16">
        <f t="shared" si="4"/>
        <v>30.674371998578263</v>
      </c>
      <c r="AE29" s="14" t="s">
        <v>36</v>
      </c>
    </row>
    <row r="30" spans="1:31" x14ac:dyDescent="0.25">
      <c r="A30" s="3"/>
      <c r="B30" s="3"/>
      <c r="C30" s="3"/>
      <c r="D30" s="3"/>
      <c r="E30" s="3"/>
      <c r="F30" s="3"/>
      <c r="G30" s="3"/>
      <c r="H30" s="3"/>
      <c r="O30" t="s">
        <v>29</v>
      </c>
      <c r="P30" s="14">
        <v>7</v>
      </c>
      <c r="Q30" s="24">
        <v>30</v>
      </c>
      <c r="R30" s="23" t="e">
        <f ca="1">[4]!pd($O$10,P30)</f>
        <v>#NAME?</v>
      </c>
      <c r="S30" s="23">
        <v>10</v>
      </c>
      <c r="T30" s="14">
        <v>42</v>
      </c>
      <c r="U30" s="23">
        <f t="shared" si="0"/>
        <v>17</v>
      </c>
      <c r="V30" s="23" t="e">
        <f ca="1">1/([4]!vtp($O$10,U30,R30))</f>
        <v>#NAME?</v>
      </c>
      <c r="W30" s="23" t="e">
        <f t="shared" ca="1" si="1"/>
        <v>#NAME?</v>
      </c>
      <c r="X30" s="24">
        <f>Example!L30</f>
        <v>0.95223178991578983</v>
      </c>
      <c r="Y30" s="24">
        <f>Example!D30</f>
        <v>6.3640241616931603E-2</v>
      </c>
      <c r="Z30" s="114">
        <f>Example!A30</f>
        <v>19.747777602904364</v>
      </c>
      <c r="AA30" s="16">
        <f t="shared" si="2"/>
        <v>1428.3476848736848</v>
      </c>
      <c r="AB30" s="16">
        <f t="shared" si="3"/>
        <v>1478.3561537251474</v>
      </c>
      <c r="AC30" s="16">
        <f t="shared" si="5"/>
        <v>90.900391778346176</v>
      </c>
      <c r="AD30" s="16">
        <f t="shared" si="4"/>
        <v>100.47734535432305</v>
      </c>
      <c r="AE30" s="14" t="s">
        <v>37</v>
      </c>
    </row>
    <row r="31" spans="1:31" x14ac:dyDescent="0.25">
      <c r="A31" s="3"/>
      <c r="B31" s="3"/>
      <c r="C31" s="3"/>
      <c r="D31" s="3"/>
      <c r="E31" s="3"/>
      <c r="F31" s="3"/>
      <c r="G31" s="3"/>
      <c r="H31" s="3"/>
      <c r="W31" s="101" t="s">
        <v>93</v>
      </c>
      <c r="X31" s="102">
        <f>MAX(X12:X30)</f>
        <v>0.98557076915009822</v>
      </c>
    </row>
    <row r="32" spans="1:31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</sheetData>
  <mergeCells count="3">
    <mergeCell ref="B21:B22"/>
    <mergeCell ref="D21:D22"/>
    <mergeCell ref="E21:E22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36"/>
  <sheetViews>
    <sheetView topLeftCell="J4" zoomScale="70" zoomScaleNormal="70" workbookViewId="0">
      <selection activeCell="AD48" sqref="AD48"/>
    </sheetView>
  </sheetViews>
  <sheetFormatPr defaultRowHeight="15" x14ac:dyDescent="0.25"/>
  <cols>
    <col min="1" max="1" width="9.7109375" customWidth="1"/>
    <col min="6" max="6" width="11.5703125" bestFit="1" customWidth="1"/>
    <col min="9" max="9" width="11.7109375" bestFit="1" customWidth="1"/>
    <col min="10" max="11" width="14" bestFit="1" customWidth="1"/>
    <col min="15" max="15" width="21.85546875" bestFit="1" customWidth="1"/>
    <col min="16" max="16" width="11" bestFit="1" customWidth="1"/>
    <col min="17" max="17" width="7.7109375" customWidth="1"/>
    <col min="18" max="18" width="11.5703125" customWidth="1"/>
    <col min="19" max="19" width="8.7109375" customWidth="1"/>
    <col min="20" max="20" width="7.28515625" customWidth="1"/>
    <col min="22" max="23" width="13" customWidth="1"/>
    <col min="24" max="24" width="10.140625" customWidth="1"/>
    <col min="25" max="26" width="10.7109375" customWidth="1"/>
    <col min="27" max="27" width="8" bestFit="1" customWidth="1"/>
    <col min="28" max="28" width="11.5703125" bestFit="1" customWidth="1"/>
    <col min="29" max="29" width="12.28515625" bestFit="1" customWidth="1"/>
    <col min="30" max="30" width="12" bestFit="1" customWidth="1"/>
    <col min="31" max="31" width="10.7109375" bestFit="1" customWidth="1"/>
  </cols>
  <sheetData>
    <row r="2" spans="9:31" x14ac:dyDescent="0.25">
      <c r="O2" s="54" t="s">
        <v>70</v>
      </c>
      <c r="P2" s="14"/>
    </row>
    <row r="3" spans="9:31" x14ac:dyDescent="0.25">
      <c r="O3" s="56" t="s">
        <v>21</v>
      </c>
      <c r="P3" s="43">
        <v>1</v>
      </c>
      <c r="Q3" t="s">
        <v>71</v>
      </c>
      <c r="R3">
        <f>P3/1000</f>
        <v>1E-3</v>
      </c>
      <c r="S3" t="s">
        <v>92</v>
      </c>
      <c r="T3">
        <f>P3*1000</f>
        <v>1000</v>
      </c>
      <c r="U3" t="s">
        <v>83</v>
      </c>
    </row>
    <row r="4" spans="9:31" x14ac:dyDescent="0.25">
      <c r="O4" s="56" t="s">
        <v>40</v>
      </c>
      <c r="P4" s="44">
        <f>D10</f>
        <v>0</v>
      </c>
      <c r="Q4" t="s">
        <v>51</v>
      </c>
    </row>
    <row r="5" spans="9:31" x14ac:dyDescent="0.25">
      <c r="O5" s="56" t="s">
        <v>72</v>
      </c>
      <c r="P5" s="23">
        <f>P3*P4*1000</f>
        <v>0</v>
      </c>
    </row>
    <row r="6" spans="9:31" x14ac:dyDescent="0.25">
      <c r="O6" s="56" t="s">
        <v>86</v>
      </c>
      <c r="P6">
        <v>0.98</v>
      </c>
      <c r="Q6" t="s">
        <v>71</v>
      </c>
      <c r="R6">
        <f>P6/1000</f>
        <v>9.7999999999999997E-4</v>
      </c>
      <c r="S6" t="s">
        <v>92</v>
      </c>
    </row>
    <row r="7" spans="9:31" x14ac:dyDescent="0.25">
      <c r="O7" s="56" t="s">
        <v>87</v>
      </c>
      <c r="P7" s="43">
        <v>7</v>
      </c>
      <c r="Q7" t="s">
        <v>71</v>
      </c>
      <c r="R7">
        <f>P7/1000</f>
        <v>7.0000000000000001E-3</v>
      </c>
      <c r="S7" t="s">
        <v>92</v>
      </c>
    </row>
    <row r="10" spans="9:31" x14ac:dyDescent="0.25">
      <c r="I10" s="99"/>
      <c r="J10" s="99"/>
      <c r="K10" s="64"/>
      <c r="O10" s="15" t="s">
        <v>0</v>
      </c>
      <c r="P10" s="25" t="s">
        <v>2</v>
      </c>
      <c r="Q10" s="25" t="s">
        <v>3</v>
      </c>
      <c r="R10" s="25" t="s">
        <v>1</v>
      </c>
      <c r="S10" s="25" t="s">
        <v>4</v>
      </c>
      <c r="T10" s="25" t="s">
        <v>23</v>
      </c>
      <c r="U10" s="25" t="s">
        <v>82</v>
      </c>
      <c r="V10" s="25" t="s">
        <v>88</v>
      </c>
      <c r="W10" s="25" t="s">
        <v>85</v>
      </c>
      <c r="X10" s="25" t="s">
        <v>90</v>
      </c>
      <c r="Y10" s="25" t="s">
        <v>18</v>
      </c>
      <c r="Z10" s="25" t="s">
        <v>13</v>
      </c>
      <c r="AA10" s="42" t="s">
        <v>70</v>
      </c>
      <c r="AB10" s="42" t="s">
        <v>94</v>
      </c>
      <c r="AC10" s="25" t="s">
        <v>0</v>
      </c>
      <c r="AD10" s="25" t="s">
        <v>95</v>
      </c>
      <c r="AE10" s="25" t="s">
        <v>23</v>
      </c>
    </row>
    <row r="11" spans="9:31" x14ac:dyDescent="0.25">
      <c r="I11" s="99"/>
      <c r="J11" s="100"/>
      <c r="K11" s="64"/>
      <c r="P11" s="25" t="s">
        <v>19</v>
      </c>
      <c r="Q11" s="25" t="s">
        <v>19</v>
      </c>
      <c r="R11" s="25" t="s">
        <v>5</v>
      </c>
      <c r="S11" s="25" t="s">
        <v>6</v>
      </c>
      <c r="T11" s="25" t="s">
        <v>19</v>
      </c>
      <c r="U11" s="25" t="s">
        <v>19</v>
      </c>
      <c r="V11" s="25" t="s">
        <v>89</v>
      </c>
      <c r="W11" s="25" t="s">
        <v>74</v>
      </c>
      <c r="X11" s="25" t="s">
        <v>53</v>
      </c>
      <c r="Y11" s="35" t="s">
        <v>91</v>
      </c>
      <c r="Z11" s="35" t="s">
        <v>96</v>
      </c>
      <c r="AA11" s="25" t="s">
        <v>74</v>
      </c>
      <c r="AB11" s="25" t="s">
        <v>74</v>
      </c>
      <c r="AC11" s="25" t="s">
        <v>74</v>
      </c>
      <c r="AD11" s="25" t="s">
        <v>74</v>
      </c>
      <c r="AE11" s="25" t="s">
        <v>19</v>
      </c>
    </row>
    <row r="12" spans="9:31" x14ac:dyDescent="0.25">
      <c r="I12" s="99"/>
      <c r="J12" s="100"/>
      <c r="K12" s="64"/>
      <c r="P12" s="14">
        <v>-30</v>
      </c>
      <c r="Q12" s="24">
        <v>17</v>
      </c>
      <c r="R12" s="23" t="e">
        <f ca="1">[4]!pd($O$10,P12)</f>
        <v>#NAME?</v>
      </c>
      <c r="S12" s="23">
        <v>10</v>
      </c>
      <c r="T12" s="14">
        <v>40</v>
      </c>
      <c r="U12" s="23">
        <f>P12+S12</f>
        <v>-20</v>
      </c>
      <c r="V12" s="23" t="e">
        <f ca="1">1/([4]!vtp($O$10,U12,R12))</f>
        <v>#NAME?</v>
      </c>
      <c r="W12" s="23" t="e">
        <f ca="1">V12*$R$7*1000</f>
        <v>#NAME?</v>
      </c>
      <c r="X12" s="24">
        <f>Example!L12</f>
        <v>0.94840648200600086</v>
      </c>
      <c r="Y12" s="24">
        <f>Example!D12</f>
        <v>3.5915795688294637E-2</v>
      </c>
      <c r="Z12" s="114">
        <f>Example!A12</f>
        <v>49.894665692220961</v>
      </c>
      <c r="AA12" s="16">
        <f>X12*$T$3</f>
        <v>948.40648200600083</v>
      </c>
      <c r="AB12" s="16">
        <f>$X$31*$T$3</f>
        <v>985.57076915009827</v>
      </c>
      <c r="AC12" s="16">
        <f>AA12*Y12</f>
        <v>34.062773437181811</v>
      </c>
      <c r="AD12" s="16">
        <f>(Y12*AB12)/(1-Y12)</f>
        <v>36.716251778465683</v>
      </c>
      <c r="AE12" s="14">
        <v>40</v>
      </c>
    </row>
    <row r="13" spans="9:31" x14ac:dyDescent="0.25">
      <c r="I13" s="99"/>
      <c r="J13" s="100"/>
      <c r="K13" s="64"/>
      <c r="O13" t="s">
        <v>24</v>
      </c>
      <c r="P13" s="14">
        <v>-11</v>
      </c>
      <c r="Q13" s="24">
        <v>17</v>
      </c>
      <c r="R13" s="23" t="e">
        <f ca="1">[4]!pd($O$10,P13)</f>
        <v>#NAME?</v>
      </c>
      <c r="S13" s="23">
        <v>10</v>
      </c>
      <c r="T13" s="14">
        <v>36</v>
      </c>
      <c r="U13" s="23">
        <f t="shared" ref="U13:U30" si="0">P13+S13</f>
        <v>-1</v>
      </c>
      <c r="V13" s="23" t="e">
        <f ca="1">1/([4]!vtp($O$10,U13,R13))</f>
        <v>#NAME?</v>
      </c>
      <c r="W13" s="23" t="e">
        <f t="shared" ref="W13:W30" ca="1" si="1">V13*$R$7*1000</f>
        <v>#NAME?</v>
      </c>
      <c r="X13" s="24">
        <f>Example!L13</f>
        <v>0.94274680204111483</v>
      </c>
      <c r="Y13" s="24">
        <f>Example!D13</f>
        <v>4.3949579367539342E-2</v>
      </c>
      <c r="Z13" s="114">
        <f>Example!A13</f>
        <v>42.954854066425661</v>
      </c>
      <c r="AA13" s="16">
        <f t="shared" ref="AA13:AA30" si="2">X13*$T$3</f>
        <v>942.74680204111485</v>
      </c>
      <c r="AB13" s="16">
        <f t="shared" ref="AB13:AB30" si="3">$X$31*$T$3</f>
        <v>985.57076915009827</v>
      </c>
      <c r="AC13" s="16">
        <f>AA13*Y13</f>
        <v>41.433325399799877</v>
      </c>
      <c r="AD13" s="16">
        <f t="shared" ref="AD13:AD30" si="4">(Y13*AB13)/(1-Y13)</f>
        <v>45.306627983526617</v>
      </c>
      <c r="AE13" s="14">
        <v>36</v>
      </c>
    </row>
    <row r="14" spans="9:31" x14ac:dyDescent="0.25">
      <c r="I14" s="99"/>
      <c r="J14" s="100"/>
      <c r="K14" s="64"/>
      <c r="P14" s="111">
        <v>25</v>
      </c>
      <c r="Q14" s="112">
        <v>40</v>
      </c>
      <c r="R14" s="113" t="e">
        <f ca="1">[4]!pd($O$10,P14)</f>
        <v>#NAME?</v>
      </c>
      <c r="S14" s="113">
        <v>10</v>
      </c>
      <c r="T14" s="111">
        <v>52</v>
      </c>
      <c r="U14" s="113">
        <f t="shared" si="0"/>
        <v>35</v>
      </c>
      <c r="V14" s="113" t="e">
        <f ca="1">1/([4]!vtp($O$10,U14,R14))</f>
        <v>#NAME?</v>
      </c>
      <c r="W14" s="113" t="e">
        <f ca="1">V14*$R$7*1000</f>
        <v>#NAME?</v>
      </c>
      <c r="X14" s="112">
        <f>Example!L14</f>
        <v>0.93567674897268194</v>
      </c>
      <c r="Y14" s="112">
        <f>Example!D14</f>
        <v>5.4048612432072526E-2</v>
      </c>
      <c r="Z14" s="115">
        <f>Example!A14</f>
        <v>35.766122238292233</v>
      </c>
      <c r="AA14" s="16">
        <f t="shared" si="2"/>
        <v>935.67674897268193</v>
      </c>
      <c r="AB14" s="16">
        <f t="shared" si="3"/>
        <v>985.57076915009827</v>
      </c>
      <c r="AC14" s="16">
        <f t="shared" ref="AC14:AC30" si="5">AA14*Y14</f>
        <v>50.572029966926102</v>
      </c>
      <c r="AD14" s="16">
        <f t="shared" si="4"/>
        <v>56.312336158339981</v>
      </c>
      <c r="AE14" s="14">
        <v>52</v>
      </c>
    </row>
    <row r="15" spans="9:31" x14ac:dyDescent="0.25">
      <c r="I15" s="99"/>
      <c r="J15" s="100"/>
      <c r="K15" s="64"/>
      <c r="P15" s="111">
        <v>25</v>
      </c>
      <c r="Q15" s="112">
        <v>40</v>
      </c>
      <c r="R15" s="113" t="e">
        <f ca="1">[4]!pd($O$10,P15)</f>
        <v>#NAME?</v>
      </c>
      <c r="S15" s="113">
        <v>10</v>
      </c>
      <c r="T15" s="111">
        <v>40</v>
      </c>
      <c r="U15" s="113">
        <f t="shared" si="0"/>
        <v>35</v>
      </c>
      <c r="V15" s="113" t="e">
        <f ca="1">1/([4]!vtp($O$10,U15,R15))</f>
        <v>#NAME?</v>
      </c>
      <c r="W15" s="113" t="e">
        <f t="shared" ca="1" si="1"/>
        <v>#NAME?</v>
      </c>
      <c r="X15" s="112">
        <f>Example!L15</f>
        <v>0.9484895693794293</v>
      </c>
      <c r="Y15" s="112">
        <f>Example!D15</f>
        <v>4.6506547326397252E-2</v>
      </c>
      <c r="Z15" s="115">
        <f>Example!A15</f>
        <v>63.248004523098082</v>
      </c>
      <c r="AA15" s="16">
        <f t="shared" si="2"/>
        <v>948.48956937942933</v>
      </c>
      <c r="AB15" s="16">
        <f t="shared" si="3"/>
        <v>985.57076915009827</v>
      </c>
      <c r="AC15" s="16">
        <f t="shared" si="5"/>
        <v>44.110975046938577</v>
      </c>
      <c r="AD15" s="16">
        <f t="shared" si="4"/>
        <v>48.071115213711977</v>
      </c>
      <c r="AE15" s="14">
        <v>40</v>
      </c>
    </row>
    <row r="16" spans="9:31" x14ac:dyDescent="0.25">
      <c r="I16" s="99"/>
      <c r="J16" s="100"/>
      <c r="K16" s="64"/>
      <c r="P16" s="14">
        <v>25</v>
      </c>
      <c r="Q16" s="24">
        <v>60</v>
      </c>
      <c r="R16" s="23" t="e">
        <f ca="1">[4]!pd($O$10,P16)</f>
        <v>#NAME?</v>
      </c>
      <c r="S16" s="23">
        <v>10</v>
      </c>
      <c r="T16" s="14">
        <v>55</v>
      </c>
      <c r="U16" s="23">
        <f t="shared" si="0"/>
        <v>35</v>
      </c>
      <c r="V16" s="23" t="e">
        <f ca="1">1/([4]!vtp($O$10,U16,R16))</f>
        <v>#NAME?</v>
      </c>
      <c r="W16" s="23" t="e">
        <f t="shared" ca="1" si="1"/>
        <v>#NAME?</v>
      </c>
      <c r="X16" s="24">
        <f>Example!L16</f>
        <v>0.94033820398175161</v>
      </c>
      <c r="Y16" s="24">
        <f>Example!D16</f>
        <v>5.8269789514773719E-2</v>
      </c>
      <c r="Z16" s="114">
        <f>Example!A16</f>
        <v>50.367972868847033</v>
      </c>
      <c r="AA16" s="16">
        <f t="shared" si="2"/>
        <v>940.33820398175158</v>
      </c>
      <c r="AB16" s="16">
        <f t="shared" si="3"/>
        <v>985.57076915009827</v>
      </c>
      <c r="AC16" s="16">
        <f t="shared" si="5"/>
        <v>54.79330921871702</v>
      </c>
      <c r="AD16" s="16">
        <f t="shared" si="4"/>
        <v>60.982434917001953</v>
      </c>
      <c r="AE16" s="14" t="s">
        <v>30</v>
      </c>
    </row>
    <row r="17" spans="1:31" x14ac:dyDescent="0.25">
      <c r="I17" s="99"/>
      <c r="J17" s="100"/>
      <c r="K17" s="64"/>
      <c r="P17" s="14">
        <v>15</v>
      </c>
      <c r="Q17" s="24">
        <v>70</v>
      </c>
      <c r="R17" s="23" t="e">
        <f ca="1">[4]!pd($O$10,P17)</f>
        <v>#NAME?</v>
      </c>
      <c r="S17" s="23">
        <v>10</v>
      </c>
      <c r="T17" s="14">
        <v>57</v>
      </c>
      <c r="U17" s="23">
        <f t="shared" si="0"/>
        <v>25</v>
      </c>
      <c r="V17" s="23" t="e">
        <f ca="1">1/([4]!vtp($O$10,U17,R17))</f>
        <v>#NAME?</v>
      </c>
      <c r="W17" s="23" t="e">
        <f t="shared" ca="1" si="1"/>
        <v>#NAME?</v>
      </c>
      <c r="X17" s="24">
        <f>Example!L17</f>
        <v>0.92972652289628233</v>
      </c>
      <c r="Y17" s="24">
        <f>Example!D17</f>
        <v>7.3734524757087416E-2</v>
      </c>
      <c r="Z17" s="114">
        <f>Example!A17</f>
        <v>37.833275782529583</v>
      </c>
      <c r="AA17" s="16">
        <f t="shared" si="2"/>
        <v>929.72652289628229</v>
      </c>
      <c r="AB17" s="16">
        <f t="shared" si="3"/>
        <v>985.57076915009827</v>
      </c>
      <c r="AC17" s="16">
        <f t="shared" si="5"/>
        <v>68.552943319816734</v>
      </c>
      <c r="AD17" s="16">
        <f>(Y17*AB17)/(1-Y17)</f>
        <v>78.455468998994903</v>
      </c>
      <c r="AE17" s="14" t="s">
        <v>31</v>
      </c>
    </row>
    <row r="18" spans="1:31" x14ac:dyDescent="0.25">
      <c r="I18" s="99"/>
      <c r="J18" s="100"/>
      <c r="K18" s="64"/>
      <c r="P18" s="14">
        <v>-9</v>
      </c>
      <c r="Q18" s="24">
        <v>70</v>
      </c>
      <c r="R18" s="23" t="e">
        <f ca="1">[4]!pd($O$10,P18)</f>
        <v>#NAME?</v>
      </c>
      <c r="S18" s="23">
        <v>10</v>
      </c>
      <c r="T18" s="14">
        <v>59</v>
      </c>
      <c r="U18" s="23">
        <f t="shared" si="0"/>
        <v>1</v>
      </c>
      <c r="V18" s="23" t="e">
        <f ca="1">1/([4]!vtp($O$10,U18,R18))</f>
        <v>#NAME?</v>
      </c>
      <c r="W18" s="23" t="e">
        <f t="shared" ca="1" si="1"/>
        <v>#NAME?</v>
      </c>
      <c r="X18" s="24">
        <f>Example!L18</f>
        <v>0.94401251994272672</v>
      </c>
      <c r="Y18" s="24">
        <f>Example!D18</f>
        <v>6.4181403874117776E-2</v>
      </c>
      <c r="Z18" s="114">
        <f>Example!A18</f>
        <v>72.185715822816007</v>
      </c>
      <c r="AA18" s="16">
        <f t="shared" si="2"/>
        <v>944.01251994272673</v>
      </c>
      <c r="AB18" s="16">
        <f t="shared" si="3"/>
        <v>985.57076915009827</v>
      </c>
      <c r="AC18" s="16">
        <f t="shared" si="5"/>
        <v>60.588048804667807</v>
      </c>
      <c r="AD18" s="16">
        <f t="shared" si="4"/>
        <v>67.593565508542767</v>
      </c>
      <c r="AE18" s="14" t="s">
        <v>32</v>
      </c>
    </row>
    <row r="19" spans="1:31" x14ac:dyDescent="0.25">
      <c r="A19" s="3"/>
      <c r="B19" s="3"/>
      <c r="C19" s="3"/>
      <c r="D19" s="3"/>
      <c r="E19" s="3"/>
      <c r="F19" s="3"/>
      <c r="G19" s="3"/>
      <c r="H19" s="3"/>
      <c r="I19" s="99"/>
      <c r="J19" s="100"/>
      <c r="K19" s="64"/>
      <c r="O19">
        <v>53</v>
      </c>
      <c r="P19" s="14">
        <v>-15</v>
      </c>
      <c r="Q19" s="24">
        <v>70</v>
      </c>
      <c r="R19" s="23" t="e">
        <f ca="1">[4]!pd($O$10,P19)</f>
        <v>#NAME?</v>
      </c>
      <c r="S19" s="23">
        <v>10</v>
      </c>
      <c r="T19" s="14">
        <v>53</v>
      </c>
      <c r="U19" s="23">
        <f t="shared" si="0"/>
        <v>-5</v>
      </c>
      <c r="V19" s="23" t="e">
        <f ca="1">1/([4]!vtp($O$10,U19,R19))</f>
        <v>#NAME?</v>
      </c>
      <c r="W19" s="23" t="e">
        <f t="shared" ca="1" si="1"/>
        <v>#NAME?</v>
      </c>
      <c r="X19" s="24">
        <f>Example!L19</f>
        <v>0.93095180532127664</v>
      </c>
      <c r="Y19" s="24">
        <f>Example!D19</f>
        <v>8.3508478323491425E-2</v>
      </c>
      <c r="Z19" s="114">
        <f>Example!A19</f>
        <v>49.587088428120886</v>
      </c>
      <c r="AA19" s="16">
        <f t="shared" si="2"/>
        <v>930.95180532127665</v>
      </c>
      <c r="AB19" s="16">
        <f t="shared" si="3"/>
        <v>985.57076915009827</v>
      </c>
      <c r="AC19" s="16">
        <f t="shared" si="5"/>
        <v>77.742368654887045</v>
      </c>
      <c r="AD19" s="16">
        <f t="shared" si="4"/>
        <v>89.802811335649409</v>
      </c>
      <c r="AE19" s="14" t="s">
        <v>7</v>
      </c>
    </row>
    <row r="20" spans="1:31" x14ac:dyDescent="0.25">
      <c r="A20" s="3"/>
      <c r="B20" s="3"/>
      <c r="C20" s="3"/>
      <c r="D20" s="3"/>
      <c r="E20" s="3"/>
      <c r="F20" s="3"/>
      <c r="G20" s="3"/>
      <c r="H20" s="3"/>
      <c r="O20">
        <v>53</v>
      </c>
      <c r="P20" s="14">
        <v>-20</v>
      </c>
      <c r="Q20" s="24">
        <v>70</v>
      </c>
      <c r="R20" s="23" t="e">
        <f ca="1">[4]!pd($O$10,P20)</f>
        <v>#NAME?</v>
      </c>
      <c r="S20" s="23">
        <v>10</v>
      </c>
      <c r="T20" s="14">
        <v>53</v>
      </c>
      <c r="U20" s="23">
        <f t="shared" si="0"/>
        <v>-10</v>
      </c>
      <c r="V20" s="23" t="e">
        <f ca="1">1/([4]!vtp($O$10,U20,R20))</f>
        <v>#NAME?</v>
      </c>
      <c r="W20" s="23" t="e">
        <f t="shared" ca="1" si="1"/>
        <v>#NAME?</v>
      </c>
      <c r="X20" s="24">
        <f>Example!L20</f>
        <v>0.91267914867751443</v>
      </c>
      <c r="Y20" s="24">
        <f>Example!D20</f>
        <v>0.11102456338518646</v>
      </c>
      <c r="Z20" s="114">
        <f>Example!A20</f>
        <v>30.321366528033796</v>
      </c>
      <c r="AA20" s="16">
        <f t="shared" si="2"/>
        <v>912.67914867751438</v>
      </c>
      <c r="AB20" s="16">
        <f t="shared" si="3"/>
        <v>985.57076915009827</v>
      </c>
      <c r="AC20" s="16">
        <f t="shared" si="5"/>
        <v>101.32980399268472</v>
      </c>
      <c r="AD20" s="16">
        <f t="shared" si="4"/>
        <v>123.08840022258573</v>
      </c>
      <c r="AE20" s="14" t="s">
        <v>7</v>
      </c>
    </row>
    <row r="21" spans="1:31" ht="15.75" x14ac:dyDescent="0.25">
      <c r="A21" s="3"/>
      <c r="B21" s="224"/>
      <c r="C21" s="97"/>
      <c r="D21" s="224"/>
      <c r="E21" s="224"/>
      <c r="F21" s="97"/>
      <c r="G21" s="3"/>
      <c r="H21" s="3"/>
      <c r="P21" s="14">
        <v>-30</v>
      </c>
      <c r="Q21" s="24">
        <v>65</v>
      </c>
      <c r="R21" s="23" t="e">
        <f ca="1">[4]!pd($O$10,P21)</f>
        <v>#NAME?</v>
      </c>
      <c r="S21" s="23">
        <v>10</v>
      </c>
      <c r="T21" s="14">
        <v>53</v>
      </c>
      <c r="U21" s="23">
        <f t="shared" si="0"/>
        <v>-20</v>
      </c>
      <c r="V21" s="23" t="e">
        <f ca="1">1/([4]!vtp($O$10,U21,R21))</f>
        <v>#NAME?</v>
      </c>
      <c r="W21" s="23" t="e">
        <f t="shared" ca="1" si="1"/>
        <v>#NAME?</v>
      </c>
      <c r="X21" s="24">
        <f>Example!L21</f>
        <v>0.94594345101297228</v>
      </c>
      <c r="Y21" s="24">
        <f>Example!D21</f>
        <v>2.8985359955491036E-2</v>
      </c>
      <c r="Z21" s="114">
        <f>Example!A21</f>
        <v>38.034716572172933</v>
      </c>
      <c r="AA21" s="16">
        <f t="shared" si="2"/>
        <v>945.94345101297233</v>
      </c>
      <c r="AB21" s="16">
        <f t="shared" si="3"/>
        <v>985.57076915009827</v>
      </c>
      <c r="AC21" s="16">
        <f t="shared" si="5"/>
        <v>27.418511425150406</v>
      </c>
      <c r="AD21" s="16">
        <f t="shared" si="4"/>
        <v>29.419868998181439</v>
      </c>
      <c r="AE21" s="14">
        <v>53</v>
      </c>
    </row>
    <row r="22" spans="1:31" ht="15.75" x14ac:dyDescent="0.25">
      <c r="A22" s="3"/>
      <c r="B22" s="224"/>
      <c r="C22" s="97"/>
      <c r="D22" s="224"/>
      <c r="E22" s="224"/>
      <c r="F22" s="97"/>
      <c r="G22" s="3"/>
      <c r="H22" s="3"/>
      <c r="P22" s="14">
        <v>-35</v>
      </c>
      <c r="Q22" s="24">
        <v>50</v>
      </c>
      <c r="R22" s="23" t="e">
        <f ca="1">[4]!pd($O$10,P22)</f>
        <v>#NAME?</v>
      </c>
      <c r="S22" s="23">
        <v>10</v>
      </c>
      <c r="T22" s="14">
        <v>53</v>
      </c>
      <c r="U22" s="23">
        <f t="shared" si="0"/>
        <v>-25</v>
      </c>
      <c r="V22" s="23" t="e">
        <f ca="1">1/([4]!vtp($O$10,U22,R22))</f>
        <v>#NAME?</v>
      </c>
      <c r="W22" s="23" t="e">
        <f t="shared" ca="1" si="1"/>
        <v>#NAME?</v>
      </c>
      <c r="X22" s="24">
        <f>Example!L22</f>
        <v>0.94173557880886327</v>
      </c>
      <c r="Y22" s="24">
        <f>Example!D22</f>
        <v>3.4891247864576258E-2</v>
      </c>
      <c r="Z22" s="114">
        <f>Example!A22</f>
        <v>34.261586244494161</v>
      </c>
      <c r="AA22" s="16">
        <f t="shared" si="2"/>
        <v>941.73557880886324</v>
      </c>
      <c r="AB22" s="16">
        <f t="shared" si="3"/>
        <v>985.57076915009827</v>
      </c>
      <c r="AC22" s="16">
        <f t="shared" si="5"/>
        <v>32.858329503110234</v>
      </c>
      <c r="AD22" s="16">
        <f t="shared" si="4"/>
        <v>35.631004193475448</v>
      </c>
      <c r="AE22" s="14">
        <v>53</v>
      </c>
    </row>
    <row r="23" spans="1:31" ht="15.75" x14ac:dyDescent="0.25">
      <c r="A23" s="3"/>
      <c r="B23" s="97"/>
      <c r="C23" s="97"/>
      <c r="D23" s="97"/>
      <c r="E23" s="97"/>
      <c r="F23" s="98"/>
      <c r="G23" s="3"/>
      <c r="H23" s="3"/>
      <c r="P23" s="14">
        <v>-30</v>
      </c>
      <c r="Q23" s="24">
        <v>45</v>
      </c>
      <c r="R23" s="23" t="e">
        <f ca="1">[4]!pd($O$10,P23)</f>
        <v>#NAME?</v>
      </c>
      <c r="S23" s="23">
        <v>10</v>
      </c>
      <c r="T23" s="14">
        <v>53</v>
      </c>
      <c r="U23" s="23">
        <f t="shared" si="0"/>
        <v>-20</v>
      </c>
      <c r="V23" s="23" t="e">
        <f ca="1">1/([4]!vtp($O$10,U23,R23))</f>
        <v>#NAME?</v>
      </c>
      <c r="W23" s="23" t="e">
        <f t="shared" ca="1" si="1"/>
        <v>#NAME?</v>
      </c>
      <c r="X23" s="24">
        <f>Example!L23</f>
        <v>0.93662032343662549</v>
      </c>
      <c r="Y23" s="24">
        <f>Example!D23</f>
        <v>4.2101781835726694E-2</v>
      </c>
      <c r="Z23" s="114">
        <f>Example!A23</f>
        <v>30.227718174222922</v>
      </c>
      <c r="AA23" s="16">
        <f t="shared" si="2"/>
        <v>936.62032343662554</v>
      </c>
      <c r="AB23" s="16">
        <f t="shared" si="3"/>
        <v>985.57076915009827</v>
      </c>
      <c r="AC23" s="16">
        <f t="shared" si="5"/>
        <v>39.433384520236579</v>
      </c>
      <c r="AD23" s="16">
        <f t="shared" si="4"/>
        <v>43.318052711223217</v>
      </c>
      <c r="AE23" s="14">
        <v>53</v>
      </c>
    </row>
    <row r="24" spans="1:31" ht="15.75" x14ac:dyDescent="0.25">
      <c r="A24" s="3"/>
      <c r="B24" s="97"/>
      <c r="C24" s="97"/>
      <c r="D24" s="97"/>
      <c r="E24" s="97"/>
      <c r="F24" s="98"/>
      <c r="G24" s="3"/>
      <c r="H24" s="3"/>
      <c r="P24" s="14">
        <v>-30</v>
      </c>
      <c r="Q24" s="24">
        <v>35</v>
      </c>
      <c r="R24" s="23" t="e">
        <f ca="1">[4]!pd($O$10,P24)</f>
        <v>#NAME?</v>
      </c>
      <c r="S24" s="23">
        <v>10</v>
      </c>
      <c r="T24" s="14">
        <v>47</v>
      </c>
      <c r="U24" s="23">
        <f t="shared" si="0"/>
        <v>-20</v>
      </c>
      <c r="V24" s="23" t="e">
        <f ca="1">1/([4]!vtp($O$10,U24,R24))</f>
        <v>#NAME?</v>
      </c>
      <c r="W24" s="23" t="e">
        <f t="shared" ca="1" si="1"/>
        <v>#NAME?</v>
      </c>
      <c r="X24" s="24">
        <f>Example!L24</f>
        <v>0.98557076915009822</v>
      </c>
      <c r="Y24" s="24">
        <f>Example!D24</f>
        <v>1.5005905554972734E-2</v>
      </c>
      <c r="Z24" s="114">
        <f>Example!A24</f>
        <v>37.563980687090307</v>
      </c>
      <c r="AA24" s="16">
        <f t="shared" si="2"/>
        <v>985.57076915009827</v>
      </c>
      <c r="AB24" s="16">
        <f t="shared" si="3"/>
        <v>985.57076915009827</v>
      </c>
      <c r="AC24" s="16">
        <f t="shared" si="5"/>
        <v>14.789381879608211</v>
      </c>
      <c r="AD24" s="16">
        <f t="shared" si="4"/>
        <v>15.014690913391673</v>
      </c>
      <c r="AE24" s="14">
        <v>47</v>
      </c>
    </row>
    <row r="25" spans="1:31" ht="15.75" x14ac:dyDescent="0.25">
      <c r="A25" s="3"/>
      <c r="B25" s="97"/>
      <c r="C25" s="97"/>
      <c r="D25" s="97"/>
      <c r="E25" s="97"/>
      <c r="F25" s="98"/>
      <c r="G25" s="3"/>
      <c r="H25" s="3"/>
      <c r="O25" t="s">
        <v>25</v>
      </c>
      <c r="P25" s="14">
        <v>-18</v>
      </c>
      <c r="Q25" s="24">
        <v>62</v>
      </c>
      <c r="R25" s="23" t="e">
        <f ca="1">[4]!pd($O$10,P25)</f>
        <v>#NAME?</v>
      </c>
      <c r="S25" s="23">
        <v>10</v>
      </c>
      <c r="T25" s="14">
        <v>52</v>
      </c>
      <c r="U25" s="23">
        <f t="shared" si="0"/>
        <v>-8</v>
      </c>
      <c r="V25" s="23" t="e">
        <f ca="1">1/([4]!vtp($O$10,U25,R25))</f>
        <v>#NAME?</v>
      </c>
      <c r="W25" s="23" t="e">
        <f t="shared" ca="1" si="1"/>
        <v>#NAME?</v>
      </c>
      <c r="X25" s="24">
        <f>Example!L25</f>
        <v>0.98133164704588316</v>
      </c>
      <c r="Y25" s="24">
        <f>Example!D25</f>
        <v>2.1096426113906417E-2</v>
      </c>
      <c r="Z25" s="114">
        <f>Example!A25</f>
        <v>28.420371751368311</v>
      </c>
      <c r="AA25" s="16">
        <f t="shared" si="2"/>
        <v>981.33164704588319</v>
      </c>
      <c r="AB25" s="16">
        <f t="shared" si="3"/>
        <v>985.57076915009827</v>
      </c>
      <c r="AC25" s="16">
        <f t="shared" si="5"/>
        <v>20.702590585141564</v>
      </c>
      <c r="AD25" s="16">
        <f t="shared" si="4"/>
        <v>21.240111351172111</v>
      </c>
      <c r="AE25" s="14" t="s">
        <v>33</v>
      </c>
    </row>
    <row r="26" spans="1:31" ht="15.75" x14ac:dyDescent="0.25">
      <c r="A26" s="3"/>
      <c r="B26" s="97"/>
      <c r="C26" s="97"/>
      <c r="D26" s="97"/>
      <c r="E26" s="97"/>
      <c r="F26" s="98"/>
      <c r="G26" s="3"/>
      <c r="H26" s="3"/>
      <c r="O26" t="s">
        <v>26</v>
      </c>
      <c r="P26" s="14">
        <v>-18</v>
      </c>
      <c r="Q26" s="24">
        <v>58</v>
      </c>
      <c r="R26" s="23" t="e">
        <f ca="1">[4]!pd($O$10,P26)</f>
        <v>#NAME?</v>
      </c>
      <c r="S26" s="23">
        <v>10</v>
      </c>
      <c r="T26" s="14">
        <v>52</v>
      </c>
      <c r="U26" s="23">
        <f t="shared" si="0"/>
        <v>-8</v>
      </c>
      <c r="V26" s="23" t="e">
        <f ca="1">1/([4]!vtp($O$10,U26,R26))</f>
        <v>#NAME?</v>
      </c>
      <c r="W26" s="23" t="e">
        <f t="shared" ca="1" si="1"/>
        <v>#NAME?</v>
      </c>
      <c r="X26" s="24">
        <f>Example!L26</f>
        <v>0.98133160986352252</v>
      </c>
      <c r="Y26" s="24">
        <f>Example!D26</f>
        <v>2.1096479651136393E-2</v>
      </c>
      <c r="Z26" s="114">
        <f>Example!A26</f>
        <v>28.420456601995689</v>
      </c>
      <c r="AA26" s="16">
        <f t="shared" si="2"/>
        <v>981.33160986352254</v>
      </c>
      <c r="AB26" s="16">
        <f t="shared" si="3"/>
        <v>985.57076915009827</v>
      </c>
      <c r="AC26" s="16">
        <f t="shared" si="5"/>
        <v>20.70264233850272</v>
      </c>
      <c r="AD26" s="16">
        <f t="shared" si="4"/>
        <v>21.240166414684023</v>
      </c>
      <c r="AE26" s="14" t="s">
        <v>33</v>
      </c>
    </row>
    <row r="27" spans="1:31" ht="15.75" x14ac:dyDescent="0.25">
      <c r="A27" s="3"/>
      <c r="B27" s="97"/>
      <c r="C27" s="97"/>
      <c r="D27" s="97"/>
      <c r="E27" s="97"/>
      <c r="F27" s="98"/>
      <c r="G27" s="3"/>
      <c r="H27" s="3"/>
      <c r="O27" t="s">
        <v>27</v>
      </c>
      <c r="P27" s="14">
        <v>-5</v>
      </c>
      <c r="Q27" s="24">
        <v>43</v>
      </c>
      <c r="R27" s="23" t="e">
        <f ca="1">[4]!pd($O$10,P27)</f>
        <v>#NAME?</v>
      </c>
      <c r="S27" s="23">
        <v>10</v>
      </c>
      <c r="T27" s="14">
        <v>41</v>
      </c>
      <c r="U27" s="23">
        <f t="shared" si="0"/>
        <v>5</v>
      </c>
      <c r="V27" s="23" t="e">
        <f ca="1">1/([4]!vtp($O$10,U27,R27))</f>
        <v>#NAME?</v>
      </c>
      <c r="W27" s="23" t="e">
        <f t="shared" ca="1" si="1"/>
        <v>#NAME?</v>
      </c>
      <c r="X27" s="24">
        <f>Example!L27</f>
        <v>0.9674921094463248</v>
      </c>
      <c r="Y27" s="24">
        <f>Example!D27</f>
        <v>4.1166736021907707E-2</v>
      </c>
      <c r="Z27" s="114">
        <f>Example!A27</f>
        <v>29.631659818890377</v>
      </c>
      <c r="AA27" s="16">
        <f t="shared" si="2"/>
        <v>967.49210944632478</v>
      </c>
      <c r="AB27" s="16">
        <f t="shared" si="3"/>
        <v>985.57076915009827</v>
      </c>
      <c r="AC27" s="16">
        <f t="shared" si="5"/>
        <v>39.828492272855492</v>
      </c>
      <c r="AD27" s="16">
        <f t="shared" si="4"/>
        <v>42.314689330008115</v>
      </c>
      <c r="AE27" s="14" t="s">
        <v>34</v>
      </c>
    </row>
    <row r="28" spans="1:31" ht="15.75" x14ac:dyDescent="0.25">
      <c r="A28" s="3"/>
      <c r="B28" s="97"/>
      <c r="C28" s="97"/>
      <c r="D28" s="97"/>
      <c r="E28" s="97"/>
      <c r="F28" s="98"/>
      <c r="G28" s="3"/>
      <c r="H28" s="3"/>
      <c r="O28" t="s">
        <v>28</v>
      </c>
      <c r="P28" s="14">
        <v>0</v>
      </c>
      <c r="Q28" s="24">
        <v>56</v>
      </c>
      <c r="R28" s="23" t="e">
        <f ca="1">[4]!pd($O$10,P28)</f>
        <v>#NAME?</v>
      </c>
      <c r="S28" s="23">
        <v>10</v>
      </c>
      <c r="T28" s="14">
        <v>50</v>
      </c>
      <c r="U28" s="23">
        <f t="shared" si="0"/>
        <v>10</v>
      </c>
      <c r="V28" s="23" t="e">
        <f ca="1">1/([4]!vtp($O$10,U28,R28))</f>
        <v>#NAME?</v>
      </c>
      <c r="W28" s="23" t="e">
        <f t="shared" ca="1" si="1"/>
        <v>#NAME?</v>
      </c>
      <c r="X28" s="24">
        <f>Example!L28</f>
        <v>0.9677609223544269</v>
      </c>
      <c r="Y28" s="24">
        <f>Example!D28</f>
        <v>4.0774129865342491E-2</v>
      </c>
      <c r="Z28" s="114">
        <f>Example!A28</f>
        <v>21.987020887980933</v>
      </c>
      <c r="AA28" s="16">
        <f t="shared" si="2"/>
        <v>967.76092235442695</v>
      </c>
      <c r="AB28" s="16">
        <f t="shared" si="3"/>
        <v>985.57076915009827</v>
      </c>
      <c r="AC28" s="16">
        <f t="shared" si="5"/>
        <v>39.459609526683039</v>
      </c>
      <c r="AD28" s="16">
        <f t="shared" si="4"/>
        <v>41.893981161256896</v>
      </c>
      <c r="AE28" s="14" t="s">
        <v>35</v>
      </c>
    </row>
    <row r="29" spans="1:31" ht="15.75" x14ac:dyDescent="0.25">
      <c r="A29" s="3"/>
      <c r="B29" s="97"/>
      <c r="C29" s="97"/>
      <c r="D29" s="97"/>
      <c r="E29" s="97"/>
      <c r="F29" s="98"/>
      <c r="G29" s="3"/>
      <c r="H29" s="3"/>
      <c r="O29" t="s">
        <v>29</v>
      </c>
      <c r="P29" s="14">
        <v>-20</v>
      </c>
      <c r="Q29" s="24">
        <v>57</v>
      </c>
      <c r="R29" s="23" t="e">
        <f ca="1">[4]!pd($O$10,P29)</f>
        <v>#NAME?</v>
      </c>
      <c r="S29" s="23">
        <v>10</v>
      </c>
      <c r="T29" s="14">
        <v>50</v>
      </c>
      <c r="U29" s="23">
        <f t="shared" si="0"/>
        <v>-10</v>
      </c>
      <c r="V29" s="23" t="e">
        <f ca="1">1/([4]!vtp($O$10,U29,R29))</f>
        <v>#NAME?</v>
      </c>
      <c r="W29" s="23" t="e">
        <f t="shared" ca="1" si="1"/>
        <v>#NAME?</v>
      </c>
      <c r="X29" s="24">
        <f>Example!L29</f>
        <v>0.98186602861680072</v>
      </c>
      <c r="Y29" s="24">
        <f>Example!D29</f>
        <v>2.03272044373436E-2</v>
      </c>
      <c r="Z29" s="114">
        <f>Example!A29</f>
        <v>30.816001947400682</v>
      </c>
      <c r="AA29" s="16">
        <f t="shared" si="2"/>
        <v>981.86602861680069</v>
      </c>
      <c r="AB29" s="16">
        <f t="shared" si="3"/>
        <v>985.57076915009827</v>
      </c>
      <c r="AC29" s="16">
        <f t="shared" si="5"/>
        <v>19.958591493776371</v>
      </c>
      <c r="AD29" s="16">
        <f t="shared" si="4"/>
        <v>20.44958133238551</v>
      </c>
      <c r="AE29" s="14" t="s">
        <v>36</v>
      </c>
    </row>
    <row r="30" spans="1:31" x14ac:dyDescent="0.25">
      <c r="A30" s="3"/>
      <c r="B30" s="3"/>
      <c r="C30" s="3"/>
      <c r="D30" s="3"/>
      <c r="E30" s="3"/>
      <c r="F30" s="3"/>
      <c r="G30" s="3"/>
      <c r="H30" s="3"/>
      <c r="O30" t="s">
        <v>29</v>
      </c>
      <c r="P30" s="14">
        <v>7</v>
      </c>
      <c r="Q30" s="24">
        <v>30</v>
      </c>
      <c r="R30" s="23" t="e">
        <f ca="1">[4]!pd($O$10,P30)</f>
        <v>#NAME?</v>
      </c>
      <c r="S30" s="23">
        <v>10</v>
      </c>
      <c r="T30" s="14">
        <v>42</v>
      </c>
      <c r="U30" s="23">
        <f t="shared" si="0"/>
        <v>17</v>
      </c>
      <c r="V30" s="23" t="e">
        <f ca="1">1/([4]!vtp($O$10,U30,R30))</f>
        <v>#NAME?</v>
      </c>
      <c r="W30" s="23" t="e">
        <f t="shared" ca="1" si="1"/>
        <v>#NAME?</v>
      </c>
      <c r="X30" s="24">
        <f>Example!L30</f>
        <v>0.95223178991578983</v>
      </c>
      <c r="Y30" s="24">
        <f>Example!D30</f>
        <v>6.3640241616931603E-2</v>
      </c>
      <c r="Z30" s="114">
        <f>Example!A30</f>
        <v>19.747777602904364</v>
      </c>
      <c r="AA30" s="16">
        <f t="shared" si="2"/>
        <v>952.23178991578982</v>
      </c>
      <c r="AB30" s="16">
        <f t="shared" si="3"/>
        <v>985.57076915009827</v>
      </c>
      <c r="AC30" s="16">
        <f t="shared" si="5"/>
        <v>60.600261185564122</v>
      </c>
      <c r="AD30" s="16">
        <f t="shared" si="4"/>
        <v>66.984896902882042</v>
      </c>
      <c r="AE30" s="14" t="s">
        <v>37</v>
      </c>
    </row>
    <row r="31" spans="1:31" x14ac:dyDescent="0.25">
      <c r="A31" s="3"/>
      <c r="B31" s="3"/>
      <c r="C31" s="3"/>
      <c r="D31" s="3"/>
      <c r="E31" s="3"/>
      <c r="F31" s="3"/>
      <c r="G31" s="3"/>
      <c r="H31" s="3"/>
      <c r="W31" s="101" t="s">
        <v>93</v>
      </c>
      <c r="X31" s="102">
        <f>MAX(X12:X30)</f>
        <v>0.98557076915009822</v>
      </c>
    </row>
    <row r="32" spans="1:31" x14ac:dyDescent="0.25">
      <c r="A32" s="3"/>
      <c r="B32" s="3"/>
      <c r="C32" s="3"/>
      <c r="D32" s="3"/>
      <c r="E32" s="3"/>
      <c r="F32" s="3"/>
      <c r="G32" s="3"/>
      <c r="H32" s="3"/>
    </row>
    <row r="33" spans="1:8" x14ac:dyDescent="0.25">
      <c r="A33" s="3"/>
      <c r="B33" s="3"/>
      <c r="C33" s="3"/>
      <c r="D33" s="3"/>
      <c r="E33" s="3"/>
      <c r="F33" s="3"/>
      <c r="G33" s="3"/>
      <c r="H33" s="3"/>
    </row>
    <row r="34" spans="1:8" x14ac:dyDescent="0.25">
      <c r="A34" s="3"/>
      <c r="B34" s="3"/>
      <c r="C34" s="3"/>
      <c r="D34" s="3"/>
      <c r="E34" s="3"/>
      <c r="F34" s="3"/>
      <c r="G34" s="3"/>
      <c r="H34" s="3"/>
    </row>
    <row r="35" spans="1:8" x14ac:dyDescent="0.25">
      <c r="A35" s="3"/>
      <c r="B35" s="3"/>
      <c r="C35" s="3"/>
      <c r="D35" s="3"/>
      <c r="E35" s="3"/>
      <c r="F35" s="3"/>
      <c r="G35" s="3"/>
      <c r="H35" s="3"/>
    </row>
    <row r="36" spans="1:8" x14ac:dyDescent="0.25">
      <c r="A36" s="3"/>
      <c r="B36" s="3"/>
      <c r="C36" s="3"/>
      <c r="D36" s="3"/>
      <c r="E36" s="3"/>
      <c r="F36" s="3"/>
      <c r="G36" s="3"/>
      <c r="H36" s="3"/>
    </row>
  </sheetData>
  <mergeCells count="3">
    <mergeCell ref="B21:B22"/>
    <mergeCell ref="D21:D22"/>
    <mergeCell ref="E21:E22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zoomScale="90" zoomScaleNormal="90" workbookViewId="0">
      <selection activeCell="Q34" sqref="Q34"/>
    </sheetView>
  </sheetViews>
  <sheetFormatPr defaultRowHeight="15" x14ac:dyDescent="0.25"/>
  <cols>
    <col min="1" max="1" width="9.140625" style="116"/>
    <col min="2" max="5" width="5.7109375" style="116" customWidth="1"/>
    <col min="6" max="6" width="8.140625" style="116" bestFit="1" customWidth="1"/>
    <col min="7" max="7" width="7.42578125" style="116" bestFit="1" customWidth="1"/>
    <col min="8" max="8" width="7.28515625" style="116" bestFit="1" customWidth="1"/>
    <col min="9" max="9" width="8.140625" style="116" bestFit="1" customWidth="1"/>
    <col min="10" max="10" width="5.7109375" style="116" customWidth="1"/>
    <col min="11" max="11" width="9.85546875" style="116" customWidth="1"/>
    <col min="12" max="12" width="5.85546875" style="116" customWidth="1"/>
    <col min="13" max="13" width="10" style="116" customWidth="1"/>
    <col min="14" max="14" width="5.7109375" style="116" customWidth="1"/>
    <col min="15" max="15" width="10" style="116" customWidth="1"/>
    <col min="16" max="16" width="6.28515625" style="116" customWidth="1"/>
    <col min="17" max="17" width="9.140625" style="116"/>
    <col min="18" max="18" width="10.5703125" style="116" bestFit="1" customWidth="1"/>
    <col min="19" max="16384" width="9.140625" style="116"/>
  </cols>
  <sheetData>
    <row r="1" spans="1:21" ht="15.75" thickBot="1" x14ac:dyDescent="0.3"/>
    <row r="2" spans="1:21" ht="15.75" thickBot="1" x14ac:dyDescent="0.3">
      <c r="B2" s="118" t="s">
        <v>0</v>
      </c>
      <c r="C2" s="228" t="s">
        <v>97</v>
      </c>
      <c r="D2" s="228"/>
      <c r="K2" s="225" t="s">
        <v>98</v>
      </c>
      <c r="L2" s="226"/>
      <c r="M2" s="225" t="s">
        <v>99</v>
      </c>
      <c r="N2" s="227"/>
      <c r="O2" s="225" t="s">
        <v>101</v>
      </c>
      <c r="P2" s="226"/>
    </row>
    <row r="3" spans="1:21" ht="36" customHeight="1" x14ac:dyDescent="0.25">
      <c r="B3" s="119" t="s">
        <v>2</v>
      </c>
      <c r="C3" s="120" t="s">
        <v>3</v>
      </c>
      <c r="D3" s="120" t="s">
        <v>1</v>
      </c>
      <c r="E3" s="120" t="s">
        <v>23</v>
      </c>
      <c r="F3" s="120" t="s">
        <v>88</v>
      </c>
      <c r="G3" s="120" t="s">
        <v>100</v>
      </c>
      <c r="H3" s="120" t="s">
        <v>90</v>
      </c>
      <c r="I3" s="120" t="s">
        <v>18</v>
      </c>
      <c r="J3" s="120" t="s">
        <v>13</v>
      </c>
      <c r="K3" s="140" t="s">
        <v>102</v>
      </c>
      <c r="L3" s="149" t="s">
        <v>104</v>
      </c>
      <c r="M3" s="140" t="s">
        <v>102</v>
      </c>
      <c r="N3" s="149" t="s">
        <v>104</v>
      </c>
      <c r="O3" s="140" t="s">
        <v>103</v>
      </c>
      <c r="P3" s="149" t="s">
        <v>104</v>
      </c>
      <c r="R3" s="155" t="s">
        <v>109</v>
      </c>
      <c r="S3" s="116" t="s">
        <v>105</v>
      </c>
      <c r="T3" s="155" t="s">
        <v>108</v>
      </c>
    </row>
    <row r="4" spans="1:21" ht="15.75" thickBot="1" x14ac:dyDescent="0.3">
      <c r="B4" s="21" t="s">
        <v>19</v>
      </c>
      <c r="C4" s="133" t="s">
        <v>19</v>
      </c>
      <c r="D4" s="133" t="s">
        <v>5</v>
      </c>
      <c r="E4" s="133" t="s">
        <v>19</v>
      </c>
      <c r="F4" s="133" t="s">
        <v>89</v>
      </c>
      <c r="G4" s="133" t="s">
        <v>74</v>
      </c>
      <c r="H4" s="133" t="s">
        <v>53</v>
      </c>
      <c r="I4" s="133" t="s">
        <v>91</v>
      </c>
      <c r="J4" s="133" t="s">
        <v>96</v>
      </c>
      <c r="K4" s="21" t="s">
        <v>74</v>
      </c>
      <c r="L4" s="134" t="s">
        <v>74</v>
      </c>
      <c r="M4" s="21" t="s">
        <v>74</v>
      </c>
      <c r="N4" s="133" t="s">
        <v>74</v>
      </c>
      <c r="O4" s="21" t="s">
        <v>74</v>
      </c>
      <c r="P4" s="134" t="s">
        <v>74</v>
      </c>
      <c r="R4" s="116" t="s">
        <v>106</v>
      </c>
      <c r="S4" s="116" t="s">
        <v>107</v>
      </c>
      <c r="T4" s="116" t="s">
        <v>74</v>
      </c>
      <c r="U4" s="116" t="s">
        <v>110</v>
      </c>
    </row>
    <row r="5" spans="1:21" x14ac:dyDescent="0.25">
      <c r="A5" s="117"/>
      <c r="B5" s="136">
        <f>'Calculation (1l)'!P12</f>
        <v>-30</v>
      </c>
      <c r="C5" s="150">
        <v>17</v>
      </c>
      <c r="D5" s="151" t="e">
        <f ca="1">'Calculation (1l)'!R12</f>
        <v>#NAME?</v>
      </c>
      <c r="E5" s="150">
        <f>'Calculation (1l)'!T12</f>
        <v>40</v>
      </c>
      <c r="F5" s="151" t="e">
        <f ca="1">'Calculation (1l)'!V12</f>
        <v>#NAME?</v>
      </c>
      <c r="G5" s="152" t="e">
        <f ca="1">'Calculation (1l)'!W12</f>
        <v>#NAME?</v>
      </c>
      <c r="H5" s="153">
        <f>'Calculation (1l)'!X12</f>
        <v>0.94840648200600086</v>
      </c>
      <c r="I5" s="154">
        <f>'Calculation (1l)'!Y12</f>
        <v>3.5915795688294637E-2</v>
      </c>
      <c r="J5" s="152">
        <f>'Calculation (1l)'!Z12</f>
        <v>49.894665692220961</v>
      </c>
      <c r="K5" s="137">
        <f>'Calculation (2.5 l)'!AD12</f>
        <v>91.790629446164218</v>
      </c>
      <c r="L5" s="138" t="e">
        <f ca="1">K5+G5</f>
        <v>#NAME?</v>
      </c>
      <c r="M5" s="137">
        <f>'Calculation (1.5 l)'!AD12</f>
        <v>55.074377667698528</v>
      </c>
      <c r="N5" s="138" t="e">
        <f ca="1">M5+G5</f>
        <v>#NAME?</v>
      </c>
      <c r="O5" s="137">
        <f>'Calculation (1l)'!AD12</f>
        <v>36.716251778465683</v>
      </c>
      <c r="P5" s="138" t="e">
        <f ca="1">O5+G5</f>
        <v>#NAME?</v>
      </c>
      <c r="R5" s="116">
        <v>0.5</v>
      </c>
      <c r="S5" s="116">
        <v>1</v>
      </c>
      <c r="T5" s="116">
        <f>S5/100*R5*1000</f>
        <v>5</v>
      </c>
      <c r="U5" s="116" t="s">
        <v>111</v>
      </c>
    </row>
    <row r="6" spans="1:21" x14ac:dyDescent="0.25">
      <c r="A6" s="117"/>
      <c r="B6" s="121">
        <f>'Calculation (1l)'!P13</f>
        <v>-11</v>
      </c>
      <c r="C6" s="20">
        <v>17</v>
      </c>
      <c r="D6" s="122" t="e">
        <f ca="1">'Calculation (1l)'!R13</f>
        <v>#NAME?</v>
      </c>
      <c r="E6" s="20">
        <f>'Calculation (1l)'!T13</f>
        <v>36</v>
      </c>
      <c r="F6" s="122" t="e">
        <f ca="1">'Calculation (1l)'!V13</f>
        <v>#NAME?</v>
      </c>
      <c r="G6" s="123" t="e">
        <f ca="1">'Calculation (1l)'!W13</f>
        <v>#NAME?</v>
      </c>
      <c r="H6" s="124">
        <f>'Calculation (1l)'!X13</f>
        <v>0.94274680204111483</v>
      </c>
      <c r="I6" s="125">
        <f>'Calculation (1l)'!Y13</f>
        <v>4.3949579367539342E-2</v>
      </c>
      <c r="J6" s="123">
        <f>'Calculation (1l)'!Z13</f>
        <v>42.954854066425661</v>
      </c>
      <c r="K6" s="135">
        <f>'Calculation (2.5 l)'!AD13</f>
        <v>113.26656995881655</v>
      </c>
      <c r="L6" s="126" t="e">
        <f t="shared" ref="L6:L23" ca="1" si="0">K6+G6</f>
        <v>#NAME?</v>
      </c>
      <c r="M6" s="135">
        <f>'Calculation (1.5 l)'!AD13</f>
        <v>67.959941975289922</v>
      </c>
      <c r="N6" s="126" t="e">
        <f t="shared" ref="N6:N23" ca="1" si="1">M6+G6</f>
        <v>#NAME?</v>
      </c>
      <c r="O6" s="135">
        <f>'Calculation (1l)'!AD13</f>
        <v>45.306627983526617</v>
      </c>
      <c r="P6" s="126" t="e">
        <f t="shared" ref="P6:P23" ca="1" si="2">O6+G6</f>
        <v>#NAME?</v>
      </c>
      <c r="R6" s="116">
        <v>0.5</v>
      </c>
      <c r="S6" s="116">
        <v>4</v>
      </c>
      <c r="T6" s="116">
        <f t="shared" ref="T6:T10" si="3">S6/100*R6*1000</f>
        <v>20</v>
      </c>
    </row>
    <row r="7" spans="1:21" x14ac:dyDescent="0.25">
      <c r="A7" s="117"/>
      <c r="B7" s="141">
        <f>'Calculation (1l)'!P14</f>
        <v>25</v>
      </c>
      <c r="C7" s="142">
        <v>40</v>
      </c>
      <c r="D7" s="143" t="e">
        <f ca="1">'Calculation (1l)'!R14</f>
        <v>#NAME?</v>
      </c>
      <c r="E7" s="142">
        <f>'Calculation (1l)'!T14</f>
        <v>52</v>
      </c>
      <c r="F7" s="143" t="e">
        <f ca="1">'Calculation (1l)'!V14</f>
        <v>#NAME?</v>
      </c>
      <c r="G7" s="144" t="e">
        <f ca="1">'Calculation (1l)'!W14</f>
        <v>#NAME?</v>
      </c>
      <c r="H7" s="145">
        <f>'Calculation (1l)'!X14</f>
        <v>0.93567674897268194</v>
      </c>
      <c r="I7" s="146">
        <f>'Calculation (1l)'!Y14</f>
        <v>5.4048612432072526E-2</v>
      </c>
      <c r="J7" s="144">
        <f>'Calculation (1l)'!Z14</f>
        <v>35.766122238292233</v>
      </c>
      <c r="K7" s="147">
        <f>'Calculation (2.5 l)'!AD14</f>
        <v>140.78084039584994</v>
      </c>
      <c r="L7" s="148" t="e">
        <f t="shared" ca="1" si="0"/>
        <v>#NAME?</v>
      </c>
      <c r="M7" s="147">
        <f>'Calculation (1.5 l)'!AD14</f>
        <v>84.468504237509975</v>
      </c>
      <c r="N7" s="148" t="e">
        <f t="shared" ca="1" si="1"/>
        <v>#NAME?</v>
      </c>
      <c r="O7" s="147">
        <f>'Calculation (1l)'!AD14</f>
        <v>56.312336158339981</v>
      </c>
      <c r="P7" s="148" t="e">
        <f t="shared" ca="1" si="2"/>
        <v>#NAME?</v>
      </c>
      <c r="R7" s="116">
        <v>1</v>
      </c>
      <c r="S7" s="116">
        <v>1</v>
      </c>
      <c r="T7" s="116">
        <f t="shared" si="3"/>
        <v>10</v>
      </c>
    </row>
    <row r="8" spans="1:21" x14ac:dyDescent="0.25">
      <c r="A8" s="117"/>
      <c r="B8" s="141">
        <f>'Calculation (1l)'!P15</f>
        <v>25</v>
      </c>
      <c r="C8" s="142">
        <v>40</v>
      </c>
      <c r="D8" s="143" t="e">
        <f ca="1">'Calculation (1l)'!R15</f>
        <v>#NAME?</v>
      </c>
      <c r="E8" s="142">
        <f>'Calculation (1l)'!T15</f>
        <v>40</v>
      </c>
      <c r="F8" s="143" t="e">
        <f ca="1">'Calculation (1l)'!V15</f>
        <v>#NAME?</v>
      </c>
      <c r="G8" s="144" t="e">
        <f ca="1">'Calculation (1l)'!W15</f>
        <v>#NAME?</v>
      </c>
      <c r="H8" s="145">
        <f>'Calculation (1l)'!X15</f>
        <v>0.9484895693794293</v>
      </c>
      <c r="I8" s="146">
        <f>'Calculation (1l)'!Y15</f>
        <v>4.6506547326397252E-2</v>
      </c>
      <c r="J8" s="144">
        <f>'Calculation (1l)'!Z15</f>
        <v>63.248004523098082</v>
      </c>
      <c r="K8" s="147">
        <f>'Calculation (2.5 l)'!AD15</f>
        <v>120.17778803427993</v>
      </c>
      <c r="L8" s="148" t="e">
        <f t="shared" ca="1" si="0"/>
        <v>#NAME?</v>
      </c>
      <c r="M8" s="147">
        <f>'Calculation (1.5 l)'!AD15</f>
        <v>72.106672820567965</v>
      </c>
      <c r="N8" s="148" t="e">
        <f t="shared" ca="1" si="1"/>
        <v>#NAME?</v>
      </c>
      <c r="O8" s="147">
        <f>'Calculation (1l)'!AD15</f>
        <v>48.071115213711977</v>
      </c>
      <c r="P8" s="148" t="e">
        <f t="shared" ca="1" si="2"/>
        <v>#NAME?</v>
      </c>
      <c r="R8" s="116">
        <v>1</v>
      </c>
      <c r="S8" s="116">
        <v>4</v>
      </c>
      <c r="T8" s="116">
        <f t="shared" si="3"/>
        <v>40</v>
      </c>
    </row>
    <row r="9" spans="1:21" x14ac:dyDescent="0.25">
      <c r="A9" s="117"/>
      <c r="B9" s="141">
        <f>'Calculation (1l)'!P16</f>
        <v>25</v>
      </c>
      <c r="C9" s="142">
        <v>60</v>
      </c>
      <c r="D9" s="143" t="e">
        <f ca="1">'Calculation (1l)'!R16</f>
        <v>#NAME?</v>
      </c>
      <c r="E9" s="142">
        <f>'Calculation (1l)'!T16</f>
        <v>55</v>
      </c>
      <c r="F9" s="143" t="e">
        <f ca="1">'Calculation (1l)'!V16</f>
        <v>#NAME?</v>
      </c>
      <c r="G9" s="144" t="e">
        <f ca="1">'Calculation (1l)'!W16</f>
        <v>#NAME?</v>
      </c>
      <c r="H9" s="145">
        <f>'Calculation (1l)'!X16</f>
        <v>0.94033820398175161</v>
      </c>
      <c r="I9" s="146">
        <f>'Calculation (1l)'!Y16</f>
        <v>5.8269789514773719E-2</v>
      </c>
      <c r="J9" s="144">
        <f>'Calculation (1l)'!Z16</f>
        <v>50.367972868847033</v>
      </c>
      <c r="K9" s="147">
        <f>'Calculation (2.5 l)'!AD16</f>
        <v>152.45608729250486</v>
      </c>
      <c r="L9" s="148" t="e">
        <f t="shared" ca="1" si="0"/>
        <v>#NAME?</v>
      </c>
      <c r="M9" s="147">
        <f>'Calculation (1.5 l)'!AD16</f>
        <v>91.473652375502922</v>
      </c>
      <c r="N9" s="148" t="e">
        <f t="shared" ca="1" si="1"/>
        <v>#NAME?</v>
      </c>
      <c r="O9" s="147">
        <f>'Calculation (1l)'!AD16</f>
        <v>60.982434917001953</v>
      </c>
      <c r="P9" s="148" t="e">
        <f t="shared" ca="1" si="2"/>
        <v>#NAME?</v>
      </c>
      <c r="R9" s="116">
        <v>1.5</v>
      </c>
      <c r="S9" s="116">
        <v>1</v>
      </c>
      <c r="T9" s="116">
        <f t="shared" si="3"/>
        <v>15</v>
      </c>
    </row>
    <row r="10" spans="1:21" x14ac:dyDescent="0.25">
      <c r="A10" s="117"/>
      <c r="B10" s="121">
        <f>'Calculation (1l)'!P17</f>
        <v>15</v>
      </c>
      <c r="C10" s="20">
        <v>70</v>
      </c>
      <c r="D10" s="122" t="e">
        <f ca="1">'Calculation (1l)'!R17</f>
        <v>#NAME?</v>
      </c>
      <c r="E10" s="20">
        <f>'Calculation (1l)'!T17</f>
        <v>57</v>
      </c>
      <c r="F10" s="122" t="e">
        <f ca="1">'Calculation (1l)'!V17</f>
        <v>#NAME?</v>
      </c>
      <c r="G10" s="123" t="e">
        <f ca="1">'Calculation (1l)'!W17</f>
        <v>#NAME?</v>
      </c>
      <c r="H10" s="124">
        <f>'Calculation (1l)'!X17</f>
        <v>0.92972652289628233</v>
      </c>
      <c r="I10" s="125">
        <f>'Calculation (1l)'!Y17</f>
        <v>7.3734524757087416E-2</v>
      </c>
      <c r="J10" s="123">
        <f>'Calculation (1l)'!Z17</f>
        <v>37.833275782529583</v>
      </c>
      <c r="K10" s="135">
        <f>'Calculation (2.5 l)'!AD17</f>
        <v>196.13867249748725</v>
      </c>
      <c r="L10" s="126" t="e">
        <f t="shared" ca="1" si="0"/>
        <v>#NAME?</v>
      </c>
      <c r="M10" s="135">
        <f>'Calculation (1.5 l)'!AD17</f>
        <v>117.68320349849235</v>
      </c>
      <c r="N10" s="126" t="e">
        <f t="shared" ca="1" si="1"/>
        <v>#NAME?</v>
      </c>
      <c r="O10" s="135">
        <f>'Calculation (1l)'!AD17</f>
        <v>78.455468998994903</v>
      </c>
      <c r="P10" s="126" t="e">
        <f t="shared" ca="1" si="2"/>
        <v>#NAME?</v>
      </c>
      <c r="R10" s="116">
        <v>1.5</v>
      </c>
      <c r="S10" s="116">
        <v>4</v>
      </c>
      <c r="T10" s="116">
        <f t="shared" si="3"/>
        <v>60</v>
      </c>
    </row>
    <row r="11" spans="1:21" x14ac:dyDescent="0.25">
      <c r="A11" s="117"/>
      <c r="B11" s="121">
        <f>'Calculation (1l)'!P18</f>
        <v>-9</v>
      </c>
      <c r="C11" s="20">
        <v>70</v>
      </c>
      <c r="D11" s="122" t="e">
        <f ca="1">'Calculation (1l)'!R18</f>
        <v>#NAME?</v>
      </c>
      <c r="E11" s="20">
        <f>'Calculation (1l)'!T18</f>
        <v>59</v>
      </c>
      <c r="F11" s="122" t="e">
        <f ca="1">'Calculation (1l)'!V18</f>
        <v>#NAME?</v>
      </c>
      <c r="G11" s="123" t="e">
        <f ca="1">'Calculation (1l)'!W18</f>
        <v>#NAME?</v>
      </c>
      <c r="H11" s="124">
        <f>'Calculation (1l)'!X18</f>
        <v>0.94401251994272672</v>
      </c>
      <c r="I11" s="125">
        <f>'Calculation (1l)'!Y18</f>
        <v>6.4181403874117776E-2</v>
      </c>
      <c r="J11" s="123">
        <f>'Calculation (1l)'!Z18</f>
        <v>72.185715822816007</v>
      </c>
      <c r="K11" s="135">
        <f>'Calculation (2.5 l)'!AD18</f>
        <v>168.98391377135692</v>
      </c>
      <c r="L11" s="126" t="e">
        <f t="shared" ca="1" si="0"/>
        <v>#NAME?</v>
      </c>
      <c r="M11" s="135">
        <f>'Calculation (1.5 l)'!AD18</f>
        <v>101.39034826281416</v>
      </c>
      <c r="N11" s="126" t="e">
        <f t="shared" ca="1" si="1"/>
        <v>#NAME?</v>
      </c>
      <c r="O11" s="135">
        <f>'Calculation (1l)'!AD18</f>
        <v>67.593565508542767</v>
      </c>
      <c r="P11" s="126" t="e">
        <f t="shared" ca="1" si="2"/>
        <v>#NAME?</v>
      </c>
    </row>
    <row r="12" spans="1:21" x14ac:dyDescent="0.25">
      <c r="A12" s="117"/>
      <c r="B12" s="121">
        <f>'Calculation (1l)'!P19</f>
        <v>-15</v>
      </c>
      <c r="C12" s="20">
        <v>70</v>
      </c>
      <c r="D12" s="122" t="e">
        <f ca="1">'Calculation (1l)'!R19</f>
        <v>#NAME?</v>
      </c>
      <c r="E12" s="20">
        <f>'Calculation (1l)'!T19</f>
        <v>53</v>
      </c>
      <c r="F12" s="122" t="e">
        <f ca="1">'Calculation (1l)'!V19</f>
        <v>#NAME?</v>
      </c>
      <c r="G12" s="123" t="e">
        <f ca="1">'Calculation (1l)'!W19</f>
        <v>#NAME?</v>
      </c>
      <c r="H12" s="124">
        <f>'Calculation (1l)'!X19</f>
        <v>0.93095180532127664</v>
      </c>
      <c r="I12" s="125">
        <f>'Calculation (1l)'!Y19</f>
        <v>8.3508478323491425E-2</v>
      </c>
      <c r="J12" s="123">
        <f>'Calculation (1l)'!Z19</f>
        <v>49.587088428120886</v>
      </c>
      <c r="K12" s="135">
        <f>'Calculation (2.5 l)'!AD19</f>
        <v>224.50702833912354</v>
      </c>
      <c r="L12" s="126" t="e">
        <f t="shared" ca="1" si="0"/>
        <v>#NAME?</v>
      </c>
      <c r="M12" s="135">
        <f>'Calculation (1.5 l)'!AD19</f>
        <v>134.70421700347413</v>
      </c>
      <c r="N12" s="126" t="e">
        <f t="shared" ca="1" si="1"/>
        <v>#NAME?</v>
      </c>
      <c r="O12" s="135">
        <f>'Calculation (1l)'!AD19</f>
        <v>89.802811335649409</v>
      </c>
      <c r="P12" s="126" t="e">
        <f t="shared" ca="1" si="2"/>
        <v>#NAME?</v>
      </c>
    </row>
    <row r="13" spans="1:21" x14ac:dyDescent="0.25">
      <c r="A13" s="117"/>
      <c r="B13" s="121">
        <f>'Calculation (1l)'!P20</f>
        <v>-20</v>
      </c>
      <c r="C13" s="20">
        <v>70</v>
      </c>
      <c r="D13" s="122" t="e">
        <f ca="1">'Calculation (1l)'!R20</f>
        <v>#NAME?</v>
      </c>
      <c r="E13" s="20">
        <f>'Calculation (1l)'!T20</f>
        <v>53</v>
      </c>
      <c r="F13" s="122" t="e">
        <f ca="1">'Calculation (1l)'!V20</f>
        <v>#NAME?</v>
      </c>
      <c r="G13" s="123" t="e">
        <f ca="1">'Calculation (1l)'!W20</f>
        <v>#NAME?</v>
      </c>
      <c r="H13" s="124">
        <f>'Calculation (1l)'!X20</f>
        <v>0.91267914867751443</v>
      </c>
      <c r="I13" s="125">
        <f>'Calculation (1l)'!Y20</f>
        <v>0.11102456338518646</v>
      </c>
      <c r="J13" s="123">
        <f>'Calculation (1l)'!Z20</f>
        <v>30.321366528033796</v>
      </c>
      <c r="K13" s="135">
        <f>'Calculation (2.5 l)'!AD20</f>
        <v>307.72100055646428</v>
      </c>
      <c r="L13" s="126" t="e">
        <f t="shared" ca="1" si="0"/>
        <v>#NAME?</v>
      </c>
      <c r="M13" s="135">
        <f>'Calculation (1.5 l)'!AD20</f>
        <v>184.63260033387857</v>
      </c>
      <c r="N13" s="126" t="e">
        <f t="shared" ca="1" si="1"/>
        <v>#NAME?</v>
      </c>
      <c r="O13" s="135">
        <f>'Calculation (1l)'!AD20</f>
        <v>123.08840022258573</v>
      </c>
      <c r="P13" s="126" t="e">
        <f t="shared" ca="1" si="2"/>
        <v>#NAME?</v>
      </c>
    </row>
    <row r="14" spans="1:21" x14ac:dyDescent="0.25">
      <c r="A14" s="117"/>
      <c r="B14" s="121">
        <f>'Calculation (1l)'!P21</f>
        <v>-30</v>
      </c>
      <c r="C14" s="20">
        <v>65</v>
      </c>
      <c r="D14" s="122" t="e">
        <f ca="1">'Calculation (1l)'!R21</f>
        <v>#NAME?</v>
      </c>
      <c r="E14" s="20">
        <f>'Calculation (1l)'!T21</f>
        <v>53</v>
      </c>
      <c r="F14" s="122" t="e">
        <f ca="1">'Calculation (1l)'!V21</f>
        <v>#NAME?</v>
      </c>
      <c r="G14" s="123" t="e">
        <f ca="1">'Calculation (1l)'!W21</f>
        <v>#NAME?</v>
      </c>
      <c r="H14" s="124">
        <f>'Calculation (1l)'!X21</f>
        <v>0.94594345101297228</v>
      </c>
      <c r="I14" s="125">
        <f>'Calculation (1l)'!Y21</f>
        <v>2.8985359955491036E-2</v>
      </c>
      <c r="J14" s="123">
        <f>'Calculation (1l)'!Z21</f>
        <v>38.034716572172933</v>
      </c>
      <c r="K14" s="135">
        <f>'Calculation (2.5 l)'!AD21</f>
        <v>73.549672495453592</v>
      </c>
      <c r="L14" s="126" t="e">
        <f t="shared" ca="1" si="0"/>
        <v>#NAME?</v>
      </c>
      <c r="M14" s="135">
        <f>'Calculation (1.5 l)'!AD21</f>
        <v>44.12980349727215</v>
      </c>
      <c r="N14" s="126" t="e">
        <f t="shared" ca="1" si="1"/>
        <v>#NAME?</v>
      </c>
      <c r="O14" s="135">
        <f>'Calculation (1l)'!AD21</f>
        <v>29.419868998181439</v>
      </c>
      <c r="P14" s="126" t="e">
        <f t="shared" ca="1" si="2"/>
        <v>#NAME?</v>
      </c>
    </row>
    <row r="15" spans="1:21" x14ac:dyDescent="0.25">
      <c r="A15" s="117"/>
      <c r="B15" s="121">
        <f>'Calculation (1l)'!P22</f>
        <v>-35</v>
      </c>
      <c r="C15" s="20">
        <v>50</v>
      </c>
      <c r="D15" s="122" t="e">
        <f ca="1">'Calculation (1l)'!R22</f>
        <v>#NAME?</v>
      </c>
      <c r="E15" s="20">
        <f>'Calculation (1l)'!T22</f>
        <v>53</v>
      </c>
      <c r="F15" s="122" t="e">
        <f ca="1">'Calculation (1l)'!V22</f>
        <v>#NAME?</v>
      </c>
      <c r="G15" s="123" t="e">
        <f ca="1">'Calculation (1l)'!W22</f>
        <v>#NAME?</v>
      </c>
      <c r="H15" s="124">
        <f>'Calculation (1l)'!X22</f>
        <v>0.94173557880886327</v>
      </c>
      <c r="I15" s="125">
        <f>'Calculation (1l)'!Y22</f>
        <v>3.4891247864576258E-2</v>
      </c>
      <c r="J15" s="123">
        <f>'Calculation (1l)'!Z22</f>
        <v>34.261586244494161</v>
      </c>
      <c r="K15" s="135">
        <f>'Calculation (2.5 l)'!AD22</f>
        <v>89.077510483688627</v>
      </c>
      <c r="L15" s="126" t="e">
        <f t="shared" ca="1" si="0"/>
        <v>#NAME?</v>
      </c>
      <c r="M15" s="135">
        <f>'Calculation (1.5 l)'!AD22</f>
        <v>53.446506290213179</v>
      </c>
      <c r="N15" s="126" t="e">
        <f t="shared" ca="1" si="1"/>
        <v>#NAME?</v>
      </c>
      <c r="O15" s="135">
        <f>'Calculation (1l)'!AD22</f>
        <v>35.631004193475448</v>
      </c>
      <c r="P15" s="126" t="e">
        <f t="shared" ca="1" si="2"/>
        <v>#NAME?</v>
      </c>
    </row>
    <row r="16" spans="1:21" x14ac:dyDescent="0.25">
      <c r="A16" s="117"/>
      <c r="B16" s="121">
        <f>'Calculation (1l)'!P23</f>
        <v>-30</v>
      </c>
      <c r="C16" s="20">
        <v>45</v>
      </c>
      <c r="D16" s="122" t="e">
        <f ca="1">'Calculation (1l)'!R23</f>
        <v>#NAME?</v>
      </c>
      <c r="E16" s="20">
        <f>'Calculation (1l)'!T23</f>
        <v>53</v>
      </c>
      <c r="F16" s="122" t="e">
        <f ca="1">'Calculation (1l)'!V23</f>
        <v>#NAME?</v>
      </c>
      <c r="G16" s="123" t="e">
        <f ca="1">'Calculation (1l)'!W23</f>
        <v>#NAME?</v>
      </c>
      <c r="H16" s="124">
        <f>'Calculation (1l)'!X23</f>
        <v>0.93662032343662549</v>
      </c>
      <c r="I16" s="125">
        <f>'Calculation (1l)'!Y23</f>
        <v>4.2101781835726694E-2</v>
      </c>
      <c r="J16" s="123">
        <f>'Calculation (1l)'!Z23</f>
        <v>30.227718174222922</v>
      </c>
      <c r="K16" s="135">
        <f>'Calculation (2.5 l)'!AD23</f>
        <v>108.29513177805805</v>
      </c>
      <c r="L16" s="126" t="e">
        <f t="shared" ca="1" si="0"/>
        <v>#NAME?</v>
      </c>
      <c r="M16" s="135">
        <f>'Calculation (1.5 l)'!AD23</f>
        <v>64.977079066834833</v>
      </c>
      <c r="N16" s="126" t="e">
        <f t="shared" ca="1" si="1"/>
        <v>#NAME?</v>
      </c>
      <c r="O16" s="135">
        <f>'Calculation (1l)'!AD23</f>
        <v>43.318052711223217</v>
      </c>
      <c r="P16" s="126" t="e">
        <f t="shared" ca="1" si="2"/>
        <v>#NAME?</v>
      </c>
    </row>
    <row r="17" spans="1:16" x14ac:dyDescent="0.25">
      <c r="A17" s="117"/>
      <c r="B17" s="121">
        <f>'Calculation (1l)'!P24</f>
        <v>-30</v>
      </c>
      <c r="C17" s="20">
        <v>35</v>
      </c>
      <c r="D17" s="122" t="e">
        <f ca="1">'Calculation (1l)'!R24</f>
        <v>#NAME?</v>
      </c>
      <c r="E17" s="20">
        <f>'Calculation (1l)'!T24</f>
        <v>47</v>
      </c>
      <c r="F17" s="122" t="e">
        <f ca="1">'Calculation (1l)'!V24</f>
        <v>#NAME?</v>
      </c>
      <c r="G17" s="123" t="e">
        <f ca="1">'Calculation (1l)'!W24</f>
        <v>#NAME?</v>
      </c>
      <c r="H17" s="124">
        <f>'Calculation (1l)'!X24</f>
        <v>0.98557076915009822</v>
      </c>
      <c r="I17" s="125">
        <f>'Calculation (1l)'!Y24</f>
        <v>1.5005905554972734E-2</v>
      </c>
      <c r="J17" s="123">
        <f>'Calculation (1l)'!Z24</f>
        <v>37.563980687090307</v>
      </c>
      <c r="K17" s="135">
        <f>'Calculation (2.5 l)'!AD24</f>
        <v>37.536727283479181</v>
      </c>
      <c r="L17" s="126" t="e">
        <f t="shared" ca="1" si="0"/>
        <v>#NAME?</v>
      </c>
      <c r="M17" s="135">
        <f>'Calculation (1.5 l)'!AD24</f>
        <v>22.522036370087509</v>
      </c>
      <c r="N17" s="126" t="e">
        <f t="shared" ca="1" si="1"/>
        <v>#NAME?</v>
      </c>
      <c r="O17" s="135">
        <f>'Calculation (1l)'!AD24</f>
        <v>15.014690913391673</v>
      </c>
      <c r="P17" s="126" t="e">
        <f t="shared" ca="1" si="2"/>
        <v>#NAME?</v>
      </c>
    </row>
    <row r="18" spans="1:16" hidden="1" x14ac:dyDescent="0.25">
      <c r="A18" s="117"/>
      <c r="B18" s="121">
        <f>'Calculation (1l)'!P25</f>
        <v>-18</v>
      </c>
      <c r="C18" s="20">
        <v>62</v>
      </c>
      <c r="D18" s="122" t="e">
        <f ca="1">'Calculation (1l)'!R25</f>
        <v>#NAME?</v>
      </c>
      <c r="E18" s="20">
        <f>'Calculation (1l)'!T25</f>
        <v>52</v>
      </c>
      <c r="F18" s="122" t="e">
        <f ca="1">'Calculation (1l)'!V25</f>
        <v>#NAME?</v>
      </c>
      <c r="G18" s="123" t="e">
        <f ca="1">'Calculation (1l)'!W25</f>
        <v>#NAME?</v>
      </c>
      <c r="H18" s="124">
        <f>'Calculation (1l)'!X25</f>
        <v>0.98133164704588316</v>
      </c>
      <c r="I18" s="125">
        <f>'Calculation (1l)'!Y25</f>
        <v>2.1096426113906417E-2</v>
      </c>
      <c r="J18" s="123">
        <f>'Calculation (1l)'!Z25</f>
        <v>28.420371751368311</v>
      </c>
      <c r="K18" s="135">
        <f>'Calculation (2.5 l)'!AD25</f>
        <v>53.10027837793028</v>
      </c>
      <c r="L18" s="126" t="e">
        <f t="shared" ca="1" si="0"/>
        <v>#NAME?</v>
      </c>
      <c r="M18" s="135">
        <f>'Calculation (1.5 l)'!AD25</f>
        <v>31.86016702675817</v>
      </c>
      <c r="N18" s="126" t="e">
        <f t="shared" ca="1" si="1"/>
        <v>#NAME?</v>
      </c>
      <c r="O18" s="135">
        <f>'Calculation (1l)'!AD25</f>
        <v>21.240111351172111</v>
      </c>
      <c r="P18" s="126" t="e">
        <f t="shared" ca="1" si="2"/>
        <v>#NAME?</v>
      </c>
    </row>
    <row r="19" spans="1:16" x14ac:dyDescent="0.25">
      <c r="A19" s="117"/>
      <c r="B19" s="121">
        <f>'Calculation (1l)'!P26</f>
        <v>-18</v>
      </c>
      <c r="C19" s="20">
        <v>58</v>
      </c>
      <c r="D19" s="122" t="e">
        <f ca="1">'Calculation (1l)'!R26</f>
        <v>#NAME?</v>
      </c>
      <c r="E19" s="20">
        <f>'Calculation (1l)'!T26</f>
        <v>52</v>
      </c>
      <c r="F19" s="122" t="e">
        <f ca="1">'Calculation (1l)'!V26</f>
        <v>#NAME?</v>
      </c>
      <c r="G19" s="123" t="e">
        <f ca="1">'Calculation (1l)'!W26</f>
        <v>#NAME?</v>
      </c>
      <c r="H19" s="124">
        <f>'Calculation (1l)'!X26</f>
        <v>0.98133160986352252</v>
      </c>
      <c r="I19" s="125">
        <f>'Calculation (1l)'!Y26</f>
        <v>2.1096479651136393E-2</v>
      </c>
      <c r="J19" s="123">
        <f>'Calculation (1l)'!Z26</f>
        <v>28.420456601995689</v>
      </c>
      <c r="K19" s="135">
        <f>'Calculation (2.5 l)'!AD26</f>
        <v>53.100416036710058</v>
      </c>
      <c r="L19" s="126" t="e">
        <f t="shared" ca="1" si="0"/>
        <v>#NAME?</v>
      </c>
      <c r="M19" s="135">
        <f>'Calculation (1.5 l)'!AD26</f>
        <v>31.860249622026032</v>
      </c>
      <c r="N19" s="126" t="e">
        <f t="shared" ca="1" si="1"/>
        <v>#NAME?</v>
      </c>
      <c r="O19" s="135">
        <f>'Calculation (1l)'!AD26</f>
        <v>21.240166414684023</v>
      </c>
      <c r="P19" s="126" t="e">
        <f t="shared" ca="1" si="2"/>
        <v>#NAME?</v>
      </c>
    </row>
    <row r="20" spans="1:16" x14ac:dyDescent="0.25">
      <c r="A20" s="117"/>
      <c r="B20" s="121">
        <f>'Calculation (1l)'!P27</f>
        <v>-5</v>
      </c>
      <c r="C20" s="20">
        <v>43</v>
      </c>
      <c r="D20" s="122" t="e">
        <f ca="1">'Calculation (1l)'!R27</f>
        <v>#NAME?</v>
      </c>
      <c r="E20" s="20">
        <f>'Calculation (1l)'!T27</f>
        <v>41</v>
      </c>
      <c r="F20" s="122" t="e">
        <f ca="1">'Calculation (1l)'!V27</f>
        <v>#NAME?</v>
      </c>
      <c r="G20" s="123" t="e">
        <f ca="1">'Calculation (1l)'!W27</f>
        <v>#NAME?</v>
      </c>
      <c r="H20" s="124">
        <f>'Calculation (1l)'!X27</f>
        <v>0.9674921094463248</v>
      </c>
      <c r="I20" s="125">
        <f>'Calculation (1l)'!Y27</f>
        <v>4.1166736021907707E-2</v>
      </c>
      <c r="J20" s="123">
        <f>'Calculation (1l)'!Z27</f>
        <v>29.631659818890377</v>
      </c>
      <c r="K20" s="135">
        <f>'Calculation (2.5 l)'!AD27</f>
        <v>105.78672332502028</v>
      </c>
      <c r="L20" s="126" t="e">
        <f t="shared" ca="1" si="0"/>
        <v>#NAME?</v>
      </c>
      <c r="M20" s="135">
        <f>'Calculation (1.5 l)'!AD27</f>
        <v>63.472033995012168</v>
      </c>
      <c r="N20" s="126" t="e">
        <f t="shared" ca="1" si="1"/>
        <v>#NAME?</v>
      </c>
      <c r="O20" s="135">
        <f>'Calculation (1l)'!AD27</f>
        <v>42.314689330008115</v>
      </c>
      <c r="P20" s="126" t="e">
        <f t="shared" ca="1" si="2"/>
        <v>#NAME?</v>
      </c>
    </row>
    <row r="21" spans="1:16" x14ac:dyDescent="0.25">
      <c r="A21" s="117"/>
      <c r="B21" s="121">
        <f>'Calculation (1l)'!P28</f>
        <v>0</v>
      </c>
      <c r="C21" s="20">
        <v>56</v>
      </c>
      <c r="D21" s="122" t="e">
        <f ca="1">'Calculation (1l)'!R28</f>
        <v>#NAME?</v>
      </c>
      <c r="E21" s="20">
        <f>'Calculation (1l)'!T28</f>
        <v>50</v>
      </c>
      <c r="F21" s="122" t="e">
        <f ca="1">'Calculation (1l)'!V28</f>
        <v>#NAME?</v>
      </c>
      <c r="G21" s="123" t="e">
        <f ca="1">'Calculation (1l)'!W28</f>
        <v>#NAME?</v>
      </c>
      <c r="H21" s="124">
        <f>'Calculation (1l)'!X28</f>
        <v>0.9677609223544269</v>
      </c>
      <c r="I21" s="125">
        <f>'Calculation (1l)'!Y28</f>
        <v>4.0774129865342491E-2</v>
      </c>
      <c r="J21" s="123">
        <f>'Calculation (1l)'!Z28</f>
        <v>21.987020887980933</v>
      </c>
      <c r="K21" s="135">
        <f>'Calculation (2.5 l)'!AD28</f>
        <v>104.73495290314223</v>
      </c>
      <c r="L21" s="126" t="e">
        <f t="shared" ca="1" si="0"/>
        <v>#NAME?</v>
      </c>
      <c r="M21" s="135">
        <f>'Calculation (1.5 l)'!AD28</f>
        <v>62.840971741885333</v>
      </c>
      <c r="N21" s="126" t="e">
        <f t="shared" ca="1" si="1"/>
        <v>#NAME?</v>
      </c>
      <c r="O21" s="135">
        <f>'Calculation (1l)'!AD28</f>
        <v>41.893981161256896</v>
      </c>
      <c r="P21" s="126" t="e">
        <f t="shared" ca="1" si="2"/>
        <v>#NAME?</v>
      </c>
    </row>
    <row r="22" spans="1:16" x14ac:dyDescent="0.25">
      <c r="A22" s="117"/>
      <c r="B22" s="121">
        <f>'Calculation (1l)'!P29</f>
        <v>-20</v>
      </c>
      <c r="C22" s="20">
        <v>57</v>
      </c>
      <c r="D22" s="122" t="e">
        <f ca="1">'Calculation (1l)'!R29</f>
        <v>#NAME?</v>
      </c>
      <c r="E22" s="20">
        <f>'Calculation (1l)'!T29</f>
        <v>50</v>
      </c>
      <c r="F22" s="122" t="e">
        <f ca="1">'Calculation (1l)'!V29</f>
        <v>#NAME?</v>
      </c>
      <c r="G22" s="123" t="e">
        <f ca="1">'Calculation (1l)'!W29</f>
        <v>#NAME?</v>
      </c>
      <c r="H22" s="124">
        <f>'Calculation (1l)'!X29</f>
        <v>0.98186602861680072</v>
      </c>
      <c r="I22" s="125">
        <f>'Calculation (1l)'!Y29</f>
        <v>2.03272044373436E-2</v>
      </c>
      <c r="J22" s="123">
        <f>'Calculation (1l)'!Z29</f>
        <v>30.816001947400682</v>
      </c>
      <c r="K22" s="135">
        <f>'Calculation (2.5 l)'!AD29</f>
        <v>51.123953330963765</v>
      </c>
      <c r="L22" s="126" t="e">
        <f t="shared" ca="1" si="0"/>
        <v>#NAME?</v>
      </c>
      <c r="M22" s="135">
        <f>'Calculation (1.5 l)'!AD29</f>
        <v>30.674371998578263</v>
      </c>
      <c r="N22" s="126" t="e">
        <f t="shared" ca="1" si="1"/>
        <v>#NAME?</v>
      </c>
      <c r="O22" s="135">
        <f>'Calculation (1l)'!AD29</f>
        <v>20.44958133238551</v>
      </c>
      <c r="P22" s="126" t="e">
        <f t="shared" ca="1" si="2"/>
        <v>#NAME?</v>
      </c>
    </row>
    <row r="23" spans="1:16" ht="15.75" thickBot="1" x14ac:dyDescent="0.3">
      <c r="A23" s="117"/>
      <c r="B23" s="127">
        <f>'Calculation (1l)'!P30</f>
        <v>7</v>
      </c>
      <c r="C23" s="22">
        <v>30</v>
      </c>
      <c r="D23" s="128" t="e">
        <f ca="1">'Calculation (1l)'!R30</f>
        <v>#NAME?</v>
      </c>
      <c r="E23" s="22">
        <f>'Calculation (1l)'!T30</f>
        <v>42</v>
      </c>
      <c r="F23" s="128" t="e">
        <f ca="1">'Calculation (1l)'!V30</f>
        <v>#NAME?</v>
      </c>
      <c r="G23" s="129" t="e">
        <f ca="1">'Calculation (1l)'!W30</f>
        <v>#NAME?</v>
      </c>
      <c r="H23" s="130">
        <f>'Calculation (1l)'!X30</f>
        <v>0.95223178991578983</v>
      </c>
      <c r="I23" s="131">
        <f>'Calculation (1l)'!Y30</f>
        <v>6.3640241616931603E-2</v>
      </c>
      <c r="J23" s="129">
        <f>'Calculation (1l)'!Z30</f>
        <v>19.747777602904364</v>
      </c>
      <c r="K23" s="139">
        <f>'Calculation (2.5 l)'!AD30</f>
        <v>167.46224225720511</v>
      </c>
      <c r="L23" s="132" t="e">
        <f t="shared" ca="1" si="0"/>
        <v>#NAME?</v>
      </c>
      <c r="M23" s="139">
        <f>'Calculation (1.5 l)'!AD30</f>
        <v>100.47734535432305</v>
      </c>
      <c r="N23" s="132" t="e">
        <f t="shared" ca="1" si="1"/>
        <v>#NAME?</v>
      </c>
      <c r="O23" s="139">
        <f>'Calculation (1l)'!AD30</f>
        <v>66.984896902882042</v>
      </c>
      <c r="P23" s="132" t="e">
        <f t="shared" ca="1" si="2"/>
        <v>#NAME?</v>
      </c>
    </row>
  </sheetData>
  <mergeCells count="4">
    <mergeCell ref="K2:L2"/>
    <mergeCell ref="M2:N2"/>
    <mergeCell ref="O2:P2"/>
    <mergeCell ref="C2:D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47"/>
  <sheetViews>
    <sheetView topLeftCell="D37" workbookViewId="0">
      <selection activeCell="V56" sqref="V56"/>
    </sheetView>
  </sheetViews>
  <sheetFormatPr defaultRowHeight="15" x14ac:dyDescent="0.25"/>
  <cols>
    <col min="21" max="21" width="18.28515625" customWidth="1"/>
    <col min="24" max="24" width="10.5703125" bestFit="1" customWidth="1"/>
  </cols>
  <sheetData>
    <row r="1" spans="2:37" x14ac:dyDescent="0.25">
      <c r="C1" t="s">
        <v>112</v>
      </c>
      <c r="E1" t="s">
        <v>113</v>
      </c>
      <c r="G1" t="s">
        <v>114</v>
      </c>
      <c r="U1" s="156" t="s">
        <v>115</v>
      </c>
      <c r="V1" s="156"/>
      <c r="W1" s="157"/>
      <c r="X1" s="156" t="s">
        <v>135</v>
      </c>
      <c r="Y1" s="156"/>
      <c r="AA1" t="s">
        <v>136</v>
      </c>
      <c r="AD1" t="s">
        <v>121</v>
      </c>
      <c r="AG1" s="156" t="s">
        <v>137</v>
      </c>
      <c r="AJ1" s="156" t="s">
        <v>134</v>
      </c>
    </row>
    <row r="2" spans="2:37" x14ac:dyDescent="0.25">
      <c r="U2" s="157" t="s">
        <v>116</v>
      </c>
      <c r="V2" s="157" t="s">
        <v>3</v>
      </c>
      <c r="W2" s="157"/>
      <c r="X2" s="157" t="s">
        <v>116</v>
      </c>
      <c r="Y2" s="157" t="s">
        <v>3</v>
      </c>
      <c r="AA2" s="157" t="s">
        <v>112</v>
      </c>
      <c r="AB2" s="157" t="s">
        <v>113</v>
      </c>
      <c r="AC2" s="157"/>
      <c r="AD2" s="157" t="s">
        <v>112</v>
      </c>
      <c r="AE2" s="157" t="s">
        <v>113</v>
      </c>
      <c r="AG2" s="157" t="s">
        <v>112</v>
      </c>
      <c r="AH2" s="157" t="s">
        <v>113</v>
      </c>
      <c r="AJ2" s="157" t="s">
        <v>112</v>
      </c>
      <c r="AK2" s="157" t="s">
        <v>113</v>
      </c>
    </row>
    <row r="3" spans="2:37" x14ac:dyDescent="0.25">
      <c r="B3" s="158">
        <f>'[6]Results EVI corrected'!G18</f>
        <v>3000</v>
      </c>
      <c r="C3" s="158">
        <f>'[6]Results EVI corrected'!DM18</f>
        <v>-4.9256743738014848</v>
      </c>
      <c r="D3" s="158"/>
      <c r="E3" s="158">
        <f>'[6]Results EVI corrected'!DN18</f>
        <v>42.965234243757095</v>
      </c>
      <c r="F3" s="158"/>
      <c r="G3" s="158">
        <f>C3+10</f>
        <v>5.0743256261985152</v>
      </c>
      <c r="U3" s="157" t="s">
        <v>19</v>
      </c>
      <c r="V3" s="157" t="s">
        <v>19</v>
      </c>
      <c r="W3" s="157"/>
      <c r="X3" s="157" t="s">
        <v>19</v>
      </c>
      <c r="Y3" s="157" t="s">
        <v>19</v>
      </c>
      <c r="AA3" s="157" t="s">
        <v>56</v>
      </c>
      <c r="AB3" s="157" t="s">
        <v>56</v>
      </c>
      <c r="AC3" s="157"/>
      <c r="AD3" s="157" t="s">
        <v>56</v>
      </c>
      <c r="AE3" s="157" t="s">
        <v>56</v>
      </c>
      <c r="AG3" s="157" t="s">
        <v>56</v>
      </c>
      <c r="AH3" s="157" t="s">
        <v>56</v>
      </c>
      <c r="AJ3" s="157" t="s">
        <v>56</v>
      </c>
      <c r="AK3" s="157" t="s">
        <v>56</v>
      </c>
    </row>
    <row r="4" spans="2:37" x14ac:dyDescent="0.25">
      <c r="B4" s="158">
        <f>'[6]Results EVI corrected'!G19</f>
        <v>3000</v>
      </c>
      <c r="C4" s="158">
        <f>'[6]Results EVI corrected'!DM19</f>
        <v>5.3071905658157448E-3</v>
      </c>
      <c r="D4" s="158"/>
      <c r="E4" s="158">
        <f>'[6]Results EVI corrected'!DN19</f>
        <v>55.990595552130117</v>
      </c>
      <c r="F4" s="158"/>
      <c r="G4" s="158">
        <f t="shared" ref="G4:G27" si="0">C4+10</f>
        <v>10.005307190565816</v>
      </c>
      <c r="U4" s="20">
        <v>-30</v>
      </c>
      <c r="V4" s="20">
        <v>17</v>
      </c>
      <c r="W4" s="159"/>
      <c r="X4" s="20">
        <v>-30</v>
      </c>
      <c r="Y4" s="20">
        <v>17</v>
      </c>
      <c r="AA4" s="20">
        <v>-30</v>
      </c>
      <c r="AB4" s="20">
        <v>17</v>
      </c>
      <c r="AC4" s="20"/>
      <c r="AD4" s="20">
        <v>5</v>
      </c>
      <c r="AE4" s="20">
        <v>70</v>
      </c>
      <c r="AG4" s="20">
        <v>-7</v>
      </c>
      <c r="AH4" s="20">
        <v>19</v>
      </c>
      <c r="AJ4" s="195">
        <v>-20</v>
      </c>
      <c r="AK4" s="196">
        <v>57.333333333333336</v>
      </c>
    </row>
    <row r="5" spans="2:37" x14ac:dyDescent="0.25">
      <c r="B5" s="158">
        <f>'[6]Results EVI corrected'!G20</f>
        <v>3000</v>
      </c>
      <c r="C5" s="158">
        <f>'[6]Results EVI corrected'!DM20</f>
        <v>-18.182131245048794</v>
      </c>
      <c r="D5" s="158"/>
      <c r="E5" s="158">
        <f>'[6]Results EVI corrected'!DN20</f>
        <v>57.997015024983796</v>
      </c>
      <c r="F5" s="158"/>
      <c r="G5" s="158">
        <f t="shared" si="0"/>
        <v>-8.1821312450487937</v>
      </c>
      <c r="U5" s="20">
        <v>-30</v>
      </c>
      <c r="V5" s="20">
        <v>45</v>
      </c>
      <c r="W5" s="159"/>
      <c r="X5" s="20">
        <v>-30</v>
      </c>
      <c r="Y5" s="20">
        <v>59</v>
      </c>
      <c r="AA5" s="20">
        <v>-30</v>
      </c>
      <c r="AB5" s="20">
        <v>60</v>
      </c>
      <c r="AC5" s="20"/>
      <c r="AD5" s="20">
        <v>15</v>
      </c>
      <c r="AE5" s="20">
        <v>65</v>
      </c>
      <c r="AG5" s="20">
        <v>-7</v>
      </c>
      <c r="AH5" s="20">
        <v>50</v>
      </c>
      <c r="AJ5" s="197">
        <v>-18.920000000000002</v>
      </c>
      <c r="AK5" s="198">
        <v>56.222222222222221</v>
      </c>
    </row>
    <row r="6" spans="2:37" x14ac:dyDescent="0.25">
      <c r="B6" s="158">
        <f>'[6]Results EVI corrected'!G21</f>
        <v>3000</v>
      </c>
      <c r="C6" s="158">
        <f>'[6]Results EVI corrected'!DM21</f>
        <v>-20.922771471458475</v>
      </c>
      <c r="D6" s="158"/>
      <c r="E6" s="158">
        <f>'[6]Results EVI corrected'!DN21</f>
        <v>69.997280270937722</v>
      </c>
      <c r="F6" s="158"/>
      <c r="G6" s="158">
        <f t="shared" si="0"/>
        <v>-10.922771471458475</v>
      </c>
      <c r="U6" s="20">
        <v>-10</v>
      </c>
      <c r="V6" s="20">
        <v>70</v>
      </c>
      <c r="W6" s="159"/>
      <c r="X6" s="20">
        <v>-21</v>
      </c>
      <c r="Y6" s="20">
        <v>70</v>
      </c>
      <c r="AA6" s="20">
        <v>10</v>
      </c>
      <c r="AB6" s="20">
        <v>58</v>
      </c>
      <c r="AC6" s="20"/>
      <c r="AD6" s="20">
        <v>15</v>
      </c>
      <c r="AE6" s="20">
        <v>37.5</v>
      </c>
      <c r="AG6" s="20">
        <v>25</v>
      </c>
      <c r="AH6" s="20">
        <v>50</v>
      </c>
      <c r="AJ6" s="197">
        <v>-17.84</v>
      </c>
      <c r="AK6" s="198">
        <v>55.111111111111114</v>
      </c>
    </row>
    <row r="7" spans="2:37" x14ac:dyDescent="0.25">
      <c r="B7" s="158">
        <f>'[6]Results EVI corrected'!G22</f>
        <v>3000</v>
      </c>
      <c r="C7" s="158">
        <f>'[6]Results EVI corrected'!DM22</f>
        <v>-30.024973747554583</v>
      </c>
      <c r="D7" s="158"/>
      <c r="E7" s="158">
        <f>'[6]Results EVI corrected'!DN22</f>
        <v>60.002109879281875</v>
      </c>
      <c r="F7" s="158"/>
      <c r="G7" s="158">
        <f t="shared" si="0"/>
        <v>-20.024973747554583</v>
      </c>
      <c r="U7" s="20">
        <v>15</v>
      </c>
      <c r="V7" s="20">
        <v>70</v>
      </c>
      <c r="W7" s="159"/>
      <c r="X7" s="20">
        <v>15</v>
      </c>
      <c r="Y7" s="20">
        <v>70</v>
      </c>
      <c r="AA7" s="20">
        <v>10</v>
      </c>
      <c r="AB7" s="20">
        <v>35</v>
      </c>
      <c r="AC7" s="20"/>
      <c r="AJ7" s="199">
        <v>-16.759999999999998</v>
      </c>
      <c r="AK7" s="200">
        <v>54</v>
      </c>
    </row>
    <row r="8" spans="2:37" x14ac:dyDescent="0.25">
      <c r="B8" s="158">
        <f>'[6]Results EVI corrected'!G23</f>
        <v>3000</v>
      </c>
      <c r="C8" s="158">
        <f>'[6]Results EVI corrected'!DM23</f>
        <v>-5.0278682904948937</v>
      </c>
      <c r="D8" s="158"/>
      <c r="E8" s="158">
        <f>'[6]Results EVI corrected'!DN23</f>
        <v>43.040755248041421</v>
      </c>
      <c r="F8" s="158"/>
      <c r="G8" s="158">
        <f t="shared" si="0"/>
        <v>4.9721317095051063</v>
      </c>
      <c r="U8" s="20">
        <v>25</v>
      </c>
      <c r="V8" s="20">
        <v>60</v>
      </c>
      <c r="W8" s="159"/>
      <c r="X8" s="20">
        <v>25</v>
      </c>
      <c r="Y8" s="20">
        <v>60</v>
      </c>
      <c r="AA8" s="20">
        <v>-10</v>
      </c>
      <c r="AB8" s="20">
        <v>17</v>
      </c>
      <c r="AC8" s="20"/>
      <c r="AJ8" s="197">
        <v>-15.68</v>
      </c>
      <c r="AK8" s="198">
        <v>52.888888888888886</v>
      </c>
    </row>
    <row r="9" spans="2:37" x14ac:dyDescent="0.25">
      <c r="B9" s="158">
        <f>'[6]Results EVI corrected'!G24</f>
        <v>3000</v>
      </c>
      <c r="C9" s="158">
        <f>'[6]Results EVI corrected'!DM24</f>
        <v>-17.932419743784322</v>
      </c>
      <c r="D9" s="158"/>
      <c r="E9" s="158">
        <f>'[6]Results EVI corrected'!DN24</f>
        <v>57.993121632231521</v>
      </c>
      <c r="F9" s="158"/>
      <c r="G9" s="158">
        <f t="shared" si="0"/>
        <v>-7.9324197437843225</v>
      </c>
      <c r="U9" s="20">
        <v>25</v>
      </c>
      <c r="V9" s="20">
        <v>45</v>
      </c>
      <c r="W9" s="159"/>
      <c r="X9" s="20">
        <v>25</v>
      </c>
      <c r="Y9" s="20">
        <v>45</v>
      </c>
      <c r="AJ9" s="197">
        <v>-14.6</v>
      </c>
      <c r="AK9" s="198">
        <v>51.777777777777779</v>
      </c>
    </row>
    <row r="10" spans="2:37" x14ac:dyDescent="0.25">
      <c r="B10" s="158">
        <f>'[6]Results EVI corrected'!G25</f>
        <v>3000</v>
      </c>
      <c r="C10" s="158">
        <f>'[6]Results EVI corrected'!DM25</f>
        <v>15.003518363394903</v>
      </c>
      <c r="D10" s="158"/>
      <c r="E10" s="158">
        <f>'[6]Results EVI corrected'!DN25</f>
        <v>69.970900459029622</v>
      </c>
      <c r="F10" s="158"/>
      <c r="G10" s="158">
        <f t="shared" si="0"/>
        <v>25.003518363394903</v>
      </c>
      <c r="U10" s="20">
        <v>-10</v>
      </c>
      <c r="V10" s="20">
        <v>17</v>
      </c>
      <c r="W10" s="159"/>
      <c r="X10" s="20">
        <v>-10</v>
      </c>
      <c r="Y10" s="20">
        <v>17</v>
      </c>
      <c r="AJ10" s="197">
        <v>-13.52</v>
      </c>
      <c r="AK10" s="198">
        <v>50.666666666666664</v>
      </c>
    </row>
    <row r="11" spans="2:37" x14ac:dyDescent="0.25">
      <c r="B11" s="158">
        <f>'[6]Results EVI corrected'!G26</f>
        <v>3000</v>
      </c>
      <c r="C11" s="158">
        <f>'[6]Results EVI corrected'!DM26</f>
        <v>25.009565316873307</v>
      </c>
      <c r="D11" s="158"/>
      <c r="E11" s="158">
        <f>'[6]Results EVI corrected'!DN26</f>
        <v>59.751537128157338</v>
      </c>
      <c r="F11" s="158"/>
      <c r="G11" s="158">
        <f t="shared" si="0"/>
        <v>35.009565316873307</v>
      </c>
      <c r="U11" s="20">
        <v>-30</v>
      </c>
      <c r="V11" s="20">
        <v>17</v>
      </c>
      <c r="W11" s="159"/>
      <c r="X11" s="20">
        <v>-30</v>
      </c>
      <c r="Y11" s="20">
        <v>17</v>
      </c>
      <c r="AJ11" s="197">
        <v>-12.44</v>
      </c>
      <c r="AK11" s="198">
        <v>49.555555555555557</v>
      </c>
    </row>
    <row r="12" spans="2:37" x14ac:dyDescent="0.25">
      <c r="B12" s="158">
        <f>'[6]Results EVI corrected'!G27</f>
        <v>3000</v>
      </c>
      <c r="C12" s="158">
        <f>'[6]Results EVI corrected'!DM27</f>
        <v>25.056347158873052</v>
      </c>
      <c r="D12" s="158"/>
      <c r="E12" s="158">
        <f>'[6]Results EVI corrected'!DN27</f>
        <v>42.996638950747126</v>
      </c>
      <c r="F12" s="158"/>
      <c r="G12" s="158">
        <f t="shared" si="0"/>
        <v>35.056347158873052</v>
      </c>
      <c r="AJ12" s="201">
        <v>-11.36</v>
      </c>
      <c r="AK12" s="202">
        <v>48.444444444444443</v>
      </c>
    </row>
    <row r="13" spans="2:37" x14ac:dyDescent="0.25">
      <c r="B13" s="158">
        <f>'[6]Results EVI corrected'!G28</f>
        <v>3000</v>
      </c>
      <c r="C13" s="158">
        <f>'[6]Results EVI corrected'!DM28</f>
        <v>8.0487973884299322</v>
      </c>
      <c r="D13" s="158"/>
      <c r="E13" s="158">
        <f>'[6]Results EVI corrected'!DN28</f>
        <v>28.789284618559975</v>
      </c>
      <c r="F13" s="158"/>
      <c r="G13" s="158">
        <f t="shared" si="0"/>
        <v>18.048797388429932</v>
      </c>
      <c r="AJ13" s="203">
        <v>-10.28</v>
      </c>
      <c r="AK13" s="204">
        <v>47.333333333333336</v>
      </c>
    </row>
    <row r="14" spans="2:37" x14ac:dyDescent="0.25">
      <c r="B14" s="158">
        <f>'[6]Results EVI corrected'!G29</f>
        <v>3000</v>
      </c>
      <c r="C14" s="158">
        <f>'[6]Results EVI corrected'!DM29</f>
        <v>-9.9403384518291773</v>
      </c>
      <c r="D14" s="158"/>
      <c r="E14" s="158">
        <f>'[6]Results EVI corrected'!DN29</f>
        <v>19.983902497205008</v>
      </c>
      <c r="F14" s="158"/>
      <c r="G14" s="158">
        <f t="shared" si="0"/>
        <v>5.9661548170822698E-2</v>
      </c>
      <c r="AJ14" s="203">
        <v>-9.1999999999999993</v>
      </c>
      <c r="AK14" s="204">
        <v>46.222222222222221</v>
      </c>
    </row>
    <row r="15" spans="2:37" x14ac:dyDescent="0.25">
      <c r="B15" s="158">
        <f>'[6]Results EVI corrected'!G30</f>
        <v>3000</v>
      </c>
      <c r="C15" s="158">
        <f>'[6]Results EVI corrected'!DM30</f>
        <v>-30.005367421860143</v>
      </c>
      <c r="D15" s="158"/>
      <c r="E15" s="158">
        <f>'[6]Results EVI corrected'!DN30</f>
        <v>42.991591405434065</v>
      </c>
      <c r="F15" s="158"/>
      <c r="G15" s="158">
        <f t="shared" si="0"/>
        <v>-20.005367421860143</v>
      </c>
      <c r="AJ15" s="203">
        <v>-8.1199999999999992</v>
      </c>
      <c r="AK15" s="204">
        <v>45.111111111111114</v>
      </c>
    </row>
    <row r="16" spans="2:37" ht="15.75" thickBot="1" x14ac:dyDescent="0.3">
      <c r="B16" s="158">
        <f>'[6]Results EVI corrected'!G31</f>
        <v>3000</v>
      </c>
      <c r="C16" s="158">
        <f>'[6]Results EVI corrected'!DM31</f>
        <v>-24.925461472785514</v>
      </c>
      <c r="D16" s="158"/>
      <c r="E16" s="158">
        <f>'[6]Results EVI corrected'!DN31</f>
        <v>16.652273585198657</v>
      </c>
      <c r="F16" s="158"/>
      <c r="G16" s="158">
        <f t="shared" si="0"/>
        <v>-14.925461472785514</v>
      </c>
      <c r="AJ16" s="201">
        <v>-7.0399999999999991</v>
      </c>
      <c r="AK16" s="202">
        <v>44</v>
      </c>
    </row>
    <row r="17" spans="2:37" ht="15.75" thickBot="1" x14ac:dyDescent="0.3">
      <c r="B17" s="158">
        <f>'[6]Results EVI corrected'!G32</f>
        <v>6000</v>
      </c>
      <c r="C17" s="158">
        <f>'[6]Results EVI corrected'!DM32</f>
        <v>5.0615732106427345</v>
      </c>
      <c r="D17" s="158"/>
      <c r="F17" s="158">
        <f>'[6]Results EVI corrected'!DN32</f>
        <v>60.010107965244629</v>
      </c>
      <c r="G17" s="158">
        <f t="shared" si="0"/>
        <v>15.061573210642734</v>
      </c>
      <c r="AJ17" s="205">
        <v>-5.9600000000000009</v>
      </c>
      <c r="AK17" s="206">
        <v>42.888888888888886</v>
      </c>
    </row>
    <row r="18" spans="2:37" x14ac:dyDescent="0.25">
      <c r="B18" s="158">
        <f>'[6]Results EVI corrected'!G33</f>
        <v>6000</v>
      </c>
      <c r="C18" s="158">
        <f>'[6]Results EVI corrected'!DM33</f>
        <v>2.0156988732579748</v>
      </c>
      <c r="D18" s="158"/>
      <c r="F18" s="158">
        <f>'[6]Results EVI corrected'!DN33</f>
        <v>42.866039553392113</v>
      </c>
      <c r="G18" s="158">
        <f t="shared" si="0"/>
        <v>12.015698873257975</v>
      </c>
      <c r="AJ18" s="203">
        <v>-4.879999999999999</v>
      </c>
      <c r="AK18" s="204">
        <v>41.777777777777779</v>
      </c>
    </row>
    <row r="19" spans="2:37" x14ac:dyDescent="0.25">
      <c r="B19" s="158">
        <f>'[6]Results EVI corrected'!G34</f>
        <v>6000</v>
      </c>
      <c r="C19" s="158">
        <f>'[6]Results EVI corrected'!DM34</f>
        <v>-2.4359780511588269E-2</v>
      </c>
      <c r="D19" s="158"/>
      <c r="F19" s="158">
        <f>'[6]Results EVI corrected'!DN34</f>
        <v>55.996452713310759</v>
      </c>
      <c r="G19" s="158">
        <f t="shared" si="0"/>
        <v>9.9756402194884117</v>
      </c>
      <c r="AJ19" s="203">
        <v>-3.8000000000000007</v>
      </c>
      <c r="AK19" s="204">
        <v>40.666666666666671</v>
      </c>
    </row>
    <row r="20" spans="2:37" x14ac:dyDescent="0.25">
      <c r="B20" s="158">
        <f>'[6]Results EVI corrected'!G35</f>
        <v>6000</v>
      </c>
      <c r="C20" s="158">
        <f>'[6]Results EVI corrected'!DM35</f>
        <v>-18.04662688514918</v>
      </c>
      <c r="D20" s="158"/>
      <c r="F20" s="158">
        <f>'[6]Results EVI corrected'!DN35</f>
        <v>57.977296267531301</v>
      </c>
      <c r="G20" s="158">
        <f t="shared" si="0"/>
        <v>-8.0466268851491805</v>
      </c>
      <c r="AJ20" s="203">
        <v>-2.7200000000000006</v>
      </c>
      <c r="AK20" s="204">
        <v>39.555555555555557</v>
      </c>
    </row>
    <row r="21" spans="2:37" x14ac:dyDescent="0.25">
      <c r="B21" s="158">
        <f>'[6]Results EVI corrected'!G36</f>
        <v>6000</v>
      </c>
      <c r="C21" s="158">
        <f>'[6]Results EVI corrected'!DM36</f>
        <v>-10.037978249779144</v>
      </c>
      <c r="D21" s="158"/>
      <c r="F21" s="158">
        <f>'[6]Results EVI corrected'!DN36</f>
        <v>34.807277707220351</v>
      </c>
      <c r="G21" s="158">
        <f t="shared" si="0"/>
        <v>-3.797824977914388E-2</v>
      </c>
      <c r="AJ21" s="207">
        <v>-1.6400000000000006</v>
      </c>
      <c r="AK21" s="208">
        <v>38.444444444444443</v>
      </c>
    </row>
    <row r="22" spans="2:37" x14ac:dyDescent="0.25">
      <c r="B22" s="158">
        <f>'[6]Results EVI corrected'!G37</f>
        <v>6000</v>
      </c>
      <c r="C22" s="158">
        <f>'[6]Results EVI corrected'!DM37</f>
        <v>-30.042366419421114</v>
      </c>
      <c r="D22" s="158"/>
      <c r="F22" s="158">
        <f>'[6]Results EVI corrected'!DN37</f>
        <v>59.998394471733036</v>
      </c>
      <c r="G22" s="158">
        <f t="shared" si="0"/>
        <v>-20.042366419421114</v>
      </c>
      <c r="AJ22" s="203">
        <v>-0.5600000000000005</v>
      </c>
      <c r="AK22" s="204">
        <v>37.333333333333329</v>
      </c>
    </row>
    <row r="23" spans="2:37" x14ac:dyDescent="0.25">
      <c r="B23" s="158">
        <f>'[6]Results EVI corrected'!G38</f>
        <v>6000</v>
      </c>
      <c r="C23" s="158">
        <f>'[6]Results EVI corrected'!DM38</f>
        <v>-29.869803947993177</v>
      </c>
      <c r="D23" s="158"/>
      <c r="F23" s="158">
        <f>'[6]Results EVI corrected'!DN38</f>
        <v>43.009385506701847</v>
      </c>
      <c r="G23" s="158">
        <f t="shared" si="0"/>
        <v>-19.869803947993177</v>
      </c>
      <c r="AJ23" s="209">
        <v>0.51999999999999957</v>
      </c>
      <c r="AK23" s="210">
        <v>36.222222222222221</v>
      </c>
    </row>
    <row r="24" spans="2:37" x14ac:dyDescent="0.25">
      <c r="B24" s="158">
        <f>'[6]Results EVI corrected'!G39</f>
        <v>6000</v>
      </c>
      <c r="C24" s="158">
        <f>'[6]Results EVI corrected'!DM39</f>
        <v>-29.8055599563979</v>
      </c>
      <c r="D24" s="158"/>
      <c r="F24" s="158">
        <f>'[6]Results EVI corrected'!DN39</f>
        <v>20.464869295246899</v>
      </c>
      <c r="G24" s="158">
        <f t="shared" si="0"/>
        <v>-19.8055599563979</v>
      </c>
      <c r="AJ24" s="197">
        <v>1.5999999999999996</v>
      </c>
      <c r="AK24" s="198">
        <v>35.111111111111114</v>
      </c>
    </row>
    <row r="25" spans="2:37" x14ac:dyDescent="0.25">
      <c r="B25" s="158">
        <f>'[6]Results EVI corrected'!G40</f>
        <v>6000</v>
      </c>
      <c r="C25" s="158">
        <f>'[6]Results EVI corrected'!DM40</f>
        <v>-21.315816863232925</v>
      </c>
      <c r="D25" s="158"/>
      <c r="F25" s="158">
        <f>'[6]Results EVI corrected'!DN40</f>
        <v>70.001923722182028</v>
      </c>
      <c r="G25" s="158">
        <f t="shared" si="0"/>
        <v>-11.315816863232925</v>
      </c>
      <c r="U25" s="15" t="s">
        <v>133</v>
      </c>
      <c r="V25" s="15"/>
      <c r="AJ25" s="197">
        <v>2.6799999999999997</v>
      </c>
      <c r="AK25" s="198">
        <v>34</v>
      </c>
    </row>
    <row r="26" spans="2:37" x14ac:dyDescent="0.25">
      <c r="B26" s="158">
        <f>'[6]Results EVI corrected'!G41</f>
        <v>1800</v>
      </c>
      <c r="C26" s="158">
        <f>'[6]Results EVI corrected'!DM41</f>
        <v>-3.8576906744708594E-2</v>
      </c>
      <c r="D26" s="158">
        <f>'[6]Results EVI corrected'!DN41</f>
        <v>56.004933651731847</v>
      </c>
      <c r="G26" s="158">
        <f t="shared" si="0"/>
        <v>9.9614230932552914</v>
      </c>
      <c r="AJ26" s="199">
        <v>3.76</v>
      </c>
      <c r="AK26" s="211">
        <v>32.888888888888886</v>
      </c>
    </row>
    <row r="27" spans="2:37" x14ac:dyDescent="0.25">
      <c r="B27" s="158">
        <f>'[6]Results EVI corrected'!G42</f>
        <v>6000</v>
      </c>
      <c r="C27" s="158">
        <f>'[6]Results EVI corrected'!DM42</f>
        <v>1.9643954077707804E-2</v>
      </c>
      <c r="D27" s="158"/>
      <c r="F27" s="158">
        <f>'[6]Results EVI corrected'!DN42</f>
        <v>66.967372390074843</v>
      </c>
      <c r="G27" s="158">
        <f t="shared" si="0"/>
        <v>10.019643954077708</v>
      </c>
      <c r="U27" s="15" t="str">
        <f>'Calculation (1.5 l)'!O10</f>
        <v>R290</v>
      </c>
      <c r="V27" s="25" t="str">
        <f>'Calculation (1.5 l)'!P10</f>
        <v>To</v>
      </c>
      <c r="W27" s="25" t="str">
        <f>'Calculation (1.5 l)'!Q10</f>
        <v>Tc</v>
      </c>
      <c r="X27" s="213" t="s">
        <v>138</v>
      </c>
      <c r="AJ27" s="197">
        <v>4.84</v>
      </c>
      <c r="AK27" s="198">
        <v>31.777777777777779</v>
      </c>
    </row>
    <row r="28" spans="2:37" ht="15.75" thickBot="1" x14ac:dyDescent="0.3">
      <c r="V28" s="25" t="str">
        <f>'Calculation (1.5 l)'!P11</f>
        <v>(°C)</v>
      </c>
      <c r="W28" s="25" t="str">
        <f>'Calculation (1.5 l)'!Q11</f>
        <v>(°C)</v>
      </c>
      <c r="X28" s="213" t="str">
        <f>'Calculation (1.5 l)'!AD11</f>
        <v>(gr)</v>
      </c>
      <c r="AJ28" s="197">
        <v>5.92</v>
      </c>
      <c r="AK28" s="198">
        <v>30.666666666666664</v>
      </c>
    </row>
    <row r="29" spans="2:37" ht="18.75" x14ac:dyDescent="0.3">
      <c r="B29" s="160"/>
      <c r="C29" s="161"/>
      <c r="D29" s="162"/>
      <c r="E29" s="163" t="s">
        <v>117</v>
      </c>
      <c r="F29" s="164"/>
      <c r="G29" s="165"/>
      <c r="H29" s="163" t="s">
        <v>118</v>
      </c>
      <c r="I29" s="165"/>
      <c r="J29" s="166" t="s">
        <v>119</v>
      </c>
      <c r="K29" s="162"/>
      <c r="L29" s="167"/>
      <c r="N29" t="s">
        <v>120</v>
      </c>
      <c r="Q29" t="s">
        <v>121</v>
      </c>
      <c r="V29" s="14">
        <f>'Calculation (1.5 l)'!P12</f>
        <v>-30</v>
      </c>
      <c r="W29" s="24">
        <f>'Calculation (1.5 l)'!Q12</f>
        <v>17</v>
      </c>
      <c r="X29" s="212">
        <f>'Calculation (1.5 l)'!AD12</f>
        <v>55.074377667698528</v>
      </c>
      <c r="AJ29" s="197"/>
      <c r="AK29" s="198"/>
    </row>
    <row r="30" spans="2:37" x14ac:dyDescent="0.25">
      <c r="B30" s="168" t="s">
        <v>122</v>
      </c>
      <c r="C30" s="169" t="s">
        <v>112</v>
      </c>
      <c r="D30" s="170" t="s">
        <v>113</v>
      </c>
      <c r="E30" s="168" t="s">
        <v>123</v>
      </c>
      <c r="F30" s="169" t="s">
        <v>124</v>
      </c>
      <c r="G30" s="170" t="s">
        <v>125</v>
      </c>
      <c r="H30" s="168" t="s">
        <v>123</v>
      </c>
      <c r="I30" s="170" t="s">
        <v>125</v>
      </c>
      <c r="J30" s="168" t="s">
        <v>123</v>
      </c>
      <c r="K30" s="170" t="s">
        <v>125</v>
      </c>
      <c r="L30" s="171" t="s">
        <v>126</v>
      </c>
      <c r="N30" t="s">
        <v>127</v>
      </c>
      <c r="O30" t="s">
        <v>128</v>
      </c>
      <c r="U30" t="str">
        <f>'Calculation (1.5 l)'!O13</f>
        <v>Envelope</v>
      </c>
      <c r="V30" s="14">
        <f>'Calculation (1.5 l)'!P13</f>
        <v>-11</v>
      </c>
      <c r="W30" s="24">
        <f>'Calculation (1.5 l)'!Q13</f>
        <v>17</v>
      </c>
      <c r="X30" s="212">
        <f>'Calculation (1.5 l)'!AD13</f>
        <v>67.959941975289922</v>
      </c>
    </row>
    <row r="31" spans="2:37" x14ac:dyDescent="0.25">
      <c r="B31" s="168" t="s">
        <v>129</v>
      </c>
      <c r="C31" s="169" t="s">
        <v>56</v>
      </c>
      <c r="D31" s="170" t="s">
        <v>56</v>
      </c>
      <c r="E31" s="168" t="s">
        <v>130</v>
      </c>
      <c r="F31" s="169" t="s">
        <v>130</v>
      </c>
      <c r="G31" s="170"/>
      <c r="H31" s="168" t="s">
        <v>130</v>
      </c>
      <c r="I31" s="172"/>
      <c r="J31" s="173"/>
      <c r="K31" s="172"/>
      <c r="L31" s="171" t="s">
        <v>130</v>
      </c>
      <c r="N31" t="s">
        <v>131</v>
      </c>
      <c r="V31" s="111">
        <f>'Calculation (1.5 l)'!P14</f>
        <v>25</v>
      </c>
      <c r="W31" s="112">
        <f>'Calculation (1.5 l)'!Q14</f>
        <v>40</v>
      </c>
      <c r="X31" s="212">
        <f>'Calculation (1.5 l)'!AD14</f>
        <v>84.468504237509975</v>
      </c>
    </row>
    <row r="32" spans="2:37" x14ac:dyDescent="0.25">
      <c r="B32" s="168">
        <v>3000</v>
      </c>
      <c r="C32" s="169">
        <v>-5</v>
      </c>
      <c r="D32" s="170">
        <v>43</v>
      </c>
      <c r="E32" s="174" t="e">
        <f ca="1">L32+0.95*F32</f>
        <v>#NAME?</v>
      </c>
      <c r="F32" s="175" t="e">
        <f ca="1">[4]!pol(C32,D32,$O$33:$O$42)</f>
        <v>#NAME?</v>
      </c>
      <c r="G32" s="176" t="e">
        <f ca="1">E32/F32</f>
        <v>#NAME?</v>
      </c>
      <c r="H32" s="177">
        <v>16200</v>
      </c>
      <c r="I32" s="178"/>
      <c r="J32" s="179" t="e">
        <f ca="1">E32/H32-1</f>
        <v>#NAME?</v>
      </c>
      <c r="K32" s="180"/>
      <c r="L32" s="181" t="e">
        <f ca="1">[4]!pol(C32,D32,$N$33:$N$42)</f>
        <v>#NAME?</v>
      </c>
      <c r="N32" t="s">
        <v>132</v>
      </c>
      <c r="V32" s="111">
        <f>'Calculation (1.5 l)'!P15</f>
        <v>25</v>
      </c>
      <c r="W32" s="112">
        <f>'Calculation (1.5 l)'!Q15</f>
        <v>40</v>
      </c>
      <c r="X32" s="212">
        <f>'Calculation (1.5 l)'!AD15</f>
        <v>72.106672820567965</v>
      </c>
    </row>
    <row r="33" spans="2:24" x14ac:dyDescent="0.25">
      <c r="B33" s="168">
        <v>3000</v>
      </c>
      <c r="C33" s="169">
        <v>0</v>
      </c>
      <c r="D33" s="170">
        <v>56</v>
      </c>
      <c r="E33" s="174" t="e">
        <f ca="1">L34+0.95*F33</f>
        <v>#NAME?</v>
      </c>
      <c r="F33" s="175" t="e">
        <f ca="1">[4]!pol(C33,D33,$O$33:$O$42)</f>
        <v>#NAME?</v>
      </c>
      <c r="G33" s="176" t="e">
        <f ca="1">E33/F33</f>
        <v>#NAME?</v>
      </c>
      <c r="H33" s="177"/>
      <c r="I33" s="182">
        <v>3.5</v>
      </c>
      <c r="J33" s="183"/>
      <c r="K33" s="184" t="e">
        <f ca="1">G33/I33-1</f>
        <v>#NAME?</v>
      </c>
      <c r="L33" s="181" t="e">
        <f ca="1">[4]!pol(C34,D34,$Q$33:$Q$42)</f>
        <v>#NAME?</v>
      </c>
      <c r="N33">
        <v>16167.250609999999</v>
      </c>
      <c r="O33">
        <v>1066.791332</v>
      </c>
      <c r="Q33">
        <v>28732.772830000002</v>
      </c>
      <c r="R33">
        <v>4872.3090620000003</v>
      </c>
      <c r="V33" s="14">
        <f>'Calculation (1.5 l)'!P16</f>
        <v>25</v>
      </c>
      <c r="W33" s="24">
        <f>'Calculation (1.5 l)'!Q16</f>
        <v>60</v>
      </c>
      <c r="X33" s="212">
        <f>'Calculation (1.5 l)'!AD16</f>
        <v>91.473652375502922</v>
      </c>
    </row>
    <row r="34" spans="2:24" ht="15.75" thickBot="1" x14ac:dyDescent="0.3">
      <c r="B34" s="185">
        <v>6000</v>
      </c>
      <c r="C34" s="186">
        <v>-18</v>
      </c>
      <c r="D34" s="187">
        <v>58</v>
      </c>
      <c r="E34" s="188" t="e">
        <f ca="1">L33+0.95*F34</f>
        <v>#NAME?</v>
      </c>
      <c r="F34" s="189" t="e">
        <f ca="1">[4]!pol(C34,D34,$R$33:$R$42)</f>
        <v>#NAME?</v>
      </c>
      <c r="G34" s="190" t="e">
        <f ca="1">E34/F34</f>
        <v>#NAME?</v>
      </c>
      <c r="H34" s="191"/>
      <c r="I34" s="192"/>
      <c r="J34" s="193"/>
      <c r="K34" s="194"/>
      <c r="L34" s="181" t="e">
        <f ca="1">[4]!pol(C33,D33,$N$33:$N$42)</f>
        <v>#NAME?</v>
      </c>
      <c r="N34">
        <v>439.47929140000002</v>
      </c>
      <c r="O34">
        <v>-40.537225489999997</v>
      </c>
      <c r="Q34">
        <v>839.66715680000004</v>
      </c>
      <c r="R34">
        <v>71.746738320000006</v>
      </c>
      <c r="V34" s="14">
        <f>'Calculation (1.5 l)'!P17</f>
        <v>15</v>
      </c>
      <c r="W34" s="24">
        <f>'Calculation (1.5 l)'!Q17</f>
        <v>70</v>
      </c>
      <c r="X34" s="212">
        <f>'Calculation (1.5 l)'!AD17</f>
        <v>117.68320349849235</v>
      </c>
    </row>
    <row r="35" spans="2:24" x14ac:dyDescent="0.25">
      <c r="N35">
        <v>-13.94872279</v>
      </c>
      <c r="O35">
        <v>59.909549920000003</v>
      </c>
      <c r="Q35">
        <v>88.647850050000002</v>
      </c>
      <c r="R35">
        <v>54.897295749999998</v>
      </c>
      <c r="V35" s="14">
        <f>'Calculation (1.5 l)'!P18</f>
        <v>-9</v>
      </c>
      <c r="W35" s="24">
        <f>'Calculation (1.5 l)'!Q18</f>
        <v>70</v>
      </c>
      <c r="X35" s="212">
        <f>'Calculation (1.5 l)'!AD18</f>
        <v>101.39034826281416</v>
      </c>
    </row>
    <row r="36" spans="2:24" x14ac:dyDescent="0.25">
      <c r="N36">
        <v>4.2426609869999998</v>
      </c>
      <c r="O36">
        <v>-0.55598262269999998</v>
      </c>
      <c r="Q36">
        <v>10.41506946</v>
      </c>
      <c r="R36">
        <v>0.1187220429</v>
      </c>
      <c r="U36">
        <f>'Calculation (1.5 l)'!O19</f>
        <v>53</v>
      </c>
      <c r="V36" s="14">
        <f>'Calculation (1.5 l)'!P19</f>
        <v>-15</v>
      </c>
      <c r="W36" s="24">
        <f>'Calculation (1.5 l)'!Q19</f>
        <v>70</v>
      </c>
      <c r="X36" s="212">
        <f>'Calculation (1.5 l)'!AD19</f>
        <v>134.70421700347413</v>
      </c>
    </row>
    <row r="37" spans="2:24" x14ac:dyDescent="0.25">
      <c r="N37">
        <v>-8.3017350020000005E-2</v>
      </c>
      <c r="O37">
        <v>1.101644056</v>
      </c>
      <c r="Q37">
        <v>2.1134593349999999</v>
      </c>
      <c r="R37">
        <v>-2.1111305300000001</v>
      </c>
      <c r="U37">
        <f>'Calculation (1.5 l)'!O20</f>
        <v>53</v>
      </c>
      <c r="V37" s="14">
        <f>'Calculation (1.5 l)'!P20</f>
        <v>-20</v>
      </c>
      <c r="W37" s="24">
        <f>'Calculation (1.5 l)'!Q20</f>
        <v>70</v>
      </c>
      <c r="X37" s="212">
        <f>'Calculation (1.5 l)'!AD20</f>
        <v>184.63260033387857</v>
      </c>
    </row>
    <row r="38" spans="2:24" x14ac:dyDescent="0.25">
      <c r="N38">
        <v>-0.51455836610000005</v>
      </c>
      <c r="O38">
        <v>2.7936808380000001E-2</v>
      </c>
      <c r="Q38">
        <v>-2.245955822</v>
      </c>
      <c r="R38">
        <v>-3.5530689749999997E-2</v>
      </c>
      <c r="V38" s="14">
        <f>'Calculation (1.5 l)'!P21</f>
        <v>-30</v>
      </c>
      <c r="W38" s="214">
        <v>60</v>
      </c>
      <c r="X38" s="212">
        <f>'Calculation (1.5 l)'!AD21</f>
        <v>44.12980349727215</v>
      </c>
    </row>
    <row r="39" spans="2:24" x14ac:dyDescent="0.25">
      <c r="N39">
        <v>1.527795939E-2</v>
      </c>
      <c r="O39">
        <v>0</v>
      </c>
      <c r="Q39">
        <v>5.3338264830000003E-2</v>
      </c>
      <c r="R39">
        <v>0</v>
      </c>
      <c r="V39" s="14">
        <v>-30</v>
      </c>
      <c r="W39" s="214">
        <v>45</v>
      </c>
      <c r="X39" s="212">
        <f>'Calculation (1.5 l)'!AD22</f>
        <v>53.446506290213179</v>
      </c>
    </row>
    <row r="40" spans="2:24" x14ac:dyDescent="0.25">
      <c r="N40">
        <v>-9.8937525250000005E-3</v>
      </c>
      <c r="O40">
        <v>0</v>
      </c>
      <c r="Q40">
        <v>-3.2293322440000001E-2</v>
      </c>
      <c r="R40">
        <v>0</v>
      </c>
      <c r="V40" s="14">
        <f>'Calculation (1.5 l)'!P23</f>
        <v>-30</v>
      </c>
      <c r="W40" s="24">
        <f>'Calculation (1.5 l)'!Q23</f>
        <v>45</v>
      </c>
      <c r="X40" s="212">
        <f>'Calculation (1.5 l)'!AD23</f>
        <v>64.977079066834833</v>
      </c>
    </row>
    <row r="41" spans="2:24" x14ac:dyDescent="0.25">
      <c r="N41">
        <v>-1.128498197E-2</v>
      </c>
      <c r="O41">
        <v>-7.3892966149999998E-3</v>
      </c>
      <c r="Q41">
        <v>-5.6749559810000003E-2</v>
      </c>
      <c r="R41">
        <v>2.7719897109999999E-2</v>
      </c>
      <c r="V41" s="14">
        <f>'Calculation (1.5 l)'!P24</f>
        <v>-30</v>
      </c>
      <c r="W41" s="24">
        <f>'Calculation (1.5 l)'!Q24</f>
        <v>35</v>
      </c>
      <c r="X41" s="212">
        <f>'Calculation (1.5 l)'!AD24</f>
        <v>22.522036370087509</v>
      </c>
    </row>
    <row r="42" spans="2:24" x14ac:dyDescent="0.25">
      <c r="N42">
        <v>1.023450903E-3</v>
      </c>
      <c r="O42">
        <v>6.0444743800000004E-3</v>
      </c>
      <c r="Q42">
        <v>-1.491250904E-3</v>
      </c>
      <c r="R42">
        <v>1.7911807839999998E-2</v>
      </c>
      <c r="U42" t="str">
        <f>'Calculation (1.5 l)'!O25</f>
        <v>Sanitary Water</v>
      </c>
      <c r="V42" s="14">
        <f>'Calculation (1.5 l)'!P25</f>
        <v>-18</v>
      </c>
      <c r="W42" s="24">
        <f>'Calculation (1.5 l)'!Q25</f>
        <v>62</v>
      </c>
      <c r="X42" s="212">
        <f>'Calculation (1.5 l)'!AD25</f>
        <v>31.86016702675817</v>
      </c>
    </row>
    <row r="43" spans="2:24" x14ac:dyDescent="0.25">
      <c r="U43" t="str">
        <f>'Calculation (1.5 l)'!O26</f>
        <v>Design point</v>
      </c>
      <c r="V43" s="14">
        <f>'Calculation (1.5 l)'!P26</f>
        <v>-18</v>
      </c>
      <c r="W43" s="24">
        <f>'Calculation (1.5 l)'!Q26</f>
        <v>58</v>
      </c>
      <c r="X43" s="212">
        <f>'Calculation (1.5 l)'!AD26</f>
        <v>31.860249622026032</v>
      </c>
    </row>
    <row r="44" spans="2:24" x14ac:dyDescent="0.25">
      <c r="U44" t="str">
        <f>'Calculation (1.5 l)'!O27</f>
        <v>Optimization</v>
      </c>
      <c r="V44" s="14">
        <f>'Calculation (1.5 l)'!P27</f>
        <v>-5</v>
      </c>
      <c r="W44" s="24">
        <f>'Calculation (1.5 l)'!Q27</f>
        <v>43</v>
      </c>
      <c r="X44" s="212">
        <f>'Calculation (1.5 l)'!AD27</f>
        <v>63.472033995012168</v>
      </c>
    </row>
    <row r="45" spans="2:24" x14ac:dyDescent="0.25">
      <c r="U45" t="str">
        <f>'Calculation (1.5 l)'!O28</f>
        <v>HCOP 3.5 (A7/W55)</v>
      </c>
      <c r="V45" s="14">
        <f>'Calculation (1.5 l)'!P28</f>
        <v>0</v>
      </c>
      <c r="W45" s="24">
        <f>'Calculation (1.5 l)'!Q28</f>
        <v>56</v>
      </c>
      <c r="X45" s="212">
        <f>'Calculation (1.5 l)'!AD28</f>
        <v>62.840971741885333</v>
      </c>
    </row>
    <row r="46" spans="2:24" x14ac:dyDescent="0.25">
      <c r="U46" t="str">
        <f>'Calculation (1.5 l)'!O29</f>
        <v>Working Conditions</v>
      </c>
      <c r="V46" s="14">
        <f>'Calculation (1.5 l)'!P29</f>
        <v>-20</v>
      </c>
      <c r="W46" s="24">
        <f>'Calculation (1.5 l)'!Q29</f>
        <v>57</v>
      </c>
      <c r="X46" s="212">
        <f>'Calculation (1.5 l)'!AD29</f>
        <v>30.674371998578263</v>
      </c>
    </row>
    <row r="47" spans="2:24" x14ac:dyDescent="0.25">
      <c r="U47" t="str">
        <f>'Calculation (1.5 l)'!O30</f>
        <v>Working Conditions</v>
      </c>
      <c r="V47" s="14">
        <f>'Calculation (1.5 l)'!P30</f>
        <v>7</v>
      </c>
      <c r="W47" s="24">
        <f>'Calculation (1.5 l)'!Q30</f>
        <v>30</v>
      </c>
      <c r="X47" s="212">
        <f>'Calculation (1.5 l)'!AD30</f>
        <v>100.47734535432305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24</vt:i4>
      </vt:variant>
    </vt:vector>
  </HeadingPairs>
  <TitlesOfParts>
    <vt:vector size="33" baseType="lpstr">
      <vt:lpstr>Example</vt:lpstr>
      <vt:lpstr>Sheet1</vt:lpstr>
      <vt:lpstr>Coefficients</vt:lpstr>
      <vt:lpstr>Calculation</vt:lpstr>
      <vt:lpstr>Calculation (2.5 l)</vt:lpstr>
      <vt:lpstr>Calculation (1.5 l)</vt:lpstr>
      <vt:lpstr>Calculation (1l)</vt:lpstr>
      <vt:lpstr>Summary 2.5-1 l</vt:lpstr>
      <vt:lpstr>1.5 l (New Env. May 2015)</vt:lpstr>
      <vt:lpstr>Example!p</vt:lpstr>
      <vt:lpstr>Example!Pres1</vt:lpstr>
      <vt:lpstr>Example!pres2</vt:lpstr>
      <vt:lpstr>Example!pres3</vt:lpstr>
      <vt:lpstr>Example!pres4</vt:lpstr>
      <vt:lpstr>Example!pres5</vt:lpstr>
      <vt:lpstr>Example!pres6</vt:lpstr>
      <vt:lpstr>Example!pres7</vt:lpstr>
      <vt:lpstr>Example!pres8</vt:lpstr>
      <vt:lpstr>Example!pres9</vt:lpstr>
      <vt:lpstr>Example!T</vt:lpstr>
      <vt:lpstr>Example!TC</vt:lpstr>
      <vt:lpstr>Example!test</vt:lpstr>
      <vt:lpstr>Example!u</vt:lpstr>
      <vt:lpstr>Example!visc1</vt:lpstr>
      <vt:lpstr>Example!visc2</vt:lpstr>
      <vt:lpstr>Example!visc3</vt:lpstr>
      <vt:lpstr>Example!visc4</vt:lpstr>
      <vt:lpstr>Example!visc5</vt:lpstr>
      <vt:lpstr>Example!visc6</vt:lpstr>
      <vt:lpstr>Example!visc7</vt:lpstr>
      <vt:lpstr>Example!visc8</vt:lpstr>
      <vt:lpstr>Example!visc9</vt:lpstr>
      <vt:lpstr>Example!w</vt:lpstr>
    </vt:vector>
  </TitlesOfParts>
  <Company>Emerson Climate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Bertagnolio, Stephane [COMRES/EUR/AAC]</dc:creator>
  <cp:lastModifiedBy>Bertagnolio, Stephane [CLIMATE/EUR/AAC]</cp:lastModifiedBy>
  <dcterms:created xsi:type="dcterms:W3CDTF">2013-10-03T07:58:26Z</dcterms:created>
  <dcterms:modified xsi:type="dcterms:W3CDTF">2017-07-07T12:08:04Z</dcterms:modified>
</cp:coreProperties>
</file>