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<sst xmlns="http://schemas.openxmlformats.org/spreadsheetml/2006/main" count="163" uniqueCount="109">
  <si>
    <t>Costs</t>
  </si>
  <si>
    <t>Organizational Costs</t>
  </si>
  <si>
    <t>Labor</t>
  </si>
  <si>
    <t>Specialist Salary</t>
  </si>
  <si>
    <t>Task</t>
  </si>
  <si>
    <t>Description</t>
  </si>
  <si>
    <t>Unit Cost</t>
  </si>
  <si>
    <t>Project</t>
  </si>
  <si>
    <t># Specialists</t>
  </si>
  <si>
    <t>Administration &amp; Consultation</t>
  </si>
  <si>
    <t>Organization, imaging planning, analysis needs, deadlines, etc.</t>
  </si>
  <si>
    <t>% effort</t>
  </si>
  <si>
    <t>Administration</t>
  </si>
  <si>
    <t>Assistant Salary</t>
  </si>
  <si>
    <t>Data Management</t>
  </si>
  <si>
    <t>Organizing necessary data structures, interpreting external data</t>
  </si>
  <si>
    <t>hours</t>
  </si>
  <si>
    <t>Specialist Hours</t>
  </si>
  <si>
    <t># Assistants</t>
  </si>
  <si>
    <t>Data Overhead</t>
  </si>
  <si>
    <t>LSS working space for processing and system administration</t>
  </si>
  <si>
    <t>% usage</t>
  </si>
  <si>
    <t>Specialist Cost</t>
  </si>
  <si>
    <t>System Administrator</t>
  </si>
  <si>
    <t>Data Storage</t>
  </si>
  <si>
    <t>2 TB storage, fully backed up for 10 years</t>
  </si>
  <si>
    <t>years</t>
  </si>
  <si>
    <t>Person Hours</t>
  </si>
  <si>
    <t># System Admins</t>
  </si>
  <si>
    <t>Data Sharing</t>
  </si>
  <si>
    <t>Organizing and uploading to archives, transferring to non-LSS location, etc.</t>
  </si>
  <si>
    <t>Person Cost</t>
  </si>
  <si>
    <t>Standard Hours (2019)</t>
  </si>
  <si>
    <t>Scripting</t>
  </si>
  <si>
    <t>Customizing standard scripts for research specific requirements</t>
  </si>
  <si>
    <t>Physical Costs</t>
  </si>
  <si>
    <t>Pipeline Development</t>
  </si>
  <si>
    <t>Development of new procedures and analytical tools necessary for specific projects</t>
  </si>
  <si>
    <t>Base Cost</t>
  </si>
  <si>
    <t>Fringe (2019)</t>
  </si>
  <si>
    <t>Single-Subject Costs</t>
  </si>
  <si>
    <t>Specialist Hourly</t>
  </si>
  <si>
    <t>Data Type</t>
  </si>
  <si>
    <t>Quality Control</t>
  </si>
  <si>
    <t>Compute Time</t>
  </si>
  <si>
    <t>Compute Resources</t>
  </si>
  <si>
    <t>Compute Hours</t>
  </si>
  <si>
    <t>General Hourly</t>
  </si>
  <si>
    <t>Anatomical</t>
  </si>
  <si>
    <t>Preprocessing</t>
  </si>
  <si>
    <t>T1 Only</t>
  </si>
  <si>
    <t>Computing</t>
  </si>
  <si>
    <t>Investment</t>
  </si>
  <si>
    <t>T1 &amp; T2</t>
  </si>
  <si>
    <t>Work Stations</t>
  </si>
  <si>
    <t>Other/Additional</t>
  </si>
  <si>
    <t>Life Cycle</t>
  </si>
  <si>
    <t>Postprocessing</t>
  </si>
  <si>
    <t>Volumetrics (JLF)</t>
  </si>
  <si>
    <t>Yearly</t>
  </si>
  <si>
    <t>Volumetrics (Atlas)</t>
  </si>
  <si>
    <t>Nodes (current PINC)</t>
  </si>
  <si>
    <t>Surfometrics</t>
  </si>
  <si>
    <t>Cores</t>
  </si>
  <si>
    <t>Manual Tracing</t>
  </si>
  <si>
    <t>ROI</t>
  </si>
  <si>
    <t>Slots</t>
  </si>
  <si>
    <t>Brain Extraction</t>
  </si>
  <si>
    <t>Hours per Year</t>
  </si>
  <si>
    <t>Lesion Mapping</t>
  </si>
  <si>
    <t>Hourly</t>
  </si>
  <si>
    <t>Functional</t>
  </si>
  <si>
    <t>Resting State</t>
  </si>
  <si>
    <t>Total</t>
  </si>
  <si>
    <t>Sample Size</t>
  </si>
  <si>
    <t>Infomap</t>
  </si>
  <si>
    <t>Scan Sessions</t>
  </si>
  <si>
    <t>Connectivity / ROI</t>
  </si>
  <si>
    <t>Diffusion</t>
  </si>
  <si>
    <t>Extract Tensors</t>
  </si>
  <si>
    <t>Tractography / ROI</t>
  </si>
  <si>
    <t>Spectroscopy</t>
  </si>
  <si>
    <t>MRSpa</t>
  </si>
  <si>
    <t>Compute Cost</t>
  </si>
  <si>
    <t>Compute Costs</t>
  </si>
  <si>
    <t>LC Model</t>
  </si>
  <si>
    <t>Cost/Subject</t>
  </si>
  <si>
    <t>Group Analysis Costs</t>
  </si>
  <si>
    <t>TOTAL</t>
  </si>
  <si>
    <t>Person hours</t>
  </si>
  <si>
    <t>Vertex / Voxel-wise</t>
  </si>
  <si>
    <t>1 model, whole brain</t>
  </si>
  <si>
    <t>Data Collection (years)</t>
  </si>
  <si>
    <t>1 model, 1 ROI</t>
  </si>
  <si>
    <t>% Person Hours Used</t>
  </si>
  <si>
    <t>Rest - Vertex / Voxel-wise</t>
  </si>
  <si>
    <t>Yearly Person Cost</t>
  </si>
  <si>
    <t>Task - Vertex / Voxel-wise</t>
  </si>
  <si>
    <t>% Compute Resources Used</t>
  </si>
  <si>
    <t>Yearly Compute Cost</t>
  </si>
  <si>
    <t>YEARLY</t>
  </si>
  <si>
    <t>1 model</t>
  </si>
  <si>
    <t>Cost</t>
  </si>
  <si>
    <t>Notes</t>
  </si>
  <si>
    <t>Scripting and compute times are estimates based on images of standard size (1mm^3).</t>
  </si>
  <si>
    <t>Higher-resolution images can impact computing times dramatically.</t>
  </si>
  <si>
    <t>Processing times have not yet been benchmarked and are estimated based on plan automation.</t>
  </si>
  <si>
    <t>(Without scripting automation person-hours increase approximately 5x).</t>
  </si>
  <si>
    <t>Re-processing is not included, will be charged at original rate of the processing needed.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</si>
</sst>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#,##0.0"/>
    <numFmt numFmtId="166" formatCode="&quot;$&quot;#,##0.0000000"/>
  </numFmts>
  <fonts count="14">
    <font>
      <sz val="10.0"/>
      <color rgb="FF000000"/>
      <name val="Arial"/>
    </font>
    <font>
      <b/>
      <sz val="14.0"/>
      <color rgb="FFFFFFFF"/>
      <name val="Droid Sans"/>
    </font>
    <font/>
    <font>
      <sz val="10.0"/>
      <color rgb="FF000000"/>
      <name val="Droid Sans"/>
    </font>
    <font>
      <name val="Droid Sans"/>
    </font>
    <font>
      <b/>
      <sz val="10.0"/>
      <color rgb="FF000000"/>
      <name val="Droid Sans"/>
    </font>
    <font>
      <b/>
      <color rgb="FFFFFFFF"/>
      <name val="Droid Sans"/>
    </font>
    <font>
      <sz val="14.0"/>
      <color rgb="FF000000"/>
      <name val="Droid Sans"/>
    </font>
    <font>
      <b/>
      <name val="Droid Sans"/>
    </font>
    <font>
      <b/>
      <color rgb="FF000000"/>
      <name val="Droid Sans"/>
    </font>
    <font>
      <sz val="14.0"/>
      <name val="Droid Sans"/>
    </font>
    <font>
      <color rgb="FF000000"/>
      <name val="Droid Sans"/>
    </font>
    <font>
      <sz val="11.0"/>
      <color rgb="FF000000"/>
      <name val="Droid Sans"/>
    </font>
    <font>
      <b/>
      <sz val="18.0"/>
      <color rgb="FFFFFFFF"/>
      <name val="Droid Sans"/>
    </font>
  </fonts>
  <fills count="2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666666"/>
        <bgColor rgb="FF666666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EA9999"/>
        <bgColor rgb="FFEA9999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readingOrder="0" vertical="center"/>
    </xf>
    <xf borderId="4" fillId="3" fontId="3" numFmtId="0" xfId="0" applyAlignment="1" applyBorder="1" applyFont="1">
      <alignment readingOrder="0" vertical="center"/>
    </xf>
    <xf borderId="5" fillId="0" fontId="2" numFmtId="0" xfId="0" applyBorder="1" applyFont="1"/>
    <xf borderId="0" fillId="0" fontId="4" numFmtId="0" xfId="0" applyAlignment="1" applyFont="1">
      <alignment vertical="center"/>
    </xf>
    <xf borderId="6" fillId="4" fontId="4" numFmtId="0" xfId="0" applyAlignment="1" applyBorder="1" applyFill="1" applyFont="1">
      <alignment horizontal="right" readingOrder="0" vertical="center"/>
    </xf>
    <xf borderId="7" fillId="5" fontId="4" numFmtId="164" xfId="0" applyAlignment="1" applyBorder="1" applyFill="1" applyFont="1" applyNumberFormat="1">
      <alignment readingOrder="0" vertical="center"/>
    </xf>
    <xf borderId="7" fillId="6" fontId="4" numFmtId="0" xfId="0" applyAlignment="1" applyBorder="1" applyFill="1" applyFont="1">
      <alignment readingOrder="0" vertical="center"/>
    </xf>
    <xf borderId="7" fillId="7" fontId="5" numFmtId="0" xfId="0" applyAlignment="1" applyBorder="1" applyFill="1" applyFont="1">
      <alignment readingOrder="0" vertical="center"/>
    </xf>
    <xf borderId="1" fillId="7" fontId="5" numFmtId="0" xfId="0" applyAlignment="1" applyBorder="1" applyFont="1">
      <alignment readingOrder="0" vertical="center"/>
    </xf>
    <xf borderId="7" fillId="7" fontId="3" numFmtId="0" xfId="0" applyAlignment="1" applyBorder="1" applyFont="1">
      <alignment readingOrder="0" vertical="center"/>
    </xf>
    <xf borderId="1" fillId="8" fontId="6" numFmtId="0" xfId="0" applyAlignment="1" applyBorder="1" applyFill="1" applyFont="1">
      <alignment horizontal="center" readingOrder="0" shrinkToFit="0" vertical="center" wrapText="1"/>
    </xf>
    <xf borderId="8" fillId="3" fontId="3" numFmtId="0" xfId="0" applyAlignment="1" applyBorder="1" applyFont="1">
      <alignment readingOrder="0" vertical="center"/>
    </xf>
    <xf borderId="9" fillId="0" fontId="2" numFmtId="0" xfId="0" applyBorder="1" applyFont="1"/>
    <xf borderId="10" fillId="0" fontId="2" numFmtId="0" xfId="0" applyBorder="1" applyFont="1"/>
    <xf borderId="7" fillId="5" fontId="4" numFmtId="165" xfId="0" applyAlignment="1" applyBorder="1" applyFont="1" applyNumberFormat="1">
      <alignment readingOrder="0" vertical="center"/>
    </xf>
    <xf borderId="7" fillId="7" fontId="3" numFmtId="0" xfId="0" applyAlignment="1" applyBorder="1" applyFont="1">
      <alignment readingOrder="0" shrinkToFit="0" vertical="center" wrapText="1"/>
    </xf>
    <xf borderId="1" fillId="9" fontId="3" numFmtId="0" xfId="0" applyAlignment="1" applyBorder="1" applyFill="1" applyFont="1">
      <alignment readingOrder="0" vertical="center"/>
    </xf>
    <xf borderId="7" fillId="10" fontId="3" numFmtId="164" xfId="0" applyAlignment="1" applyBorder="1" applyFill="1" applyFont="1" applyNumberFormat="1">
      <alignment readingOrder="0" vertical="center"/>
    </xf>
    <xf borderId="7" fillId="11" fontId="3" numFmtId="4" xfId="0" applyAlignment="1" applyBorder="1" applyFill="1" applyFont="1" applyNumberFormat="1">
      <alignment readingOrder="0" shrinkToFit="0" vertical="center" wrapText="1"/>
    </xf>
    <xf borderId="1" fillId="11" fontId="3" numFmtId="0" xfId="0" applyAlignment="1" applyBorder="1" applyFont="1">
      <alignment readingOrder="0" shrinkToFit="0" vertical="center" wrapText="1"/>
    </xf>
    <xf borderId="11" fillId="10" fontId="3" numFmtId="164" xfId="0" applyAlignment="1" applyBorder="1" applyFont="1" applyNumberFormat="1">
      <alignment readingOrder="0" vertical="center"/>
    </xf>
    <xf borderId="11" fillId="9" fontId="3" numFmtId="0" xfId="0" applyAlignment="1" applyBorder="1" applyFont="1">
      <alignment readingOrder="0" vertical="center"/>
    </xf>
    <xf borderId="7" fillId="12" fontId="7" numFmtId="0" xfId="0" applyAlignment="1" applyBorder="1" applyFill="1" applyFont="1">
      <alignment horizontal="center" readingOrder="0" shrinkToFit="0" vertical="center" wrapText="1"/>
    </xf>
    <xf borderId="7" fillId="10" fontId="3" numFmtId="0" xfId="0" applyAlignment="1" applyBorder="1" applyFont="1">
      <alignment readingOrder="0" vertical="center"/>
    </xf>
    <xf borderId="7" fillId="9" fontId="3" numFmtId="0" xfId="0" applyAlignment="1" applyBorder="1" applyFont="1">
      <alignment readingOrder="0" vertical="center"/>
    </xf>
    <xf borderId="7" fillId="5" fontId="4" numFmtId="0" xfId="0" applyAlignment="1" applyBorder="1" applyFont="1">
      <alignment readingOrder="0" vertical="center"/>
    </xf>
    <xf borderId="7" fillId="11" fontId="3" numFmtId="0" xfId="0" applyAlignment="1" applyBorder="1" applyFont="1">
      <alignment readingOrder="0" shrinkToFit="0" vertical="center" wrapText="1"/>
    </xf>
    <xf borderId="7" fillId="3" fontId="1" numFmtId="164" xfId="0" applyAlignment="1" applyBorder="1" applyFont="1" applyNumberFormat="1">
      <alignment readingOrder="0" vertical="center"/>
    </xf>
    <xf borderId="7" fillId="3" fontId="1" numFmtId="0" xfId="0" applyAlignment="1" applyBorder="1" applyFont="1">
      <alignment readingOrder="0" vertical="center"/>
    </xf>
    <xf borderId="7" fillId="5" fontId="4" numFmtId="9" xfId="0" applyAlignment="1" applyBorder="1" applyFont="1" applyNumberFormat="1">
      <alignment readingOrder="0" vertical="center"/>
    </xf>
    <xf borderId="1" fillId="13" fontId="1" numFmtId="0" xfId="0" applyAlignment="1" applyBorder="1" applyFill="1" applyFont="1">
      <alignment readingOrder="0" vertical="center"/>
    </xf>
    <xf borderId="4" fillId="13" fontId="1" numFmtId="0" xfId="0" applyAlignment="1" applyBorder="1" applyFont="1">
      <alignment readingOrder="0" vertical="center"/>
    </xf>
    <xf borderId="4" fillId="0" fontId="2" numFmtId="0" xfId="0" applyBorder="1" applyFont="1"/>
    <xf borderId="7" fillId="14" fontId="8" numFmtId="164" xfId="0" applyAlignment="1" applyBorder="1" applyFill="1" applyFont="1" applyNumberFormat="1">
      <alignment readingOrder="0" vertical="center"/>
    </xf>
    <xf borderId="1" fillId="6" fontId="4" numFmtId="0" xfId="0" applyAlignment="1" applyBorder="1" applyFont="1">
      <alignment readingOrder="0" vertical="center"/>
    </xf>
    <xf borderId="6" fillId="15" fontId="9" numFmtId="0" xfId="0" applyAlignment="1" applyBorder="1" applyFill="1" applyFont="1">
      <alignment readingOrder="0" vertical="center"/>
    </xf>
    <xf borderId="7" fillId="15" fontId="9" numFmtId="0" xfId="0" applyAlignment="1" applyBorder="1" applyFont="1">
      <alignment readingOrder="0" vertical="center"/>
    </xf>
    <xf borderId="7" fillId="15" fontId="9" numFmtId="0" xfId="0" applyAlignment="1" applyBorder="1" applyFont="1">
      <alignment horizontal="center" readingOrder="0" shrinkToFit="0" vertical="center" wrapText="1"/>
    </xf>
    <xf borderId="7" fillId="8" fontId="6" numFmtId="0" xfId="0" applyAlignment="1" applyBorder="1" applyFont="1">
      <alignment horizontal="center" readingOrder="0" shrinkToFit="0" vertical="center" wrapText="1"/>
    </xf>
    <xf borderId="12" fillId="13" fontId="4" numFmtId="0" xfId="0" applyBorder="1" applyFont="1"/>
    <xf borderId="13" fillId="15" fontId="4" numFmtId="0" xfId="0" applyAlignment="1" applyBorder="1" applyFont="1">
      <alignment readingOrder="0" vertical="center"/>
    </xf>
    <xf borderId="4" fillId="16" fontId="4" numFmtId="0" xfId="0" applyAlignment="1" applyBorder="1" applyFill="1" applyFont="1">
      <alignment readingOrder="0" vertical="center"/>
    </xf>
    <xf borderId="3" fillId="16" fontId="4" numFmtId="0" xfId="0" applyAlignment="1" applyBorder="1" applyFont="1">
      <alignment readingOrder="0" vertical="center"/>
    </xf>
    <xf borderId="7" fillId="17" fontId="4" numFmtId="0" xfId="0" applyAlignment="1" applyBorder="1" applyFill="1" applyFont="1">
      <alignment readingOrder="0" vertical="center"/>
    </xf>
    <xf borderId="7" fillId="17" fontId="4" numFmtId="0" xfId="0" applyAlignment="1" applyBorder="1" applyFont="1">
      <alignment vertical="center"/>
    </xf>
    <xf borderId="7" fillId="0" fontId="10" numFmtId="0" xfId="0" applyAlignment="1" applyBorder="1" applyFont="1">
      <alignment horizontal="center"/>
    </xf>
    <xf borderId="7" fillId="11" fontId="11" numFmtId="0" xfId="0" applyAlignment="1" applyBorder="1" applyFont="1">
      <alignment horizontal="right" readingOrder="0" vertical="center"/>
    </xf>
    <xf borderId="1" fillId="11" fontId="11" numFmtId="0" xfId="0" applyAlignment="1" applyBorder="1" applyFont="1">
      <alignment horizontal="right" readingOrder="0" vertical="center"/>
    </xf>
    <xf borderId="12" fillId="0" fontId="2" numFmtId="0" xfId="0" applyBorder="1" applyFont="1"/>
    <xf borderId="7" fillId="0" fontId="10" numFmtId="0" xfId="0" applyAlignment="1" applyBorder="1" applyFont="1">
      <alignment horizontal="center" readingOrder="0"/>
    </xf>
    <xf borderId="7" fillId="5" fontId="4" numFmtId="164" xfId="0" applyAlignment="1" applyBorder="1" applyFont="1" applyNumberFormat="1">
      <alignment vertical="center"/>
    </xf>
    <xf borderId="7" fillId="5" fontId="4" numFmtId="0" xfId="0" applyAlignment="1" applyBorder="1" applyFont="1">
      <alignment vertical="center"/>
    </xf>
    <xf borderId="7" fillId="5" fontId="4" numFmtId="3" xfId="0" applyAlignment="1" applyBorder="1" applyFont="1" applyNumberFormat="1">
      <alignment vertical="center"/>
    </xf>
    <xf borderId="7" fillId="14" fontId="8" numFmtId="166" xfId="0" applyAlignment="1" applyBorder="1" applyFont="1" applyNumberFormat="1">
      <alignment vertical="center"/>
    </xf>
    <xf borderId="1" fillId="18" fontId="1" numFmtId="0" xfId="0" applyAlignment="1" applyBorder="1" applyFill="1" applyFont="1">
      <alignment horizontal="center" readingOrder="0" vertical="center"/>
    </xf>
    <xf borderId="1" fillId="12" fontId="10" numFmtId="0" xfId="0" applyAlignment="1" applyBorder="1" applyFont="1">
      <alignment horizontal="center" readingOrder="0" vertical="center"/>
    </xf>
    <xf borderId="1" fillId="19" fontId="4" numFmtId="0" xfId="0" applyAlignment="1" applyBorder="1" applyFill="1" applyFont="1">
      <alignment readingOrder="0" vertical="center"/>
    </xf>
    <xf borderId="11" fillId="16" fontId="12" numFmtId="0" xfId="0" applyAlignment="1" applyBorder="1" applyFont="1">
      <alignment readingOrder="0" vertical="center"/>
    </xf>
    <xf borderId="11" fillId="15" fontId="4" numFmtId="0" xfId="0" applyAlignment="1" applyBorder="1" applyFont="1">
      <alignment readingOrder="0" vertical="center"/>
    </xf>
    <xf borderId="1" fillId="20" fontId="4" numFmtId="0" xfId="0" applyAlignment="1" applyBorder="1" applyFill="1" applyFont="1">
      <alignment vertical="center"/>
    </xf>
    <xf borderId="2" fillId="16" fontId="4" numFmtId="0" xfId="0" applyAlignment="1" applyBorder="1" applyFont="1">
      <alignment readingOrder="0" vertical="center"/>
    </xf>
    <xf borderId="7" fillId="16" fontId="4" numFmtId="164" xfId="0" applyAlignment="1" applyBorder="1" applyFont="1" applyNumberFormat="1">
      <alignment vertical="center"/>
    </xf>
    <xf borderId="7" fillId="15" fontId="4" numFmtId="0" xfId="0" applyAlignment="1" applyBorder="1" applyFont="1">
      <alignment readingOrder="0" vertical="center"/>
    </xf>
    <xf borderId="1" fillId="20" fontId="4" numFmtId="164" xfId="0" applyAlignment="1" applyBorder="1" applyFont="1" applyNumberFormat="1">
      <alignment vertical="center"/>
    </xf>
    <xf borderId="7" fillId="16" fontId="12" numFmtId="3" xfId="0" applyAlignment="1" applyBorder="1" applyFont="1" applyNumberFormat="1">
      <alignment vertical="center"/>
    </xf>
    <xf borderId="1" fillId="20" fontId="3" numFmtId="3" xfId="0" applyAlignment="1" applyBorder="1" applyFont="1" applyNumberFormat="1">
      <alignment vertical="center"/>
    </xf>
    <xf borderId="1" fillId="19" fontId="3" numFmtId="0" xfId="0" applyAlignment="1" applyBorder="1" applyFont="1">
      <alignment readingOrder="0" shrinkToFit="0" vertical="center" wrapText="1"/>
    </xf>
    <xf borderId="7" fillId="16" fontId="4" numFmtId="164" xfId="0" applyAlignment="1" applyBorder="1" applyFont="1" applyNumberFormat="1">
      <alignment vertical="center"/>
    </xf>
    <xf borderId="1" fillId="20" fontId="3" numFmtId="164" xfId="0" applyAlignment="1" applyBorder="1" applyFont="1" applyNumberFormat="1">
      <alignment vertical="center"/>
    </xf>
    <xf borderId="7" fillId="19" fontId="3" numFmtId="0" xfId="0" applyAlignment="1" applyBorder="1" applyFont="1">
      <alignment readingOrder="0" shrinkToFit="0" vertical="center" wrapText="1"/>
    </xf>
    <xf borderId="6" fillId="13" fontId="1" numFmtId="164" xfId="0" applyAlignment="1" applyBorder="1" applyFont="1" applyNumberFormat="1">
      <alignment vertical="center"/>
    </xf>
    <xf borderId="6" fillId="13" fontId="1" numFmtId="0" xfId="0" applyAlignment="1" applyBorder="1" applyFont="1">
      <alignment readingOrder="0" shrinkToFit="0" vertical="center" wrapText="1"/>
    </xf>
    <xf borderId="13" fillId="20" fontId="1" numFmtId="164" xfId="0" applyAlignment="1" applyBorder="1" applyFont="1" applyNumberFormat="1">
      <alignment vertical="center"/>
    </xf>
    <xf borderId="6" fillId="19" fontId="1" numFmtId="0" xfId="0" applyAlignment="1" applyBorder="1" applyFont="1">
      <alignment readingOrder="0" shrinkToFit="0" vertical="center" wrapText="1"/>
    </xf>
    <xf borderId="8" fillId="21" fontId="1" numFmtId="0" xfId="0" applyAlignment="1" applyBorder="1" applyFill="1" applyFont="1">
      <alignment readingOrder="0" vertical="center"/>
    </xf>
    <xf borderId="14" fillId="0" fontId="2" numFmtId="0" xfId="0" applyBorder="1" applyFont="1"/>
    <xf borderId="4" fillId="21" fontId="1" numFmtId="0" xfId="0" applyAlignment="1" applyBorder="1" applyFont="1">
      <alignment readingOrder="0" vertical="center"/>
    </xf>
    <xf borderId="13" fillId="18" fontId="13" numFmtId="164" xfId="0" applyAlignment="1" applyBorder="1" applyFont="1" applyNumberFormat="1">
      <alignment vertical="center"/>
    </xf>
    <xf borderId="13" fillId="18" fontId="13" numFmtId="0" xfId="0" applyAlignment="1" applyBorder="1" applyFont="1">
      <alignment readingOrder="0" shrinkToFit="0" vertical="center" wrapText="1"/>
    </xf>
    <xf borderId="6" fillId="22" fontId="9" numFmtId="0" xfId="0" applyAlignment="1" applyBorder="1" applyFill="1" applyFont="1">
      <alignment readingOrder="0" vertical="center"/>
    </xf>
    <xf borderId="7" fillId="22" fontId="9" numFmtId="0" xfId="0" applyAlignment="1" applyBorder="1" applyFont="1">
      <alignment readingOrder="0" vertical="center"/>
    </xf>
    <xf borderId="7" fillId="22" fontId="9" numFmtId="0" xfId="0" applyAlignment="1" applyBorder="1" applyFont="1">
      <alignment horizontal="center" readingOrder="0" shrinkToFit="0" vertical="center" wrapText="1"/>
    </xf>
    <xf borderId="0" fillId="21" fontId="4" numFmtId="0" xfId="0" applyFont="1"/>
    <xf borderId="13" fillId="22" fontId="4" numFmtId="0" xfId="0" applyAlignment="1" applyBorder="1" applyFont="1">
      <alignment readingOrder="0" vertical="center"/>
    </xf>
    <xf borderId="2" fillId="23" fontId="4" numFmtId="0" xfId="0" applyAlignment="1" applyBorder="1" applyFill="1" applyFont="1">
      <alignment readingOrder="0" vertical="center"/>
    </xf>
    <xf borderId="3" fillId="23" fontId="4" numFmtId="0" xfId="0" applyAlignment="1" applyBorder="1" applyFont="1">
      <alignment readingOrder="0" vertical="center"/>
    </xf>
    <xf borderId="7" fillId="24" fontId="4" numFmtId="0" xfId="0" applyAlignment="1" applyBorder="1" applyFill="1" applyFont="1">
      <alignment readingOrder="0" vertical="center"/>
    </xf>
    <xf borderId="7" fillId="24" fontId="4" numFmtId="0" xfId="0" applyAlignment="1" applyBorder="1" applyFont="1">
      <alignment vertical="center"/>
    </xf>
    <xf borderId="1" fillId="0" fontId="10" numFmtId="0" xfId="0" applyAlignment="1" applyBorder="1" applyFont="1">
      <alignment horizontal="center" readingOrder="0" vertical="center"/>
    </xf>
    <xf borderId="1" fillId="20" fontId="4" numFmtId="10" xfId="0" applyAlignment="1" applyBorder="1" applyFont="1" applyNumberFormat="1">
      <alignment vertical="center"/>
    </xf>
    <xf borderId="7" fillId="23" fontId="12" numFmtId="0" xfId="0" applyAlignment="1" applyBorder="1" applyFont="1">
      <alignment vertical="center"/>
    </xf>
    <xf borderId="7" fillId="22" fontId="4" numFmtId="0" xfId="0" applyAlignment="1" applyBorder="1" applyFont="1">
      <alignment readingOrder="0" vertical="center"/>
    </xf>
    <xf borderId="7" fillId="23" fontId="4" numFmtId="164" xfId="0" applyAlignment="1" applyBorder="1" applyFont="1" applyNumberFormat="1">
      <alignment vertical="center"/>
    </xf>
    <xf borderId="7" fillId="23" fontId="12" numFmtId="3" xfId="0" applyAlignment="1" applyBorder="1" applyFont="1" applyNumberFormat="1">
      <alignment vertical="center"/>
    </xf>
    <xf borderId="7" fillId="23" fontId="4" numFmtId="164" xfId="0" applyAlignment="1" applyBorder="1" applyFont="1" applyNumberFormat="1">
      <alignment vertical="center"/>
    </xf>
    <xf borderId="1" fillId="22" fontId="4" numFmtId="0" xfId="0" applyAlignment="1" applyBorder="1" applyFont="1">
      <alignment readingOrder="0" vertical="center"/>
    </xf>
    <xf borderId="6" fillId="21" fontId="1" numFmtId="164" xfId="0" applyAlignment="1" applyBorder="1" applyFont="1" applyNumberFormat="1">
      <alignment vertical="center"/>
    </xf>
    <xf borderId="6" fillId="21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readingOrder="0" shrinkToFit="0" vertical="center" wrapText="0"/>
    </xf>
    <xf borderId="2" fillId="2" fontId="1" numFmtId="0" xfId="0" applyAlignment="1" applyBorder="1" applyFont="1">
      <alignment readingOrder="0" shrinkToFit="0" vertical="center" wrapText="0"/>
    </xf>
    <xf borderId="13" fillId="12" fontId="12" numFmtId="0" xfId="0" applyAlignment="1" applyBorder="1" applyFont="1">
      <alignment horizontal="left" readingOrder="0" shrinkToFit="0" vertical="top" wrapText="0"/>
    </xf>
    <xf borderId="4" fillId="12" fontId="12" numFmtId="0" xfId="0" applyAlignment="1" applyBorder="1" applyFont="1">
      <alignment horizontal="left" readingOrder="0" shrinkToFit="0" vertical="top" wrapText="0"/>
    </xf>
    <xf borderId="0" fillId="12" fontId="12" numFmtId="0" xfId="0" applyAlignment="1" applyFont="1">
      <alignment horizontal="left" readingOrder="0" shrinkToFit="0" vertical="top" wrapText="0"/>
    </xf>
    <xf borderId="0" fillId="12" fontId="12" numFmtId="0" xfId="0" applyAlignment="1" applyFont="1">
      <alignment readingOrder="0" shrinkToFit="0" vertical="top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3.86"/>
    <col customWidth="1" min="2" max="2" width="12.57"/>
    <col customWidth="1" min="3" max="3" width="27.29"/>
    <col customWidth="1" min="4" max="4" width="23.0"/>
    <col customWidth="1" min="5" max="5" width="19.57"/>
    <col customWidth="1" min="6" max="6" width="21.86"/>
    <col customWidth="1" min="7" max="12" width="11.29"/>
    <col customWidth="1" min="13" max="13" width="8.86"/>
    <col customWidth="1" min="14" max="14" width="9.14"/>
    <col customWidth="1" min="15" max="15" width="9.43"/>
    <col customWidth="1" min="16" max="16" width="17.0"/>
    <col customWidth="1" min="17" max="17" width="17.86"/>
  </cols>
  <sheetData>
    <row r="1" ht="23.25" customHeight="1">
      <c r="A1" s="1" t="s">
        <v>0</v>
      </c>
      <c r="B1" s="2"/>
      <c r="C1" s="3"/>
      <c r="D1" s="4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5"/>
      <c r="Q1" s="6"/>
      <c r="R1" s="7"/>
      <c r="S1" s="7"/>
      <c r="T1" s="7"/>
      <c r="U1" s="7"/>
      <c r="V1" s="7"/>
      <c r="W1" s="7"/>
    </row>
    <row r="2" ht="23.25" customHeight="1">
      <c r="A2" s="8" t="s">
        <v>2</v>
      </c>
      <c r="B2" s="9">
        <v>70000.0</v>
      </c>
      <c r="C2" s="10" t="s">
        <v>3</v>
      </c>
      <c r="D2" s="11" t="s">
        <v>4</v>
      </c>
      <c r="E2" s="12" t="s">
        <v>5</v>
      </c>
      <c r="F2" s="2"/>
      <c r="G2" s="2"/>
      <c r="H2" s="2"/>
      <c r="I2" s="2"/>
      <c r="J2" s="2"/>
      <c r="K2" s="3"/>
      <c r="L2" s="13" t="s">
        <v>6</v>
      </c>
      <c r="M2" s="14" t="s">
        <v>7</v>
      </c>
      <c r="N2" s="2"/>
      <c r="O2" s="3"/>
      <c r="P2" s="15"/>
      <c r="Q2" s="16"/>
      <c r="R2" s="7"/>
      <c r="S2" s="7"/>
      <c r="T2" s="7"/>
      <c r="U2" s="7"/>
      <c r="V2" s="7"/>
      <c r="W2" s="7"/>
    </row>
    <row r="3" ht="23.25" customHeight="1">
      <c r="A3" s="17"/>
      <c r="B3" s="18">
        <v>2.5</v>
      </c>
      <c r="C3" s="10" t="s">
        <v>8</v>
      </c>
      <c r="D3" s="19" t="s">
        <v>9</v>
      </c>
      <c r="E3" s="20" t="s">
        <v>10</v>
      </c>
      <c r="F3" s="2"/>
      <c r="G3" s="2"/>
      <c r="H3" s="2"/>
      <c r="I3" s="2"/>
      <c r="J3" s="2"/>
      <c r="K3" s="3"/>
      <c r="L3" s="21">
        <v>100000.0</v>
      </c>
      <c r="M3" s="22">
        <f>A33*100</f>
        <v>6.455539591</v>
      </c>
      <c r="N3" s="23" t="s">
        <v>11</v>
      </c>
      <c r="O3" s="3"/>
      <c r="P3" s="24">
        <f>L3*M3/100+L5*M5/100</f>
        <v>7593.005667</v>
      </c>
      <c r="Q3" s="25" t="s">
        <v>12</v>
      </c>
      <c r="R3" s="7"/>
      <c r="S3" s="7"/>
      <c r="T3" s="7"/>
      <c r="U3" s="7"/>
      <c r="V3" s="7"/>
      <c r="W3" s="7"/>
    </row>
    <row r="4" ht="23.25" customHeight="1">
      <c r="A4" s="17"/>
      <c r="B4" s="9">
        <v>50000.0</v>
      </c>
      <c r="C4" s="10" t="s">
        <v>13</v>
      </c>
      <c r="D4" s="13" t="s">
        <v>14</v>
      </c>
      <c r="E4" s="20" t="s">
        <v>15</v>
      </c>
      <c r="F4" s="2"/>
      <c r="G4" s="2"/>
      <c r="H4" s="2"/>
      <c r="I4" s="2"/>
      <c r="J4" s="2"/>
      <c r="K4" s="2"/>
      <c r="L4" s="21">
        <f>$B$12</f>
        <v>44.38058748</v>
      </c>
      <c r="M4" s="26">
        <v>1.0</v>
      </c>
      <c r="N4" s="23" t="s">
        <v>16</v>
      </c>
      <c r="O4" s="2"/>
      <c r="P4" s="27">
        <f>sum(M8:M9)</f>
        <v>24</v>
      </c>
      <c r="Q4" s="28" t="s">
        <v>17</v>
      </c>
      <c r="R4" s="7"/>
      <c r="S4" s="7"/>
      <c r="T4" s="7"/>
      <c r="U4" s="7"/>
      <c r="V4" s="7"/>
      <c r="W4" s="7"/>
    </row>
    <row r="5" ht="23.25" customHeight="1">
      <c r="A5" s="17"/>
      <c r="B5" s="29">
        <v>0.5</v>
      </c>
      <c r="C5" s="10" t="s">
        <v>18</v>
      </c>
      <c r="D5" s="13" t="s">
        <v>19</v>
      </c>
      <c r="E5" s="20" t="s">
        <v>20</v>
      </c>
      <c r="F5" s="2"/>
      <c r="G5" s="2"/>
      <c r="H5" s="2"/>
      <c r="I5" s="2"/>
      <c r="J5" s="2"/>
      <c r="K5" s="2"/>
      <c r="L5" s="21">
        <f>4*40*(B5+B3) + B6*B7</f>
        <v>70480</v>
      </c>
      <c r="M5" s="22">
        <f>A33*100*0.25</f>
        <v>1.613884898</v>
      </c>
      <c r="N5" s="23" t="s">
        <v>21</v>
      </c>
      <c r="O5" s="3"/>
      <c r="P5" s="21">
        <f>B11</f>
        <v>46.59961686</v>
      </c>
      <c r="Q5" s="28" t="s">
        <v>22</v>
      </c>
      <c r="R5" s="7"/>
      <c r="S5" s="7"/>
      <c r="T5" s="7"/>
      <c r="U5" s="7"/>
      <c r="V5" s="7"/>
      <c r="W5" s="7"/>
    </row>
    <row r="6" ht="23.25" customHeight="1">
      <c r="A6" s="17"/>
      <c r="B6" s="9">
        <v>70000.0</v>
      </c>
      <c r="C6" s="10" t="s">
        <v>23</v>
      </c>
      <c r="D6" s="13" t="s">
        <v>24</v>
      </c>
      <c r="E6" s="20" t="s">
        <v>25</v>
      </c>
      <c r="F6" s="2"/>
      <c r="G6" s="2"/>
      <c r="H6" s="2"/>
      <c r="I6" s="2"/>
      <c r="J6" s="2"/>
      <c r="K6" s="2"/>
      <c r="L6" s="21">
        <v>80.0</v>
      </c>
      <c r="M6" s="26">
        <v>2.0</v>
      </c>
      <c r="N6" s="26">
        <v>10.0</v>
      </c>
      <c r="O6" s="30" t="s">
        <v>26</v>
      </c>
      <c r="P6" s="27">
        <f>M4+M7</f>
        <v>9</v>
      </c>
      <c r="Q6" s="28" t="s">
        <v>27</v>
      </c>
      <c r="R6" s="7"/>
      <c r="S6" s="7"/>
      <c r="T6" s="7"/>
      <c r="U6" s="7"/>
      <c r="V6" s="7"/>
      <c r="W6" s="7"/>
    </row>
    <row r="7" ht="23.25" customHeight="1">
      <c r="A7" s="17"/>
      <c r="B7" s="29">
        <v>1.0</v>
      </c>
      <c r="C7" s="10" t="s">
        <v>28</v>
      </c>
      <c r="D7" s="13" t="s">
        <v>29</v>
      </c>
      <c r="E7" s="20" t="s">
        <v>30</v>
      </c>
      <c r="F7" s="2"/>
      <c r="G7" s="2"/>
      <c r="H7" s="2"/>
      <c r="I7" s="2"/>
      <c r="J7" s="2"/>
      <c r="K7" s="2"/>
      <c r="L7" s="21">
        <f>$B$12</f>
        <v>44.38058748</v>
      </c>
      <c r="M7" s="26">
        <v>8.0</v>
      </c>
      <c r="N7" s="23" t="s">
        <v>16</v>
      </c>
      <c r="O7" s="2"/>
      <c r="P7" s="21">
        <f>P6*$B$12</f>
        <v>399.4252874</v>
      </c>
      <c r="Q7" s="28" t="s">
        <v>31</v>
      </c>
      <c r="R7" s="7"/>
      <c r="S7" s="7"/>
      <c r="T7" s="7"/>
      <c r="U7" s="7"/>
      <c r="V7" s="7"/>
      <c r="W7" s="7"/>
    </row>
    <row r="8" ht="23.25" customHeight="1">
      <c r="A8" s="17"/>
      <c r="B8" s="29">
        <v>2088.0</v>
      </c>
      <c r="C8" s="10" t="s">
        <v>32</v>
      </c>
      <c r="D8" s="13" t="s">
        <v>33</v>
      </c>
      <c r="E8" s="20" t="s">
        <v>34</v>
      </c>
      <c r="F8" s="2"/>
      <c r="G8" s="2"/>
      <c r="H8" s="2"/>
      <c r="I8" s="2"/>
      <c r="J8" s="2"/>
      <c r="K8" s="2"/>
      <c r="L8" s="21">
        <f t="shared" ref="L8:L9" si="1">$B$11</f>
        <v>46.59961686</v>
      </c>
      <c r="M8" s="26">
        <v>20.0</v>
      </c>
      <c r="N8" s="23" t="s">
        <v>16</v>
      </c>
      <c r="O8" s="2"/>
      <c r="P8" s="21">
        <f>L6*M6*N6</f>
        <v>1600</v>
      </c>
      <c r="Q8" s="28" t="s">
        <v>35</v>
      </c>
      <c r="R8" s="7"/>
      <c r="S8" s="7"/>
      <c r="T8" s="7"/>
      <c r="U8" s="7"/>
      <c r="V8" s="7"/>
      <c r="W8" s="7"/>
    </row>
    <row r="9" ht="23.25" customHeight="1">
      <c r="A9" s="17"/>
      <c r="B9" s="29">
        <f>(B3+B5)*B8</f>
        <v>6264</v>
      </c>
      <c r="C9" s="10" t="s">
        <v>27</v>
      </c>
      <c r="D9" s="13" t="s">
        <v>36</v>
      </c>
      <c r="E9" s="20" t="s">
        <v>37</v>
      </c>
      <c r="F9" s="2"/>
      <c r="G9" s="2"/>
      <c r="H9" s="2"/>
      <c r="I9" s="2"/>
      <c r="J9" s="2"/>
      <c r="K9" s="2"/>
      <c r="L9" s="21">
        <f t="shared" si="1"/>
        <v>46.59961686</v>
      </c>
      <c r="M9" s="26">
        <v>4.0</v>
      </c>
      <c r="N9" s="23" t="s">
        <v>16</v>
      </c>
      <c r="O9" s="2"/>
      <c r="P9" s="31">
        <f>sum(P3,P4,P7,P8)</f>
        <v>9616.430955</v>
      </c>
      <c r="Q9" s="32" t="s">
        <v>38</v>
      </c>
      <c r="R9" s="7"/>
      <c r="S9" s="7"/>
      <c r="T9" s="7"/>
      <c r="U9" s="7"/>
      <c r="V9" s="7"/>
      <c r="W9" s="7"/>
    </row>
    <row r="10" ht="23.25" customHeight="1">
      <c r="A10" s="17"/>
      <c r="B10" s="33">
        <f>0.39</f>
        <v>0.39</v>
      </c>
      <c r="C10" s="10" t="s">
        <v>39</v>
      </c>
      <c r="D10" s="34" t="s">
        <v>40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5"/>
      <c r="Q10" s="36"/>
      <c r="R10" s="7"/>
      <c r="S10" s="7"/>
      <c r="T10" s="7"/>
      <c r="U10" s="7"/>
      <c r="V10" s="7"/>
      <c r="W10" s="7"/>
    </row>
    <row r="11" ht="23.25" customHeight="1">
      <c r="A11" s="17"/>
      <c r="B11" s="37">
        <f>(B2*(1+B10))/B8</f>
        <v>46.59961686</v>
      </c>
      <c r="C11" s="38" t="s">
        <v>41</v>
      </c>
      <c r="D11" s="39" t="s">
        <v>42</v>
      </c>
      <c r="E11" s="39" t="s">
        <v>5</v>
      </c>
      <c r="F11" s="40" t="s">
        <v>4</v>
      </c>
      <c r="G11" s="41" t="s">
        <v>33</v>
      </c>
      <c r="H11" s="41" t="s">
        <v>43</v>
      </c>
      <c r="I11" s="41" t="s">
        <v>27</v>
      </c>
      <c r="J11" s="41" t="s">
        <v>44</v>
      </c>
      <c r="K11" s="41" t="s">
        <v>45</v>
      </c>
      <c r="L11" s="41" t="s">
        <v>46</v>
      </c>
      <c r="M11" s="42" t="s">
        <v>7</v>
      </c>
      <c r="N11" s="42" t="s">
        <v>27</v>
      </c>
      <c r="O11" s="14" t="s">
        <v>46</v>
      </c>
      <c r="P11" s="43"/>
      <c r="R11" s="7"/>
      <c r="S11" s="7"/>
      <c r="T11" s="7"/>
      <c r="U11" s="7"/>
      <c r="V11" s="7"/>
      <c r="W11" s="7"/>
    </row>
    <row r="12" ht="23.25" customHeight="1">
      <c r="A12" s="17"/>
      <c r="B12" s="37">
        <f>((B2*B3+B4*B5)/sum(B5,B3))*(1+B10)*(sum(B5,B3)/B9)</f>
        <v>44.38058748</v>
      </c>
      <c r="C12" s="38" t="s">
        <v>47</v>
      </c>
      <c r="D12" s="44" t="s">
        <v>48</v>
      </c>
      <c r="E12" s="45" t="s">
        <v>49</v>
      </c>
      <c r="F12" s="46" t="s">
        <v>50</v>
      </c>
      <c r="G12" s="47">
        <v>0.25</v>
      </c>
      <c r="H12" s="47">
        <v>1.0</v>
      </c>
      <c r="I12" s="48">
        <f t="shared" ref="I12:I28" si="2">sum(G12:H12)</f>
        <v>1.25</v>
      </c>
      <c r="J12" s="47">
        <v>12.0</v>
      </c>
      <c r="K12" s="47">
        <f t="shared" ref="K12:K16" si="3">$B$19</f>
        <v>64</v>
      </c>
      <c r="L12" s="48">
        <f t="shared" ref="L12:L28" si="4">J12*K12</f>
        <v>768</v>
      </c>
      <c r="M12" s="49">
        <v>0.0</v>
      </c>
      <c r="N12" s="50">
        <f t="shared" ref="N12:N28" si="5">M12*I12</f>
        <v>0</v>
      </c>
      <c r="O12" s="51">
        <f t="shared" ref="O12:O28" si="6">M12*L12</f>
        <v>0</v>
      </c>
      <c r="P12" s="52"/>
      <c r="R12" s="7"/>
      <c r="S12" s="7"/>
      <c r="T12" s="7"/>
      <c r="U12" s="7"/>
      <c r="V12" s="7"/>
      <c r="W12" s="7"/>
    </row>
    <row r="13" ht="23.25" customHeight="1">
      <c r="A13" s="8" t="s">
        <v>51</v>
      </c>
      <c r="B13" s="9">
        <v>14000.0</v>
      </c>
      <c r="C13" s="38" t="s">
        <v>52</v>
      </c>
      <c r="D13" s="52"/>
      <c r="F13" s="46" t="s">
        <v>53</v>
      </c>
      <c r="G13" s="47">
        <v>0.25</v>
      </c>
      <c r="H13" s="47">
        <v>1.0</v>
      </c>
      <c r="I13" s="48">
        <f t="shared" si="2"/>
        <v>1.25</v>
      </c>
      <c r="J13" s="47">
        <v>24.0</v>
      </c>
      <c r="K13" s="47">
        <f t="shared" si="3"/>
        <v>64</v>
      </c>
      <c r="L13" s="48">
        <f t="shared" si="4"/>
        <v>1536</v>
      </c>
      <c r="M13" s="53">
        <v>1.0</v>
      </c>
      <c r="N13" s="50">
        <f t="shared" si="5"/>
        <v>1.25</v>
      </c>
      <c r="O13" s="51">
        <f t="shared" si="6"/>
        <v>1536</v>
      </c>
      <c r="P13" s="52"/>
      <c r="R13" s="7"/>
      <c r="S13" s="7"/>
      <c r="T13" s="7"/>
      <c r="U13" s="7"/>
      <c r="V13" s="7"/>
      <c r="W13" s="7"/>
    </row>
    <row r="14" ht="23.25" customHeight="1">
      <c r="A14" s="17"/>
      <c r="B14" s="9">
        <f>2500*(B3+B5)</f>
        <v>7500</v>
      </c>
      <c r="C14" s="38" t="s">
        <v>54</v>
      </c>
      <c r="D14" s="52"/>
      <c r="F14" s="46" t="s">
        <v>55</v>
      </c>
      <c r="G14" s="47">
        <v>0.25</v>
      </c>
      <c r="H14" s="47">
        <v>1.0</v>
      </c>
      <c r="I14" s="48">
        <f t="shared" si="2"/>
        <v>1.25</v>
      </c>
      <c r="J14" s="47">
        <v>12.0</v>
      </c>
      <c r="K14" s="47">
        <f t="shared" si="3"/>
        <v>64</v>
      </c>
      <c r="L14" s="48">
        <f t="shared" si="4"/>
        <v>768</v>
      </c>
      <c r="M14" s="53">
        <v>2.0</v>
      </c>
      <c r="N14" s="50">
        <f t="shared" si="5"/>
        <v>2.5</v>
      </c>
      <c r="O14" s="51">
        <f t="shared" si="6"/>
        <v>1536</v>
      </c>
      <c r="P14" s="52"/>
      <c r="R14" s="7"/>
      <c r="S14" s="7"/>
      <c r="T14" s="7"/>
      <c r="U14" s="7"/>
      <c r="V14" s="7"/>
      <c r="W14" s="7"/>
    </row>
    <row r="15" ht="23.25" customHeight="1">
      <c r="A15" s="17"/>
      <c r="B15" s="29">
        <v>5.0</v>
      </c>
      <c r="C15" s="38" t="s">
        <v>56</v>
      </c>
      <c r="D15" s="52"/>
      <c r="E15" s="45" t="s">
        <v>57</v>
      </c>
      <c r="F15" s="46" t="s">
        <v>58</v>
      </c>
      <c r="G15" s="47">
        <v>0.25</v>
      </c>
      <c r="H15" s="47">
        <v>1.0</v>
      </c>
      <c r="I15" s="48">
        <f t="shared" si="2"/>
        <v>1.25</v>
      </c>
      <c r="J15" s="47">
        <v>24.0</v>
      </c>
      <c r="K15" s="47">
        <f t="shared" si="3"/>
        <v>64</v>
      </c>
      <c r="L15" s="48">
        <f t="shared" si="4"/>
        <v>1536</v>
      </c>
      <c r="M15" s="53">
        <v>1.0</v>
      </c>
      <c r="N15" s="50">
        <f t="shared" si="5"/>
        <v>1.25</v>
      </c>
      <c r="O15" s="51">
        <f t="shared" si="6"/>
        <v>1536</v>
      </c>
      <c r="P15" s="52"/>
      <c r="R15" s="7"/>
      <c r="S15" s="7"/>
      <c r="T15" s="7"/>
      <c r="U15" s="7"/>
      <c r="V15" s="7"/>
      <c r="W15" s="7"/>
    </row>
    <row r="16" ht="23.25" customHeight="1">
      <c r="A16" s="17"/>
      <c r="B16" s="54">
        <f>(B13+B14)/B15</f>
        <v>4300</v>
      </c>
      <c r="C16" s="38" t="s">
        <v>59</v>
      </c>
      <c r="D16" s="52"/>
      <c r="F16" s="46" t="s">
        <v>60</v>
      </c>
      <c r="G16" s="47">
        <v>0.25</v>
      </c>
      <c r="H16" s="47">
        <v>1.0</v>
      </c>
      <c r="I16" s="48">
        <f t="shared" si="2"/>
        <v>1.25</v>
      </c>
      <c r="J16" s="47">
        <v>1.0</v>
      </c>
      <c r="K16" s="47">
        <f t="shared" si="3"/>
        <v>64</v>
      </c>
      <c r="L16" s="48">
        <f t="shared" si="4"/>
        <v>64</v>
      </c>
      <c r="M16" s="53">
        <v>2.0</v>
      </c>
      <c r="N16" s="50">
        <f t="shared" si="5"/>
        <v>2.5</v>
      </c>
      <c r="O16" s="51">
        <f t="shared" si="6"/>
        <v>128</v>
      </c>
      <c r="P16" s="52"/>
      <c r="R16" s="7"/>
      <c r="S16" s="7"/>
      <c r="T16" s="7"/>
      <c r="U16" s="7"/>
      <c r="V16" s="7"/>
      <c r="W16" s="7"/>
    </row>
    <row r="17" ht="23.25" customHeight="1">
      <c r="A17" s="17"/>
      <c r="B17" s="29">
        <v>6.0</v>
      </c>
      <c r="C17" s="38" t="s">
        <v>61</v>
      </c>
      <c r="D17" s="52"/>
      <c r="F17" s="46" t="s">
        <v>62</v>
      </c>
      <c r="G17" s="47">
        <v>0.25</v>
      </c>
      <c r="H17" s="47">
        <v>1.0</v>
      </c>
      <c r="I17" s="48">
        <f t="shared" si="2"/>
        <v>1.25</v>
      </c>
      <c r="J17" s="47">
        <v>24.0</v>
      </c>
      <c r="K17" s="47">
        <v>1.0</v>
      </c>
      <c r="L17" s="48">
        <f t="shared" si="4"/>
        <v>24</v>
      </c>
      <c r="M17" s="53">
        <v>0.0</v>
      </c>
      <c r="N17" s="50">
        <f t="shared" si="5"/>
        <v>0</v>
      </c>
      <c r="O17" s="51">
        <f t="shared" si="6"/>
        <v>0</v>
      </c>
      <c r="P17" s="52"/>
      <c r="R17" s="7"/>
      <c r="S17" s="7"/>
      <c r="T17" s="7"/>
      <c r="U17" s="7"/>
      <c r="V17" s="7"/>
      <c r="W17" s="7"/>
    </row>
    <row r="18" ht="23.25" customHeight="1">
      <c r="A18" s="17"/>
      <c r="B18" s="29">
        <v>32.0</v>
      </c>
      <c r="C18" s="38" t="s">
        <v>63</v>
      </c>
      <c r="D18" s="52"/>
      <c r="E18" s="45" t="s">
        <v>64</v>
      </c>
      <c r="F18" s="46" t="s">
        <v>65</v>
      </c>
      <c r="G18" s="47">
        <v>1.0</v>
      </c>
      <c r="H18" s="47">
        <v>1.0</v>
      </c>
      <c r="I18" s="48">
        <f t="shared" si="2"/>
        <v>2</v>
      </c>
      <c r="J18" s="47">
        <v>0.0</v>
      </c>
      <c r="K18" s="47">
        <v>0.0</v>
      </c>
      <c r="L18" s="48">
        <f t="shared" si="4"/>
        <v>0</v>
      </c>
      <c r="M18" s="53">
        <v>0.0</v>
      </c>
      <c r="N18" s="50">
        <f t="shared" si="5"/>
        <v>0</v>
      </c>
      <c r="O18" s="51">
        <f t="shared" si="6"/>
        <v>0</v>
      </c>
      <c r="P18" s="52"/>
      <c r="R18" s="7"/>
      <c r="S18" s="7"/>
      <c r="T18" s="7"/>
      <c r="U18" s="7"/>
      <c r="V18" s="7"/>
      <c r="W18" s="7"/>
    </row>
    <row r="19" ht="23.25" customHeight="1">
      <c r="A19" s="17"/>
      <c r="B19" s="55">
        <f>B18*2</f>
        <v>64</v>
      </c>
      <c r="C19" s="38" t="s">
        <v>66</v>
      </c>
      <c r="D19" s="52"/>
      <c r="F19" s="46" t="s">
        <v>67</v>
      </c>
      <c r="G19" s="47">
        <v>4.0</v>
      </c>
      <c r="H19" s="47">
        <v>1.0</v>
      </c>
      <c r="I19" s="48">
        <f t="shared" si="2"/>
        <v>5</v>
      </c>
      <c r="J19" s="47">
        <v>0.0</v>
      </c>
      <c r="K19" s="47">
        <v>0.0</v>
      </c>
      <c r="L19" s="48">
        <f t="shared" si="4"/>
        <v>0</v>
      </c>
      <c r="M19" s="53">
        <v>0.0</v>
      </c>
      <c r="N19" s="50">
        <f t="shared" si="5"/>
        <v>0</v>
      </c>
      <c r="O19" s="51">
        <f t="shared" si="6"/>
        <v>0</v>
      </c>
      <c r="P19" s="52"/>
      <c r="R19" s="7"/>
      <c r="S19" s="7"/>
      <c r="T19" s="7"/>
      <c r="U19" s="7"/>
      <c r="V19" s="7"/>
      <c r="W19" s="7"/>
    </row>
    <row r="20" ht="23.25" customHeight="1">
      <c r="A20" s="17"/>
      <c r="B20" s="56">
        <f>B19*365.25*24*B17</f>
        <v>3366144</v>
      </c>
      <c r="C20" s="38" t="s">
        <v>68</v>
      </c>
      <c r="D20" s="52"/>
      <c r="F20" s="46" t="s">
        <v>69</v>
      </c>
      <c r="G20" s="47">
        <v>1.0</v>
      </c>
      <c r="H20" s="47">
        <v>1.0</v>
      </c>
      <c r="I20" s="48">
        <f t="shared" si="2"/>
        <v>2</v>
      </c>
      <c r="J20" s="47">
        <v>0.0</v>
      </c>
      <c r="K20" s="47">
        <v>0.0</v>
      </c>
      <c r="L20" s="48">
        <f t="shared" si="4"/>
        <v>0</v>
      </c>
      <c r="M20" s="53">
        <v>0.0</v>
      </c>
      <c r="N20" s="50">
        <f t="shared" si="5"/>
        <v>0</v>
      </c>
      <c r="O20" s="51">
        <f t="shared" si="6"/>
        <v>0</v>
      </c>
      <c r="P20" s="52"/>
      <c r="R20" s="7"/>
      <c r="S20" s="7"/>
      <c r="T20" s="7"/>
      <c r="U20" s="7"/>
      <c r="V20" s="7"/>
      <c r="W20" s="7"/>
    </row>
    <row r="21" ht="23.25" customHeight="1">
      <c r="A21" s="17"/>
      <c r="B21" s="57">
        <f>(B16*B17)/B20</f>
        <v>0.00766455624</v>
      </c>
      <c r="C21" s="38" t="s">
        <v>70</v>
      </c>
      <c r="D21" s="44" t="s">
        <v>71</v>
      </c>
      <c r="E21" s="45" t="s">
        <v>49</v>
      </c>
      <c r="F21" s="46" t="s">
        <v>72</v>
      </c>
      <c r="G21" s="47">
        <v>0.25</v>
      </c>
      <c r="H21" s="47">
        <v>1.0</v>
      </c>
      <c r="I21" s="48">
        <f t="shared" si="2"/>
        <v>1.25</v>
      </c>
      <c r="J21" s="47">
        <v>24.0</v>
      </c>
      <c r="K21" s="47">
        <f t="shared" ref="K21:K28" si="7">$B$19</f>
        <v>64</v>
      </c>
      <c r="L21" s="48">
        <f t="shared" si="4"/>
        <v>1536</v>
      </c>
      <c r="M21" s="53">
        <v>1.0</v>
      </c>
      <c r="N21" s="50">
        <f t="shared" si="5"/>
        <v>1.25</v>
      </c>
      <c r="O21" s="51">
        <f t="shared" si="6"/>
        <v>1536</v>
      </c>
      <c r="P21" s="52"/>
      <c r="R21" s="7"/>
      <c r="S21" s="7"/>
      <c r="T21" s="7"/>
      <c r="U21" s="7"/>
      <c r="V21" s="7"/>
      <c r="W21" s="7"/>
    </row>
    <row r="22" ht="23.25" customHeight="1">
      <c r="A22" s="58" t="s">
        <v>73</v>
      </c>
      <c r="B22" s="2"/>
      <c r="C22" s="2"/>
      <c r="D22" s="52"/>
      <c r="F22" s="46" t="s">
        <v>4</v>
      </c>
      <c r="G22" s="47">
        <v>0.25</v>
      </c>
      <c r="H22" s="47">
        <v>1.0</v>
      </c>
      <c r="I22" s="48">
        <f t="shared" si="2"/>
        <v>1.25</v>
      </c>
      <c r="J22" s="47">
        <v>24.0</v>
      </c>
      <c r="K22" s="47">
        <f t="shared" si="7"/>
        <v>64</v>
      </c>
      <c r="L22" s="48">
        <f t="shared" si="4"/>
        <v>1536</v>
      </c>
      <c r="M22" s="53">
        <v>0.0</v>
      </c>
      <c r="N22" s="50">
        <f t="shared" si="5"/>
        <v>0</v>
      </c>
      <c r="O22" s="51">
        <f t="shared" si="6"/>
        <v>0</v>
      </c>
      <c r="P22" s="52"/>
      <c r="R22" s="7"/>
      <c r="S22" s="7"/>
      <c r="T22" s="7"/>
      <c r="U22" s="7"/>
      <c r="V22" s="7"/>
      <c r="W22" s="7"/>
    </row>
    <row r="23" ht="23.25" customHeight="1">
      <c r="A23" s="59">
        <v>100.0</v>
      </c>
      <c r="B23" s="3"/>
      <c r="C23" s="60" t="s">
        <v>74</v>
      </c>
      <c r="D23" s="52"/>
      <c r="E23" s="45" t="s">
        <v>57</v>
      </c>
      <c r="F23" s="46" t="s">
        <v>75</v>
      </c>
      <c r="G23" s="47">
        <v>0.25</v>
      </c>
      <c r="H23" s="47">
        <v>1.0</v>
      </c>
      <c r="I23" s="48">
        <f t="shared" si="2"/>
        <v>1.25</v>
      </c>
      <c r="J23" s="47">
        <v>24.0</v>
      </c>
      <c r="K23" s="47">
        <f t="shared" si="7"/>
        <v>64</v>
      </c>
      <c r="L23" s="48">
        <f t="shared" si="4"/>
        <v>1536</v>
      </c>
      <c r="M23" s="53">
        <v>0.0</v>
      </c>
      <c r="N23" s="50">
        <f t="shared" si="5"/>
        <v>0</v>
      </c>
      <c r="O23" s="51">
        <f t="shared" si="6"/>
        <v>0</v>
      </c>
      <c r="P23" s="52"/>
      <c r="R23" s="7"/>
      <c r="S23" s="7"/>
      <c r="T23" s="7"/>
      <c r="U23" s="7"/>
      <c r="V23" s="7"/>
      <c r="W23" s="7"/>
    </row>
    <row r="24" ht="23.25" customHeight="1">
      <c r="A24" s="59">
        <v>2.0</v>
      </c>
      <c r="B24" s="3"/>
      <c r="C24" s="60" t="s">
        <v>76</v>
      </c>
      <c r="D24" s="52"/>
      <c r="F24" s="46" t="s">
        <v>77</v>
      </c>
      <c r="G24" s="47">
        <v>0.25</v>
      </c>
      <c r="H24" s="47">
        <v>1.0</v>
      </c>
      <c r="I24" s="48">
        <f t="shared" si="2"/>
        <v>1.25</v>
      </c>
      <c r="J24" s="47">
        <v>8.0</v>
      </c>
      <c r="K24" s="47">
        <f t="shared" si="7"/>
        <v>64</v>
      </c>
      <c r="L24" s="48">
        <f t="shared" si="4"/>
        <v>512</v>
      </c>
      <c r="M24" s="53">
        <v>1.0</v>
      </c>
      <c r="N24" s="50">
        <f t="shared" si="5"/>
        <v>1.25</v>
      </c>
      <c r="O24" s="50">
        <f t="shared" si="6"/>
        <v>512</v>
      </c>
      <c r="P24" s="61">
        <v>8.0</v>
      </c>
      <c r="Q24" s="62" t="s">
        <v>27</v>
      </c>
      <c r="R24" s="7"/>
      <c r="S24" s="7"/>
      <c r="T24" s="7"/>
      <c r="U24" s="7"/>
      <c r="V24" s="7"/>
      <c r="W24" s="7"/>
    </row>
    <row r="25" ht="23.25" customHeight="1">
      <c r="A25" s="63">
        <f>P24*(A23*A24)+P34</f>
        <v>1617.5</v>
      </c>
      <c r="B25" s="3"/>
      <c r="C25" s="60" t="s">
        <v>27</v>
      </c>
      <c r="D25" s="44" t="s">
        <v>78</v>
      </c>
      <c r="E25" s="64" t="s">
        <v>49</v>
      </c>
      <c r="F25" s="64" t="s">
        <v>79</v>
      </c>
      <c r="G25" s="47">
        <v>0.25</v>
      </c>
      <c r="H25" s="47">
        <v>1.0</v>
      </c>
      <c r="I25" s="48">
        <f t="shared" si="2"/>
        <v>1.25</v>
      </c>
      <c r="J25" s="47">
        <v>24.0</v>
      </c>
      <c r="K25" s="47">
        <f t="shared" si="7"/>
        <v>64</v>
      </c>
      <c r="L25" s="48">
        <f t="shared" si="4"/>
        <v>1536</v>
      </c>
      <c r="M25" s="53">
        <v>1.0</v>
      </c>
      <c r="N25" s="50">
        <f t="shared" si="5"/>
        <v>1.25</v>
      </c>
      <c r="O25" s="50">
        <f t="shared" si="6"/>
        <v>1536</v>
      </c>
      <c r="P25" s="65">
        <f>P24*$B$12</f>
        <v>355.0446999</v>
      </c>
      <c r="Q25" s="66" t="s">
        <v>31</v>
      </c>
      <c r="R25" s="7"/>
      <c r="S25" s="7"/>
      <c r="T25" s="7"/>
      <c r="U25" s="7"/>
      <c r="V25" s="7"/>
      <c r="W25" s="7"/>
    </row>
    <row r="26" ht="23.25" customHeight="1">
      <c r="A26" s="67">
        <f>A25*B12</f>
        <v>71785.60026</v>
      </c>
      <c r="B26" s="2"/>
      <c r="C26" s="60" t="s">
        <v>31</v>
      </c>
      <c r="D26" s="52"/>
      <c r="E26" s="64" t="s">
        <v>57</v>
      </c>
      <c r="F26" s="46" t="s">
        <v>80</v>
      </c>
      <c r="G26" s="47">
        <v>0.25</v>
      </c>
      <c r="H26" s="47">
        <v>1.0</v>
      </c>
      <c r="I26" s="48">
        <f t="shared" si="2"/>
        <v>1.25</v>
      </c>
      <c r="J26" s="47">
        <v>8.0</v>
      </c>
      <c r="K26" s="47">
        <f t="shared" si="7"/>
        <v>64</v>
      </c>
      <c r="L26" s="48">
        <f t="shared" si="4"/>
        <v>512</v>
      </c>
      <c r="M26" s="53">
        <v>1.0</v>
      </c>
      <c r="N26" s="50">
        <f t="shared" si="5"/>
        <v>1.25</v>
      </c>
      <c r="O26" s="50">
        <f t="shared" si="6"/>
        <v>512</v>
      </c>
      <c r="P26" s="68">
        <f>sum($O$12:$O$28)</f>
        <v>8832</v>
      </c>
      <c r="Q26" s="66" t="s">
        <v>46</v>
      </c>
      <c r="R26" s="7"/>
      <c r="S26" s="7"/>
      <c r="T26" s="7"/>
      <c r="U26" s="7"/>
      <c r="V26" s="7"/>
      <c r="W26" s="7"/>
    </row>
    <row r="27" ht="23.25" customHeight="1">
      <c r="A27" s="69">
        <f>P26*(A23*A24)+P36</f>
        <v>1769600</v>
      </c>
      <c r="B27" s="2"/>
      <c r="C27" s="70" t="s">
        <v>46</v>
      </c>
      <c r="D27" s="44" t="s">
        <v>81</v>
      </c>
      <c r="E27" s="64" t="s">
        <v>49</v>
      </c>
      <c r="F27" s="46" t="s">
        <v>82</v>
      </c>
      <c r="G27" s="47">
        <v>0.25</v>
      </c>
      <c r="H27" s="47">
        <v>1.0</v>
      </c>
      <c r="I27" s="48">
        <f t="shared" si="2"/>
        <v>1.25</v>
      </c>
      <c r="J27" s="47">
        <v>12.0</v>
      </c>
      <c r="K27" s="47">
        <f t="shared" si="7"/>
        <v>64</v>
      </c>
      <c r="L27" s="48">
        <f t="shared" si="4"/>
        <v>768</v>
      </c>
      <c r="M27" s="49">
        <v>0.0</v>
      </c>
      <c r="N27" s="50">
        <f t="shared" si="5"/>
        <v>0</v>
      </c>
      <c r="O27" s="50">
        <f t="shared" si="6"/>
        <v>0</v>
      </c>
      <c r="P27" s="71">
        <f>P26*$B$21</f>
        <v>67.69336071</v>
      </c>
      <c r="Q27" s="66" t="s">
        <v>83</v>
      </c>
      <c r="R27" s="7"/>
      <c r="S27" s="7"/>
      <c r="T27" s="7"/>
      <c r="U27" s="7"/>
      <c r="V27" s="7"/>
      <c r="W27" s="7"/>
    </row>
    <row r="28" ht="23.25" customHeight="1">
      <c r="A28" s="72">
        <f>A27*B21</f>
        <v>13563.19872</v>
      </c>
      <c r="B28" s="2"/>
      <c r="C28" s="73" t="s">
        <v>84</v>
      </c>
      <c r="D28" s="52"/>
      <c r="E28" s="64" t="s">
        <v>57</v>
      </c>
      <c r="F28" s="46" t="s">
        <v>85</v>
      </c>
      <c r="G28" s="47">
        <v>0.25</v>
      </c>
      <c r="H28" s="47">
        <v>1.0</v>
      </c>
      <c r="I28" s="48">
        <f t="shared" si="2"/>
        <v>1.25</v>
      </c>
      <c r="J28" s="47">
        <v>12.0</v>
      </c>
      <c r="K28" s="47">
        <f t="shared" si="7"/>
        <v>64</v>
      </c>
      <c r="L28" s="48">
        <f t="shared" si="4"/>
        <v>768</v>
      </c>
      <c r="M28" s="49">
        <v>0.0</v>
      </c>
      <c r="N28" s="50">
        <f t="shared" si="5"/>
        <v>0</v>
      </c>
      <c r="O28" s="50">
        <f t="shared" si="6"/>
        <v>0</v>
      </c>
      <c r="P28" s="74">
        <f>sum(P25,P27)</f>
        <v>422.7380606</v>
      </c>
      <c r="Q28" s="75" t="s">
        <v>86</v>
      </c>
      <c r="R28" s="7"/>
      <c r="S28" s="7"/>
      <c r="T28" s="7"/>
      <c r="U28" s="7"/>
      <c r="V28" s="7"/>
      <c r="W28" s="7"/>
    </row>
    <row r="29" ht="23.25" customHeight="1">
      <c r="A29" s="76">
        <f>P9</f>
        <v>9616.430955</v>
      </c>
      <c r="B29" s="36"/>
      <c r="C29" s="77" t="s">
        <v>38</v>
      </c>
      <c r="D29" s="78" t="s">
        <v>87</v>
      </c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80"/>
      <c r="Q29" s="36"/>
      <c r="R29" s="7"/>
      <c r="S29" s="7"/>
      <c r="T29" s="7"/>
      <c r="U29" s="7"/>
      <c r="V29" s="7"/>
      <c r="W29" s="7"/>
    </row>
    <row r="30" ht="23.25" customHeight="1">
      <c r="A30" s="81">
        <f>sum(A26,A28,A29)</f>
        <v>94965.22993</v>
      </c>
      <c r="B30" s="36"/>
      <c r="C30" s="82" t="s">
        <v>88</v>
      </c>
      <c r="D30" s="83" t="s">
        <v>42</v>
      </c>
      <c r="E30" s="83" t="s">
        <v>5</v>
      </c>
      <c r="F30" s="84" t="s">
        <v>4</v>
      </c>
      <c r="G30" s="85" t="s">
        <v>33</v>
      </c>
      <c r="H30" s="85" t="s">
        <v>43</v>
      </c>
      <c r="I30" s="85" t="s">
        <v>89</v>
      </c>
      <c r="J30" s="85" t="s">
        <v>44</v>
      </c>
      <c r="K30" s="85" t="s">
        <v>45</v>
      </c>
      <c r="L30" s="85" t="s">
        <v>46</v>
      </c>
      <c r="M30" s="42" t="s">
        <v>7</v>
      </c>
      <c r="N30" s="42" t="s">
        <v>27</v>
      </c>
      <c r="O30" s="42" t="s">
        <v>46</v>
      </c>
      <c r="P30" s="86"/>
      <c r="R30" s="7"/>
      <c r="S30" s="7"/>
      <c r="T30" s="7"/>
      <c r="U30" s="7"/>
      <c r="V30" s="7"/>
      <c r="W30" s="7"/>
    </row>
    <row r="31" ht="23.25" customHeight="1">
      <c r="A31" s="52"/>
      <c r="C31" s="52"/>
      <c r="D31" s="87" t="s">
        <v>48</v>
      </c>
      <c r="E31" s="88" t="s">
        <v>90</v>
      </c>
      <c r="F31" s="89" t="s">
        <v>91</v>
      </c>
      <c r="G31" s="90">
        <v>0.5</v>
      </c>
      <c r="H31" s="90">
        <v>1.0</v>
      </c>
      <c r="I31" s="91">
        <f t="shared" ref="I31:I38" si="8">sum(G31:H31)</f>
        <v>1.5</v>
      </c>
      <c r="J31" s="90">
        <v>8.0</v>
      </c>
      <c r="K31" s="90">
        <f t="shared" ref="K31:K38" si="9">$B$19</f>
        <v>64</v>
      </c>
      <c r="L31" s="91">
        <f t="shared" ref="L31:L38" si="10">J31*K31</f>
        <v>512</v>
      </c>
      <c r="M31" s="53">
        <v>0.0</v>
      </c>
      <c r="N31" s="50">
        <f t="shared" ref="N31:N38" si="11">M31*I31</f>
        <v>0</v>
      </c>
      <c r="O31" s="50">
        <f t="shared" ref="O31:O38" si="12">M31*L31</f>
        <v>0</v>
      </c>
      <c r="R31" s="7"/>
      <c r="S31" s="7"/>
      <c r="T31" s="7"/>
      <c r="U31" s="7"/>
      <c r="V31" s="7"/>
      <c r="W31" s="7"/>
    </row>
    <row r="32" ht="23.25" customHeight="1">
      <c r="A32" s="92">
        <v>4.0</v>
      </c>
      <c r="B32" s="2"/>
      <c r="C32" s="60" t="s">
        <v>92</v>
      </c>
      <c r="D32" s="52"/>
      <c r="E32" s="88" t="s">
        <v>65</v>
      </c>
      <c r="F32" s="89" t="s">
        <v>93</v>
      </c>
      <c r="G32" s="90">
        <v>0.5</v>
      </c>
      <c r="H32" s="90">
        <v>0.5</v>
      </c>
      <c r="I32" s="91">
        <f t="shared" si="8"/>
        <v>1</v>
      </c>
      <c r="J32" s="90">
        <v>1.0</v>
      </c>
      <c r="K32" s="90">
        <f t="shared" si="9"/>
        <v>64</v>
      </c>
      <c r="L32" s="91">
        <f t="shared" si="10"/>
        <v>64</v>
      </c>
      <c r="M32" s="53">
        <v>6.0</v>
      </c>
      <c r="N32" s="50">
        <f t="shared" si="11"/>
        <v>6</v>
      </c>
      <c r="O32" s="50">
        <f t="shared" si="12"/>
        <v>384</v>
      </c>
      <c r="R32" s="7"/>
      <c r="S32" s="7"/>
      <c r="T32" s="7"/>
      <c r="U32" s="7"/>
      <c r="V32" s="7"/>
      <c r="W32" s="7"/>
    </row>
    <row r="33" ht="23.25" customHeight="1">
      <c r="A33" s="93">
        <f>A25/A32/B9</f>
        <v>0.06455539591</v>
      </c>
      <c r="B33" s="2"/>
      <c r="C33" s="60" t="s">
        <v>94</v>
      </c>
      <c r="D33" s="87" t="s">
        <v>71</v>
      </c>
      <c r="E33" s="88" t="s">
        <v>95</v>
      </c>
      <c r="F33" s="89" t="s">
        <v>91</v>
      </c>
      <c r="G33" s="90">
        <v>0.5</v>
      </c>
      <c r="H33" s="90">
        <v>1.0</v>
      </c>
      <c r="I33" s="91">
        <f t="shared" si="8"/>
        <v>1.5</v>
      </c>
      <c r="J33" s="90">
        <v>8.0</v>
      </c>
      <c r="K33" s="90">
        <f t="shared" si="9"/>
        <v>64</v>
      </c>
      <c r="L33" s="91">
        <f t="shared" si="10"/>
        <v>512</v>
      </c>
      <c r="M33" s="53">
        <v>1.0</v>
      </c>
      <c r="N33" s="50">
        <f t="shared" si="11"/>
        <v>1.5</v>
      </c>
      <c r="O33" s="50">
        <f t="shared" si="12"/>
        <v>512</v>
      </c>
      <c r="R33" s="7"/>
      <c r="S33" s="7"/>
      <c r="T33" s="7"/>
      <c r="U33" s="7"/>
      <c r="V33" s="7"/>
      <c r="W33" s="7"/>
    </row>
    <row r="34" ht="23.25" customHeight="1">
      <c r="A34" s="67">
        <f>A26/A32</f>
        <v>17946.40006</v>
      </c>
      <c r="B34" s="2"/>
      <c r="C34" s="60" t="s">
        <v>96</v>
      </c>
      <c r="D34" s="52"/>
      <c r="E34" s="88" t="s">
        <v>97</v>
      </c>
      <c r="F34" s="89" t="s">
        <v>91</v>
      </c>
      <c r="G34" s="90">
        <v>0.5</v>
      </c>
      <c r="H34" s="90">
        <v>1.0</v>
      </c>
      <c r="I34" s="91">
        <f t="shared" si="8"/>
        <v>1.5</v>
      </c>
      <c r="J34" s="90">
        <v>8.0</v>
      </c>
      <c r="K34" s="90">
        <f t="shared" si="9"/>
        <v>64</v>
      </c>
      <c r="L34" s="91">
        <f t="shared" si="10"/>
        <v>512</v>
      </c>
      <c r="M34" s="53">
        <v>0.0</v>
      </c>
      <c r="N34" s="50">
        <f t="shared" si="11"/>
        <v>0</v>
      </c>
      <c r="O34" s="50">
        <f t="shared" si="12"/>
        <v>0</v>
      </c>
      <c r="P34" s="94">
        <f>sum($N$31:$N$38)</f>
        <v>17.5</v>
      </c>
      <c r="Q34" s="95" t="s">
        <v>27</v>
      </c>
      <c r="R34" s="7"/>
      <c r="S34" s="7"/>
      <c r="T34" s="7"/>
      <c r="U34" s="7"/>
      <c r="V34" s="7"/>
      <c r="W34" s="7"/>
    </row>
    <row r="35" ht="23.25" customHeight="1">
      <c r="A35" s="93">
        <f>A27/A32/B20</f>
        <v>0.1314263442</v>
      </c>
      <c r="B35" s="2"/>
      <c r="C35" s="60" t="s">
        <v>98</v>
      </c>
      <c r="D35" s="52"/>
      <c r="E35" s="88" t="s">
        <v>65</v>
      </c>
      <c r="F35" s="89" t="s">
        <v>93</v>
      </c>
      <c r="G35" s="90">
        <v>0.5</v>
      </c>
      <c r="H35" s="90">
        <v>0.5</v>
      </c>
      <c r="I35" s="91">
        <f t="shared" si="8"/>
        <v>1</v>
      </c>
      <c r="J35" s="90">
        <v>4.0</v>
      </c>
      <c r="K35" s="90">
        <f t="shared" si="9"/>
        <v>64</v>
      </c>
      <c r="L35" s="91">
        <f t="shared" si="10"/>
        <v>256</v>
      </c>
      <c r="M35" s="53">
        <v>0.0</v>
      </c>
      <c r="N35" s="50">
        <f t="shared" si="11"/>
        <v>0</v>
      </c>
      <c r="O35" s="50">
        <f t="shared" si="12"/>
        <v>0</v>
      </c>
      <c r="P35" s="96">
        <f>P34*$B$12</f>
        <v>776.660281</v>
      </c>
      <c r="Q35" s="95" t="s">
        <v>31</v>
      </c>
      <c r="R35" s="7"/>
      <c r="S35" s="7"/>
      <c r="T35" s="7"/>
      <c r="U35" s="7"/>
      <c r="V35" s="7"/>
      <c r="W35" s="7"/>
    </row>
    <row r="36" ht="23.25" customHeight="1">
      <c r="A36" s="67">
        <f>A28/A32</f>
        <v>3390.799681</v>
      </c>
      <c r="B36" s="2"/>
      <c r="C36" s="60" t="s">
        <v>99</v>
      </c>
      <c r="D36" s="87" t="s">
        <v>78</v>
      </c>
      <c r="E36" s="88" t="s">
        <v>90</v>
      </c>
      <c r="F36" s="89" t="s">
        <v>91</v>
      </c>
      <c r="G36" s="90">
        <v>0.5</v>
      </c>
      <c r="H36" s="90">
        <v>1.0</v>
      </c>
      <c r="I36" s="91">
        <f t="shared" si="8"/>
        <v>1.5</v>
      </c>
      <c r="J36" s="90">
        <v>8.0</v>
      </c>
      <c r="K36" s="90">
        <f t="shared" si="9"/>
        <v>64</v>
      </c>
      <c r="L36" s="91">
        <f t="shared" si="10"/>
        <v>512</v>
      </c>
      <c r="M36" s="53">
        <v>4.0</v>
      </c>
      <c r="N36" s="50">
        <f t="shared" si="11"/>
        <v>6</v>
      </c>
      <c r="O36" s="50">
        <f t="shared" si="12"/>
        <v>2048</v>
      </c>
      <c r="P36" s="97">
        <f>sum($O$31:$O$38)</f>
        <v>3200</v>
      </c>
      <c r="Q36" s="95" t="s">
        <v>46</v>
      </c>
      <c r="R36" s="7"/>
      <c r="S36" s="7"/>
      <c r="T36" s="7"/>
      <c r="U36" s="7"/>
      <c r="V36" s="7"/>
      <c r="W36" s="7"/>
    </row>
    <row r="37" ht="23.25" customHeight="1">
      <c r="A37" s="81">
        <f>sum(A34,A36)</f>
        <v>21337.19974</v>
      </c>
      <c r="B37" s="36"/>
      <c r="C37" s="82" t="s">
        <v>100</v>
      </c>
      <c r="D37" s="52"/>
      <c r="E37" s="88" t="s">
        <v>65</v>
      </c>
      <c r="F37" s="89" t="s">
        <v>93</v>
      </c>
      <c r="G37" s="90">
        <v>0.5</v>
      </c>
      <c r="H37" s="90">
        <v>0.5</v>
      </c>
      <c r="I37" s="91">
        <f t="shared" si="8"/>
        <v>1</v>
      </c>
      <c r="J37" s="90">
        <v>1.0</v>
      </c>
      <c r="K37" s="90">
        <f t="shared" si="9"/>
        <v>64</v>
      </c>
      <c r="L37" s="91">
        <f t="shared" si="10"/>
        <v>64</v>
      </c>
      <c r="M37" s="53">
        <v>4.0</v>
      </c>
      <c r="N37" s="50">
        <f t="shared" si="11"/>
        <v>4</v>
      </c>
      <c r="O37" s="50">
        <f t="shared" si="12"/>
        <v>256</v>
      </c>
      <c r="P37" s="98">
        <f>P36*$B$21</f>
        <v>24.52657997</v>
      </c>
      <c r="Q37" s="95" t="s">
        <v>83</v>
      </c>
      <c r="R37" s="7"/>
      <c r="S37" s="7"/>
      <c r="T37" s="7"/>
      <c r="U37" s="7"/>
      <c r="V37" s="7"/>
      <c r="W37" s="7"/>
    </row>
    <row r="38" ht="23.25" customHeight="1">
      <c r="A38" s="52"/>
      <c r="C38" s="52"/>
      <c r="D38" s="99" t="s">
        <v>81</v>
      </c>
      <c r="E38" s="88" t="s">
        <v>65</v>
      </c>
      <c r="F38" s="89" t="s">
        <v>101</v>
      </c>
      <c r="G38" s="90">
        <v>0.5</v>
      </c>
      <c r="H38" s="90">
        <v>0.5</v>
      </c>
      <c r="I38" s="91">
        <f t="shared" si="8"/>
        <v>1</v>
      </c>
      <c r="J38" s="90">
        <v>1.0</v>
      </c>
      <c r="K38" s="90">
        <f t="shared" si="9"/>
        <v>64</v>
      </c>
      <c r="L38" s="91">
        <f t="shared" si="10"/>
        <v>64</v>
      </c>
      <c r="M38" s="49">
        <v>0.0</v>
      </c>
      <c r="N38" s="50">
        <f t="shared" si="11"/>
        <v>0</v>
      </c>
      <c r="O38" s="50">
        <f t="shared" si="12"/>
        <v>0</v>
      </c>
      <c r="P38" s="100">
        <f>sum(P35,P37)</f>
        <v>801.1868609</v>
      </c>
      <c r="Q38" s="101" t="s">
        <v>102</v>
      </c>
      <c r="R38" s="7"/>
      <c r="S38" s="7"/>
      <c r="T38" s="7"/>
      <c r="U38" s="7"/>
      <c r="V38" s="7"/>
      <c r="W38" s="7"/>
    </row>
    <row r="39" ht="23.25" customHeight="1">
      <c r="A39" s="102" t="s">
        <v>103</v>
      </c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7"/>
      <c r="S39" s="7"/>
      <c r="T39" s="7"/>
      <c r="U39" s="7"/>
      <c r="V39" s="7"/>
      <c r="W39" s="7"/>
    </row>
    <row r="40" ht="23.25" customHeight="1">
      <c r="A40" s="104" t="s">
        <v>104</v>
      </c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7"/>
      <c r="S40" s="7"/>
      <c r="T40" s="7"/>
      <c r="U40" s="7"/>
      <c r="V40" s="7"/>
      <c r="W40" s="7"/>
    </row>
    <row r="41" ht="23.25" customHeight="1">
      <c r="A41" s="106" t="s">
        <v>105</v>
      </c>
      <c r="B41" s="106"/>
      <c r="C41" s="106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7"/>
      <c r="S41" s="7"/>
      <c r="T41" s="7"/>
      <c r="U41" s="7"/>
      <c r="V41" s="7"/>
      <c r="W41" s="7"/>
    </row>
    <row r="42">
      <c r="A42" s="106" t="s">
        <v>106</v>
      </c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7"/>
      <c r="S42" s="7"/>
      <c r="T42" s="7"/>
      <c r="U42" s="7"/>
      <c r="V42" s="7"/>
      <c r="W42" s="7"/>
    </row>
    <row r="43">
      <c r="A43" s="107" t="s">
        <v>107</v>
      </c>
      <c r="B43" s="107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7"/>
      <c r="S43" s="7"/>
      <c r="T43" s="7"/>
      <c r="U43" s="7"/>
      <c r="V43" s="7"/>
      <c r="W43" s="7"/>
    </row>
    <row r="44">
      <c r="A44" s="106" t="s">
        <v>108</v>
      </c>
      <c r="B44" s="106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7"/>
      <c r="S44" s="7"/>
      <c r="T44" s="7"/>
      <c r="U44" s="7"/>
      <c r="V44" s="7"/>
      <c r="W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</row>
    <row r="1009">
      <c r="A1009" s="108"/>
      <c r="B1009" s="108"/>
      <c r="C1009" s="108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</row>
    <row r="1010">
      <c r="A1010" s="108"/>
      <c r="B1010" s="108"/>
      <c r="C1010" s="108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</row>
    <row r="1011">
      <c r="A1011" s="108"/>
      <c r="B1011" s="108"/>
      <c r="C1011" s="108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</row>
    <row r="1012">
      <c r="A1012" s="108"/>
      <c r="B1012" s="108"/>
      <c r="C1012" s="108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</row>
    <row r="1013">
      <c r="A1013" s="108"/>
      <c r="B1013" s="108"/>
      <c r="C1013" s="108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</row>
    <row r="1014">
      <c r="A1014" s="108"/>
      <c r="B1014" s="108"/>
      <c r="C1014" s="108"/>
      <c r="D1014" s="7"/>
      <c r="E1014" s="7"/>
      <c r="F1014" s="7"/>
      <c r="G1014" s="7"/>
      <c r="H1014" s="108"/>
      <c r="I1014" s="108"/>
      <c r="J1014" s="108"/>
      <c r="K1014" s="108"/>
      <c r="L1014" s="108"/>
      <c r="M1014" s="108"/>
      <c r="N1014" s="108"/>
      <c r="O1014" s="108"/>
      <c r="P1014" s="7"/>
      <c r="Q1014" s="7"/>
      <c r="R1014" s="7"/>
      <c r="S1014" s="7"/>
      <c r="T1014" s="7"/>
      <c r="U1014" s="7"/>
      <c r="V1014" s="7"/>
      <c r="W1014" s="7"/>
    </row>
    <row r="1015">
      <c r="A1015" s="108"/>
      <c r="B1015" s="108"/>
      <c r="C1015" s="108"/>
      <c r="D1015" s="7"/>
      <c r="E1015" s="7"/>
      <c r="F1015" s="7"/>
      <c r="G1015" s="7"/>
      <c r="H1015" s="108"/>
      <c r="I1015" s="108"/>
      <c r="J1015" s="108"/>
      <c r="K1015" s="108"/>
      <c r="L1015" s="108"/>
      <c r="M1015" s="108"/>
      <c r="N1015" s="108"/>
      <c r="O1015" s="108"/>
      <c r="P1015" s="7"/>
      <c r="Q1015" s="7"/>
      <c r="R1015" s="7"/>
      <c r="S1015" s="7"/>
      <c r="T1015" s="7"/>
      <c r="U1015" s="7"/>
      <c r="V1015" s="7"/>
      <c r="W1015" s="7"/>
    </row>
    <row r="1016">
      <c r="A1016" s="108"/>
      <c r="B1016" s="108"/>
      <c r="C1016" s="108"/>
      <c r="D1016" s="108"/>
      <c r="E1016" s="108"/>
      <c r="F1016" s="108"/>
      <c r="G1016" s="108"/>
      <c r="H1016" s="108"/>
      <c r="I1016" s="108"/>
      <c r="J1016" s="108"/>
      <c r="K1016" s="108"/>
      <c r="L1016" s="108"/>
      <c r="M1016" s="108"/>
      <c r="N1016" s="108"/>
      <c r="O1016" s="108"/>
      <c r="P1016" s="7"/>
      <c r="Q1016" s="7"/>
      <c r="R1016" s="7"/>
      <c r="S1016" s="7"/>
      <c r="T1016" s="7"/>
      <c r="U1016" s="7"/>
      <c r="V1016" s="7"/>
      <c r="W1016" s="7"/>
    </row>
    <row r="1017">
      <c r="A1017" s="108"/>
      <c r="B1017" s="108"/>
      <c r="C1017" s="108"/>
      <c r="D1017" s="108"/>
      <c r="E1017" s="108"/>
      <c r="F1017" s="108"/>
      <c r="G1017" s="108"/>
      <c r="H1017" s="108"/>
      <c r="I1017" s="108"/>
      <c r="J1017" s="108"/>
      <c r="K1017" s="108"/>
      <c r="L1017" s="108"/>
      <c r="M1017" s="108"/>
      <c r="N1017" s="108"/>
      <c r="O1017" s="108"/>
      <c r="P1017" s="7"/>
      <c r="Q1017" s="7"/>
      <c r="R1017" s="7"/>
      <c r="S1017" s="7"/>
      <c r="T1017" s="7"/>
      <c r="U1017" s="7"/>
      <c r="V1017" s="7"/>
      <c r="W1017" s="7"/>
    </row>
    <row r="1018">
      <c r="A1018" s="108"/>
      <c r="B1018" s="108"/>
      <c r="C1018" s="108"/>
      <c r="D1018" s="108"/>
      <c r="E1018" s="108"/>
      <c r="F1018" s="108"/>
      <c r="G1018" s="108"/>
      <c r="H1018" s="108"/>
      <c r="I1018" s="108"/>
      <c r="J1018" s="108"/>
      <c r="K1018" s="108"/>
      <c r="L1018" s="108"/>
      <c r="M1018" s="108"/>
      <c r="N1018" s="108"/>
      <c r="O1018" s="108"/>
      <c r="P1018" s="7"/>
      <c r="Q1018" s="7"/>
      <c r="R1018" s="7"/>
      <c r="S1018" s="7"/>
      <c r="T1018" s="7"/>
      <c r="U1018" s="7"/>
      <c r="V1018" s="7"/>
      <c r="W1018" s="7"/>
    </row>
    <row r="1019">
      <c r="A1019" s="108"/>
      <c r="B1019" s="108"/>
      <c r="C1019" s="108"/>
      <c r="D1019" s="108"/>
      <c r="E1019" s="108"/>
      <c r="F1019" s="108"/>
      <c r="G1019" s="108"/>
      <c r="H1019" s="108"/>
      <c r="I1019" s="108"/>
      <c r="J1019" s="108"/>
      <c r="K1019" s="108"/>
      <c r="L1019" s="108"/>
      <c r="M1019" s="108"/>
      <c r="N1019" s="108"/>
      <c r="O1019" s="108"/>
      <c r="P1019" s="7"/>
      <c r="Q1019" s="7"/>
      <c r="R1019" s="7"/>
      <c r="S1019" s="7"/>
      <c r="T1019" s="7"/>
      <c r="U1019" s="7"/>
      <c r="V1019" s="7"/>
      <c r="W1019" s="7"/>
    </row>
    <row r="1020">
      <c r="A1020" s="108"/>
      <c r="B1020" s="108"/>
      <c r="C1020" s="108"/>
      <c r="D1020" s="108"/>
      <c r="E1020" s="108"/>
      <c r="F1020" s="108"/>
      <c r="G1020" s="108"/>
      <c r="H1020" s="108"/>
      <c r="I1020" s="108"/>
      <c r="J1020" s="108"/>
      <c r="K1020" s="108"/>
      <c r="L1020" s="108"/>
      <c r="M1020" s="108"/>
      <c r="N1020" s="108"/>
      <c r="O1020" s="108"/>
      <c r="P1020" s="7"/>
      <c r="Q1020" s="7"/>
      <c r="R1020" s="7"/>
      <c r="S1020" s="7"/>
      <c r="T1020" s="7"/>
      <c r="U1020" s="7"/>
      <c r="V1020" s="7"/>
      <c r="W1020" s="7"/>
    </row>
    <row r="1021">
      <c r="D1021" s="108"/>
      <c r="E1021" s="108"/>
      <c r="F1021" s="108"/>
      <c r="G1021" s="108"/>
      <c r="H1021" s="108"/>
      <c r="I1021" s="108"/>
      <c r="J1021" s="108"/>
      <c r="K1021" s="108"/>
      <c r="L1021" s="108"/>
      <c r="M1021" s="108"/>
      <c r="N1021" s="108"/>
      <c r="O1021" s="108"/>
      <c r="P1021" s="7"/>
      <c r="Q1021" s="7"/>
      <c r="R1021" s="7"/>
      <c r="S1021" s="7"/>
      <c r="T1021" s="7"/>
      <c r="U1021" s="7"/>
      <c r="V1021" s="7"/>
      <c r="W1021" s="7"/>
    </row>
  </sheetData>
  <mergeCells count="56">
    <mergeCell ref="D10:O10"/>
    <mergeCell ref="P10:Q10"/>
    <mergeCell ref="E5:K5"/>
    <mergeCell ref="E7:K7"/>
    <mergeCell ref="E6:K6"/>
    <mergeCell ref="N5:O5"/>
    <mergeCell ref="N9:O9"/>
    <mergeCell ref="N8:O8"/>
    <mergeCell ref="N7:O7"/>
    <mergeCell ref="D31:D32"/>
    <mergeCell ref="D21:D24"/>
    <mergeCell ref="D25:D26"/>
    <mergeCell ref="D27:D28"/>
    <mergeCell ref="A22:C22"/>
    <mergeCell ref="A29:B29"/>
    <mergeCell ref="A30:B31"/>
    <mergeCell ref="C30:C31"/>
    <mergeCell ref="D36:D37"/>
    <mergeCell ref="D33:D35"/>
    <mergeCell ref="A23:B23"/>
    <mergeCell ref="A32:B32"/>
    <mergeCell ref="A33:B33"/>
    <mergeCell ref="A2:A12"/>
    <mergeCell ref="A25:B25"/>
    <mergeCell ref="A24:B24"/>
    <mergeCell ref="A26:B26"/>
    <mergeCell ref="A28:B28"/>
    <mergeCell ref="A27:B27"/>
    <mergeCell ref="A34:B34"/>
    <mergeCell ref="A35:B35"/>
    <mergeCell ref="P29:Q29"/>
    <mergeCell ref="D29:O29"/>
    <mergeCell ref="P30:Q33"/>
    <mergeCell ref="A36:B36"/>
    <mergeCell ref="A37:B38"/>
    <mergeCell ref="C37:C38"/>
    <mergeCell ref="E2:K2"/>
    <mergeCell ref="E3:K3"/>
    <mergeCell ref="N3:O3"/>
    <mergeCell ref="N4:O4"/>
    <mergeCell ref="M2:O2"/>
    <mergeCell ref="D1:O1"/>
    <mergeCell ref="P1:Q1"/>
    <mergeCell ref="P2:Q2"/>
    <mergeCell ref="A1:C1"/>
    <mergeCell ref="E4:K4"/>
    <mergeCell ref="E12:E14"/>
    <mergeCell ref="P11:Q23"/>
    <mergeCell ref="E23:E24"/>
    <mergeCell ref="E8:K8"/>
    <mergeCell ref="E18:E20"/>
    <mergeCell ref="D12:D20"/>
    <mergeCell ref="E15:E17"/>
    <mergeCell ref="A13:A21"/>
    <mergeCell ref="E9:K9"/>
    <mergeCell ref="E21:E2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