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14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94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173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165.xml"/>
  <Override ContentType="application/vnd.openxmlformats-officedocument.drawingml.chart+xml" PartName="/xl/charts/chart161.xml"/>
  <Override ContentType="application/vnd.openxmlformats-officedocument.drawingml.chart+xml" PartName="/xl/charts/chart29.xml"/>
  <Override ContentType="application/vnd.openxmlformats-officedocument.drawingml.chart+xml" PartName="/xl/charts/chart20.xml"/>
  <Override ContentType="application/vnd.openxmlformats-officedocument.drawingml.chart+xml" PartName="/xl/charts/chart157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92.xml"/>
  <Override ContentType="application/vnd.openxmlformats-officedocument.drawingml.chart+xml" PartName="/xl/charts/chart163.xml"/>
  <Override ContentType="application/vnd.openxmlformats-officedocument.drawingml.chart+xml" PartName="/xl/charts/chart5.xml"/>
  <Override ContentType="application/vnd.openxmlformats-officedocument.drawingml.chart+xml" PartName="/xl/charts/chart150.xml"/>
  <Override ContentType="application/vnd.openxmlformats-officedocument.drawingml.chart+xml" PartName="/xl/charts/chart88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91.xml"/>
  <Override ContentType="application/vnd.openxmlformats-officedocument.drawingml.chart+xml" PartName="/xl/charts/chart118.xml"/>
  <Override ContentType="application/vnd.openxmlformats-officedocument.drawingml.chart+xml" PartName="/xl/charts/chart143.xml"/>
  <Override ContentType="application/vnd.openxmlformats-officedocument.drawingml.chart+xml" PartName="/xl/charts/chart55.xml"/>
  <Override ContentType="application/vnd.openxmlformats-officedocument.drawingml.chart+xml" PartName="/xl/charts/chart160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152.xml"/>
  <Override ContentType="application/vnd.openxmlformats-officedocument.drawingml.chart+xml" PartName="/xl/charts/chart98.xml"/>
  <Override ContentType="application/vnd.openxmlformats-officedocument.drawingml.chart+xml" PartName="/xl/charts/chart85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111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37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96.xml"/>
  <Override ContentType="application/vnd.openxmlformats-officedocument.drawingml.chart+xml" PartName="/xl/charts/chart107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164.xml"/>
  <Override ContentType="application/vnd.openxmlformats-officedocument.drawingml.chart+xml" PartName="/xl/charts/chart26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42.xml"/>
  <Override ContentType="application/vnd.openxmlformats-officedocument.drawingml.chart+xml" PartName="/xl/charts/chart148.xml"/>
  <Override ContentType="application/vnd.openxmlformats-officedocument.drawingml.chart+xml" PartName="/xl/charts/chart156.xml"/>
  <Override ContentType="application/vnd.openxmlformats-officedocument.drawingml.chart+xml" PartName="/xl/charts/chart113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89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15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93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162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128.xml"/>
  <Override ContentType="application/vnd.openxmlformats-officedocument.drawingml.chart+xml" PartName="/xl/charts/chart65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142.xml"/>
  <Override ContentType="application/vnd.openxmlformats-officedocument.drawingml.chart+xml" PartName="/xl/charts/chart82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125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168.xml"/>
  <Override ContentType="application/vnd.openxmlformats-officedocument.drawingml.chart+xml" PartName="/xl/charts/chart22.xml"/>
  <Override ContentType="application/vnd.openxmlformats-officedocument.drawingml.chart+xml" PartName="/xl/charts/chart56.xml"/>
  <Override ContentType="application/vnd.openxmlformats-officedocument.drawingml.chart+xml" PartName="/xl/charts/chart108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41.xml"/>
  <Override ContentType="application/vnd.openxmlformats-officedocument.drawingml.chart+xml" PartName="/xl/charts/chart166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123.xml"/>
  <Override ContentType="application/vnd.openxmlformats-officedocument.drawingml.chart+xml" PartName="/xl/charts/chart149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106.xml"/>
  <Override ContentType="application/vnd.openxmlformats-officedocument.drawingml.chart+xml" PartName="/xl/charts/chart37.xml"/>
  <Override ContentType="application/vnd.openxmlformats-officedocument.drawingml.chart+xml" PartName="/xl/charts/chart170.xml"/>
  <Override ContentType="application/vnd.openxmlformats-officedocument.drawingml.chart+xml" PartName="/xl/charts/chart67.xml"/>
  <Override ContentType="application/vnd.openxmlformats-officedocument.drawingml.chart+xml" PartName="/xl/charts/chart110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153.xml"/>
  <Override ContentType="application/vnd.openxmlformats-officedocument.drawingml.chart+xml" PartName="/xl/charts/chart1.xml"/>
  <Override ContentType="application/vnd.openxmlformats-officedocument.drawingml.chart+xml" PartName="/xl/charts/chart119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 MARKETING BANUA 2026" sheetId="1" r:id="rId5"/>
    <sheet state="visible" name="DASHBOARD" sheetId="2" r:id="rId6"/>
    <sheet state="visible" name="HELPER" sheetId="3" r:id="rId7"/>
    <sheet state="visible" name="BULAN BERJALAN BANUA" sheetId="4" r:id="rId8"/>
    <sheet state="visible" name="Ach MTD NOVEMBER 2025" sheetId="5" r:id="rId9"/>
    <sheet state="visible" name="BULAN BERJALAN TANAKA" sheetId="6" r:id="rId10"/>
    <sheet state="visible" name="LAPORAN HARIAN" sheetId="7" r:id="rId11"/>
    <sheet state="visible" name="LAPORAN BULANAN" sheetId="8" r:id="rId12"/>
    <sheet state="visible" name="LAPORAN TGL" sheetId="9" r:id="rId13"/>
    <sheet state="visible" name="HARIAN DESEMBER" sheetId="10" r:id="rId14"/>
    <sheet state="visible" name="SUMMARY" sheetId="11" r:id="rId15"/>
    <sheet state="visible" name="HARIAN JANUARI 26" sheetId="12" r:id="rId16"/>
    <sheet state="visible" name="HARIAN NOVEMBER" sheetId="13" r:id="rId17"/>
    <sheet state="visible" name="OKTOBER" sheetId="14" r:id="rId18"/>
    <sheet state="visible" name="NOVEMBER" sheetId="15" r:id="rId19"/>
    <sheet state="visible" name="DESEMBER" sheetId="16" r:id="rId20"/>
    <sheet state="visible" name="JANUARI" sheetId="17" r:id="rId21"/>
  </sheets>
  <definedNames>
    <definedName hidden="1" localSheetId="2" name="_xlnm._FilterDatabase">HELPER!$A$1:$P$982</definedName>
  </definedNames>
  <calcPr/>
</workbook>
</file>

<file path=xl/sharedStrings.xml><?xml version="1.0" encoding="utf-8"?>
<sst xmlns="http://schemas.openxmlformats.org/spreadsheetml/2006/main" count="2365" uniqueCount="602">
  <si>
    <t>KPI</t>
  </si>
  <si>
    <t>Q1</t>
  </si>
  <si>
    <t>Q2</t>
  </si>
  <si>
    <t>Q3</t>
  </si>
  <si>
    <t>Q4</t>
  </si>
  <si>
    <t>TOTAL</t>
  </si>
  <si>
    <t>JAN</t>
  </si>
  <si>
    <t>FEB</t>
  </si>
  <si>
    <t>MAR</t>
  </si>
  <si>
    <t>APR</t>
  </si>
  <si>
    <t>MEI</t>
  </si>
  <si>
    <t>JUN</t>
  </si>
  <si>
    <t>JUL</t>
  </si>
  <si>
    <t>AGUST</t>
  </si>
  <si>
    <t>SEP</t>
  </si>
  <si>
    <t>OKT</t>
  </si>
  <si>
    <t>NOP</t>
  </si>
  <si>
    <t>DES</t>
  </si>
  <si>
    <t>HONDA MOTOR</t>
  </si>
  <si>
    <t>WULING</t>
  </si>
  <si>
    <t>HONDA MOBIL</t>
  </si>
  <si>
    <t>SUZUKI</t>
  </si>
  <si>
    <t>DAIHATSU</t>
  </si>
  <si>
    <t>MITSUBISHI</t>
  </si>
  <si>
    <t>MAZDA</t>
  </si>
  <si>
    <t>TOYOTA</t>
  </si>
  <si>
    <t>YAMAHA</t>
  </si>
  <si>
    <t>SMK TBSM HONDA</t>
  </si>
  <si>
    <t>SMK NON TBSM</t>
  </si>
  <si>
    <t>TK</t>
  </si>
  <si>
    <t>UMUM KAMPUS</t>
  </si>
  <si>
    <t>UMUM COMPANY</t>
  </si>
  <si>
    <t>UMUM KOMUNITAS</t>
  </si>
  <si>
    <t>its oke</t>
  </si>
  <si>
    <t>kan kira-kira aja kan</t>
  </si>
  <si>
    <t>ngga mungkin data pasti</t>
  </si>
  <si>
    <t>tak tunggu sampe persis 1,5 M</t>
  </si>
  <si>
    <t>ini narohnya dimana?</t>
  </si>
  <si>
    <t>artinya yang table atas di masukin jga ya?</t>
  </si>
  <si>
    <t>strategii</t>
  </si>
  <si>
    <t>kan ada slide yg tulisan strategi</t>
  </si>
  <si>
    <t>nah persis abis itu</t>
  </si>
  <si>
    <t>iyaa, tabel dulu baru grafik yg bawah</t>
  </si>
  <si>
    <t>MAS JUMLAHNYA LBEBIHH</t>
  </si>
  <si>
    <t>cek wa</t>
  </si>
  <si>
    <t>hah</t>
  </si>
  <si>
    <t>ngga taiu</t>
  </si>
  <si>
    <t xml:space="preserve"> </t>
  </si>
  <si>
    <r>
      <rPr>
        <rFont val="Arial"/>
        <b val="0"/>
        <color rgb="FFFFFFFF"/>
        <sz val="25.0"/>
      </rPr>
      <t xml:space="preserve">Marketing Banua Mitra Lestari </t>
    </r>
    <r>
      <rPr>
        <rFont val="Arial"/>
        <b/>
        <color rgb="FFFFFFFF"/>
        <sz val="25.0"/>
      </rPr>
      <t>Dashboard 2025</t>
    </r>
  </si>
  <si>
    <t>Start Date</t>
  </si>
  <si>
    <t>End Date</t>
  </si>
  <si>
    <t>Sales Revenue</t>
  </si>
  <si>
    <t>Transaction</t>
  </si>
  <si>
    <t>QTY Product Terjual</t>
  </si>
  <si>
    <t xml:space="preserve">TOP 5 </t>
  </si>
  <si>
    <t>KOSONG</t>
  </si>
  <si>
    <t>CATEGORY PROPORTION</t>
  </si>
  <si>
    <t>TOP CATEGORY PROPORTION</t>
  </si>
  <si>
    <t>UMUM CAMPANY</t>
  </si>
  <si>
    <t xml:space="preserve">HONDA MOBIL </t>
  </si>
  <si>
    <t>MITSUBISI</t>
  </si>
  <si>
    <t>IITEM CODE</t>
  </si>
  <si>
    <t>INSTANSI</t>
  </si>
  <si>
    <t>CUSTOMER</t>
  </si>
  <si>
    <t>DATE</t>
  </si>
  <si>
    <t>PRODUCT</t>
  </si>
  <si>
    <t>QTY</t>
  </si>
  <si>
    <t>PRICE</t>
  </si>
  <si>
    <t>TOTAL PRICE</t>
  </si>
  <si>
    <t>Column 9</t>
  </si>
  <si>
    <t>Column 10</t>
  </si>
  <si>
    <t>Column 12</t>
  </si>
  <si>
    <t>Column 13</t>
  </si>
  <si>
    <t>Column 14</t>
  </si>
  <si>
    <t>Column 15</t>
  </si>
  <si>
    <t>Column 16</t>
  </si>
  <si>
    <t>Column 17</t>
  </si>
  <si>
    <t>Product</t>
  </si>
  <si>
    <t>Instansi</t>
  </si>
  <si>
    <t>Sales</t>
  </si>
  <si>
    <t>Seragam PDH Custom</t>
  </si>
  <si>
    <t>Honda Mekanik 1 set</t>
  </si>
  <si>
    <t>Toyota tanpa bordir</t>
  </si>
  <si>
    <t>Seragam PDH</t>
  </si>
  <si>
    <t>Kaos Lapangan</t>
  </si>
  <si>
    <t>wearpacknya Custom</t>
  </si>
  <si>
    <t>Seragam Mekanik Honda Mobil 1 Set</t>
  </si>
  <si>
    <t>Seragam Mekanik set + Bordir Nama Dealer</t>
  </si>
  <si>
    <t>Seragam Staff Bengkel + Bordir Nama Dealer</t>
  </si>
  <si>
    <t>Seragam PDI Set + Bordir Nama Dealer</t>
  </si>
  <si>
    <t>Seragam Counter + Bordir Nama Dealer</t>
  </si>
  <si>
    <t>Seragam Driver</t>
  </si>
  <si>
    <t>Seragam Mekanik Honda 1 set</t>
  </si>
  <si>
    <t>Topi</t>
  </si>
  <si>
    <t>Apron</t>
  </si>
  <si>
    <t>Wearpack Toyota</t>
  </si>
  <si>
    <t>Seragam Mekanik Honda 1 Set (Topi+Apron)</t>
  </si>
  <si>
    <t>Wearpack Akademi Yamaha</t>
  </si>
  <si>
    <t>Seragam Mekanik Honda</t>
  </si>
  <si>
    <t>Revisi Lengan dan Ukuran Wearpack</t>
  </si>
  <si>
    <t>Topi Custom</t>
  </si>
  <si>
    <t>Wearpack Mitsubitshi</t>
  </si>
  <si>
    <t>Seragam Mekanik Honda Set (Atasan+Celana)</t>
  </si>
  <si>
    <t>Celemek SPPG</t>
  </si>
  <si>
    <t>Seragam HRC Honda</t>
  </si>
  <si>
    <t>Mitsubishi sales</t>
  </si>
  <si>
    <t xml:space="preserve">Apron honda &amp; Topi Mekanik Honda Motor Putih                </t>
  </si>
  <si>
    <t>Seragam Suzuki tanpa Bordir</t>
  </si>
  <si>
    <t>Dasi</t>
  </si>
  <si>
    <t>Seragam PDH Rompi</t>
  </si>
  <si>
    <t>KETERANGAN</t>
  </si>
  <si>
    <t>Sekolah Kejuruan</t>
  </si>
  <si>
    <t>Pak Bayu (SMK Muhammadiyah Moyudan)</t>
  </si>
  <si>
    <t>Wearpack Yamaha</t>
  </si>
  <si>
    <t>0857 0122 4831</t>
  </si>
  <si>
    <t>PT. Kala Suba Indonesia</t>
  </si>
  <si>
    <t>Vicky</t>
  </si>
  <si>
    <t>sama</t>
  </si>
  <si>
    <t>Pak Sigit (SMK Muhammadiyah 1 Moyudan)</t>
  </si>
  <si>
    <t>tolong lengkapi</t>
  </si>
  <si>
    <t>Surat Motor</t>
  </si>
  <si>
    <t>FLP Kerah Merah</t>
  </si>
  <si>
    <t>Pak Ubay (SMKS Muhammadiyah Gunung Agung)</t>
  </si>
  <si>
    <t>Seragam DKV</t>
  </si>
  <si>
    <t>0853 5750 2112</t>
  </si>
  <si>
    <t>Seragam Pemasaran</t>
  </si>
  <si>
    <t>Seragam Akuntansi</t>
  </si>
  <si>
    <t>Seragam Olahraga</t>
  </si>
  <si>
    <t>PT. Tajimura Maju Bersama</t>
  </si>
  <si>
    <t>Honda Mobil</t>
  </si>
  <si>
    <t>Toyota</t>
  </si>
  <si>
    <t>Pak Windarto ( Bengkel Jaya Abadi)</t>
  </si>
  <si>
    <t>Honda</t>
  </si>
  <si>
    <t>Mekanik Wulling</t>
  </si>
  <si>
    <t>Mekanik Honda Motor 1 Set</t>
  </si>
  <si>
    <t>Pak Erwin ( Mandala Jaya Abadi)</t>
  </si>
  <si>
    <t>Wearpack Honda Custom</t>
  </si>
  <si>
    <t>Sekolah Umum</t>
  </si>
  <si>
    <t>Ibu Isna ( orang tua murid)</t>
  </si>
  <si>
    <t>Seragam SMP</t>
  </si>
  <si>
    <t>Wearpack Honda Custom dan Topi</t>
  </si>
  <si>
    <t>PT Tanaka</t>
  </si>
  <si>
    <t>Wearpack Custom</t>
  </si>
  <si>
    <t>Seragam SD Set</t>
  </si>
  <si>
    <t>Pak Guntarto</t>
  </si>
  <si>
    <t>Seragam TBSM</t>
  </si>
  <si>
    <t>Pak Rahmat</t>
  </si>
  <si>
    <t>Universitas</t>
  </si>
  <si>
    <t>Pak Triyanto (Tata Busana UNY)</t>
  </si>
  <si>
    <t>Yamaha</t>
  </si>
  <si>
    <t>Fortuna Yamaha Tumbang Titi</t>
  </si>
  <si>
    <t>Seragam</t>
  </si>
  <si>
    <t>Pak Supoyo (SMK Muhammadiyah 3 Waleri)</t>
  </si>
  <si>
    <t>Seragam TBSM + Seragam Guru</t>
  </si>
  <si>
    <t>Pak Edi (Sultan Motor)</t>
  </si>
  <si>
    <t>FLP Cowok dan Cewek</t>
  </si>
  <si>
    <t>Lampung Independt Vespa</t>
  </si>
  <si>
    <t>Bu Yeni Lestari</t>
  </si>
  <si>
    <t>Seragam Komunitas Vespa</t>
  </si>
  <si>
    <t>Rinto Dwi Endratmako (SMKN 1 Entikong)</t>
  </si>
  <si>
    <t xml:space="preserve">Seragam SMK </t>
  </si>
  <si>
    <t>Pak Rofik (Cendana  Wangi)</t>
  </si>
  <si>
    <t xml:space="preserve">Topi </t>
  </si>
  <si>
    <t>Dinas Perikanan</t>
  </si>
  <si>
    <t>Ibu Elly Yurita</t>
  </si>
  <si>
    <t>PDL</t>
  </si>
  <si>
    <t>Pak Mulyadi</t>
  </si>
  <si>
    <t xml:space="preserve">Pak Anton </t>
  </si>
  <si>
    <t>Wearpack Honda Motor 1 Set</t>
  </si>
  <si>
    <t>Mazda</t>
  </si>
  <si>
    <t>Pak Aji</t>
  </si>
  <si>
    <t>Wearpack Mazda</t>
  </si>
  <si>
    <t>Rajawali Motor</t>
  </si>
  <si>
    <t>Wearpack Mekanik Yamaha</t>
  </si>
  <si>
    <t>Wearpack</t>
  </si>
  <si>
    <t>PT Kalasuba</t>
  </si>
  <si>
    <t>Etalase Tsafiqa</t>
  </si>
  <si>
    <t>Kak Dewi Cirebon</t>
  </si>
  <si>
    <t>Celana Oprator SPBE</t>
  </si>
  <si>
    <t>Honda Anugrah Janti</t>
  </si>
  <si>
    <t>Seragam Honda Mekanik 1 Set</t>
  </si>
  <si>
    <t>Wuling</t>
  </si>
  <si>
    <t>Pak Shidqi</t>
  </si>
  <si>
    <t>Seragam Wulling New</t>
  </si>
  <si>
    <t>Pak Hidayah Suratmin</t>
  </si>
  <si>
    <t>Topi Honda</t>
  </si>
  <si>
    <t>Annaba</t>
  </si>
  <si>
    <t>Sampel Kaus Polo Tunik</t>
  </si>
  <si>
    <t>Kuep Permata Cipta Jaya</t>
  </si>
  <si>
    <t xml:space="preserve">Kak Filda (Mumtaz)
</t>
  </si>
  <si>
    <t>Kaus Polo</t>
  </si>
  <si>
    <t>PT. Anugerah Kasih Putera</t>
  </si>
  <si>
    <t>Ibu Meri</t>
  </si>
  <si>
    <t>Baju Mekanik</t>
  </si>
  <si>
    <t>PT Tajimura</t>
  </si>
  <si>
    <t>Ibu Rida (PT Tajimura)</t>
  </si>
  <si>
    <t>Moyudan</t>
  </si>
  <si>
    <t>Pak Pajar (SMKN 1 Kalikajar)</t>
  </si>
  <si>
    <t>Pak Vicky</t>
  </si>
  <si>
    <t>Wearpack Otomotif</t>
  </si>
  <si>
    <t>Honda Maju Jaya</t>
  </si>
  <si>
    <t>Seragam Polo Merah</t>
  </si>
  <si>
    <t>Honda Lestari Banten</t>
  </si>
  <si>
    <t>Seragam Atasan Mekanik</t>
  </si>
  <si>
    <t>PT. Trimegah Nusa Harmoni</t>
  </si>
  <si>
    <t>Seragam SA dan Mekanik Custom</t>
  </si>
  <si>
    <t xml:space="preserve">PT Trimegah </t>
  </si>
  <si>
    <t>Pak Eko</t>
  </si>
  <si>
    <t>Seragam Otomotif</t>
  </si>
  <si>
    <t>PT. Glasindo Bejo Sejahtera</t>
  </si>
  <si>
    <t xml:space="preserve">Wearpack Toyota </t>
  </si>
  <si>
    <t>Ibu Nila (SMK Sultan Agung  Jember)</t>
  </si>
  <si>
    <t>Seragam PDH dan Jas</t>
  </si>
  <si>
    <t>Umum Company</t>
  </si>
  <si>
    <t>Pak Adie (Lampung)</t>
  </si>
  <si>
    <t>Kak Filda (Mumtaz)</t>
  </si>
  <si>
    <t>Offline (Toyota)</t>
  </si>
  <si>
    <t>PTO Sandwich Tehnik Utama</t>
  </si>
  <si>
    <t>Pak Sungkono</t>
  </si>
  <si>
    <t>Wearpack Custom Mazda</t>
  </si>
  <si>
    <t>PT SPJ</t>
  </si>
  <si>
    <t>Anaba</t>
  </si>
  <si>
    <t>Kaos</t>
  </si>
  <si>
    <t>Pembelian Offline</t>
  </si>
  <si>
    <t>Pak Adhi (Zahra Konveksi)</t>
  </si>
  <si>
    <t xml:space="preserve">Pak Endro </t>
  </si>
  <si>
    <t>Seragam mekanik custom</t>
  </si>
  <si>
    <t>Pak Pramuji (SMK Nawa Bakti Kebumen)</t>
  </si>
  <si>
    <t>Pak Slamet, Trescoff</t>
  </si>
  <si>
    <t>Banser</t>
  </si>
  <si>
    <t>Resti Winarsih</t>
  </si>
  <si>
    <t>Seragam Ansor</t>
  </si>
  <si>
    <t>Ibu Elly (Pak Sukro)</t>
  </si>
  <si>
    <t>Seragam PDH 1 Set</t>
  </si>
  <si>
    <t>Seragam PDL Satpam 1 Set</t>
  </si>
  <si>
    <t>Sepatu PDH</t>
  </si>
  <si>
    <t>Sepatu PDL</t>
  </si>
  <si>
    <t>Work Jaket</t>
  </si>
  <si>
    <t xml:space="preserve">Pembelian Offline </t>
  </si>
  <si>
    <t>Offline Seragam Sekolah</t>
  </si>
  <si>
    <t>Tajimura, Pak Slamet (kloter 2)</t>
  </si>
  <si>
    <t>Kak Dewi (Tsafiqa)</t>
  </si>
  <si>
    <t>Celana SPBE Orange</t>
  </si>
  <si>
    <t>CV Abadi Shooting</t>
  </si>
  <si>
    <t>Pak Billy</t>
  </si>
  <si>
    <t>01 November 2025</t>
  </si>
  <si>
    <t>Baju Indomaret</t>
  </si>
  <si>
    <t>Kak Ninda</t>
  </si>
  <si>
    <t>4 November 2025</t>
  </si>
  <si>
    <t>Sample seragam taktikal</t>
  </si>
  <si>
    <t>Honda Anugerah Sejahtera</t>
  </si>
  <si>
    <t>Atasan Seragam Mekanik Honda Mobil</t>
  </si>
  <si>
    <t>Daya Motor</t>
  </si>
  <si>
    <t>Ibu Sri Nurfitriyani</t>
  </si>
  <si>
    <t>Seragam FLP Kerah Merah</t>
  </si>
  <si>
    <t>FLP Kerah Putih (Wanita)</t>
  </si>
  <si>
    <t>PT Kalasuba Indonesia</t>
  </si>
  <si>
    <t xml:space="preserve">Pak Vicky </t>
  </si>
  <si>
    <t>SMK Muhammadiyah 2 Lendah</t>
  </si>
  <si>
    <t>Pak Chery</t>
  </si>
  <si>
    <t>Pak Chandra</t>
  </si>
  <si>
    <t>PT Anugerah Kasih Putera</t>
  </si>
  <si>
    <t>Seragam atasan mekanik Honda Mobil</t>
  </si>
  <si>
    <t>PT JEMAGA SEKAR ABADI</t>
  </si>
  <si>
    <t xml:space="preserve">Seragam Hijau LPG </t>
  </si>
  <si>
    <t>Seragam Custom</t>
  </si>
  <si>
    <t>Kak Dani (SMKN 1 Kalikajar)</t>
  </si>
  <si>
    <t>CUSTOME UKURAN M FURING &amp; REFLEKTOR</t>
  </si>
  <si>
    <t>Bengkel Dinamo</t>
  </si>
  <si>
    <t>Muhamad Ihsan Marhai</t>
  </si>
  <si>
    <t>Seragam pdh 1 set</t>
  </si>
  <si>
    <t>Ahhas Sonic Sumbar</t>
  </si>
  <si>
    <t>Pak Khasman</t>
  </si>
  <si>
    <t>PT Tajimura Maju Bersama</t>
  </si>
  <si>
    <t xml:space="preserve">Seragam Wuling ATPM </t>
  </si>
  <si>
    <t>Mekanik Wuling 1 set</t>
  </si>
  <si>
    <t>Pak Fatah (Astra Kudus)</t>
  </si>
  <si>
    <t>Seragam FLP kerah Putih (cowok)</t>
  </si>
  <si>
    <t>Honda Anugerah Yogyakarta</t>
  </si>
  <si>
    <t>Seragam mekanik Honda 1 set</t>
  </si>
  <si>
    <t>Yamaha Akai Jaya</t>
  </si>
  <si>
    <t>Pak Adin</t>
  </si>
  <si>
    <t>PT Bumen Redja Abadi</t>
  </si>
  <si>
    <t>Pak Wachidi</t>
  </si>
  <si>
    <t xml:space="preserve">Wearpack Mitsubishi </t>
  </si>
  <si>
    <t>PT Badoray Motor Muara Bungo</t>
  </si>
  <si>
    <t>Pesanan FLP</t>
  </si>
  <si>
    <t>Seragam Mekanik</t>
  </si>
  <si>
    <t>Pak Adin, Honda Badoray Jambi, Pak Wachidi</t>
  </si>
  <si>
    <t>Topi Honda Mobil</t>
  </si>
  <si>
    <t>PT Anugerah Kasih Putera (Honda Anugerah Bantul)</t>
  </si>
  <si>
    <t xml:space="preserve"> Yamaha Akai Jaya</t>
  </si>
  <si>
    <t>Pak Adin ( Yamaha Akai Jaya)</t>
  </si>
  <si>
    <t>Honda Cendana Ungaran</t>
  </si>
  <si>
    <t>Pak Nawawi (Honda Cendana Ungaran)</t>
  </si>
  <si>
    <t>Pak Windarto</t>
  </si>
  <si>
    <t>Dinullah (UKM Pramuka UAD)</t>
  </si>
  <si>
    <t>PT Tajimura Bejo Sejahtera</t>
  </si>
  <si>
    <t>SMS Motor</t>
  </si>
  <si>
    <t>Pak Rendy (SMS Motor)</t>
  </si>
  <si>
    <t xml:space="preserve">Pak Muhammad </t>
  </si>
  <si>
    <t>Pak Supoyo</t>
  </si>
  <si>
    <t>PT KALA SUBA</t>
  </si>
  <si>
    <t>Honda Maju Jaya Semarang</t>
  </si>
  <si>
    <t xml:space="preserve"> Pak Ariyadi (SMK ANDALUSIA WONOSOBO)</t>
  </si>
  <si>
    <t>Kak Ihsan (Bengkel Dinamo)</t>
  </si>
  <si>
    <t xml:space="preserve"> Fafa </t>
  </si>
  <si>
    <t>MITSUBITSHI</t>
  </si>
  <si>
    <t>Pak Wachidi (PT Bumen Redja Abadi)</t>
  </si>
  <si>
    <t>Ahhas Lestari Motor</t>
  </si>
  <si>
    <t>SPPG</t>
  </si>
  <si>
    <t>Ibu Sarmauli</t>
  </si>
  <si>
    <t>Pak Salim (SMS Motor)</t>
  </si>
  <si>
    <t>Fadtholi</t>
  </si>
  <si>
    <t>Kak Abi (kirim via market place)</t>
  </si>
  <si>
    <t>Agung (Alfallah)</t>
  </si>
  <si>
    <t>Pak Dwi ( SMK PUI Cikijing)</t>
  </si>
  <si>
    <t>Seragam Mekanik Hyundai New</t>
  </si>
  <si>
    <t>Ibu Amarta (Honda Bintang Sakti Semarang)</t>
  </si>
  <si>
    <t xml:space="preserve">FLP Kerah Putih </t>
  </si>
  <si>
    <t>Sepatu</t>
  </si>
  <si>
    <t>Pak Arman (GOO Motor)</t>
  </si>
  <si>
    <t xml:space="preserve">PT Kalasuba </t>
  </si>
  <si>
    <t>Siti maimunah</t>
  </si>
  <si>
    <t>Pembayaran Wearpack Toyota</t>
  </si>
  <si>
    <t>PT. Amanah Saff Prima</t>
  </si>
  <si>
    <t>PDH Custom</t>
  </si>
  <si>
    <t>Pak Aprin (Akur Motor)</t>
  </si>
  <si>
    <t>FLP</t>
  </si>
  <si>
    <t>Polo</t>
  </si>
  <si>
    <t>UMY ( Yogyakarta)</t>
  </si>
  <si>
    <t>PDH (Korsa)</t>
  </si>
  <si>
    <t>Pak Brili Agung</t>
  </si>
  <si>
    <t xml:space="preserve">Kaos Polo </t>
  </si>
  <si>
    <t xml:space="preserve">Apron		</t>
  </si>
  <si>
    <t>Seragam OB</t>
  </si>
  <si>
    <t>Azhar</t>
  </si>
  <si>
    <t>Rompi Custom</t>
  </si>
  <si>
    <t>Anzhar</t>
  </si>
  <si>
    <t>Seragam SMK</t>
  </si>
  <si>
    <t>Batik</t>
  </si>
  <si>
    <t>Seragam SMA</t>
  </si>
  <si>
    <t>Seragam Pramuka SMA</t>
  </si>
  <si>
    <t>Seragam Multimedia</t>
  </si>
  <si>
    <t>Seragam SD</t>
  </si>
  <si>
    <t>Seragam Pramuka  SD</t>
  </si>
  <si>
    <t>Seragam Olahraga SMK</t>
  </si>
  <si>
    <t>Mas Eky</t>
  </si>
  <si>
    <t>Seragam PDH Taktikal</t>
  </si>
  <si>
    <t>Pak Edi Wibowo</t>
  </si>
  <si>
    <t>Seragam SA (FLP Kerah Merah)</t>
  </si>
  <si>
    <t>Seragam Frondesk (FLP Kerah Merah Perempuan)</t>
  </si>
  <si>
    <t>Birgocalm</t>
  </si>
  <si>
    <t>Honda Mekanik 1 Set</t>
  </si>
  <si>
    <t>Bapak Shidqi</t>
  </si>
  <si>
    <t>Seragam Polo Custom</t>
  </si>
  <si>
    <t>Kaos Polo Biru Muda</t>
  </si>
  <si>
    <t>Kaos Polo Biru Navy</t>
  </si>
  <si>
    <t>Kaos Polo Cream</t>
  </si>
  <si>
    <t>Celemek SPPG Kecil</t>
  </si>
  <si>
    <t>Pak Abdul</t>
  </si>
  <si>
    <t>Seragam Mekanik 1 Set</t>
  </si>
  <si>
    <t xml:space="preserve"> PT Anugerah Kasih Putera (AKSP)</t>
  </si>
  <si>
    <t>Seragam Honda (Teknisi, Foreman, Cuci)</t>
  </si>
  <si>
    <t>PT Anugerah Kasih Putera (Bantul)</t>
  </si>
  <si>
    <t>Seragam Honda (Teknisi)</t>
  </si>
  <si>
    <t>Kaos Polo SPPG</t>
  </si>
  <si>
    <t xml:space="preserve"> Pak Shidqi</t>
  </si>
  <si>
    <t xml:space="preserve">Pak Dwi </t>
  </si>
  <si>
    <t xml:space="preserve">Seragam TSM </t>
  </si>
  <si>
    <t xml:space="preserve"> PT Anugerah Kasih Putera (ASP)</t>
  </si>
  <si>
    <t>Pradika Hermawan</t>
  </si>
  <si>
    <t>PT Anugerah Kasih Putera (Body and Paint)</t>
  </si>
  <si>
    <t>Ibu Chacha</t>
  </si>
  <si>
    <t>Pak Septian Budi Candra</t>
  </si>
  <si>
    <t>wearpack Toyota tanpa bordir belakang</t>
  </si>
  <si>
    <t>Department</t>
  </si>
  <si>
    <t>Marketing</t>
  </si>
  <si>
    <t>PIC</t>
  </si>
  <si>
    <t>Aji</t>
  </si>
  <si>
    <t>Bulan</t>
  </si>
  <si>
    <t>Januari</t>
  </si>
  <si>
    <t>Target Bulanan</t>
  </si>
  <si>
    <t>Target Harian</t>
  </si>
  <si>
    <t>TGL</t>
  </si>
  <si>
    <t>AJI</t>
  </si>
  <si>
    <t>OKTOBER</t>
  </si>
  <si>
    <t>NOVEMBER</t>
  </si>
  <si>
    <t>BANUA 2025</t>
  </si>
  <si>
    <t>TARGET</t>
  </si>
  <si>
    <t>ACTUAL</t>
  </si>
  <si>
    <t>Target</t>
  </si>
  <si>
    <t>Actual</t>
  </si>
  <si>
    <t>Bulan Lalu</t>
  </si>
  <si>
    <t>Achivement By Target</t>
  </si>
  <si>
    <t>Achivement By Bulan Lalu</t>
  </si>
  <si>
    <t>Ardi</t>
  </si>
  <si>
    <t>Atasan Custom Toyota</t>
  </si>
  <si>
    <t>Pak Agus</t>
  </si>
  <si>
    <t>Satu Set Honda Mobil</t>
  </si>
  <si>
    <t>PT Atmaja Dharma Artha</t>
  </si>
  <si>
    <t>ATASAN SERAGAM SAFETY + REFKLEKTOR</t>
  </si>
  <si>
    <t>PKM Corner UII</t>
  </si>
  <si>
    <t xml:space="preserve">JAKET BOMBER </t>
  </si>
  <si>
    <t>PT atmaja dharma artha</t>
  </si>
  <si>
    <t xml:space="preserve">Kemeja dan Celanan Safety </t>
  </si>
  <si>
    <t>Ahass Makmur Ambarawa</t>
  </si>
  <si>
    <t>Celana Mekanik Honda</t>
  </si>
  <si>
    <t>Erviq</t>
  </si>
  <si>
    <t>celana spbu operator</t>
  </si>
  <si>
    <t>Pak Samsun</t>
  </si>
  <si>
    <t xml:space="preserve">Topi dan Apron </t>
  </si>
  <si>
    <t>pak Umar (Ahass Paru Jaya Surabaya)</t>
  </si>
  <si>
    <t>FLP cowo kerah merah</t>
  </si>
  <si>
    <t>PT HALUAN DINAMIKA UTAMA</t>
  </si>
  <si>
    <t>Kemaja mekanik custom.</t>
  </si>
  <si>
    <t>Muchamad syamsul maarif</t>
  </si>
  <si>
    <t>Kemeja FLP</t>
  </si>
  <si>
    <t>Atang</t>
  </si>
  <si>
    <t xml:space="preserve">Wearpack Yamaha Polos </t>
  </si>
  <si>
    <t>Roberty</t>
  </si>
  <si>
    <t>Polo safety + reflektor</t>
  </si>
  <si>
    <t>Ahass Kurnia Motor Boyolali</t>
  </si>
  <si>
    <t xml:space="preserve">Pak Faisal </t>
  </si>
  <si>
    <t>Topi dan Apron</t>
  </si>
  <si>
    <t>PENDAPATAN HARIAN NOVEMBER 2025</t>
  </si>
  <si>
    <t>TANGGAL</t>
  </si>
  <si>
    <t>Bulan Sblmnya</t>
  </si>
  <si>
    <t>Bulan Berjalan</t>
  </si>
  <si>
    <t>no</t>
  </si>
  <si>
    <t>Kategori</t>
  </si>
  <si>
    <t>tanggal</t>
  </si>
  <si>
    <t>Pendapatan</t>
  </si>
  <si>
    <t>Achivment</t>
  </si>
  <si>
    <t>PENDAPATAN BULANAN [PERBANDINGAN BULAN DAN TAHUNNYA]</t>
  </si>
  <si>
    <t>BULAN</t>
  </si>
  <si>
    <t xml:space="preserve">Bulan </t>
  </si>
  <si>
    <t>PENDAPATAN HARIAN NOVEMBER 2025 [PERBANDINGAN PER TANGGAL]</t>
  </si>
  <si>
    <t>TGL Sblmnya</t>
  </si>
  <si>
    <t>A</t>
  </si>
  <si>
    <t>TGL  Berjalan</t>
  </si>
  <si>
    <t>Selisih</t>
  </si>
  <si>
    <t>PENDAPATAN 1/12/2025</t>
  </si>
  <si>
    <t>RINCIAN</t>
  </si>
  <si>
    <t>SUMMARY</t>
  </si>
  <si>
    <t>Tanggal</t>
  </si>
  <si>
    <t>Order November</t>
  </si>
  <si>
    <t>Order Desember</t>
  </si>
  <si>
    <t>% Growth</t>
  </si>
  <si>
    <t>TOTAL ORDER</t>
  </si>
  <si>
    <t>%Growth</t>
  </si>
  <si>
    <t>DESEMBER</t>
  </si>
  <si>
    <t>PENDAPATAN 3/12/2025</t>
  </si>
  <si>
    <t>PENDAPATAN 4/12/2025</t>
  </si>
  <si>
    <t>PENDAPATAN 5/12/2025</t>
  </si>
  <si>
    <t>PENDAPATAN 6/11/2025</t>
  </si>
  <si>
    <t>PENDAPATAN 8/12/2025</t>
  </si>
  <si>
    <t>PENDAPATAN 22/11/2025</t>
  </si>
  <si>
    <t>PENDAPATAN 9/12/2025</t>
  </si>
  <si>
    <t>PENDAPATAN 10/11/2025</t>
  </si>
  <si>
    <t>PENDAPATAN 11/12/2025</t>
  </si>
  <si>
    <t>PENDAPATAN 12/12/2025</t>
  </si>
  <si>
    <t>PENDAPATAN 13/12/2025</t>
  </si>
  <si>
    <t>PENDAPATAN 15/12/2025</t>
  </si>
  <si>
    <t>PENDAPATAN 16/12/2025</t>
  </si>
  <si>
    <t>PENDAPATAN 17/12/2025</t>
  </si>
  <si>
    <t>PENDAPATAN 18/12/2025</t>
  </si>
  <si>
    <t>PENDAPATAN 19/12/2025</t>
  </si>
  <si>
    <t>PENDAPATAN 20/12/2025</t>
  </si>
  <si>
    <t>PENDAPATAN 22/12/2025</t>
  </si>
  <si>
    <t>PENDAPATAN 23/12/2025</t>
  </si>
  <si>
    <t>PENDAPATAN 24/12/2025</t>
  </si>
  <si>
    <t>PENDAPATAN 26/12/2025</t>
  </si>
  <si>
    <t>PENDAPATAN 27/12/2025</t>
  </si>
  <si>
    <t>PENDAPATAN 29/12/2025</t>
  </si>
  <si>
    <t>PENDAPATAN 30/12/2025</t>
  </si>
  <si>
    <t>PENDAPATAN 31/12/2025</t>
  </si>
  <si>
    <t>Order Oktober</t>
  </si>
  <si>
    <t>Order Januari</t>
  </si>
  <si>
    <t>PENDAPATAN PER-01/01/2026</t>
  </si>
  <si>
    <t>JANUARI</t>
  </si>
  <si>
    <t>Order oktober</t>
  </si>
  <si>
    <t>PENDAPATAN 19/11/2025</t>
  </si>
  <si>
    <t>PENDAPATAN 15/11/2025</t>
  </si>
  <si>
    <t>PENDAPATAN 16/11/2025</t>
  </si>
  <si>
    <t>PENDAPATAN 17/11/2025</t>
  </si>
  <si>
    <t>PENDAPATAN 20/11/2025</t>
  </si>
  <si>
    <t>PENDAPATAN 21/11/2025</t>
  </si>
  <si>
    <t>PENDAPATAN 24/11/2025</t>
  </si>
  <si>
    <t>PENDAPATAN 25/11/2025</t>
  </si>
  <si>
    <t>TARGET 2025</t>
  </si>
  <si>
    <t>Target Banua Konveksi</t>
  </si>
  <si>
    <t>No</t>
  </si>
  <si>
    <t>Nama Marketing</t>
  </si>
  <si>
    <t>September</t>
  </si>
  <si>
    <t>Oktober</t>
  </si>
  <si>
    <t>November</t>
  </si>
  <si>
    <t>Desember</t>
  </si>
  <si>
    <t>Februari</t>
  </si>
  <si>
    <t>Maret</t>
  </si>
  <si>
    <t>April</t>
  </si>
  <si>
    <t>Mei</t>
  </si>
  <si>
    <t>Juni</t>
  </si>
  <si>
    <t>Juli</t>
  </si>
  <si>
    <t>Agustus</t>
  </si>
  <si>
    <t>AJI PANGESTU</t>
  </si>
  <si>
    <t>BANUA KONVEKSI</t>
  </si>
  <si>
    <t>MARKETING OFFLINE</t>
  </si>
  <si>
    <t>SABTU</t>
  </si>
  <si>
    <t>MINGGU</t>
  </si>
  <si>
    <t>SENIN</t>
  </si>
  <si>
    <t>SELASA</t>
  </si>
  <si>
    <t>RABU</t>
  </si>
  <si>
    <t>KAMIS</t>
  </si>
  <si>
    <t>JUMAT</t>
  </si>
  <si>
    <t>Pak Vicky, Honda Anugerah, Kak Sri</t>
  </si>
  <si>
    <t>Pak Adhi, SMK Muh 2 Lendah</t>
  </si>
  <si>
    <t>TARGET Market Offline</t>
  </si>
  <si>
    <t>Nama</t>
  </si>
  <si>
    <t>Pesanan</t>
  </si>
  <si>
    <t>Nominal</t>
  </si>
  <si>
    <t>Kak Billy (offline)</t>
  </si>
  <si>
    <t>Seragam Indomaret</t>
  </si>
  <si>
    <t>Pak Adhi Bone</t>
  </si>
  <si>
    <t>Wearpack TKR</t>
  </si>
  <si>
    <t>Pak Dwi Kapahiyang</t>
  </si>
  <si>
    <t>Seragam TBSM Dll</t>
  </si>
  <si>
    <t>blm ada info</t>
  </si>
  <si>
    <t>nunggu design</t>
  </si>
  <si>
    <t>Pak Ardianto</t>
  </si>
  <si>
    <t>Seragam TKR</t>
  </si>
  <si>
    <t>awal tahun</t>
  </si>
  <si>
    <t>Pak Vicky Kalasuba</t>
  </si>
  <si>
    <t>Honda Tsuma Jaya (Pak Alim)</t>
  </si>
  <si>
    <t>HONDA MOTOR Sukawijaya</t>
  </si>
  <si>
    <t>Honda Kompo Motor (Pak Tohirin)</t>
  </si>
  <si>
    <t>Honda Kurnia Jaya ( Pak Rizky)</t>
  </si>
  <si>
    <t>Honda Tunas Hartana</t>
  </si>
  <si>
    <t>Honda Nusantara Jaya (Bu Anita)</t>
  </si>
  <si>
    <t>Honda Duma Motor (Yohanes)</t>
  </si>
  <si>
    <t xml:space="preserve">Honda Tama Motor </t>
  </si>
  <si>
    <t>Mitra Karya Utama</t>
  </si>
  <si>
    <t xml:space="preserve">Seragam Polo </t>
  </si>
  <si>
    <t>Honda Perkasa Service (Pak Afif)</t>
  </si>
  <si>
    <t>Honda Bintang kemakmuran</t>
  </si>
  <si>
    <t>Honda Istana Motor Lampung</t>
  </si>
  <si>
    <t>Honda Harika Motor Bekasi</t>
  </si>
  <si>
    <t xml:space="preserve">Kak Ninda </t>
  </si>
  <si>
    <t>Sample seragam</t>
  </si>
  <si>
    <t>akhir bulan</t>
  </si>
  <si>
    <t>SMK Muh 2 Lendah</t>
  </si>
  <si>
    <t>Pak Candra</t>
  </si>
  <si>
    <t>Seragam Pertamina</t>
  </si>
  <si>
    <t>Total</t>
  </si>
  <si>
    <t>SMKN 1 Kalikajar</t>
  </si>
  <si>
    <t>Pak Rinto, Kak Ihsan</t>
  </si>
  <si>
    <t>Kak Fatah</t>
  </si>
  <si>
    <t>Seragam Taktikal</t>
  </si>
  <si>
    <t>Pak Rizky Kurnia Motor</t>
  </si>
  <si>
    <t>Seragam Honda</t>
  </si>
  <si>
    <t>Pak Aprin Akur Motor</t>
  </si>
  <si>
    <t>Honda Berkah (Jl Magelang)</t>
  </si>
  <si>
    <t>Pak Vicky (Kalasuba)</t>
  </si>
  <si>
    <t>Salindo Berlian Motor</t>
  </si>
  <si>
    <t>Seragam Mitsubitshi</t>
  </si>
  <si>
    <t>Naba</t>
  </si>
  <si>
    <t>Pak Anang (Trio Motor)</t>
  </si>
  <si>
    <t>Kak Dewi (Glasindo)</t>
  </si>
  <si>
    <t>Pak Rinto</t>
  </si>
  <si>
    <t>Kak Ihsan</t>
  </si>
  <si>
    <t>Mas Rafif</t>
  </si>
  <si>
    <t>Vest</t>
  </si>
  <si>
    <t>Pak Shdiqi</t>
  </si>
  <si>
    <t>Pak Fatah</t>
  </si>
  <si>
    <t>Honda Badoray Jambi</t>
  </si>
  <si>
    <t>TARGET 2026</t>
  </si>
  <si>
    <t>Pak Windarto. PT Tajimura</t>
  </si>
  <si>
    <t>UKM Pramuka UAD</t>
  </si>
  <si>
    <t>SMS Motor Bekasi</t>
  </si>
  <si>
    <t>Moyudan, Pak Salim (SMS Motor)</t>
  </si>
  <si>
    <t>Pak Muhammad, Pak Supoyo</t>
  </si>
  <si>
    <t>Kalasuba</t>
  </si>
  <si>
    <t>Pak Eko Bengkel Wijaya Jogja</t>
  </si>
  <si>
    <t>SMKN Andalusa Wonosobo</t>
  </si>
  <si>
    <t>Honda Carnaval Banten</t>
  </si>
  <si>
    <t>Shidqi</t>
  </si>
  <si>
    <t>Seragam Wuling ATPM</t>
  </si>
  <si>
    <t>Honda Rona Meteror Bogor</t>
  </si>
  <si>
    <t>Pak Rendi SMS</t>
  </si>
  <si>
    <t>Honda Adi Motor Kendal</t>
  </si>
  <si>
    <t>Honda Cendana Ungaran Semarang</t>
  </si>
  <si>
    <t>Honda Hikmah Monalisa Service</t>
  </si>
  <si>
    <t>Pak Antony (Sam Motor Bogor)</t>
  </si>
  <si>
    <t>Pak Akbar Honda Aceh</t>
  </si>
  <si>
    <t>Honda Putera Bintang Motor</t>
  </si>
  <si>
    <t>Kak Rida Tajimura</t>
  </si>
  <si>
    <t>Ukm Pramuka UAD</t>
  </si>
  <si>
    <t>Korsa dan Kaos Lapangan</t>
  </si>
  <si>
    <t>SMK Muhammadiyah Moyudan</t>
  </si>
  <si>
    <t>Pak Salim</t>
  </si>
  <si>
    <t>Seragam Sales HRC</t>
  </si>
  <si>
    <t>Pak Muhammad (Alkalin)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</si>
</sst>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Rp]#,##0"/>
    <numFmt numFmtId="165" formatCode="&quot;Rp&quot;#,##0"/>
    <numFmt numFmtId="166" formatCode="dd/mm/yyyy"/>
    <numFmt numFmtId="167" formatCode="0.0%"/>
    <numFmt numFmtId="168" formatCode="dd mmmm yyyy"/>
    <numFmt numFmtId="169" formatCode="mmmm/yyyy"/>
    <numFmt numFmtId="170" formatCode="d mmmm yyyy"/>
    <numFmt numFmtId="171" formatCode="&quot;Rp&quot;#,##0.00"/>
    <numFmt numFmtId="172" formatCode="d&quot; &quot;mmmm&quot; &quot;yyyy"/>
    <numFmt numFmtId="173" formatCode="mmmm&quot;/&quot;yyyy"/>
    <numFmt numFmtId="174" formatCode="M/d/yyyy"/>
    <numFmt numFmtId="175" formatCode="mmmm&quot; &quot;"/>
    <numFmt numFmtId="176" formatCode="#,##0.00;(#,##0.00)"/>
    <numFmt numFmtId="177" formatCode="_(* #,##0_);_(* \(#,##0\);_(* &quot;-&quot;_);_(@_)"/>
    <numFmt numFmtId="178" formatCode="_(* #,##0_);_(* \(#,##0\);_(* &quot;-&quot;??_);_(@_)"/>
  </numFmts>
  <fonts count="43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sz val="11.0"/>
      <color rgb="FFFFFFFF"/>
      <name val="Times New Roman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Times New Roman"/>
    </font>
    <font>
      <sz val="11.0"/>
      <color rgb="FFFFFFFF"/>
      <name val="Calibri"/>
    </font>
    <font>
      <color theme="1"/>
      <name val="Arial"/>
      <scheme val="minor"/>
    </font>
    <font>
      <b/>
      <sz val="25.0"/>
      <color rgb="FFFFFFFF"/>
      <name val="Arial"/>
      <scheme val="minor"/>
    </font>
    <font>
      <color rgb="FFEFEFEF"/>
      <name val="Arial"/>
      <scheme val="minor"/>
    </font>
    <font>
      <sz val="11.0"/>
      <color theme="1"/>
      <name val="Arial"/>
      <scheme val="minor"/>
    </font>
    <font>
      <b/>
      <color rgb="FFEFEFEF"/>
      <name val="Arial"/>
      <scheme val="minor"/>
    </font>
    <font>
      <b/>
      <sz val="12.0"/>
      <color rgb="FFFFFFFF"/>
      <name val="Calibri"/>
    </font>
    <font>
      <b/>
      <sz val="14.0"/>
      <color rgb="FFD9D9D9"/>
      <name val="Arial"/>
      <scheme val="minor"/>
    </font>
    <font>
      <b/>
      <sz val="30.0"/>
      <color rgb="FFD9D9D9"/>
      <name val="Arial"/>
      <scheme val="minor"/>
    </font>
    <font>
      <b/>
      <sz val="27.0"/>
      <color rgb="FFFFFFFF"/>
      <name val="Calibri"/>
    </font>
    <font>
      <b/>
      <color rgb="FF000000"/>
      <name val="Arial"/>
    </font>
    <font>
      <b/>
      <sz val="15.0"/>
      <color rgb="FF000000"/>
      <name val="Arial"/>
    </font>
    <font>
      <color rgb="FF000000"/>
      <name val="Arial"/>
    </font>
    <font>
      <sz val="15.0"/>
      <color rgb="FFFFFFFF"/>
      <name val="Arial"/>
      <scheme val="minor"/>
    </font>
    <font>
      <color rgb="FF000000"/>
      <name val="Arial"/>
      <scheme val="minor"/>
    </font>
    <font>
      <sz val="11.0"/>
      <color theme="1"/>
      <name val="Montserrat"/>
    </font>
    <font>
      <color theme="1"/>
      <name val="Merriweather"/>
    </font>
    <font>
      <b/>
      <sz val="16.0"/>
      <color rgb="FFFFFFFF"/>
      <name val="Montserrat"/>
    </font>
    <font>
      <b/>
      <sz val="17.0"/>
      <color rgb="FFFFFFFF"/>
      <name val="Montserrat"/>
    </font>
    <font>
      <color theme="1"/>
      <name val="Montserrat"/>
    </font>
    <font>
      <sz val="12.0"/>
      <color theme="1"/>
      <name val="Times New Roman"/>
    </font>
    <font>
      <color rgb="FF000000"/>
      <name val="Roboto"/>
    </font>
    <font>
      <b/>
      <sz val="14.0"/>
      <color theme="1"/>
      <name val="Calibri"/>
    </font>
    <font>
      <b/>
      <sz val="14.0"/>
      <color rgb="FFFFFFFF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color rgb="FFFFFFFF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7.0"/>
      <color rgb="FFFFFFFF"/>
      <name val="Arial"/>
    </font>
    <font>
      <b/>
      <color rgb="FFFFFFFF"/>
      <name val="Arial"/>
    </font>
    <font>
      <color rgb="FFFFFFFF"/>
      <name val="Arial"/>
    </font>
    <font>
      <b/>
      <sz val="28.0"/>
      <color rgb="FFFFFFFF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  <fill>
      <patternFill patternType="solid">
        <fgColor rgb="FF000000"/>
        <bgColor rgb="FF000000"/>
      </patternFill>
    </fill>
    <fill>
      <patternFill patternType="solid">
        <fgColor rgb="FF146C94"/>
        <bgColor rgb="FF146C94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FD3E2"/>
        <bgColor rgb="FFAFD3E2"/>
      </patternFill>
    </fill>
    <fill>
      <patternFill patternType="solid">
        <fgColor rgb="FFF6F1F1"/>
        <bgColor rgb="FFF6F1F1"/>
      </patternFill>
    </fill>
    <fill>
      <patternFill patternType="solid">
        <fgColor rgb="FF2C5569"/>
        <bgColor rgb="FF2C5569"/>
      </patternFill>
    </fill>
    <fill>
      <patternFill patternType="solid">
        <fgColor rgb="FFFFFF00"/>
        <bgColor rgb="FFFFFF00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5F497A"/>
        <bgColor rgb="FF5F497A"/>
      </patternFill>
    </fill>
    <fill>
      <patternFill patternType="solid">
        <fgColor rgb="FF003366"/>
        <bgColor rgb="FF003366"/>
      </patternFill>
    </fill>
    <fill>
      <patternFill patternType="solid">
        <fgColor rgb="FFFFCC00"/>
        <bgColor rgb="FFFFCC00"/>
      </patternFill>
    </fill>
    <fill>
      <patternFill patternType="solid">
        <fgColor rgb="FF7F7F7F"/>
        <bgColor rgb="FF7F7F7F"/>
      </patternFill>
    </fill>
    <fill>
      <patternFill patternType="solid">
        <fgColor rgb="FF969696"/>
        <bgColor rgb="FF969696"/>
      </patternFill>
    </fill>
    <fill>
      <patternFill patternType="solid">
        <fgColor rgb="FF00CCFF"/>
        <bgColor rgb="FF00CCFF"/>
      </patternFill>
    </fill>
    <fill>
      <patternFill patternType="solid">
        <fgColor rgb="FF974806"/>
        <bgColor rgb="FF974806"/>
      </patternFill>
    </fill>
    <fill>
      <patternFill patternType="solid">
        <fgColor rgb="FFFF0000"/>
        <bgColor rgb="FFFF00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146C94"/>
      </bottom>
    </border>
    <border>
      <left style="thin">
        <color rgb="FF284E3F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5" fillId="0" fontId="3" numFmtId="0" xfId="0" applyBorder="1" applyFont="1"/>
    <xf borderId="6" fillId="2" fontId="1" numFmtId="0" xfId="0" applyAlignment="1" applyBorder="1" applyFont="1">
      <alignment horizontal="center" vertical="bottom"/>
    </xf>
    <xf borderId="6" fillId="4" fontId="6" numFmtId="0" xfId="0" applyAlignment="1" applyBorder="1" applyFill="1" applyFont="1">
      <alignment vertical="bottom"/>
    </xf>
    <xf borderId="6" fillId="4" fontId="6" numFmtId="164" xfId="0" applyAlignment="1" applyBorder="1" applyFont="1" applyNumberFormat="1">
      <alignment readingOrder="0" vertical="bottom"/>
    </xf>
    <xf borderId="6" fillId="4" fontId="5" numFmtId="164" xfId="0" applyBorder="1" applyFont="1" applyNumberFormat="1"/>
    <xf borderId="0" fillId="4" fontId="5" numFmtId="0" xfId="0" applyAlignment="1" applyFont="1">
      <alignment vertical="bottom"/>
    </xf>
    <xf borderId="6" fillId="4" fontId="6" numFmtId="164" xfId="0" applyAlignment="1" applyBorder="1" applyFont="1" applyNumberFormat="1">
      <alignment vertical="bottom"/>
    </xf>
    <xf borderId="6" fillId="4" fontId="1" numFmtId="164" xfId="0" applyAlignment="1" applyBorder="1" applyFont="1" applyNumberFormat="1">
      <alignment vertical="bottom"/>
    </xf>
    <xf borderId="6" fillId="4" fontId="6" numFmtId="164" xfId="0" applyAlignment="1" applyBorder="1" applyFont="1" applyNumberFormat="1">
      <alignment horizontal="right" vertical="bottom"/>
    </xf>
    <xf borderId="6" fillId="4" fontId="7" numFmtId="164" xfId="0" applyBorder="1" applyFont="1" applyNumberFormat="1"/>
    <xf borderId="0" fillId="4" fontId="5" numFmtId="165" xfId="0" applyAlignment="1" applyFont="1" applyNumberFormat="1">
      <alignment readingOrder="0" vertical="bottom"/>
    </xf>
    <xf borderId="0" fillId="0" fontId="8" numFmtId="0" xfId="0" applyAlignment="1" applyFont="1">
      <alignment readingOrder="0"/>
    </xf>
    <xf borderId="0" fillId="5" fontId="9" numFmtId="0" xfId="0" applyAlignment="1" applyFill="1" applyFont="1">
      <alignment readingOrder="0" vertical="center"/>
    </xf>
    <xf borderId="7" fillId="0" fontId="3" numFmtId="0" xfId="0" applyBorder="1" applyFont="1"/>
    <xf borderId="0" fillId="6" fontId="10" numFmtId="0" xfId="0" applyAlignment="1" applyFill="1" applyFont="1">
      <alignment readingOrder="0"/>
    </xf>
    <xf borderId="0" fillId="7" fontId="11" numFmtId="166" xfId="0" applyAlignment="1" applyFill="1" applyFont="1" applyNumberFormat="1">
      <alignment readingOrder="0"/>
    </xf>
    <xf borderId="0" fillId="8" fontId="8" numFmtId="0" xfId="0" applyFill="1" applyFont="1"/>
    <xf borderId="0" fillId="6" fontId="12" numFmtId="0" xfId="0" applyAlignment="1" applyFont="1">
      <alignment readingOrder="0"/>
    </xf>
    <xf borderId="0" fillId="6" fontId="8" numFmtId="0" xfId="0" applyFont="1"/>
    <xf borderId="0" fillId="6" fontId="13" numFmtId="49" xfId="0" applyAlignment="1" applyFont="1" applyNumberFormat="1">
      <alignment vertical="bottom"/>
    </xf>
    <xf borderId="0" fillId="6" fontId="5" numFmtId="49" xfId="0" applyAlignment="1" applyFont="1" applyNumberFormat="1">
      <alignment vertical="bottom"/>
    </xf>
    <xf borderId="0" fillId="6" fontId="14" numFmtId="164" xfId="0" applyAlignment="1" applyFont="1" applyNumberFormat="1">
      <alignment horizontal="center" readingOrder="0" vertical="center"/>
    </xf>
    <xf borderId="0" fillId="6" fontId="15" numFmtId="3" xfId="0" applyAlignment="1" applyFont="1" applyNumberFormat="1">
      <alignment horizontal="center" readingOrder="0" vertical="center"/>
    </xf>
    <xf borderId="0" fillId="6" fontId="16" numFmtId="49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9" fontId="8" numFmtId="0" xfId="0" applyFill="1" applyFont="1"/>
    <xf borderId="0" fillId="10" fontId="8" numFmtId="0" xfId="0" applyFill="1" applyFont="1"/>
    <xf borderId="0" fillId="10" fontId="8" numFmtId="0" xfId="0" applyAlignment="1" applyFont="1">
      <alignment horizontal="center"/>
    </xf>
    <xf borderId="0" fillId="11" fontId="17" numFmtId="0" xfId="0" applyAlignment="1" applyFill="1" applyFont="1">
      <alignment readingOrder="0" vertical="bottom"/>
    </xf>
    <xf borderId="0" fillId="10" fontId="17" numFmtId="0" xfId="0" applyAlignment="1" applyFont="1">
      <alignment readingOrder="0" vertical="bottom"/>
    </xf>
    <xf borderId="0" fillId="11" fontId="18" numFmtId="164" xfId="0" applyAlignment="1" applyFont="1" applyNumberFormat="1">
      <alignment horizontal="center" vertical="center"/>
    </xf>
    <xf borderId="0" fillId="11" fontId="19" numFmtId="0" xfId="0" applyAlignment="1" applyFont="1">
      <alignment vertical="bottom"/>
    </xf>
    <xf borderId="0" fillId="11" fontId="18" numFmtId="164" xfId="0" applyAlignment="1" applyFont="1" applyNumberFormat="1">
      <alignment horizontal="left" readingOrder="0" vertical="center"/>
    </xf>
    <xf borderId="0" fillId="10" fontId="19" numFmtId="0" xfId="0" applyAlignment="1" applyFont="1">
      <alignment vertical="bottom"/>
    </xf>
    <xf borderId="0" fillId="12" fontId="20" numFmtId="0" xfId="0" applyAlignment="1" applyFill="1" applyFont="1">
      <alignment readingOrder="0"/>
    </xf>
    <xf borderId="0" fillId="12" fontId="8" numFmtId="0" xfId="0" applyFont="1"/>
    <xf borderId="0" fillId="0" fontId="21" numFmtId="0" xfId="0" applyAlignment="1" applyFont="1">
      <alignment readingOrder="0"/>
    </xf>
    <xf borderId="0" fillId="0" fontId="22" numFmtId="164" xfId="0" applyAlignment="1" applyFont="1" applyNumberFormat="1">
      <alignment vertical="bottom"/>
    </xf>
    <xf borderId="0" fillId="0" fontId="23" numFmtId="0" xfId="0" applyFont="1"/>
    <xf borderId="0" fillId="12" fontId="24" numFmtId="0" xfId="0" applyAlignment="1" applyFont="1">
      <alignment vertical="bottom"/>
    </xf>
    <xf borderId="0" fillId="12" fontId="22" numFmtId="0" xfId="0" applyAlignment="1" applyFont="1">
      <alignment vertical="bottom"/>
    </xf>
    <xf borderId="0" fillId="12" fontId="25" numFmtId="0" xfId="0" applyAlignment="1" applyFont="1">
      <alignment readingOrder="0" vertical="bottom"/>
    </xf>
    <xf borderId="0" fillId="0" fontId="26" numFmtId="164" xfId="0" applyAlignment="1" applyFont="1" applyNumberFormat="1">
      <alignment vertical="bottom"/>
    </xf>
    <xf borderId="0" fillId="0" fontId="26" numFmtId="167" xfId="0" applyAlignment="1" applyFont="1" applyNumberFormat="1">
      <alignment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8" numFmtId="164" xfId="0" applyAlignment="1" applyFont="1" applyNumberFormat="1">
      <alignment readingOrder="0"/>
    </xf>
    <xf borderId="0" fillId="0" fontId="26" numFmtId="164" xfId="0" applyFont="1" applyNumberFormat="1"/>
    <xf borderId="0" fillId="0" fontId="26" numFmtId="10" xfId="0" applyFont="1" applyNumberFormat="1"/>
    <xf borderId="0" fillId="0" fontId="26" numFmtId="0" xfId="0" applyFont="1"/>
    <xf borderId="0" fillId="0" fontId="26" numFmtId="164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27" numFmtId="0" xfId="0" applyAlignment="1" applyFont="1">
      <alignment shrinkToFit="0" vertical="bottom" wrapText="1"/>
    </xf>
    <xf borderId="0" fillId="0" fontId="8" numFmtId="164" xfId="0" applyAlignment="1" applyFont="1" applyNumberFormat="1">
      <alignment readingOrder="0" shrinkToFit="0" vertical="center" wrapText="0"/>
    </xf>
    <xf borderId="0" fillId="0" fontId="27" numFmtId="168" xfId="0" applyAlignment="1" applyFont="1" applyNumberFormat="1">
      <alignment horizontal="right" shrinkToFit="0" vertical="bottom" wrapText="1"/>
    </xf>
    <xf borderId="0" fillId="0" fontId="8" numFmtId="3" xfId="0" applyAlignment="1" applyFont="1" applyNumberFormat="1">
      <alignment readingOrder="0" shrinkToFit="0" vertical="center" wrapText="0"/>
    </xf>
    <xf borderId="0" fillId="0" fontId="8" numFmtId="169" xfId="0" applyAlignment="1" applyFont="1" applyNumberFormat="1">
      <alignment readingOrder="0"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8" numFmtId="170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3" xfId="0" applyAlignment="1" applyFont="1" applyNumberFormat="1">
      <alignment shrinkToFit="0" vertical="center" wrapText="0"/>
    </xf>
    <xf borderId="0" fillId="0" fontId="27" numFmtId="164" xfId="0" applyAlignment="1" applyFont="1" applyNumberFormat="1">
      <alignment shrinkToFit="0" vertical="bottom" wrapText="1"/>
    </xf>
    <xf borderId="0" fillId="0" fontId="8" numFmtId="170" xfId="0" applyAlignment="1" applyFont="1" applyNumberFormat="1">
      <alignment readingOrder="0" shrinkToFit="0" vertical="center" wrapText="0"/>
    </xf>
    <xf borderId="0" fillId="0" fontId="8" numFmtId="168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7" fontId="21" numFmtId="164" xfId="0" applyAlignment="1" applyFont="1" applyNumberFormat="1">
      <alignment readingOrder="0" shrinkToFit="0" vertical="center" wrapText="0"/>
    </xf>
    <xf borderId="0" fillId="7" fontId="21" numFmtId="0" xfId="0" applyAlignment="1" applyFont="1">
      <alignment readingOrder="0" shrinkToFit="0" vertical="center" wrapText="0"/>
    </xf>
    <xf borderId="0" fillId="7" fontId="21" numFmtId="170" xfId="0" applyAlignment="1" applyFont="1" applyNumberFormat="1">
      <alignment readingOrder="0" shrinkToFit="0" vertical="center" wrapText="0"/>
    </xf>
    <xf borderId="0" fillId="7" fontId="8" numFmtId="0" xfId="0" applyAlignment="1" applyFont="1">
      <alignment readingOrder="0" shrinkToFit="0" vertical="center" wrapText="0"/>
    </xf>
    <xf borderId="0" fillId="7" fontId="21" numFmtId="164" xfId="0" applyAlignment="1" applyFont="1" applyNumberFormat="1">
      <alignment shrinkToFit="0" vertical="center" wrapText="0"/>
    </xf>
    <xf borderId="0" fillId="7" fontId="21" numFmtId="0" xfId="0" applyAlignment="1" applyFont="1">
      <alignment shrinkToFit="0" vertical="center" wrapText="0"/>
    </xf>
    <xf borderId="0" fillId="7" fontId="21" numFmtId="168" xfId="0" applyAlignment="1" applyFont="1" applyNumberFormat="1">
      <alignment readingOrder="0" shrinkToFit="0" vertical="center" wrapText="0"/>
    </xf>
    <xf borderId="0" fillId="7" fontId="8" numFmtId="0" xfId="0" applyAlignment="1" applyFont="1">
      <alignment shrinkToFit="0" vertical="center" wrapText="0"/>
    </xf>
    <xf borderId="0" fillId="7" fontId="8" numFmtId="170" xfId="0" applyAlignment="1" applyFont="1" applyNumberFormat="1">
      <alignment readingOrder="0" shrinkToFit="0" vertical="center" wrapText="0"/>
    </xf>
    <xf borderId="0" fillId="7" fontId="8" numFmtId="171" xfId="0" applyAlignment="1" applyFont="1" applyNumberFormat="1">
      <alignment readingOrder="0" shrinkToFit="0" vertical="center" wrapText="0"/>
    </xf>
    <xf borderId="0" fillId="7" fontId="21" numFmtId="171" xfId="0" applyAlignment="1" applyFont="1" applyNumberFormat="1">
      <alignment shrinkToFit="0" vertical="center" wrapText="0"/>
    </xf>
    <xf borderId="0" fillId="7" fontId="8" numFmtId="0" xfId="0" applyAlignment="1" applyFont="1">
      <alignment readingOrder="0" shrinkToFit="0" vertical="center" wrapText="1"/>
    </xf>
    <xf quotePrefix="1" borderId="0" fillId="7" fontId="8" numFmtId="0" xfId="0" applyAlignment="1" applyFont="1">
      <alignment readingOrder="0" shrinkToFit="0" vertical="center" wrapText="0"/>
    </xf>
    <xf borderId="0" fillId="7" fontId="8" numFmtId="168" xfId="0" applyAlignment="1" applyFont="1" applyNumberFormat="1">
      <alignment readingOrder="0" shrinkToFit="0" vertical="center" wrapText="0"/>
    </xf>
    <xf borderId="0" fillId="7" fontId="21" numFmtId="169" xfId="0" applyAlignment="1" applyFont="1" applyNumberFormat="1">
      <alignment readingOrder="0" shrinkToFit="0" vertical="center" wrapText="0"/>
    </xf>
    <xf borderId="0" fillId="7" fontId="21" numFmtId="0" xfId="0" applyAlignment="1" applyFont="1">
      <alignment shrinkToFit="0" vertical="center" wrapText="0"/>
    </xf>
    <xf borderId="0" fillId="7" fontId="21" numFmtId="168" xfId="0" applyAlignment="1" applyFont="1" applyNumberFormat="1">
      <alignment shrinkToFit="0" vertical="center" wrapText="0"/>
    </xf>
    <xf borderId="8" fillId="7" fontId="19" numFmtId="0" xfId="0" applyAlignment="1" applyBorder="1" applyFont="1">
      <alignment shrinkToFit="0" vertical="center" wrapText="0"/>
    </xf>
    <xf borderId="9" fillId="7" fontId="19" numFmtId="0" xfId="0" applyAlignment="1" applyBorder="1" applyFont="1">
      <alignment shrinkToFit="0" vertical="center" wrapText="0"/>
    </xf>
    <xf borderId="9" fillId="7" fontId="28" numFmtId="0" xfId="0" applyAlignment="1" applyBorder="1" applyFont="1">
      <alignment shrinkToFit="0" vertical="center" wrapText="0"/>
    </xf>
    <xf borderId="9" fillId="7" fontId="28" numFmtId="170" xfId="0" applyAlignment="1" applyBorder="1" applyFont="1" applyNumberFormat="1">
      <alignment horizontal="right" shrinkToFit="0" vertical="center" wrapText="0"/>
    </xf>
    <xf borderId="9" fillId="7" fontId="28" numFmtId="164" xfId="0" applyAlignment="1" applyBorder="1" applyFont="1" applyNumberFormat="1">
      <alignment shrinkToFit="0" vertical="center" wrapText="0"/>
    </xf>
    <xf borderId="9" fillId="7" fontId="28" numFmtId="0" xfId="0" applyAlignment="1" applyBorder="1" applyFont="1">
      <alignment horizontal="right" shrinkToFit="0" vertical="center" wrapText="0"/>
    </xf>
    <xf borderId="9" fillId="7" fontId="28" numFmtId="164" xfId="0" applyAlignment="1" applyBorder="1" applyFont="1" applyNumberFormat="1">
      <alignment horizontal="right" shrinkToFit="0" vertical="center" wrapText="0"/>
    </xf>
    <xf borderId="9" fillId="7" fontId="19" numFmtId="164" xfId="0" applyAlignment="1" applyBorder="1" applyFont="1" applyNumberFormat="1">
      <alignment shrinkToFit="0" vertical="center" wrapText="0"/>
    </xf>
    <xf borderId="9" fillId="7" fontId="28" numFmtId="170" xfId="0" applyAlignment="1" applyBorder="1" applyFont="1" applyNumberFormat="1">
      <alignment horizontal="right" readingOrder="0" shrinkToFit="0" vertical="center" wrapText="0"/>
    </xf>
    <xf borderId="0" fillId="7" fontId="21" numFmtId="170" xfId="0" applyAlignment="1" applyFont="1" applyNumberFormat="1">
      <alignment shrinkToFit="0" vertical="center" wrapText="0"/>
    </xf>
    <xf borderId="0" fillId="0" fontId="21" numFmtId="0" xfId="0" applyFont="1"/>
    <xf borderId="0" fillId="8" fontId="29" numFmtId="0" xfId="0" applyAlignment="1" applyFont="1">
      <alignment horizontal="left" readingOrder="0" shrinkToFit="0" wrapText="0"/>
    </xf>
    <xf borderId="0" fillId="8" fontId="29" numFmtId="0" xfId="0" applyAlignment="1" applyFont="1">
      <alignment horizontal="center" readingOrder="0" shrinkToFit="0" wrapText="0"/>
    </xf>
    <xf borderId="0" fillId="8" fontId="30" numFmtId="0" xfId="0" applyAlignment="1" applyFont="1">
      <alignment horizontal="center" readingOrder="0" shrinkToFit="0" vertical="bottom" wrapText="0"/>
    </xf>
    <xf borderId="0" fillId="7" fontId="29" numFmtId="0" xfId="0" applyAlignment="1" applyFont="1">
      <alignment horizontal="center" readingOrder="0" shrinkToFit="0" wrapText="0"/>
    </xf>
    <xf borderId="0" fillId="7" fontId="29" numFmtId="164" xfId="0" applyAlignment="1" applyFont="1" applyNumberFormat="1">
      <alignment horizontal="center" shrinkToFit="0" wrapText="0"/>
    </xf>
    <xf borderId="0" fillId="9" fontId="29" numFmtId="4" xfId="0" applyAlignment="1" applyFont="1" applyNumberFormat="1">
      <alignment horizontal="center" readingOrder="0" shrinkToFit="0" wrapText="0"/>
    </xf>
    <xf borderId="1" fillId="5" fontId="30" numFmtId="0" xfId="0" applyAlignment="1" applyBorder="1" applyFont="1">
      <alignment horizontal="center" readingOrder="0" shrinkToFit="0" vertical="center" wrapText="0"/>
    </xf>
    <xf borderId="3" fillId="5" fontId="30" numFmtId="0" xfId="0" applyAlignment="1" applyBorder="1" applyFont="1">
      <alignment horizontal="center" readingOrder="0" shrinkToFit="0" vertical="center" wrapText="0"/>
    </xf>
    <xf borderId="10" fillId="0" fontId="3" numFmtId="0" xfId="0" applyBorder="1" applyFont="1"/>
    <xf borderId="6" fillId="5" fontId="30" numFmtId="0" xfId="0" applyAlignment="1" applyBorder="1" applyFont="1">
      <alignment horizontal="center" readingOrder="0" shrinkToFit="0" vertical="center" wrapText="0"/>
    </xf>
    <xf borderId="6" fillId="8" fontId="31" numFmtId="0" xfId="0" applyAlignment="1" applyBorder="1" applyFont="1">
      <alignment horizontal="center" readingOrder="0" shrinkToFit="0" wrapText="0"/>
    </xf>
    <xf borderId="6" fillId="8" fontId="32" numFmtId="3" xfId="0" applyAlignment="1" applyBorder="1" applyFont="1" applyNumberFormat="1">
      <alignment readingOrder="0" shrinkToFit="0" vertical="bottom" wrapText="0"/>
    </xf>
    <xf borderId="6" fillId="8" fontId="31" numFmtId="3" xfId="0" applyAlignment="1" applyBorder="1" applyFont="1" applyNumberFormat="1">
      <alignment horizontal="right" readingOrder="0" shrinkToFit="0" vertical="bottom" wrapText="0"/>
    </xf>
    <xf borderId="6" fillId="7" fontId="31" numFmtId="168" xfId="0" applyAlignment="1" applyBorder="1" applyFont="1" applyNumberFormat="1">
      <alignment horizontal="center" readingOrder="0" shrinkToFit="0" wrapText="0"/>
    </xf>
    <xf borderId="6" fillId="8" fontId="31" numFmtId="0" xfId="0" applyAlignment="1" applyBorder="1" applyFont="1">
      <alignment horizontal="center" readingOrder="0" shrinkToFit="0" vertical="bottom" wrapText="0"/>
    </xf>
    <xf borderId="6" fillId="8" fontId="31" numFmtId="0" xfId="0" applyAlignment="1" applyBorder="1" applyFont="1">
      <alignment horizontal="right" shrinkToFit="0" vertical="bottom" wrapText="0"/>
    </xf>
    <xf borderId="6" fillId="7" fontId="32" numFmtId="3" xfId="0" applyAlignment="1" applyBorder="1" applyFont="1" applyNumberFormat="1">
      <alignment readingOrder="0" shrinkToFit="0" vertical="bottom" wrapText="0"/>
    </xf>
    <xf borderId="6" fillId="8" fontId="31" numFmtId="0" xfId="0" applyAlignment="1" applyBorder="1" applyFont="1">
      <alignment horizontal="center" shrinkToFit="0" vertical="bottom" wrapText="0"/>
    </xf>
    <xf borderId="6" fillId="8" fontId="32" numFmtId="0" xfId="0" applyAlignment="1" applyBorder="1" applyFont="1">
      <alignment shrinkToFit="0" vertical="bottom" wrapText="0"/>
    </xf>
    <xf borderId="6" fillId="0" fontId="8" numFmtId="0" xfId="0" applyBorder="1" applyFont="1"/>
    <xf borderId="6" fillId="7" fontId="31" numFmtId="0" xfId="0" applyAlignment="1" applyBorder="1" applyFont="1">
      <alignment horizontal="center" shrinkToFit="0" vertical="bottom" wrapText="0"/>
    </xf>
    <xf borderId="6" fillId="7" fontId="32" numFmtId="0" xfId="0" applyAlignment="1" applyBorder="1" applyFont="1">
      <alignment shrinkToFit="0" vertical="bottom" wrapText="0"/>
    </xf>
    <xf borderId="6" fillId="9" fontId="31" numFmtId="0" xfId="0" applyAlignment="1" applyBorder="1" applyFont="1">
      <alignment horizontal="center" shrinkToFit="0" vertical="bottom" wrapText="0"/>
    </xf>
    <xf borderId="6" fillId="0" fontId="31" numFmtId="0" xfId="0" applyAlignment="1" applyBorder="1" applyFont="1">
      <alignment shrinkToFit="0" vertical="bottom" wrapText="0"/>
    </xf>
    <xf borderId="6" fillId="0" fontId="31" numFmtId="0" xfId="0" applyAlignment="1" applyBorder="1" applyFont="1">
      <alignment horizontal="right" shrinkToFit="0" vertical="bottom" wrapText="0"/>
    </xf>
    <xf borderId="6" fillId="7" fontId="31" numFmtId="0" xfId="0" applyAlignment="1" applyBorder="1" applyFont="1">
      <alignment shrinkToFit="0" vertical="bottom" wrapText="0"/>
    </xf>
    <xf borderId="6" fillId="13" fontId="31" numFmtId="0" xfId="0" applyAlignment="1" applyBorder="1" applyFill="1" applyFont="1">
      <alignment horizontal="center" readingOrder="0" shrinkToFit="0" vertical="bottom" wrapText="0"/>
    </xf>
    <xf borderId="6" fillId="13" fontId="31" numFmtId="3" xfId="0" applyAlignment="1" applyBorder="1" applyFont="1" applyNumberFormat="1">
      <alignment horizontal="center" readingOrder="0" shrinkToFit="0" vertical="bottom" wrapText="0"/>
    </xf>
    <xf borderId="6" fillId="13" fontId="31" numFmtId="3" xfId="0" applyAlignment="1" applyBorder="1" applyFont="1" applyNumberFormat="1">
      <alignment horizontal="right" readingOrder="0" shrinkToFit="0" vertical="bottom" wrapText="0"/>
    </xf>
    <xf borderId="6" fillId="5" fontId="33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6" fillId="0" fontId="8" numFmtId="164" xfId="0" applyAlignment="1" applyBorder="1" applyFont="1" applyNumberFormat="1">
      <alignment readingOrder="0"/>
    </xf>
    <xf borderId="6" fillId="0" fontId="8" numFmtId="9" xfId="0" applyBorder="1" applyFont="1" applyNumberFormat="1"/>
    <xf borderId="6" fillId="0" fontId="8" numFmtId="164" xfId="0" applyBorder="1" applyFont="1" applyNumberFormat="1"/>
    <xf borderId="0" fillId="0" fontId="8" numFmtId="172" xfId="0" applyAlignment="1" applyFont="1" applyNumberFormat="1">
      <alignment horizontal="left" readingOrder="0" shrinkToFit="0" vertical="center" wrapText="0"/>
    </xf>
    <xf borderId="0" fillId="7" fontId="21" numFmtId="172" xfId="0" applyAlignment="1" applyFont="1" applyNumberFormat="1">
      <alignment readingOrder="0" shrinkToFit="0" vertical="center" wrapText="0"/>
    </xf>
    <xf borderId="0" fillId="7" fontId="21" numFmtId="165" xfId="0" applyAlignment="1" applyFont="1" applyNumberFormat="1">
      <alignment readingOrder="0" shrinkToFit="0" vertical="center" wrapText="0"/>
    </xf>
    <xf borderId="0" fillId="7" fontId="21" numFmtId="165" xfId="0" applyAlignment="1" applyFont="1" applyNumberFormat="1">
      <alignment shrinkToFit="0" vertical="center" wrapText="0"/>
    </xf>
    <xf borderId="0" fillId="7" fontId="8" numFmtId="172" xfId="0" applyAlignment="1" applyFont="1" applyNumberFormat="1">
      <alignment readingOrder="0" shrinkToFit="0" vertical="center" wrapText="0"/>
    </xf>
    <xf borderId="0" fillId="7" fontId="21" numFmtId="172" xfId="0" applyAlignment="1" applyFont="1" applyNumberFormat="1">
      <alignment shrinkToFit="0" vertical="center" wrapText="0"/>
    </xf>
    <xf borderId="0" fillId="0" fontId="8" numFmtId="172" xfId="0" applyFont="1" applyNumberFormat="1"/>
    <xf borderId="0" fillId="5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7" fontId="36" numFmtId="170" xfId="0" applyAlignment="1" applyFont="1" applyNumberFormat="1">
      <alignment readingOrder="0"/>
    </xf>
    <xf borderId="0" fillId="7" fontId="36" numFmtId="0" xfId="0" applyAlignment="1" applyFont="1">
      <alignment readingOrder="0"/>
    </xf>
    <xf borderId="0" fillId="0" fontId="35" numFmtId="0" xfId="0" applyFont="1"/>
    <xf borderId="0" fillId="7" fontId="36" numFmtId="0" xfId="0" applyAlignment="1" applyFont="1">
      <alignment readingOrder="0"/>
    </xf>
    <xf borderId="1" fillId="14" fontId="37" numFmtId="0" xfId="0" applyAlignment="1" applyBorder="1" applyFill="1" applyFont="1">
      <alignment horizontal="center"/>
    </xf>
    <xf borderId="1" fillId="14" fontId="37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/>
    </xf>
    <xf borderId="1" fillId="4" fontId="6" numFmtId="0" xfId="0" applyAlignment="1" applyBorder="1" applyFont="1">
      <alignment horizontal="left" vertical="center"/>
    </xf>
    <xf borderId="0" fillId="7" fontId="21" numFmtId="170" xfId="0" applyAlignment="1" applyFont="1" applyNumberFormat="1">
      <alignment readingOrder="0"/>
    </xf>
    <xf borderId="11" fillId="9" fontId="38" numFmtId="3" xfId="0" applyAlignment="1" applyBorder="1" applyFont="1" applyNumberFormat="1">
      <alignment horizontal="right"/>
    </xf>
    <xf borderId="12" fillId="9" fontId="18" numFmtId="10" xfId="0" applyAlignment="1" applyBorder="1" applyFont="1" applyNumberFormat="1">
      <alignment horizontal="center"/>
    </xf>
    <xf borderId="0" fillId="0" fontId="8" numFmtId="10" xfId="0" applyFont="1" applyNumberFormat="1"/>
    <xf borderId="0" fillId="7" fontId="8" numFmtId="170" xfId="0" applyFont="1" applyNumberFormat="1"/>
    <xf borderId="11" fillId="15" fontId="38" numFmtId="3" xfId="0" applyAlignment="1" applyBorder="1" applyFill="1" applyFont="1" applyNumberFormat="1">
      <alignment horizontal="right"/>
    </xf>
    <xf borderId="13" fillId="15" fontId="3" numFmtId="0" xfId="0" applyBorder="1" applyFont="1"/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readingOrder="0" vertical="bottom"/>
    </xf>
    <xf borderId="1" fillId="15" fontId="38" numFmtId="3" xfId="0" applyAlignment="1" applyBorder="1" applyFont="1" applyNumberFormat="1">
      <alignment horizontal="right"/>
    </xf>
    <xf borderId="1" fillId="0" fontId="38" numFmtId="0" xfId="0" applyAlignment="1" applyBorder="1" applyFont="1">
      <alignment horizontal="center" readingOrder="0"/>
    </xf>
    <xf borderId="0" fillId="7" fontId="11" numFmtId="173" xfId="0" applyAlignment="1" applyFont="1" applyNumberFormat="1">
      <alignment readingOrder="0"/>
    </xf>
    <xf borderId="0" fillId="7" fontId="36" numFmtId="49" xfId="0" applyAlignment="1" applyFont="1" applyNumberFormat="1">
      <alignment readingOrder="0"/>
    </xf>
    <xf borderId="0" fillId="0" fontId="36" numFmtId="174" xfId="0" applyAlignment="1" applyFont="1" applyNumberFormat="1">
      <alignment horizontal="center" readingOrder="0" shrinkToFit="0" wrapText="0"/>
    </xf>
    <xf borderId="0" fillId="0" fontId="36" numFmtId="174" xfId="0" applyAlignment="1" applyFont="1" applyNumberFormat="1">
      <alignment horizontal="center" readingOrder="0"/>
    </xf>
    <xf borderId="0" fillId="0" fontId="8" numFmtId="175" xfId="0" applyAlignment="1" applyFont="1" applyNumberFormat="1">
      <alignment readingOrder="0"/>
    </xf>
    <xf borderId="1" fillId="14" fontId="37" numFmtId="174" xfId="0" applyAlignment="1" applyBorder="1" applyFont="1" applyNumberFormat="1">
      <alignment horizontal="center"/>
    </xf>
    <xf borderId="1" fillId="14" fontId="37" numFmtId="49" xfId="0" applyAlignment="1" applyBorder="1" applyFont="1" applyNumberFormat="1">
      <alignment horizontal="center"/>
    </xf>
    <xf borderId="1" fillId="4" fontId="6" numFmtId="174" xfId="0" applyAlignment="1" applyBorder="1" applyFont="1" applyNumberFormat="1">
      <alignment horizontal="left" vertical="center"/>
    </xf>
    <xf borderId="0" fillId="7" fontId="21" numFmtId="175" xfId="0" applyAlignment="1" applyFont="1" applyNumberFormat="1">
      <alignment readingOrder="0"/>
    </xf>
    <xf borderId="11" fillId="9" fontId="38" numFmtId="49" xfId="0" applyAlignment="1" applyBorder="1" applyFont="1" applyNumberFormat="1">
      <alignment horizontal="right"/>
    </xf>
    <xf borderId="11" fillId="15" fontId="38" numFmtId="0" xfId="0" applyAlignment="1" applyBorder="1" applyFont="1">
      <alignment horizontal="right" readingOrder="0"/>
    </xf>
    <xf borderId="1" fillId="4" fontId="6" numFmtId="174" xfId="0" applyAlignment="1" applyBorder="1" applyFont="1" applyNumberFormat="1">
      <alignment vertical="bottom"/>
    </xf>
    <xf borderId="11" fillId="9" fontId="38" numFmtId="0" xfId="0" applyAlignment="1" applyBorder="1" applyFont="1">
      <alignment horizontal="right" readingOrder="0"/>
    </xf>
    <xf borderId="11" fillId="15" fontId="38" numFmtId="3" xfId="0" applyAlignment="1" applyBorder="1" applyFont="1" applyNumberFormat="1">
      <alignment horizontal="right" readingOrder="0"/>
    </xf>
    <xf borderId="11" fillId="9" fontId="38" numFmtId="3" xfId="0" applyAlignment="1" applyBorder="1" applyFont="1" applyNumberFormat="1">
      <alignment horizontal="right" readingOrder="0"/>
    </xf>
    <xf borderId="1" fillId="4" fontId="6" numFmtId="174" xfId="0" applyAlignment="1" applyBorder="1" applyFont="1" applyNumberFormat="1">
      <alignment readingOrder="0" vertical="bottom"/>
    </xf>
    <xf borderId="11" fillId="9" fontId="38" numFmtId="49" xfId="0" applyAlignment="1" applyBorder="1" applyFont="1" applyNumberFormat="1">
      <alignment horizontal="right" readingOrder="0"/>
    </xf>
    <xf borderId="0" fillId="8" fontId="8" numFmtId="174" xfId="0" applyFont="1" applyNumberFormat="1"/>
    <xf borderId="0" fillId="9" fontId="21" numFmtId="49" xfId="0" applyAlignment="1" applyFont="1" applyNumberFormat="1">
      <alignment readingOrder="0"/>
    </xf>
    <xf borderId="0" fillId="9" fontId="38" numFmtId="0" xfId="0" applyAlignment="1" applyFont="1">
      <alignment horizontal="right" readingOrder="0"/>
    </xf>
    <xf borderId="0" fillId="9" fontId="18" numFmtId="0" xfId="0" applyAlignment="1" applyFont="1">
      <alignment horizontal="center"/>
    </xf>
    <xf borderId="0" fillId="0" fontId="8" numFmtId="174" xfId="0" applyFont="1" applyNumberFormat="1"/>
    <xf borderId="0" fillId="0" fontId="8" numFmtId="49" xfId="0" applyFont="1" applyNumberFormat="1"/>
    <xf borderId="0" fillId="9" fontId="34" numFmtId="0" xfId="0" applyAlignment="1" applyFont="1">
      <alignment readingOrder="0"/>
    </xf>
    <xf borderId="0" fillId="9" fontId="34" numFmtId="174" xfId="0" applyAlignment="1" applyFont="1" applyNumberFormat="1">
      <alignment readingOrder="0"/>
    </xf>
    <xf borderId="0" fillId="9" fontId="34" numFmtId="49" xfId="0" applyAlignment="1" applyFont="1" applyNumberFormat="1">
      <alignment readingOrder="0"/>
    </xf>
    <xf borderId="0" fillId="9" fontId="35" numFmtId="0" xfId="0" applyAlignment="1" applyFont="1">
      <alignment readingOrder="0"/>
    </xf>
    <xf borderId="0" fillId="9" fontId="36" numFmtId="174" xfId="0" applyAlignment="1" applyFont="1" applyNumberFormat="1">
      <alignment readingOrder="0"/>
    </xf>
    <xf borderId="0" fillId="9" fontId="36" numFmtId="49" xfId="0" applyAlignment="1" applyFont="1" applyNumberFormat="1">
      <alignment readingOrder="0"/>
    </xf>
    <xf borderId="0" fillId="9" fontId="35" numFmtId="0" xfId="0" applyFont="1"/>
    <xf borderId="0" fillId="9" fontId="8" numFmtId="174" xfId="0" applyFont="1" applyNumberFormat="1"/>
    <xf borderId="0" fillId="9" fontId="8" numFmtId="49" xfId="0" applyFont="1" applyNumberFormat="1"/>
    <xf borderId="0" fillId="9" fontId="37" numFmtId="0" xfId="0" applyAlignment="1" applyFont="1">
      <alignment horizontal="center"/>
    </xf>
    <xf borderId="0" fillId="9" fontId="37" numFmtId="174" xfId="0" applyAlignment="1" applyFont="1" applyNumberFormat="1">
      <alignment horizontal="center"/>
    </xf>
    <xf borderId="0" fillId="9" fontId="37" numFmtId="49" xfId="0" applyAlignment="1" applyFont="1" applyNumberFormat="1">
      <alignment horizontal="center"/>
    </xf>
    <xf borderId="0" fillId="9" fontId="37" numFmtId="0" xfId="0" applyAlignment="1" applyFont="1">
      <alignment horizontal="center" readingOrder="0"/>
    </xf>
    <xf borderId="0" fillId="9" fontId="38" numFmtId="0" xfId="0" applyAlignment="1" applyFont="1">
      <alignment horizontal="center"/>
    </xf>
    <xf borderId="0" fillId="9" fontId="6" numFmtId="174" xfId="0" applyAlignment="1" applyFont="1" applyNumberFormat="1">
      <alignment horizontal="left" vertical="center"/>
    </xf>
    <xf borderId="0" fillId="9" fontId="38" numFmtId="3" xfId="0" applyAlignment="1" applyFont="1" applyNumberFormat="1">
      <alignment horizontal="right"/>
    </xf>
    <xf borderId="0" fillId="9" fontId="18" numFmtId="10" xfId="0" applyAlignment="1" applyFont="1" applyNumberFormat="1">
      <alignment horizontal="center"/>
    </xf>
    <xf borderId="0" fillId="9" fontId="6" numFmtId="174" xfId="0" applyAlignment="1" applyFont="1" applyNumberFormat="1">
      <alignment vertical="bottom"/>
    </xf>
    <xf borderId="0" fillId="9" fontId="6" numFmtId="174" xfId="0" applyAlignment="1" applyFont="1" applyNumberFormat="1">
      <alignment readingOrder="0" vertical="bottom"/>
    </xf>
    <xf borderId="0" fillId="9" fontId="38" numFmtId="0" xfId="0" applyAlignment="1" applyFont="1">
      <alignment horizontal="center" readingOrder="0"/>
    </xf>
    <xf borderId="0" fillId="0" fontId="8" numFmtId="170" xfId="0" applyAlignment="1" applyFont="1" applyNumberFormat="1">
      <alignment readingOrder="0"/>
    </xf>
    <xf borderId="0" fillId="14" fontId="37" numFmtId="0" xfId="0" applyAlignment="1" applyFont="1">
      <alignment horizontal="center" readingOrder="0"/>
    </xf>
    <xf borderId="0" fillId="9" fontId="18" numFmtId="49" xfId="0" applyAlignment="1" applyFont="1" applyNumberFormat="1">
      <alignment horizontal="center" vertical="center"/>
    </xf>
    <xf borderId="0" fillId="0" fontId="8" numFmtId="3" xfId="0" applyFont="1" applyNumberFormat="1"/>
    <xf borderId="0" fillId="9" fontId="18" numFmtId="0" xfId="0" applyAlignment="1" applyFont="1">
      <alignment horizontal="center" vertical="center"/>
    </xf>
    <xf borderId="0" fillId="16" fontId="37" numFmtId="0" xfId="0" applyAlignment="1" applyFill="1" applyFont="1">
      <alignment horizontal="center" vertical="bottom"/>
    </xf>
    <xf borderId="0" fillId="0" fontId="38" numFmtId="0" xfId="0" applyAlignment="1" applyFont="1">
      <alignment vertical="bottom"/>
    </xf>
    <xf borderId="0" fillId="17" fontId="39" numFmtId="0" xfId="0" applyAlignment="1" applyFill="1" applyFont="1">
      <alignment horizontal="center" readingOrder="0" vertical="bottom"/>
    </xf>
    <xf borderId="0" fillId="18" fontId="37" numFmtId="0" xfId="0" applyAlignment="1" applyFill="1" applyFont="1">
      <alignment horizontal="center" vertical="bottom"/>
    </xf>
    <xf borderId="6" fillId="16" fontId="38" numFmtId="0" xfId="0" applyAlignment="1" applyBorder="1" applyFont="1">
      <alignment horizontal="center" vertical="bottom"/>
    </xf>
    <xf borderId="6" fillId="16" fontId="38" numFmtId="176" xfId="0" applyAlignment="1" applyBorder="1" applyFont="1" applyNumberFormat="1">
      <alignment horizontal="center" readingOrder="0" vertical="bottom"/>
    </xf>
    <xf borderId="6" fillId="16" fontId="38" numFmtId="0" xfId="0" applyAlignment="1" applyBorder="1" applyFont="1">
      <alignment horizontal="center" readingOrder="0" vertical="bottom"/>
    </xf>
    <xf borderId="6" fillId="18" fontId="38" numFmtId="0" xfId="0" applyAlignment="1" applyBorder="1" applyFont="1">
      <alignment vertical="bottom"/>
    </xf>
    <xf borderId="6" fillId="18" fontId="38" numFmtId="0" xfId="0" applyAlignment="1" applyBorder="1" applyFont="1">
      <alignment horizontal="center" vertical="bottom"/>
    </xf>
    <xf borderId="6" fillId="0" fontId="38" numFmtId="0" xfId="0" applyAlignment="1" applyBorder="1" applyFont="1">
      <alignment horizontal="center" vertical="bottom"/>
    </xf>
    <xf borderId="6" fillId="0" fontId="38" numFmtId="176" xfId="0" applyAlignment="1" applyBorder="1" applyFont="1" applyNumberFormat="1">
      <alignment horizontal="center" vertical="bottom"/>
    </xf>
    <xf borderId="6" fillId="0" fontId="38" numFmtId="177" xfId="0" applyAlignment="1" applyBorder="1" applyFont="1" applyNumberFormat="1">
      <alignment horizontal="center" vertical="bottom"/>
    </xf>
    <xf borderId="6" fillId="0" fontId="38" numFmtId="10" xfId="0" applyAlignment="1" applyBorder="1" applyFont="1" applyNumberFormat="1">
      <alignment horizontal="center" vertical="bottom"/>
    </xf>
    <xf borderId="6" fillId="0" fontId="38" numFmtId="0" xfId="0" applyAlignment="1" applyBorder="1" applyFont="1">
      <alignment readingOrder="0" vertical="bottom"/>
    </xf>
    <xf borderId="1" fillId="0" fontId="38" numFmtId="10" xfId="0" applyAlignment="1" applyBorder="1" applyFont="1" applyNumberFormat="1">
      <alignment horizontal="center"/>
    </xf>
    <xf borderId="6" fillId="0" fontId="38" numFmtId="4" xfId="0" applyAlignment="1" applyBorder="1" applyFont="1" applyNumberFormat="1">
      <alignment horizontal="center" vertical="bottom"/>
    </xf>
    <xf borderId="0" fillId="16" fontId="37" numFmtId="0" xfId="0" applyAlignment="1" applyFont="1">
      <alignment vertical="bottom"/>
    </xf>
    <xf borderId="0" fillId="16" fontId="38" numFmtId="0" xfId="0" applyAlignment="1" applyFont="1">
      <alignment vertical="bottom"/>
    </xf>
    <xf borderId="6" fillId="0" fontId="38" numFmtId="3" xfId="0" applyAlignment="1" applyBorder="1" applyFont="1" applyNumberFormat="1">
      <alignment horizontal="center" vertical="bottom"/>
    </xf>
    <xf borderId="6" fillId="0" fontId="38" numFmtId="0" xfId="0" applyAlignment="1" applyBorder="1" applyFont="1">
      <alignment horizontal="center" readingOrder="0" vertical="bottom"/>
    </xf>
    <xf borderId="0" fillId="9" fontId="38" numFmtId="0" xfId="0" applyAlignment="1" applyFont="1">
      <alignment vertical="bottom"/>
    </xf>
    <xf borderId="0" fillId="0" fontId="38" numFmtId="10" xfId="0" applyAlignment="1" applyFont="1" applyNumberFormat="1">
      <alignment vertical="bottom"/>
    </xf>
    <xf borderId="0" fillId="0" fontId="38" numFmtId="176" xfId="0" applyAlignment="1" applyFont="1" applyNumberFormat="1">
      <alignment horizontal="center" vertical="bottom"/>
    </xf>
    <xf borderId="0" fillId="0" fontId="38" numFmtId="0" xfId="0" applyAlignment="1" applyFont="1">
      <alignment horizontal="center" vertical="bottom"/>
    </xf>
    <xf borderId="0" fillId="0" fontId="38" numFmtId="0" xfId="0" applyAlignment="1" applyFont="1">
      <alignment readingOrder="0" vertical="bottom"/>
    </xf>
    <xf borderId="1" fillId="0" fontId="38" numFmtId="10" xfId="0" applyAlignment="1" applyBorder="1" applyFont="1" applyNumberFormat="1">
      <alignment horizontal="center" vertical="center"/>
    </xf>
    <xf borderId="2" fillId="18" fontId="37" numFmtId="0" xfId="0" applyAlignment="1" applyBorder="1" applyFont="1">
      <alignment horizontal="center" vertical="bottom"/>
    </xf>
    <xf borderId="6" fillId="0" fontId="38" numFmtId="0" xfId="0" applyAlignment="1" applyBorder="1" applyFont="1">
      <alignment vertical="bottom"/>
    </xf>
    <xf borderId="1" fillId="0" fontId="38" numFmtId="10" xfId="0" applyAlignment="1" applyBorder="1" applyFont="1" applyNumberFormat="1">
      <alignment horizontal="center" vertical="bottom"/>
    </xf>
    <xf borderId="0" fillId="9" fontId="39" numFmtId="0" xfId="0" applyAlignment="1" applyFont="1">
      <alignment horizontal="center" readingOrder="0" vertical="bottom"/>
    </xf>
    <xf borderId="0" fillId="0" fontId="37" numFmtId="0" xfId="0" applyAlignment="1" applyFont="1">
      <alignment vertical="bottom"/>
    </xf>
    <xf borderId="6" fillId="0" fontId="38" numFmtId="176" xfId="0" applyAlignment="1" applyBorder="1" applyFont="1" applyNumberFormat="1">
      <alignment vertical="bottom"/>
    </xf>
    <xf borderId="0" fillId="9" fontId="37" numFmtId="0" xfId="0" applyAlignment="1" applyFont="1">
      <alignment horizontal="center" vertical="bottom"/>
    </xf>
    <xf borderId="0" fillId="9" fontId="38" numFmtId="0" xfId="0" applyAlignment="1" applyFont="1">
      <alignment horizontal="center" vertical="bottom"/>
    </xf>
    <xf borderId="0" fillId="9" fontId="38" numFmtId="176" xfId="0" applyAlignment="1" applyFont="1" applyNumberFormat="1">
      <alignment vertical="bottom"/>
    </xf>
    <xf borderId="0" fillId="9" fontId="38" numFmtId="10" xfId="0" applyAlignment="1" applyFont="1" applyNumberFormat="1">
      <alignment horizontal="center" vertical="bottom"/>
    </xf>
    <xf borderId="0" fillId="9" fontId="38" numFmtId="4" xfId="0" applyAlignment="1" applyFont="1" applyNumberFormat="1">
      <alignment horizontal="center" vertical="bottom"/>
    </xf>
    <xf borderId="0" fillId="9" fontId="40" numFmtId="0" xfId="0" applyAlignment="1" applyFont="1">
      <alignment horizontal="center" vertical="bottom"/>
    </xf>
    <xf borderId="0" fillId="9" fontId="41" numFmtId="0" xfId="0" applyAlignment="1" applyFont="1">
      <alignment vertical="bottom"/>
    </xf>
    <xf borderId="0" fillId="9" fontId="39" numFmtId="0" xfId="0" applyAlignment="1" applyFont="1">
      <alignment readingOrder="0" vertical="bottom"/>
    </xf>
    <xf borderId="6" fillId="16" fontId="38" numFmtId="176" xfId="0" applyAlignment="1" applyBorder="1" applyFont="1" applyNumberFormat="1">
      <alignment horizontal="center" vertical="bottom"/>
    </xf>
    <xf borderId="2" fillId="16" fontId="38" numFmtId="0" xfId="0" applyAlignment="1" applyBorder="1" applyFont="1">
      <alignment horizontal="center" vertical="bottom"/>
    </xf>
    <xf borderId="0" fillId="9" fontId="38" numFmtId="0" xfId="0" applyAlignment="1" applyFont="1">
      <alignment readingOrder="0" vertical="bottom"/>
    </xf>
    <xf borderId="6" fillId="0" fontId="38" numFmtId="176" xfId="0" applyAlignment="1" applyBorder="1" applyFont="1" applyNumberFormat="1">
      <alignment horizontal="center" readingOrder="0" vertical="bottom"/>
    </xf>
    <xf borderId="0" fillId="9" fontId="38" numFmtId="10" xfId="0" applyAlignment="1" applyFont="1" applyNumberFormat="1">
      <alignment vertical="bottom"/>
    </xf>
    <xf borderId="0" fillId="9" fontId="38" numFmtId="176" xfId="0" applyAlignment="1" applyFont="1" applyNumberFormat="1">
      <alignment horizontal="center" vertical="bottom"/>
    </xf>
    <xf borderId="0" fillId="9" fontId="38" numFmtId="10" xfId="0" applyAlignment="1" applyFont="1" applyNumberFormat="1">
      <alignment horizontal="center" vertical="center"/>
    </xf>
    <xf borderId="0" fillId="9" fontId="37" numFmtId="0" xfId="0" applyAlignment="1" applyFont="1">
      <alignment vertical="bottom"/>
    </xf>
    <xf borderId="0" fillId="17" fontId="41" numFmtId="0" xfId="0" applyAlignment="1" applyFont="1">
      <alignment horizontal="center" readingOrder="0" vertical="bottom"/>
    </xf>
    <xf borderId="0" fillId="0" fontId="38" numFmtId="0" xfId="0" applyAlignment="1" applyFont="1">
      <alignment vertical="bottom"/>
    </xf>
    <xf borderId="6" fillId="0" fontId="38" numFmtId="0" xfId="0" applyAlignment="1" applyBorder="1" applyFont="1">
      <alignment horizontal="center" readingOrder="0"/>
    </xf>
    <xf borderId="6" fillId="0" fontId="38" numFmtId="10" xfId="0" applyAlignment="1" applyBorder="1" applyFont="1" applyNumberFormat="1">
      <alignment horizontal="center" readingOrder="0"/>
    </xf>
    <xf borderId="0" fillId="9" fontId="41" numFmtId="0" xfId="0" applyAlignment="1" applyFont="1">
      <alignment readingOrder="0" vertical="bottom"/>
    </xf>
    <xf borderId="0" fillId="0" fontId="38" numFmtId="176" xfId="0" applyAlignment="1" applyFont="1" applyNumberFormat="1">
      <alignment vertical="bottom"/>
    </xf>
    <xf borderId="0" fillId="0" fontId="38" numFmtId="4" xfId="0" applyAlignment="1" applyFont="1" applyNumberFormat="1">
      <alignment vertical="bottom"/>
    </xf>
    <xf borderId="6" fillId="9" fontId="38" numFmtId="176" xfId="0" applyAlignment="1" applyBorder="1" applyFont="1" applyNumberFormat="1">
      <alignment vertical="bottom"/>
    </xf>
    <xf borderId="6" fillId="9" fontId="38" numFmtId="10" xfId="0" applyAlignment="1" applyBorder="1" applyFont="1" applyNumberFormat="1">
      <alignment horizontal="center" vertical="bottom"/>
    </xf>
    <xf borderId="6" fillId="0" fontId="38" numFmtId="178" xfId="0" applyAlignment="1" applyBorder="1" applyFont="1" applyNumberFormat="1">
      <alignment readingOrder="0" vertical="bottom"/>
    </xf>
    <xf borderId="0" fillId="9" fontId="38" numFmtId="0" xfId="0" applyAlignment="1" applyFont="1">
      <alignment vertical="bottom"/>
    </xf>
    <xf borderId="0" fillId="9" fontId="38" numFmtId="4" xfId="0" applyAlignment="1" applyFont="1" applyNumberFormat="1">
      <alignment vertical="bottom"/>
    </xf>
    <xf borderId="0" fillId="19" fontId="38" numFmtId="0" xfId="0" applyAlignment="1" applyFill="1" applyFont="1">
      <alignment vertical="bottom"/>
    </xf>
    <xf borderId="0" fillId="19" fontId="38" numFmtId="0" xfId="0" applyAlignment="1" applyFont="1">
      <alignment vertical="bottom"/>
    </xf>
    <xf borderId="0" fillId="19" fontId="38" numFmtId="176" xfId="0" applyAlignment="1" applyFont="1" applyNumberFormat="1">
      <alignment vertical="bottom"/>
    </xf>
    <xf borderId="0" fillId="19" fontId="38" numFmtId="10" xfId="0" applyAlignment="1" applyFont="1" applyNumberFormat="1">
      <alignment vertical="bottom"/>
    </xf>
    <xf borderId="0" fillId="19" fontId="38" numFmtId="4" xfId="0" applyAlignment="1" applyFont="1" applyNumberFormat="1">
      <alignment vertical="bottom"/>
    </xf>
    <xf borderId="0" fillId="9" fontId="40" numFmtId="0" xfId="0" applyAlignment="1" applyFont="1">
      <alignment vertical="bottom"/>
    </xf>
    <xf borderId="0" fillId="0" fontId="8" numFmtId="169" xfId="0" applyAlignment="1" applyFont="1" applyNumberFormat="1">
      <alignment readingOrder="0"/>
    </xf>
    <xf borderId="0" fillId="0" fontId="38" numFmtId="10" xfId="0" applyAlignment="1" applyFont="1" applyNumberFormat="1">
      <alignment horizontal="center" vertical="bottom"/>
    </xf>
    <xf borderId="0" fillId="0" fontId="8" numFmtId="0" xfId="0" applyFont="1"/>
    <xf borderId="14" fillId="20" fontId="42" numFmtId="0" xfId="0" applyAlignment="1" applyBorder="1" applyFill="1" applyFont="1">
      <alignment horizontal="center" vertical="bottom"/>
    </xf>
    <xf borderId="15" fillId="0" fontId="3" numFmtId="0" xfId="0" applyBorder="1" applyFont="1"/>
    <xf borderId="16" fillId="0" fontId="3" numFmtId="0" xfId="0" applyBorder="1" applyFont="1"/>
    <xf borderId="17" fillId="21" fontId="38" numFmtId="0" xfId="0" applyAlignment="1" applyBorder="1" applyFill="1" applyFont="1">
      <alignment vertical="bottom"/>
    </xf>
    <xf borderId="18" fillId="21" fontId="30" numFmtId="0" xfId="0" applyAlignment="1" applyBorder="1" applyFont="1">
      <alignment horizontal="center" vertical="bottom"/>
    </xf>
    <xf borderId="0" fillId="0" fontId="38" numFmtId="177" xfId="0" applyAlignment="1" applyFont="1" applyNumberFormat="1">
      <alignment vertical="bottom"/>
    </xf>
    <xf borderId="17" fillId="22" fontId="5" numFmtId="0" xfId="0" applyAlignment="1" applyBorder="1" applyFill="1" applyFont="1">
      <alignment horizontal="right" vertical="bottom"/>
    </xf>
    <xf borderId="6" fillId="22" fontId="38" numFmtId="0" xfId="0" applyAlignment="1" applyBorder="1" applyFont="1">
      <alignment vertical="bottom"/>
    </xf>
    <xf borderId="6" fillId="22" fontId="37" numFmtId="0" xfId="0" applyAlignment="1" applyBorder="1" applyFont="1">
      <alignment horizontal="center" vertical="bottom"/>
    </xf>
    <xf borderId="6" fillId="23" fontId="4" numFmtId="0" xfId="0" applyAlignment="1" applyBorder="1" applyFill="1" applyFont="1">
      <alignment horizontal="center" vertical="bottom"/>
    </xf>
    <xf borderId="19" fillId="24" fontId="37" numFmtId="0" xfId="0" applyAlignment="1" applyBorder="1" applyFill="1" applyFont="1">
      <alignment horizontal="center" vertical="bottom"/>
    </xf>
    <xf borderId="6" fillId="24" fontId="37" numFmtId="0" xfId="0" applyAlignment="1" applyBorder="1" applyFont="1">
      <alignment horizontal="center" shrinkToFit="0" vertical="bottom" wrapText="1"/>
    </xf>
    <xf borderId="20" fillId="24" fontId="37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vertical="bottom"/>
    </xf>
    <xf borderId="6" fillId="0" fontId="5" numFmtId="3" xfId="0" applyAlignment="1" applyBorder="1" applyFont="1" applyNumberFormat="1">
      <alignment horizontal="right" vertical="bottom"/>
    </xf>
    <xf borderId="6" fillId="0" fontId="5" numFmtId="3" xfId="0" applyAlignment="1" applyBorder="1" applyFont="1" applyNumberFormat="1">
      <alignment horizontal="right" readingOrder="0" vertical="bottom"/>
    </xf>
    <xf borderId="2" fillId="25" fontId="4" numFmtId="0" xfId="0" applyAlignment="1" applyBorder="1" applyFill="1" applyFont="1">
      <alignment horizontal="center" shrinkToFit="0" vertical="bottom" wrapText="1"/>
    </xf>
    <xf borderId="6" fillId="0" fontId="4" numFmtId="178" xfId="0" applyAlignment="1" applyBorder="1" applyFont="1" applyNumberFormat="1">
      <alignment horizontal="right" vertical="bottom"/>
    </xf>
    <xf borderId="1" fillId="13" fontId="29" numFmtId="0" xfId="0" applyAlignment="1" applyBorder="1" applyFont="1">
      <alignment horizontal="center" shrinkToFit="0" vertical="bottom" wrapText="1"/>
    </xf>
    <xf borderId="1" fillId="13" fontId="29" numFmtId="168" xfId="0" applyAlignment="1" applyBorder="1" applyFont="1" applyNumberFormat="1">
      <alignment horizontal="center" readingOrder="0" shrinkToFit="0" vertical="bottom" wrapText="1"/>
    </xf>
    <xf borderId="2" fillId="26" fontId="30" numFmtId="0" xfId="0" applyAlignment="1" applyBorder="1" applyFill="1" applyFont="1">
      <alignment horizontal="center" vertical="bottom"/>
    </xf>
    <xf borderId="2" fillId="13" fontId="29" numFmtId="0" xfId="0" applyAlignment="1" applyBorder="1" applyFont="1">
      <alignment horizontal="center" vertical="bottom"/>
    </xf>
    <xf borderId="6" fillId="26" fontId="30" numFmtId="0" xfId="0" applyAlignment="1" applyBorder="1" applyFont="1">
      <alignment horizontal="center" vertical="bottom"/>
    </xf>
    <xf borderId="6" fillId="9" fontId="31" numFmtId="0" xfId="0" applyAlignment="1" applyBorder="1" applyFont="1">
      <alignment horizontal="center" vertical="bottom"/>
    </xf>
    <xf borderId="6" fillId="9" fontId="31" numFmtId="1" xfId="0" applyAlignment="1" applyBorder="1" applyFont="1" applyNumberFormat="1">
      <alignment horizontal="center" readingOrder="0" vertical="bottom"/>
    </xf>
    <xf borderId="6" fillId="9" fontId="31" numFmtId="177" xfId="0" applyAlignment="1" applyBorder="1" applyFont="1" applyNumberFormat="1">
      <alignment horizontal="right" vertical="bottom"/>
    </xf>
    <xf borderId="6" fillId="9" fontId="31" numFmtId="177" xfId="0" applyAlignment="1" applyBorder="1" applyFont="1" applyNumberFormat="1">
      <alignment horizontal="right" readingOrder="0" vertical="bottom"/>
    </xf>
    <xf borderId="6" fillId="27" fontId="31" numFmtId="0" xfId="0" applyAlignment="1" applyBorder="1" applyFill="1" applyFont="1">
      <alignment horizontal="center" vertical="bottom"/>
    </xf>
    <xf borderId="6" fillId="27" fontId="31" numFmtId="1" xfId="0" applyAlignment="1" applyBorder="1" applyFont="1" applyNumberFormat="1">
      <alignment horizontal="center" readingOrder="0" vertical="bottom"/>
    </xf>
    <xf borderId="6" fillId="27" fontId="31" numFmtId="177" xfId="0" applyAlignment="1" applyBorder="1" applyFont="1" applyNumberFormat="1">
      <alignment horizontal="right" vertical="bottom"/>
    </xf>
    <xf borderId="6" fillId="27" fontId="38" numFmtId="3" xfId="0" applyAlignment="1" applyBorder="1" applyFont="1" applyNumberFormat="1">
      <alignment vertical="bottom"/>
    </xf>
    <xf borderId="6" fillId="9" fontId="31" numFmtId="1" xfId="0" applyAlignment="1" applyBorder="1" applyFont="1" applyNumberFormat="1">
      <alignment horizontal="center" vertical="bottom"/>
    </xf>
    <xf borderId="6" fillId="9" fontId="38" numFmtId="177" xfId="0" applyAlignment="1" applyBorder="1" applyFont="1" applyNumberFormat="1">
      <alignment vertical="bottom"/>
    </xf>
    <xf borderId="6" fillId="9" fontId="37" numFmtId="177" xfId="0" applyAlignment="1" applyBorder="1" applyFont="1" applyNumberFormat="1">
      <alignment readingOrder="0" vertical="bottom"/>
    </xf>
    <xf borderId="6" fillId="9" fontId="38" numFmtId="3" xfId="0" applyAlignment="1" applyBorder="1" applyFont="1" applyNumberFormat="1">
      <alignment vertical="bottom"/>
    </xf>
    <xf borderId="6" fillId="9" fontId="38" numFmtId="0" xfId="0" applyAlignment="1" applyBorder="1" applyFont="1">
      <alignment vertical="bottom"/>
    </xf>
    <xf borderId="6" fillId="27" fontId="38" numFmtId="177" xfId="0" applyAlignment="1" applyBorder="1" applyFont="1" applyNumberFormat="1">
      <alignment vertical="bottom"/>
    </xf>
    <xf borderId="6" fillId="9" fontId="37" numFmtId="3" xfId="0" applyAlignment="1" applyBorder="1" applyFont="1" applyNumberFormat="1">
      <alignment readingOrder="0" vertical="bottom"/>
    </xf>
    <xf borderId="6" fillId="9" fontId="37" numFmtId="3" xfId="0" applyAlignment="1" applyBorder="1" applyFont="1" applyNumberFormat="1">
      <alignment vertical="bottom"/>
    </xf>
    <xf borderId="6" fillId="9" fontId="38" numFmtId="178" xfId="0" applyAlignment="1" applyBorder="1" applyFont="1" applyNumberFormat="1">
      <alignment vertical="bottom"/>
    </xf>
    <xf borderId="6" fillId="0" fontId="38" numFmtId="178" xfId="0" applyAlignment="1" applyBorder="1" applyFont="1" applyNumberFormat="1">
      <alignment vertical="bottom"/>
    </xf>
    <xf borderId="6" fillId="0" fontId="38" numFmtId="177" xfId="0" applyAlignment="1" applyBorder="1" applyFont="1" applyNumberFormat="1">
      <alignment vertical="bottom"/>
    </xf>
    <xf borderId="6" fillId="13" fontId="31" numFmtId="0" xfId="0" applyAlignment="1" applyBorder="1" applyFont="1">
      <alignment horizontal="center" vertical="bottom"/>
    </xf>
    <xf borderId="6" fillId="13" fontId="31" numFmtId="177" xfId="0" applyAlignment="1" applyBorder="1" applyFont="1" applyNumberFormat="1">
      <alignment horizontal="center" vertical="bottom"/>
    </xf>
    <xf borderId="6" fillId="13" fontId="31" numFmtId="177" xfId="0" applyAlignment="1" applyBorder="1" applyFont="1" applyNumberFormat="1">
      <alignment horizontal="right" vertical="bottom"/>
    </xf>
    <xf borderId="21" fillId="21" fontId="38" numFmtId="0" xfId="0" applyAlignment="1" applyBorder="1" applyFont="1">
      <alignment vertical="bottom"/>
    </xf>
    <xf borderId="18" fillId="21" fontId="30" numFmtId="0" xfId="0" applyAlignment="1" applyBorder="1" applyFont="1">
      <alignment horizontal="center" readingOrder="0" vertical="bottom"/>
    </xf>
    <xf borderId="6" fillId="9" fontId="38" numFmtId="0" xfId="0" applyAlignment="1" applyBorder="1" applyFont="1">
      <alignment readingOrder="0" vertical="bottom"/>
    </xf>
    <xf borderId="6" fillId="7" fontId="31" numFmtId="177" xfId="0" applyAlignment="1" applyBorder="1" applyFont="1" applyNumberFormat="1">
      <alignment horizontal="right" readingOrder="0" vertical="bottom"/>
    </xf>
    <xf borderId="6" fillId="0" fontId="31" numFmtId="177" xfId="0" applyAlignment="1" applyBorder="1" applyFont="1" applyNumberFormat="1">
      <alignment horizontal="right" readingOrder="0" vertical="bottom"/>
    </xf>
    <xf borderId="6" fillId="0" fontId="31" numFmtId="177" xfId="0" applyAlignment="1" applyBorder="1" applyFont="1" applyNumberFormat="1">
      <alignment horizontal="right" vertical="bottom"/>
    </xf>
    <xf borderId="2" fillId="13" fontId="31" numFmtId="0" xfId="0" applyAlignment="1" applyBorder="1" applyFont="1">
      <alignment horizontal="center" vertical="bottom"/>
    </xf>
    <xf borderId="2" fillId="9" fontId="37" numFmtId="177" xfId="0" applyAlignment="1" applyBorder="1" applyFont="1" applyNumberFormat="1">
      <alignment readingOrder="0" vertical="bottom"/>
    </xf>
    <xf borderId="6" fillId="9" fontId="37" numFmtId="177" xfId="0" applyAlignment="1" applyBorder="1" applyFont="1" applyNumberFormat="1">
      <alignment vertical="bottom"/>
    </xf>
    <xf borderId="6" fillId="9" fontId="38" numFmtId="0" xfId="0" applyAlignment="1" applyBorder="1" applyFont="1">
      <alignment vertical="bottom"/>
    </xf>
    <xf borderId="6" fillId="0" fontId="38" numFmtId="0" xfId="0" applyAlignment="1" applyBorder="1" applyFont="1">
      <alignment vertical="bottom"/>
    </xf>
    <xf borderId="6" fillId="7" fontId="31" numFmtId="177" xfId="0" applyAlignment="1" applyBorder="1" applyFont="1" applyNumberFormat="1">
      <alignment readingOrder="0" vertical="bottom"/>
    </xf>
    <xf borderId="14" fillId="20" fontId="42" numFmtId="0" xfId="0" applyAlignment="1" applyBorder="1" applyFont="1">
      <alignment horizontal="center" readingOrder="0" vertical="bottom"/>
    </xf>
    <xf borderId="6" fillId="9" fontId="31" numFmtId="0" xfId="0" applyAlignment="1" applyBorder="1" applyFont="1">
      <alignment horizontal="center" readingOrder="0" vertical="bottom"/>
    </xf>
    <xf borderId="6" fillId="27" fontId="31" numFmtId="177" xfId="0" applyAlignment="1" applyBorder="1" applyFont="1" applyNumberFormat="1">
      <alignment horizontal="right" readingOrder="0" vertical="bottom"/>
    </xf>
    <xf borderId="6" fillId="9" fontId="38" numFmtId="3" xfId="0" applyAlignment="1" applyBorder="1" applyFont="1" applyNumberFormat="1">
      <alignment readingOrder="0" vertical="bottom"/>
    </xf>
    <xf borderId="6" fillId="9" fontId="38" numFmtId="177" xfId="0" applyAlignment="1" applyBorder="1" applyFont="1" applyNumberFormat="1">
      <alignment readingOrder="0" vertical="bottom"/>
    </xf>
    <xf borderId="6" fillId="9" fontId="38" numFmtId="177" xfId="0" applyAlignment="1" applyBorder="1" applyFont="1" applyNumberFormat="1">
      <alignment readingOrder="0" vertical="bottom"/>
    </xf>
    <xf borderId="0" fillId="0" fontId="38" numFmtId="3" xfId="0" applyAlignment="1" applyFont="1" applyNumberFormat="1">
      <alignment readingOrder="0" vertical="bottom"/>
    </xf>
    <xf borderId="6" fillId="0" fontId="38" numFmtId="0" xfId="0" applyAlignment="1" applyBorder="1" applyFont="1">
      <alignment readingOrder="0" shrinkToFit="0" vertical="bottom" wrapText="1"/>
    </xf>
    <xf borderId="6" fillId="0" fontId="38" numFmtId="0" xfId="0" applyAlignment="1" applyBorder="1" applyFont="1">
      <alignment readingOrder="0" vertical="center"/>
    </xf>
    <xf borderId="6" fillId="9" fontId="31" numFmtId="177" xfId="0" applyAlignment="1" applyBorder="1" applyFont="1" applyNumberFormat="1">
      <alignment readingOrder="0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</dxfs>
  <tableStyles count="9">
    <tableStyle count="2" pivot="0" name="DASHBOARD-style">
      <tableStyleElement dxfId="1" type="firstRowStripe"/>
      <tableStyleElement dxfId="2" type="secondRowStripe"/>
    </tableStyle>
    <tableStyle count="4" pivot="0" name="HELPER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BULAN BERJALAN BANUA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BULAN BERJALAN TANAKA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LAPORAN HARIAN-style">
      <tableStyleElement dxfId="1" type="firstRowStripe"/>
      <tableStyleElement dxfId="5" type="secondRowStripe"/>
    </tableStyle>
    <tableStyle count="2" pivot="0" name="LAPORAN BULANAN-style">
      <tableStyleElement dxfId="1" type="firstRowStripe"/>
      <tableStyleElement dxfId="5" type="secondRowStripe"/>
    </tableStyle>
    <tableStyle count="2" pivot="0" name="LAPORAN BULANAN-style 2">
      <tableStyleElement dxfId="1" type="firstRowStripe"/>
      <tableStyleElement dxfId="5" type="secondRowStripe"/>
    </tableStyle>
    <tableStyle count="3" pivot="0" name="LAPORAN BULANAN-style 3">
      <tableStyleElement dxfId="6" type="headerRow"/>
      <tableStyleElement dxfId="1" type="firstRowStripe"/>
      <tableStyleElement dxfId="5" type="secondRowStripe"/>
    </tableStyle>
    <tableStyle count="2" pivot="0" name="LAPORAN TGL-style"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TOP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DASHBOARD!$R$41:$R$45</c:f>
            </c:strRef>
          </c:cat>
          <c:val>
            <c:numRef>
              <c:f>DASHBOARD!$S$41:$S$45</c:f>
              <c:numCache/>
            </c:numRef>
          </c:val>
        </c:ser>
        <c:axId val="2098597903"/>
        <c:axId val="869796055"/>
      </c:bar3DChart>
      <c:catAx>
        <c:axId val="209859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CATEGORY PROPORTION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796055"/>
      </c:catAx>
      <c:valAx>
        <c:axId val="86979605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597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TOP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HELPER!$O$5:$O$9</c:f>
            </c:strRef>
          </c:cat>
          <c:val>
            <c:numRef>
              <c:f>HELPER!$P$5:$P$9</c:f>
              <c:numCache/>
            </c:numRef>
          </c:val>
        </c:ser>
        <c:axId val="631804589"/>
        <c:axId val="1207845227"/>
      </c:bar3DChart>
      <c:catAx>
        <c:axId val="63180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845227"/>
      </c:catAx>
      <c:valAx>
        <c:axId val="12078452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804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Honda Motor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HARIAN'!$E$8:$E$9</c:f>
            </c:strRef>
          </c:cat>
          <c:val>
            <c:numRef>
              <c:f>'LAPORAN HARIAN'!$F$8:$F$9</c:f>
              <c:numCache/>
            </c:numRef>
          </c:val>
        </c:ser>
        <c:axId val="903158445"/>
        <c:axId val="450466079"/>
      </c:bar3DChart>
      <c:catAx>
        <c:axId val="90315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466079"/>
      </c:catAx>
      <c:valAx>
        <c:axId val="450466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15844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Wuling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HARIAN'!$E$10:$E$11</c:f>
            </c:strRef>
          </c:cat>
          <c:val>
            <c:numRef>
              <c:f>'LAPORAN HARIAN'!$F$10:$F$11</c:f>
              <c:numCache/>
            </c:numRef>
          </c:val>
        </c:ser>
        <c:axId val="1150135450"/>
        <c:axId val="1305265736"/>
      </c:bar3DChart>
      <c:catAx>
        <c:axId val="1150135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265736"/>
      </c:catAx>
      <c:valAx>
        <c:axId val="1305265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13545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Honda Mobil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HARIAN'!$E$12:$E$13</c:f>
            </c:strRef>
          </c:cat>
          <c:val>
            <c:numRef>
              <c:f>'LAPORAN HARIAN'!$F$10:$F$11</c:f>
              <c:numCache/>
            </c:numRef>
          </c:val>
        </c:ser>
        <c:axId val="942858343"/>
        <c:axId val="309276674"/>
      </c:bar3DChart>
      <c:catAx>
        <c:axId val="942858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276674"/>
      </c:catAx>
      <c:valAx>
        <c:axId val="309276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85834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Suzuki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HARIAN'!$E$14:$E$15</c:f>
            </c:strRef>
          </c:cat>
          <c:val>
            <c:numRef>
              <c:f>'LAPORAN HARIAN'!$F$14:$F$15</c:f>
              <c:numCache/>
            </c:numRef>
          </c:val>
        </c:ser>
        <c:axId val="282976198"/>
        <c:axId val="285048211"/>
      </c:bar3DChart>
      <c:catAx>
        <c:axId val="282976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048211"/>
      </c:catAx>
      <c:valAx>
        <c:axId val="285048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976198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Daihatsu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HARIAN'!$E$16:$E$17</c:f>
            </c:strRef>
          </c:cat>
          <c:val>
            <c:numRef>
              <c:f>'LAPORAN HARIAN'!$F$16:$F$17</c:f>
              <c:numCache/>
            </c:numRef>
          </c:val>
        </c:ser>
        <c:axId val="601515362"/>
        <c:axId val="1816910311"/>
      </c:bar3DChart>
      <c:catAx>
        <c:axId val="601515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910311"/>
      </c:catAx>
      <c:valAx>
        <c:axId val="181691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515362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Mitsubishi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HARIAN'!$E$18:$E$19</c:f>
            </c:strRef>
          </c:cat>
          <c:val>
            <c:numRef>
              <c:f>'LAPORAN HARIAN'!$F$18:$F$19</c:f>
              <c:numCache/>
            </c:numRef>
          </c:val>
        </c:ser>
        <c:axId val="1579900726"/>
        <c:axId val="1613501829"/>
      </c:bar3DChart>
      <c:catAx>
        <c:axId val="1579900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501829"/>
      </c:catAx>
      <c:valAx>
        <c:axId val="1613501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900726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Mazda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HARIAN'!$E$20:$E$21</c:f>
            </c:strRef>
          </c:cat>
          <c:val>
            <c:numRef>
              <c:f>'LAPORAN HARIAN'!$F$20:$F$21</c:f>
              <c:numCache/>
            </c:numRef>
          </c:val>
        </c:ser>
        <c:axId val="721510583"/>
        <c:axId val="2108193996"/>
      </c:bar3DChart>
      <c:catAx>
        <c:axId val="721510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193996"/>
      </c:catAx>
      <c:valAx>
        <c:axId val="2108193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510583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Toyota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HARIAN'!$E$22:$E$23</c:f>
            </c:strRef>
          </c:cat>
          <c:val>
            <c:numRef>
              <c:f>'LAPORAN HARIAN'!$F$22:$F$23</c:f>
              <c:numCache/>
            </c:numRef>
          </c:val>
        </c:ser>
        <c:axId val="517130023"/>
        <c:axId val="1517930220"/>
      </c:bar3DChart>
      <c:catAx>
        <c:axId val="517130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930220"/>
      </c:catAx>
      <c:valAx>
        <c:axId val="1517930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130023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Bulan Oktober vs September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HARIAN'!$E$38:$E$39</c:f>
            </c:strRef>
          </c:cat>
          <c:val>
            <c:numRef>
              <c:f>'LAPORAN HARIAN'!$F$38:$F$39</c:f>
              <c:numCache/>
            </c:numRef>
          </c:val>
        </c:ser>
        <c:axId val="1161520986"/>
        <c:axId val="563616451"/>
      </c:bar3DChart>
      <c:catAx>
        <c:axId val="1161520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616451"/>
      </c:catAx>
      <c:valAx>
        <c:axId val="56361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520986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Yamaha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HARIAN'!$E$24:$E$25</c:f>
            </c:strRef>
          </c:cat>
          <c:val>
            <c:numRef>
              <c:f>'LAPORAN HARIAN'!$F$24:$F$25</c:f>
              <c:numCache/>
            </c:numRef>
          </c:val>
        </c:ser>
        <c:axId val="90314012"/>
        <c:axId val="1553223087"/>
      </c:bar3DChart>
      <c:catAx>
        <c:axId val="90314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223087"/>
      </c:catAx>
      <c:valAx>
        <c:axId val="1553223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14012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SMK TBSM Honda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HARIAN'!$E$26:$E$27</c:f>
            </c:strRef>
          </c:cat>
          <c:val>
            <c:numRef>
              <c:f>'LAPORAN HARIAN'!$F$26:$F$27</c:f>
              <c:numCache/>
            </c:numRef>
          </c:val>
        </c:ser>
        <c:axId val="974508064"/>
        <c:axId val="2145355872"/>
      </c:bar3DChart>
      <c:catAx>
        <c:axId val="97450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355872"/>
      </c:catAx>
      <c:valAx>
        <c:axId val="2145355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508064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SMK Non TBSM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HARIAN'!$E$28:$E$29</c:f>
            </c:strRef>
          </c:cat>
          <c:val>
            <c:numRef>
              <c:f>'LAPORAN HARIAN'!$F$28:$F$29</c:f>
              <c:numCache/>
            </c:numRef>
          </c:val>
        </c:ser>
        <c:axId val="326544861"/>
        <c:axId val="1590571323"/>
      </c:bar3DChart>
      <c:catAx>
        <c:axId val="326544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571323"/>
      </c:catAx>
      <c:valAx>
        <c:axId val="1590571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6544861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TK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HARIAN'!$E$30:$E$31</c:f>
            </c:strRef>
          </c:cat>
          <c:val>
            <c:numRef>
              <c:f>'LAPORAN HARIAN'!$F$30:$F$31</c:f>
              <c:numCache/>
            </c:numRef>
          </c:val>
        </c:ser>
        <c:axId val="136702197"/>
        <c:axId val="1568834654"/>
      </c:bar3DChart>
      <c:catAx>
        <c:axId val="136702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834654"/>
      </c:catAx>
      <c:valAx>
        <c:axId val="1568834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02197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Umum Kampus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HARIAN'!$E$32:$E$33</c:f>
            </c:strRef>
          </c:cat>
          <c:val>
            <c:numRef>
              <c:f>'LAPORAN HARIAN'!$F$32:$F$33</c:f>
              <c:numCache/>
            </c:numRef>
          </c:val>
        </c:ser>
        <c:axId val="1631100542"/>
        <c:axId val="793669812"/>
      </c:bar3DChart>
      <c:catAx>
        <c:axId val="1631100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669812"/>
      </c:catAx>
      <c:valAx>
        <c:axId val="793669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100542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Umum Company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HARIAN'!$E$34:$E$35</c:f>
            </c:strRef>
          </c:cat>
          <c:val>
            <c:numRef>
              <c:f>'LAPORAN HARIAN'!$F$34:$F$35</c:f>
              <c:numCache/>
            </c:numRef>
          </c:val>
        </c:ser>
        <c:axId val="1114448991"/>
        <c:axId val="1201342504"/>
      </c:bar3DChart>
      <c:catAx>
        <c:axId val="111444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342504"/>
      </c:catAx>
      <c:valAx>
        <c:axId val="1201342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448991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Pendapatan Umum Komunitas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 w="19050">
              <a:solidFill>
                <a:srgbClr val="00FF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HARIAN'!$E$36:$E$37</c:f>
            </c:strRef>
          </c:cat>
          <c:val>
            <c:numRef>
              <c:f>'LAPORAN HARIAN'!$F$36:$F$37</c:f>
              <c:numCache/>
            </c:numRef>
          </c:val>
        </c:ser>
        <c:axId val="809912720"/>
        <c:axId val="1289682172"/>
      </c:bar3DChart>
      <c:catAx>
        <c:axId val="80991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682172"/>
      </c:catAx>
      <c:valAx>
        <c:axId val="1289682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9912720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HONDA MOTOR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BULANAN'!$E$6:$E$7</c:f>
            </c:strRef>
          </c:cat>
          <c:val>
            <c:numRef>
              <c:f>'LAPORAN BULANAN'!$F$6:$F$7</c:f>
              <c:numCache/>
            </c:numRef>
          </c:val>
        </c:ser>
        <c:axId val="1823133010"/>
        <c:axId val="1628152711"/>
      </c:bar3DChart>
      <c:catAx>
        <c:axId val="1823133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152711"/>
      </c:catAx>
      <c:valAx>
        <c:axId val="16281527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133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WULING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BULANAN'!$E$8:$E$9</c:f>
            </c:strRef>
          </c:cat>
          <c:val>
            <c:numRef>
              <c:f>'LAPORAN BULANAN'!$F$8:$F$9</c:f>
              <c:numCache/>
            </c:numRef>
          </c:val>
        </c:ser>
        <c:axId val="1973555174"/>
        <c:axId val="1454947491"/>
      </c:bar3DChart>
      <c:catAx>
        <c:axId val="1973555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947491"/>
      </c:catAx>
      <c:valAx>
        <c:axId val="145494749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555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HONDA MOBIL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BULANAN'!$E$10:$E$11</c:f>
            </c:strRef>
          </c:cat>
          <c:val>
            <c:numRef>
              <c:f>'LAPORAN BULANAN'!$F$10:$F$11</c:f>
              <c:numCache/>
            </c:numRef>
          </c:val>
        </c:ser>
        <c:axId val="1596747269"/>
        <c:axId val="549175862"/>
      </c:bar3DChart>
      <c:catAx>
        <c:axId val="1596747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175862"/>
      </c:catAx>
      <c:valAx>
        <c:axId val="54917586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47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SUZUKI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BULANAN'!$E$12:$E$13</c:f>
            </c:strRef>
          </c:cat>
          <c:val>
            <c:numRef>
              <c:f>'LAPORAN BULANAN'!$F$12:$F$13</c:f>
              <c:numCache/>
            </c:numRef>
          </c:val>
        </c:ser>
        <c:axId val="683174204"/>
        <c:axId val="1978164410"/>
      </c:bar3DChart>
      <c:catAx>
        <c:axId val="683174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164410"/>
      </c:catAx>
      <c:valAx>
        <c:axId val="197816441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174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DAIHATSU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BULANAN'!$E$14:$E$15</c:f>
            </c:strRef>
          </c:cat>
          <c:val>
            <c:numRef>
              <c:f>'LAPORAN BULANAN'!$F$14:$F$15</c:f>
              <c:numCache/>
            </c:numRef>
          </c:val>
        </c:ser>
        <c:axId val="543356946"/>
        <c:axId val="297013471"/>
      </c:bar3DChart>
      <c:catAx>
        <c:axId val="543356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013471"/>
      </c:catAx>
      <c:valAx>
        <c:axId val="29701347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356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MITSUBISHI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BULANAN'!$E$16:$E$17</c:f>
            </c:strRef>
          </c:cat>
          <c:val>
            <c:numRef>
              <c:f>'LAPORAN BULANAN'!$F$16:$F$17</c:f>
              <c:numCache/>
            </c:numRef>
          </c:val>
        </c:ser>
        <c:axId val="1260459154"/>
        <c:axId val="1421208877"/>
      </c:bar3DChart>
      <c:catAx>
        <c:axId val="1260459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208877"/>
      </c:catAx>
      <c:valAx>
        <c:axId val="14212088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459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UMUM KOMUNITAS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BULANAN'!$E$34:$E$35</c:f>
            </c:strRef>
          </c:cat>
          <c:val>
            <c:numRef>
              <c:f>'LAPORAN BULANAN'!$F$34:$F$35</c:f>
              <c:numCache/>
            </c:numRef>
          </c:val>
        </c:ser>
        <c:axId val="1678598220"/>
        <c:axId val="559143119"/>
      </c:bar3DChart>
      <c:catAx>
        <c:axId val="1678598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143119"/>
      </c:catAx>
      <c:valAx>
        <c:axId val="55914311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598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MAZDA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BULANAN'!$E$18:$E$19</c:f>
            </c:strRef>
          </c:cat>
          <c:val>
            <c:numRef>
              <c:f>'LAPORAN BULANAN'!$F$18:$F$19</c:f>
              <c:numCache/>
            </c:numRef>
          </c:val>
        </c:ser>
        <c:axId val="1737095998"/>
        <c:axId val="1300997756"/>
      </c:bar3DChart>
      <c:catAx>
        <c:axId val="1737095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997756"/>
      </c:catAx>
      <c:valAx>
        <c:axId val="130099775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095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UMUM COMPANY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BULANAN'!$E$32:$E$33</c:f>
            </c:strRef>
          </c:cat>
          <c:val>
            <c:numRef>
              <c:f>'LAPORAN BULANAN'!$F$32:$F$33</c:f>
              <c:numCache/>
            </c:numRef>
          </c:val>
        </c:ser>
        <c:axId val="1393331574"/>
        <c:axId val="2131956628"/>
      </c:bar3DChart>
      <c:catAx>
        <c:axId val="1393331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956628"/>
      </c:catAx>
      <c:valAx>
        <c:axId val="21319566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331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TOYOTA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BULANAN'!$E$20:$E$21</c:f>
            </c:strRef>
          </c:cat>
          <c:val>
            <c:numRef>
              <c:f>'LAPORAN BULANAN'!$F$20:$F$21</c:f>
              <c:numCache/>
            </c:numRef>
          </c:val>
        </c:ser>
        <c:axId val="1191727070"/>
        <c:axId val="1924637468"/>
      </c:bar3DChart>
      <c:catAx>
        <c:axId val="1191727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637468"/>
      </c:catAx>
      <c:valAx>
        <c:axId val="19246374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727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YAMAHA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BULANAN'!$E$22:$E$23</c:f>
            </c:strRef>
          </c:cat>
          <c:val>
            <c:numRef>
              <c:f>'LAPORAN BULANAN'!$F$22:$F$23</c:f>
              <c:numCache/>
            </c:numRef>
          </c:val>
        </c:ser>
        <c:axId val="1900501244"/>
        <c:axId val="1634930313"/>
      </c:bar3DChart>
      <c:catAx>
        <c:axId val="1900501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930313"/>
      </c:catAx>
      <c:valAx>
        <c:axId val="163493031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501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SMK TBSM HONDA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BULANAN'!$E$24:$E$25</c:f>
            </c:strRef>
          </c:cat>
          <c:val>
            <c:numRef>
              <c:f>'LAPORAN BULANAN'!$F$24:$F$25</c:f>
              <c:numCache/>
            </c:numRef>
          </c:val>
        </c:ser>
        <c:axId val="638153250"/>
        <c:axId val="1581711601"/>
      </c:bar3DChart>
      <c:catAx>
        <c:axId val="638153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711601"/>
      </c:catAx>
      <c:valAx>
        <c:axId val="158171160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153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SMK NON TBSM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BULANAN'!$E$26:$E$27</c:f>
            </c:strRef>
          </c:cat>
          <c:val>
            <c:numRef>
              <c:f>'LAPORAN BULANAN'!$F$26:$F$27</c:f>
              <c:numCache/>
            </c:numRef>
          </c:val>
        </c:ser>
        <c:axId val="1369285655"/>
        <c:axId val="867658465"/>
      </c:bar3DChart>
      <c:catAx>
        <c:axId val="1369285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658465"/>
      </c:catAx>
      <c:valAx>
        <c:axId val="86765846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285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UMUM KAMPUS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BULANAN'!$E$30:$E$31</c:f>
            </c:strRef>
          </c:cat>
          <c:val>
            <c:numRef>
              <c:f>'LAPORAN BULANAN'!$F$30:$F$31</c:f>
              <c:numCache/>
            </c:numRef>
          </c:val>
        </c:ser>
        <c:axId val="1302352852"/>
        <c:axId val="1281680216"/>
      </c:bar3DChart>
      <c:catAx>
        <c:axId val="1302352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680216"/>
      </c:catAx>
      <c:valAx>
        <c:axId val="1281680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352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TK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BULANAN'!$E$28:$E$29</c:f>
            </c:strRef>
          </c:cat>
          <c:val>
            <c:numRef>
              <c:f>'LAPORAN BULANAN'!$F$28:$F$29</c:f>
              <c:numCache/>
            </c:numRef>
          </c:val>
        </c:ser>
        <c:axId val="501757979"/>
        <c:axId val="1502340560"/>
      </c:bar3DChart>
      <c:catAx>
        <c:axId val="501757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340560"/>
      </c:catAx>
      <c:valAx>
        <c:axId val="15023405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7579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PENDAPATAN HONDA MOTOR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TGL'!$E$6:$E$7</c:f>
            </c:strRef>
          </c:cat>
          <c:val>
            <c:numRef>
              <c:f>'LAPORAN TGL'!$F$6:$F$7</c:f>
              <c:numCache/>
            </c:numRef>
          </c:val>
        </c:ser>
        <c:axId val="204895"/>
        <c:axId val="1399793323"/>
      </c:bar3DChart>
      <c:catAx>
        <c:axId val="20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793323"/>
      </c:catAx>
      <c:valAx>
        <c:axId val="13997933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WULING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TGL'!$E$8:$E$9</c:f>
            </c:strRef>
          </c:cat>
          <c:val>
            <c:numRef>
              <c:f>'LAPORAN TGL'!$F$8:$F$9</c:f>
              <c:numCache/>
            </c:numRef>
          </c:val>
        </c:ser>
        <c:axId val="2004363008"/>
        <c:axId val="1427553966"/>
      </c:bar3DChart>
      <c:catAx>
        <c:axId val="200436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553966"/>
      </c:catAx>
      <c:valAx>
        <c:axId val="14275539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363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HONDA MOBIL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TGL'!$E$10:$E$11</c:f>
            </c:strRef>
          </c:cat>
          <c:val>
            <c:numRef>
              <c:f>'LAPORAN TGL'!$F$10:$F$11</c:f>
              <c:numCache/>
            </c:numRef>
          </c:val>
        </c:ser>
        <c:axId val="1253682108"/>
        <c:axId val="341965892"/>
      </c:bar3DChart>
      <c:catAx>
        <c:axId val="1253682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965892"/>
      </c:catAx>
      <c:valAx>
        <c:axId val="3419658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682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SUZUKI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TGL'!$E$12:$E$13</c:f>
            </c:strRef>
          </c:cat>
          <c:val>
            <c:numRef>
              <c:f>'LAPORAN TGL'!$F$12:$F$13</c:f>
              <c:numCache/>
            </c:numRef>
          </c:val>
        </c:ser>
        <c:axId val="151929889"/>
        <c:axId val="557112544"/>
      </c:bar3DChart>
      <c:catAx>
        <c:axId val="151929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112544"/>
      </c:catAx>
      <c:valAx>
        <c:axId val="55711254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29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DAIHATSU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TGL'!$E$14:$E$15</c:f>
            </c:strRef>
          </c:cat>
          <c:val>
            <c:numRef>
              <c:f>'LAPORAN TGL'!$F$14:$F$15</c:f>
              <c:numCache/>
            </c:numRef>
          </c:val>
        </c:ser>
        <c:axId val="143869100"/>
        <c:axId val="1414749331"/>
      </c:bar3DChart>
      <c:catAx>
        <c:axId val="143869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749331"/>
      </c:catAx>
      <c:valAx>
        <c:axId val="141474933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69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MITSUBISHI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TGL'!$E$16:$E$17</c:f>
            </c:strRef>
          </c:cat>
          <c:val>
            <c:numRef>
              <c:f>'LAPORAN TGL'!$F$16:$F$17</c:f>
              <c:numCache/>
            </c:numRef>
          </c:val>
        </c:ser>
        <c:axId val="1701116809"/>
        <c:axId val="396069454"/>
      </c:bar3DChart>
      <c:catAx>
        <c:axId val="1701116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069454"/>
      </c:catAx>
      <c:valAx>
        <c:axId val="3960694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116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MAZDA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TGL'!$E$18:$E$19</c:f>
            </c:strRef>
          </c:cat>
          <c:val>
            <c:numRef>
              <c:f>'LAPORAN TGL'!$F$18:$F$19</c:f>
              <c:numCache/>
            </c:numRef>
          </c:val>
        </c:ser>
        <c:axId val="1076357439"/>
        <c:axId val="1615814144"/>
      </c:bar3DChart>
      <c:catAx>
        <c:axId val="107635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814144"/>
      </c:catAx>
      <c:valAx>
        <c:axId val="161581414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357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TOYOTA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TGL'!$E$20:$E$21</c:f>
            </c:strRef>
          </c:cat>
          <c:val>
            <c:numRef>
              <c:f>'LAPORAN TGL'!$F$20:$F$21</c:f>
              <c:numCache/>
            </c:numRef>
          </c:val>
        </c:ser>
        <c:axId val="490359598"/>
        <c:axId val="106489204"/>
      </c:bar3DChart>
      <c:catAx>
        <c:axId val="490359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89204"/>
      </c:catAx>
      <c:valAx>
        <c:axId val="1064892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359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YAMAHA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TGL'!$E$22:$E$23</c:f>
            </c:strRef>
          </c:cat>
          <c:val>
            <c:numRef>
              <c:f>'LAPORAN TGL'!$F$22:$F$23</c:f>
              <c:numCache/>
            </c:numRef>
          </c:val>
        </c:ser>
        <c:axId val="1504651116"/>
        <c:axId val="1460568775"/>
      </c:bar3DChart>
      <c:catAx>
        <c:axId val="1504651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568775"/>
      </c:catAx>
      <c:valAx>
        <c:axId val="146056877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651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SMK TBSM HONDA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TGL'!$E$24:$E$25</c:f>
            </c:strRef>
          </c:cat>
          <c:val>
            <c:numRef>
              <c:f>'LAPORAN TGL'!$F$24:$F$25</c:f>
              <c:numCache/>
            </c:numRef>
          </c:val>
        </c:ser>
        <c:axId val="802873005"/>
        <c:axId val="1448203518"/>
      </c:bar3DChart>
      <c:catAx>
        <c:axId val="802873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203518"/>
      </c:catAx>
      <c:valAx>
        <c:axId val="14482035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873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SMK NON TBSM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TGL'!$E$26:$E$27</c:f>
            </c:strRef>
          </c:cat>
          <c:val>
            <c:numRef>
              <c:f>'LAPORAN TGL'!$F$26:$F$27</c:f>
              <c:numCache/>
            </c:numRef>
          </c:val>
        </c:ser>
        <c:axId val="2030312810"/>
        <c:axId val="909710213"/>
      </c:bar3DChart>
      <c:catAx>
        <c:axId val="2030312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710213"/>
      </c:catAx>
      <c:valAx>
        <c:axId val="90971021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312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TK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TGL'!$E$28:$E$29</c:f>
            </c:strRef>
          </c:cat>
          <c:val>
            <c:numRef>
              <c:f>'LAPORAN TGL'!$F$28:$F$29</c:f>
              <c:numCache/>
            </c:numRef>
          </c:val>
        </c:ser>
        <c:axId val="2119112120"/>
        <c:axId val="471420695"/>
      </c:bar3DChart>
      <c:catAx>
        <c:axId val="2119112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420695"/>
      </c:catAx>
      <c:valAx>
        <c:axId val="47142069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112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UMUM KAMPUS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TGL'!$E$30:$E$31</c:f>
            </c:strRef>
          </c:cat>
          <c:val>
            <c:numRef>
              <c:f>'LAPORAN TGL'!$F$30:$F$31</c:f>
              <c:numCache/>
            </c:numRef>
          </c:val>
        </c:ser>
        <c:axId val="1736116955"/>
        <c:axId val="1084866556"/>
      </c:bar3DChart>
      <c:catAx>
        <c:axId val="1736116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866556"/>
      </c:catAx>
      <c:valAx>
        <c:axId val="108486655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116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UMUM COMPANY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TGL'!$E$32:$E$33</c:f>
            </c:strRef>
          </c:cat>
          <c:val>
            <c:numRef>
              <c:f>'LAPORAN TGL'!$F$32:$F$33</c:f>
              <c:numCache/>
            </c:numRef>
          </c:val>
        </c:ser>
        <c:axId val="1403830857"/>
        <c:axId val="1475238041"/>
      </c:bar3DChart>
      <c:catAx>
        <c:axId val="1403830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238041"/>
      </c:catAx>
      <c:valAx>
        <c:axId val="14752380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830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UMUM KOMUNITAS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TGL'!$E$34:$E$35</c:f>
            </c:strRef>
          </c:cat>
          <c:val>
            <c:numRef>
              <c:f>'LAPORAN TGL'!$F$34:$F$35</c:f>
              <c:numCache/>
            </c:numRef>
          </c:val>
        </c:ser>
        <c:axId val="901484331"/>
        <c:axId val="1866454378"/>
      </c:bar3DChart>
      <c:catAx>
        <c:axId val="901484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454378"/>
      </c:catAx>
      <c:valAx>
        <c:axId val="186645437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484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PENDAPATAN TOTAL
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'LAPORAN TGL'!$E$36:$E$37</c:f>
            </c:strRef>
          </c:cat>
          <c:val>
            <c:numRef>
              <c:f>'LAPORAN TGL'!$F$36:$F$37</c:f>
              <c:numCache/>
            </c:numRef>
          </c:val>
        </c:ser>
        <c:axId val="1452213125"/>
        <c:axId val="1472221496"/>
      </c:bar3DChart>
      <c:catAx>
        <c:axId val="1452213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221496"/>
      </c:catAx>
      <c:valAx>
        <c:axId val="147222149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Pendapatan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213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'HARIAN DESEMBER'!$H$3</c:f>
            </c:strRef>
          </c:cat>
          <c:val>
            <c:numRef>
              <c:f>'HARIAN DESEMBER'!$H$4</c:f>
              <c:numCache/>
            </c:numRef>
          </c:val>
        </c:ser>
        <c:ser>
          <c:idx val="1"/>
          <c:order val="1"/>
          <c:tx>
            <c:strRef>
              <c:f>'HARIAN DESEMBER'!$G$5</c:f>
            </c:strRef>
          </c:tx>
          <c:spPr>
            <a:solidFill>
              <a:srgbClr val="073763"/>
            </a:solidFill>
            <a:ln cmpd="sng">
              <a:solidFill>
                <a:srgbClr val="F4CCCC">
                  <a:alpha val="100000"/>
                </a:srgbClr>
              </a:solidFill>
            </a:ln>
          </c:spPr>
          <c:dPt>
            <c:idx val="0"/>
          </c:dPt>
          <c:cat>
            <c:strRef>
              <c:f>'HARIAN DESEMBER'!$H$3</c:f>
            </c:strRef>
          </c:cat>
          <c:val>
            <c:numRef>
              <c:f>'HARIAN DESEMBER'!$H$5</c:f>
              <c:numCache/>
            </c:numRef>
          </c:val>
        </c:ser>
        <c:axId val="1795417380"/>
        <c:axId val="1091258869"/>
      </c:bar3DChart>
      <c:catAx>
        <c:axId val="1795417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258869"/>
      </c:catAx>
      <c:valAx>
        <c:axId val="109125886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417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DESEMBER'!$G$4:$G$5</c:f>
            </c:strRef>
          </c:cat>
          <c:val>
            <c:numRef>
              <c:f>'HARIAN DESEMBER'!$H$4:$H$5</c:f>
              <c:numCache/>
            </c:numRef>
          </c:val>
        </c:ser>
        <c:ser>
          <c:idx val="1"/>
          <c:order val="1"/>
          <c:tx>
            <c:strRef>
              <c:f>'HARIAN DESEMBER'!$J$3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DESEMBER'!$G$4:$G$5</c:f>
            </c:strRef>
          </c:cat>
          <c:val>
            <c:numRef>
              <c:f>'HARIAN DESEMBER'!$J$4:$J$5</c:f>
              <c:numCache/>
            </c:numRef>
          </c:val>
        </c:ser>
        <c:axId val="481469971"/>
        <c:axId val="884850047"/>
      </c:bar3DChart>
      <c:catAx>
        <c:axId val="4814699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850047"/>
      </c:catAx>
      <c:valAx>
        <c:axId val="88485004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4699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DESEMBER'!$G$56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DESEMBER'!$H$55</c:f>
            </c:strRef>
          </c:cat>
          <c:val>
            <c:numRef>
              <c:f>'HARIAN DESEMBER'!$H$56</c:f>
              <c:numCache/>
            </c:numRef>
          </c:val>
        </c:ser>
        <c:ser>
          <c:idx val="1"/>
          <c:order val="1"/>
          <c:tx>
            <c:strRef>
              <c:f>'HARIAN DESEMBER'!$G$57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DESEMBER'!$H$55</c:f>
            </c:strRef>
          </c:cat>
          <c:val>
            <c:numRef>
              <c:f>'HARIAN DESEMBER'!$H$57</c:f>
              <c:numCache/>
            </c:numRef>
          </c:val>
        </c:ser>
        <c:axId val="835658677"/>
        <c:axId val="1939012764"/>
      </c:bar3DChart>
      <c:catAx>
        <c:axId val="835658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012764"/>
      </c:catAx>
      <c:valAx>
        <c:axId val="19390127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658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DESEMBER'!$H$55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DESEMBER'!$G$56:$G$57</c:f>
            </c:strRef>
          </c:cat>
          <c:val>
            <c:numRef>
              <c:f>'HARIAN DESEMBER'!$H$56:$H$57</c:f>
              <c:numCache/>
            </c:numRef>
          </c:val>
        </c:ser>
        <c:ser>
          <c:idx val="1"/>
          <c:order val="1"/>
          <c:tx>
            <c:strRef>
              <c:f>'HARIAN DESEMBER'!$J$55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DESEMBER'!$G$56:$G$57</c:f>
            </c:strRef>
          </c:cat>
          <c:val>
            <c:numRef>
              <c:f>'HARIAN DESEMBER'!$J$56:$J$57</c:f>
              <c:numCache/>
            </c:numRef>
          </c:val>
        </c:ser>
        <c:axId val="1859596422"/>
        <c:axId val="1603134851"/>
      </c:bar3DChart>
      <c:catAx>
        <c:axId val="1859596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134851"/>
      </c:catAx>
      <c:valAx>
        <c:axId val="160313485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5964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DESEMBER'!$G$82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DESEMBER'!$H$81</c:f>
            </c:strRef>
          </c:cat>
          <c:val>
            <c:numRef>
              <c:f>'HARIAN DESEMBER'!$H$82</c:f>
              <c:numCache/>
            </c:numRef>
          </c:val>
        </c:ser>
        <c:ser>
          <c:idx val="1"/>
          <c:order val="1"/>
          <c:tx>
            <c:strRef>
              <c:f>'HARIAN DESEMBER'!$G$83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DESEMBER'!$H$81</c:f>
            </c:strRef>
          </c:cat>
          <c:val>
            <c:numRef>
              <c:f>'HARIAN DESEMBER'!$H$83</c:f>
              <c:numCache/>
            </c:numRef>
          </c:val>
        </c:ser>
        <c:axId val="421944618"/>
        <c:axId val="299798475"/>
      </c:bar3DChart>
      <c:catAx>
        <c:axId val="421944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798475"/>
      </c:catAx>
      <c:valAx>
        <c:axId val="29979847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944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DESEMBER'!$H$81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DESEMBER'!$G$82:$G$83</c:f>
            </c:strRef>
          </c:cat>
          <c:val>
            <c:numRef>
              <c:f>'HARIAN DESEMBER'!$H$82:$H$83</c:f>
              <c:numCache/>
            </c:numRef>
          </c:val>
        </c:ser>
        <c:ser>
          <c:idx val="1"/>
          <c:order val="1"/>
          <c:tx>
            <c:strRef>
              <c:f>'HARIAN DESEMBER'!$J$81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DESEMBER'!$G$82:$G$83</c:f>
            </c:strRef>
          </c:cat>
          <c:val>
            <c:numRef>
              <c:f>'HARIAN DESEMBER'!$J$82:$J$83</c:f>
              <c:numCache/>
            </c:numRef>
          </c:val>
        </c:ser>
        <c:axId val="254443819"/>
        <c:axId val="1350479773"/>
      </c:bar3DChart>
      <c:catAx>
        <c:axId val="2544438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479773"/>
      </c:catAx>
      <c:valAx>
        <c:axId val="135047977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4438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DESEMBER'!$G$107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DESEMBER'!$H$106</c:f>
            </c:strRef>
          </c:cat>
          <c:val>
            <c:numRef>
              <c:f>'HARIAN DESEMBER'!$H$107</c:f>
              <c:numCache/>
            </c:numRef>
          </c:val>
        </c:ser>
        <c:ser>
          <c:idx val="1"/>
          <c:order val="1"/>
          <c:tx>
            <c:strRef>
              <c:f>'HARIAN DESEMBER'!$G$108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DESEMBER'!$H$106</c:f>
            </c:strRef>
          </c:cat>
          <c:val>
            <c:numRef>
              <c:f>'HARIAN DESEMBER'!$H$108</c:f>
              <c:numCache/>
            </c:numRef>
          </c:val>
        </c:ser>
        <c:axId val="990417290"/>
        <c:axId val="1415292354"/>
      </c:bar3DChart>
      <c:catAx>
        <c:axId val="990417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292354"/>
      </c:catAx>
      <c:valAx>
        <c:axId val="14152923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417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DESEMBER'!$H$106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DESEMBER'!$G$107:$G$108</c:f>
            </c:strRef>
          </c:cat>
          <c:val>
            <c:numRef>
              <c:f>'HARIAN DESEMBER'!$H$107:$H$108</c:f>
              <c:numCache/>
            </c:numRef>
          </c:val>
        </c:ser>
        <c:ser>
          <c:idx val="1"/>
          <c:order val="1"/>
          <c:tx>
            <c:strRef>
              <c:f>'HARIAN DESEMBER'!$J$106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DESEMBER'!$G$107:$G$108</c:f>
            </c:strRef>
          </c:cat>
          <c:val>
            <c:numRef>
              <c:f>'HARIAN DESEMBER'!$J$107:$J$108</c:f>
              <c:numCache/>
            </c:numRef>
          </c:val>
        </c:ser>
        <c:axId val="1430383050"/>
        <c:axId val="911182546"/>
      </c:bar3DChart>
      <c:catAx>
        <c:axId val="14303830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82546"/>
      </c:catAx>
      <c:valAx>
        <c:axId val="91118254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3830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DESEMBER'!$H$131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DESEMBER'!$G$132:$G$133</c:f>
            </c:strRef>
          </c:cat>
          <c:val>
            <c:numRef>
              <c:f>'HARIAN DESEMBER'!$H$132:$H$133</c:f>
              <c:numCache/>
            </c:numRef>
          </c:val>
        </c:ser>
        <c:ser>
          <c:idx val="1"/>
          <c:order val="1"/>
          <c:tx>
            <c:strRef>
              <c:f>'HARIAN DESEMBER'!$J$131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DESEMBER'!$G$132:$G$133</c:f>
            </c:strRef>
          </c:cat>
          <c:val>
            <c:numRef>
              <c:f>'HARIAN DESEMBER'!$J$132:$J$133</c:f>
              <c:numCache/>
            </c:numRef>
          </c:val>
        </c:ser>
        <c:axId val="1436727223"/>
        <c:axId val="2092523226"/>
      </c:bar3DChart>
      <c:catAx>
        <c:axId val="14367272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523226"/>
      </c:catAx>
      <c:valAx>
        <c:axId val="209252322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7272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DESEMBER'!$G$132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DESEMBER'!$H$131</c:f>
            </c:strRef>
          </c:cat>
          <c:val>
            <c:numRef>
              <c:f>'HARIAN DESEMBER'!$H$132</c:f>
              <c:numCache/>
            </c:numRef>
          </c:val>
        </c:ser>
        <c:ser>
          <c:idx val="1"/>
          <c:order val="1"/>
          <c:tx>
            <c:strRef>
              <c:f>'HARIAN DESEMBER'!$G$133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DESEMBER'!$H$131</c:f>
            </c:strRef>
          </c:cat>
          <c:val>
            <c:numRef>
              <c:f>'HARIAN DESEMBER'!$H$133</c:f>
              <c:numCache/>
            </c:numRef>
          </c:val>
        </c:ser>
        <c:axId val="1153305458"/>
        <c:axId val="2082956458"/>
      </c:bar3DChart>
      <c:catAx>
        <c:axId val="1153305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956458"/>
      </c:catAx>
      <c:valAx>
        <c:axId val="208295645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305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DESEMBER'!$G$157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DESEMBER'!$H$156</c:f>
            </c:strRef>
          </c:cat>
          <c:val>
            <c:numRef>
              <c:f>'HARIAN DESEMBER'!$H$157</c:f>
              <c:numCache/>
            </c:numRef>
          </c:val>
        </c:ser>
        <c:ser>
          <c:idx val="1"/>
          <c:order val="1"/>
          <c:tx>
            <c:strRef>
              <c:f>'HARIAN DESEMBER'!$G$158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DESEMBER'!$H$156</c:f>
            </c:strRef>
          </c:cat>
          <c:val>
            <c:numRef>
              <c:f>'HARIAN DESEMBER'!$H$158</c:f>
              <c:numCache/>
            </c:numRef>
          </c:val>
        </c:ser>
        <c:axId val="714292955"/>
        <c:axId val="621845181"/>
      </c:bar3DChart>
      <c:catAx>
        <c:axId val="714292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845181"/>
      </c:catAx>
      <c:valAx>
        <c:axId val="62184518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292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DESEMBER'!$G$157:$G$158</c:f>
            </c:strRef>
          </c:cat>
          <c:val>
            <c:numRef>
              <c:f>'HARIAN DESEMBER'!$H$157:$H$158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DESEMBER'!$G$157:$G$158</c:f>
            </c:strRef>
          </c:cat>
          <c:val>
            <c:numRef>
              <c:f>'HARIAN DESEMBER'!$J$157:$J$158</c:f>
              <c:numCache/>
            </c:numRef>
          </c:val>
        </c:ser>
        <c:axId val="1600746418"/>
        <c:axId val="376491600"/>
      </c:bar3DChart>
      <c:catAx>
        <c:axId val="1600746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491600"/>
      </c:catAx>
      <c:valAx>
        <c:axId val="37649160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746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DESEMBER'!$G$183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DESEMBER'!$H$182</c:f>
            </c:strRef>
          </c:cat>
          <c:val>
            <c:numRef>
              <c:f>'HARIAN DESEMBER'!$H$183</c:f>
              <c:numCache/>
            </c:numRef>
          </c:val>
        </c:ser>
        <c:ser>
          <c:idx val="1"/>
          <c:order val="1"/>
          <c:tx>
            <c:strRef>
              <c:f>'HARIAN DESEMBER'!$G$184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DESEMBER'!$H$182</c:f>
            </c:strRef>
          </c:cat>
          <c:val>
            <c:numRef>
              <c:f>'HARIAN DESEMBER'!$H$184</c:f>
              <c:numCache/>
            </c:numRef>
          </c:val>
        </c:ser>
        <c:axId val="1841852431"/>
        <c:axId val="1856485355"/>
      </c:bar3DChart>
      <c:catAx>
        <c:axId val="184185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485355"/>
      </c:catAx>
      <c:valAx>
        <c:axId val="185648535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852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DESEMBER'!$G$183:$G$184</c:f>
            </c:strRef>
          </c:cat>
          <c:val>
            <c:numRef>
              <c:f>'HARIAN DESEMBER'!$H$183:$H$184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DESEMBER'!$G$183:$G$184</c:f>
            </c:strRef>
          </c:cat>
          <c:val>
            <c:numRef>
              <c:f>'HARIAN DESEMBER'!$J$183:$J$184</c:f>
              <c:numCache/>
            </c:numRef>
          </c:val>
        </c:ser>
        <c:axId val="1948674120"/>
        <c:axId val="1482924512"/>
      </c:bar3DChart>
      <c:catAx>
        <c:axId val="1948674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924512"/>
      </c:catAx>
      <c:valAx>
        <c:axId val="148292451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6741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DESEMBER'!$G$208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DESEMBER'!$H$207</c:f>
            </c:strRef>
          </c:cat>
          <c:val>
            <c:numRef>
              <c:f>'HARIAN DESEMBER'!$H$208</c:f>
              <c:numCache/>
            </c:numRef>
          </c:val>
        </c:ser>
        <c:ser>
          <c:idx val="1"/>
          <c:order val="1"/>
          <c:tx>
            <c:strRef>
              <c:f>'HARIAN DESEMBER'!$G$209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DESEMBER'!$H$207</c:f>
            </c:strRef>
          </c:cat>
          <c:val>
            <c:numRef>
              <c:f>'HARIAN DESEMBER'!$H$209</c:f>
              <c:numCache/>
            </c:numRef>
          </c:val>
        </c:ser>
        <c:axId val="1403831377"/>
        <c:axId val="803059530"/>
      </c:bar3DChart>
      <c:catAx>
        <c:axId val="1403831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059530"/>
      </c:catAx>
      <c:valAx>
        <c:axId val="8030595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831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DESEMBER'!$G$208:$G$209</c:f>
            </c:strRef>
          </c:cat>
          <c:val>
            <c:numRef>
              <c:f>'HARIAN DESEMBER'!$H$208:$H$209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DESEMBER'!$G$208:$G$209</c:f>
            </c:strRef>
          </c:cat>
          <c:val>
            <c:numRef>
              <c:f>'HARIAN DESEMBER'!$J$208:$J$209</c:f>
              <c:numCache/>
            </c:numRef>
          </c:val>
        </c:ser>
        <c:axId val="1965490319"/>
        <c:axId val="226197217"/>
      </c:bar3DChart>
      <c:catAx>
        <c:axId val="19654903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197217"/>
      </c:catAx>
      <c:valAx>
        <c:axId val="22619721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4903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DESEMBER'!$G$233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DESEMBER'!$H$232</c:f>
            </c:strRef>
          </c:cat>
          <c:val>
            <c:numRef>
              <c:f>'HARIAN DESEMBER'!$H$233</c:f>
              <c:numCache/>
            </c:numRef>
          </c:val>
        </c:ser>
        <c:ser>
          <c:idx val="1"/>
          <c:order val="1"/>
          <c:tx>
            <c:strRef>
              <c:f>'HARIAN DESEMBER'!$G$234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DESEMBER'!$H$232</c:f>
            </c:strRef>
          </c:cat>
          <c:val>
            <c:numRef>
              <c:f>'HARIAN DESEMBER'!$H$234</c:f>
              <c:numCache/>
            </c:numRef>
          </c:val>
        </c:ser>
        <c:axId val="777518282"/>
        <c:axId val="1211988726"/>
      </c:bar3DChart>
      <c:catAx>
        <c:axId val="777518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988726"/>
      </c:catAx>
      <c:valAx>
        <c:axId val="121198872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518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DESEMBER'!$G$233:$G$234</c:f>
            </c:strRef>
          </c:cat>
          <c:val>
            <c:numRef>
              <c:f>'HARIAN DESEMBER'!$H$233:$H$234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DESEMBER'!$G$233:$G$234</c:f>
            </c:strRef>
          </c:cat>
          <c:val>
            <c:numRef>
              <c:f>'HARIAN DESEMBER'!$J$233:$J$234</c:f>
              <c:numCache/>
            </c:numRef>
          </c:val>
        </c:ser>
        <c:axId val="393081"/>
        <c:axId val="1787017860"/>
      </c:bar3DChart>
      <c:catAx>
        <c:axId val="3930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017860"/>
      </c:catAx>
      <c:valAx>
        <c:axId val="178701786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0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DESEMBER'!$G$30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'HARIAN DESEMBER'!$H$29</c:f>
            </c:strRef>
          </c:cat>
          <c:val>
            <c:numRef>
              <c:f>'HARIAN DESEMBER'!$H$30</c:f>
              <c:numCache/>
            </c:numRef>
          </c:val>
        </c:ser>
        <c:ser>
          <c:idx val="1"/>
          <c:order val="1"/>
          <c:tx>
            <c:strRef>
              <c:f>'HARIAN DESEMBER'!$G$31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'HARIAN DESEMBER'!$H$29</c:f>
            </c:strRef>
          </c:cat>
          <c:val>
            <c:numRef>
              <c:f>'HARIAN DESEMBER'!$H$31</c:f>
              <c:numCache/>
            </c:numRef>
          </c:val>
        </c:ser>
        <c:axId val="45425594"/>
        <c:axId val="540635061"/>
      </c:bar3DChart>
      <c:catAx>
        <c:axId val="45425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635061"/>
      </c:catAx>
      <c:valAx>
        <c:axId val="54063506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25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DESEMBER'!$H$29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DESEMBER'!$G$30:$G$31</c:f>
            </c:strRef>
          </c:cat>
          <c:val>
            <c:numRef>
              <c:f>'HARIAN DESEMBER'!$H$30:$H$31</c:f>
              <c:numCache/>
            </c:numRef>
          </c:val>
        </c:ser>
        <c:ser>
          <c:idx val="1"/>
          <c:order val="1"/>
          <c:tx>
            <c:strRef>
              <c:f>'HARIAN DESEMBER'!$J$29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DESEMBER'!$G$30:$G$31</c:f>
            </c:strRef>
          </c:cat>
          <c:val>
            <c:numRef>
              <c:f>'HARIAN DESEMBER'!$J$30:$J$31</c:f>
              <c:numCache/>
            </c:numRef>
          </c:val>
        </c:ser>
        <c:axId val="1401784358"/>
        <c:axId val="214919392"/>
      </c:bar3DChart>
      <c:catAx>
        <c:axId val="14017843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19392"/>
      </c:catAx>
      <c:valAx>
        <c:axId val="21491939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7843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DESEMBER'!$H$258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DESEMBER'!$G$259:$G$260</c:f>
            </c:strRef>
          </c:cat>
          <c:val>
            <c:numRef>
              <c:f>'HARIAN DESEMBER'!$H$259:$H$260</c:f>
              <c:numCache/>
            </c:numRef>
          </c:val>
        </c:ser>
        <c:ser>
          <c:idx val="1"/>
          <c:order val="1"/>
          <c:tx>
            <c:strRef>
              <c:f>'HARIAN DESEMBER'!$J$258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DESEMBER'!$G$259:$G$260</c:f>
            </c:strRef>
          </c:cat>
          <c:val>
            <c:numRef>
              <c:f>'HARIAN DESEMBER'!$J$259:$J$260</c:f>
              <c:numCache/>
            </c:numRef>
          </c:val>
        </c:ser>
        <c:axId val="1262544362"/>
        <c:axId val="308286471"/>
      </c:bar3DChart>
      <c:catAx>
        <c:axId val="12625443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286471"/>
      </c:catAx>
      <c:valAx>
        <c:axId val="30828647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5443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DESEMBER'!$G$259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DESEMBER'!$H$258</c:f>
            </c:strRef>
          </c:cat>
          <c:val>
            <c:numRef>
              <c:f>'HARIAN DESEMBER'!$H$259</c:f>
              <c:numCache/>
            </c:numRef>
          </c:val>
        </c:ser>
        <c:ser>
          <c:idx val="1"/>
          <c:order val="1"/>
          <c:tx>
            <c:strRef>
              <c:f>'HARIAN DESEMBER'!$G$260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DESEMBER'!$H$258</c:f>
            </c:strRef>
          </c:cat>
          <c:val>
            <c:numRef>
              <c:f>'HARIAN DESEMBER'!$H$260</c:f>
              <c:numCache/>
            </c:numRef>
          </c:val>
        </c:ser>
        <c:axId val="627791562"/>
        <c:axId val="1894487691"/>
      </c:bar3DChart>
      <c:catAx>
        <c:axId val="627791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487691"/>
      </c:catAx>
      <c:valAx>
        <c:axId val="189448769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791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DESEMBER'!$G$285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DESEMBER'!$H$284</c:f>
            </c:strRef>
          </c:cat>
          <c:val>
            <c:numRef>
              <c:f>'HARIAN DESEMBER'!$H$285</c:f>
              <c:numCache/>
            </c:numRef>
          </c:val>
        </c:ser>
        <c:ser>
          <c:idx val="1"/>
          <c:order val="1"/>
          <c:tx>
            <c:strRef>
              <c:f>'HARIAN DESEMBER'!$G$286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DESEMBER'!$H$284</c:f>
            </c:strRef>
          </c:cat>
          <c:val>
            <c:numRef>
              <c:f>'HARIAN DESEMBER'!$H$286</c:f>
              <c:numCache/>
            </c:numRef>
          </c:val>
        </c:ser>
        <c:axId val="841191263"/>
        <c:axId val="136194611"/>
      </c:bar3DChart>
      <c:catAx>
        <c:axId val="84119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94611"/>
      </c:catAx>
      <c:valAx>
        <c:axId val="1361946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191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DESEMBER'!$H$284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DESEMBER'!$G$285:$G$286</c:f>
            </c:strRef>
          </c:cat>
          <c:val>
            <c:numRef>
              <c:f>'HARIAN DESEMBER'!$H$285:$H$286</c:f>
              <c:numCache/>
            </c:numRef>
          </c:val>
        </c:ser>
        <c:ser>
          <c:idx val="1"/>
          <c:order val="1"/>
          <c:tx>
            <c:strRef>
              <c:f>'HARIAN DESEMBER'!$J$284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DESEMBER'!$G$285:$G$286</c:f>
            </c:strRef>
          </c:cat>
          <c:val>
            <c:numRef>
              <c:f>'HARIAN DESEMBER'!$J$285:$J$286</c:f>
              <c:numCache/>
            </c:numRef>
          </c:val>
        </c:ser>
        <c:axId val="1192666747"/>
        <c:axId val="1584875113"/>
      </c:bar3DChart>
      <c:catAx>
        <c:axId val="1192666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875113"/>
      </c:catAx>
      <c:valAx>
        <c:axId val="158487511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6667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DESEMBER'!$G$311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DESEMBER'!$H$310</c:f>
            </c:strRef>
          </c:cat>
          <c:val>
            <c:numRef>
              <c:f>'HARIAN DESEMBER'!$H$311</c:f>
              <c:numCache/>
            </c:numRef>
          </c:val>
        </c:ser>
        <c:ser>
          <c:idx val="1"/>
          <c:order val="1"/>
          <c:tx>
            <c:strRef>
              <c:f>'HARIAN DESEMBER'!$G$312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DESEMBER'!$H$310</c:f>
            </c:strRef>
          </c:cat>
          <c:val>
            <c:numRef>
              <c:f>'HARIAN DESEMBER'!$H$312</c:f>
              <c:numCache/>
            </c:numRef>
          </c:val>
        </c:ser>
        <c:axId val="1994656818"/>
        <c:axId val="339472137"/>
      </c:bar3DChart>
      <c:catAx>
        <c:axId val="1994656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472137"/>
      </c:catAx>
      <c:valAx>
        <c:axId val="33947213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656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DESEMBER'!$H$310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DESEMBER'!$G$311:$G$312</c:f>
            </c:strRef>
          </c:cat>
          <c:val>
            <c:numRef>
              <c:f>'HARIAN DESEMBER'!$H$311:$H$312</c:f>
              <c:numCache/>
            </c:numRef>
          </c:val>
        </c:ser>
        <c:ser>
          <c:idx val="1"/>
          <c:order val="1"/>
          <c:tx>
            <c:strRef>
              <c:f>'HARIAN DESEMBER'!$J$310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DESEMBER'!$G$311:$G$312</c:f>
            </c:strRef>
          </c:cat>
          <c:val>
            <c:numRef>
              <c:f>'HARIAN DESEMBER'!$J$311:$J$312</c:f>
              <c:numCache/>
            </c:numRef>
          </c:val>
        </c:ser>
        <c:axId val="979754700"/>
        <c:axId val="701556576"/>
      </c:bar3DChart>
      <c:catAx>
        <c:axId val="9797547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556576"/>
      </c:catAx>
      <c:valAx>
        <c:axId val="70155657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7547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DESEMBER'!$G$337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DESEMBER'!$H$336</c:f>
            </c:strRef>
          </c:cat>
          <c:val>
            <c:numRef>
              <c:f>'HARIAN DESEMBER'!$H$337</c:f>
              <c:numCache/>
            </c:numRef>
          </c:val>
        </c:ser>
        <c:ser>
          <c:idx val="1"/>
          <c:order val="1"/>
          <c:tx>
            <c:strRef>
              <c:f>'HARIAN DESEMBER'!$G$338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DESEMBER'!$H$336</c:f>
            </c:strRef>
          </c:cat>
          <c:val>
            <c:numRef>
              <c:f>'HARIAN DESEMBER'!$H$338</c:f>
              <c:numCache/>
            </c:numRef>
          </c:val>
        </c:ser>
        <c:axId val="877314148"/>
        <c:axId val="1452164576"/>
      </c:bar3DChart>
      <c:catAx>
        <c:axId val="877314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164576"/>
      </c:catAx>
      <c:valAx>
        <c:axId val="14521645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314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DESEMBER'!$H$336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DESEMBER'!$G$337:$G$338</c:f>
            </c:strRef>
          </c:cat>
          <c:val>
            <c:numRef>
              <c:f>'HARIAN DESEMBER'!$H$337:$H$338</c:f>
              <c:numCache/>
            </c:numRef>
          </c:val>
        </c:ser>
        <c:ser>
          <c:idx val="1"/>
          <c:order val="1"/>
          <c:tx>
            <c:strRef>
              <c:f>'HARIAN DESEMBER'!$J$336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DESEMBER'!$G$337:$G$338</c:f>
            </c:strRef>
          </c:cat>
          <c:val>
            <c:numRef>
              <c:f>'HARIAN DESEMBER'!$J$337:$J$338</c:f>
              <c:numCache/>
            </c:numRef>
          </c:val>
        </c:ser>
        <c:axId val="94680980"/>
        <c:axId val="1683892996"/>
      </c:bar3DChart>
      <c:catAx>
        <c:axId val="946809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892996"/>
      </c:catAx>
      <c:valAx>
        <c:axId val="168389299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809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DESEMBER'!$G$363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DESEMBER'!$H$362</c:f>
            </c:strRef>
          </c:cat>
          <c:val>
            <c:numRef>
              <c:f>'HARIAN DESEMBER'!$H$363</c:f>
              <c:numCache/>
            </c:numRef>
          </c:val>
        </c:ser>
        <c:ser>
          <c:idx val="1"/>
          <c:order val="1"/>
          <c:tx>
            <c:strRef>
              <c:f>'HARIAN DESEMBER'!$G$364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DESEMBER'!$H$362</c:f>
            </c:strRef>
          </c:cat>
          <c:val>
            <c:numRef>
              <c:f>'HARIAN DESEMBER'!$H$364</c:f>
              <c:numCache/>
            </c:numRef>
          </c:val>
        </c:ser>
        <c:axId val="894061182"/>
        <c:axId val="1434176763"/>
      </c:bar3DChart>
      <c:catAx>
        <c:axId val="894061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176763"/>
      </c:catAx>
      <c:valAx>
        <c:axId val="14341767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061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DESEMBER'!$H$362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DESEMBER'!$G$363:$G$364</c:f>
            </c:strRef>
          </c:cat>
          <c:val>
            <c:numRef>
              <c:f>'HARIAN DESEMBER'!$H$363:$H$364</c:f>
              <c:numCache/>
            </c:numRef>
          </c:val>
        </c:ser>
        <c:ser>
          <c:idx val="1"/>
          <c:order val="1"/>
          <c:tx>
            <c:strRef>
              <c:f>'HARIAN DESEMBER'!$J$362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DESEMBER'!$G$363:$G$364</c:f>
            </c:strRef>
          </c:cat>
          <c:val>
            <c:numRef>
              <c:f>'HARIAN DESEMBER'!$J$363:$J$364</c:f>
              <c:numCache/>
            </c:numRef>
          </c:val>
        </c:ser>
        <c:axId val="1025487504"/>
        <c:axId val="1231598369"/>
      </c:bar3DChart>
      <c:catAx>
        <c:axId val="10254875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598369"/>
      </c:catAx>
      <c:valAx>
        <c:axId val="123159836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4875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DESEMBER'!$G$389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DESEMBER'!$H$388</c:f>
            </c:strRef>
          </c:cat>
          <c:val>
            <c:numRef>
              <c:f>'HARIAN DESEMBER'!$H$389</c:f>
              <c:numCache/>
            </c:numRef>
          </c:val>
        </c:ser>
        <c:ser>
          <c:idx val="1"/>
          <c:order val="1"/>
          <c:tx>
            <c:strRef>
              <c:f>'HARIAN DESEMBER'!$G$390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DESEMBER'!$H$388</c:f>
            </c:strRef>
          </c:cat>
          <c:val>
            <c:numRef>
              <c:f>'HARIAN DESEMBER'!$H$390</c:f>
              <c:numCache/>
            </c:numRef>
          </c:val>
        </c:ser>
        <c:axId val="1759241730"/>
        <c:axId val="169764177"/>
      </c:bar3DChart>
      <c:catAx>
        <c:axId val="1759241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64177"/>
      </c:catAx>
      <c:valAx>
        <c:axId val="1697641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241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DESEMBER'!$H$388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DESEMBER'!$G$389:$G$390</c:f>
            </c:strRef>
          </c:cat>
          <c:val>
            <c:numRef>
              <c:f>'HARIAN DESEMBER'!$H$389:$H$390</c:f>
              <c:numCache/>
            </c:numRef>
          </c:val>
        </c:ser>
        <c:ser>
          <c:idx val="1"/>
          <c:order val="1"/>
          <c:tx>
            <c:strRef>
              <c:f>'HARIAN DESEMBER'!$J$388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DESEMBER'!$G$389:$G$390</c:f>
            </c:strRef>
          </c:cat>
          <c:val>
            <c:numRef>
              <c:f>'HARIAN DESEMBER'!$J$389:$J$390</c:f>
              <c:numCache/>
            </c:numRef>
          </c:val>
        </c:ser>
        <c:axId val="223590182"/>
        <c:axId val="974774886"/>
      </c:bar3DChart>
      <c:catAx>
        <c:axId val="2235901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774886"/>
      </c:catAx>
      <c:valAx>
        <c:axId val="97477488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5901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DESEMBER'!$G$415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DESEMBER'!$H$414</c:f>
            </c:strRef>
          </c:cat>
          <c:val>
            <c:numRef>
              <c:f>'HARIAN DESEMBER'!$H$415</c:f>
              <c:numCache/>
            </c:numRef>
          </c:val>
        </c:ser>
        <c:ser>
          <c:idx val="1"/>
          <c:order val="1"/>
          <c:tx>
            <c:strRef>
              <c:f>'HARIAN DESEMBER'!$G$416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DESEMBER'!$H$414</c:f>
            </c:strRef>
          </c:cat>
          <c:val>
            <c:numRef>
              <c:f>'HARIAN DESEMBER'!$H$416</c:f>
              <c:numCache/>
            </c:numRef>
          </c:val>
        </c:ser>
        <c:axId val="905492000"/>
        <c:axId val="1679097635"/>
      </c:bar3DChart>
      <c:catAx>
        <c:axId val="90549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097635"/>
      </c:catAx>
      <c:valAx>
        <c:axId val="167909763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492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DESEMBER'!$H$414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DESEMBER'!$G$415:$G$416</c:f>
            </c:strRef>
          </c:cat>
          <c:val>
            <c:numRef>
              <c:f>'HARIAN DESEMBER'!$H$415:$H$416</c:f>
              <c:numCache/>
            </c:numRef>
          </c:val>
        </c:ser>
        <c:ser>
          <c:idx val="1"/>
          <c:order val="1"/>
          <c:tx>
            <c:strRef>
              <c:f>'HARIAN DESEMBER'!$J$414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DESEMBER'!$G$415:$G$416</c:f>
            </c:strRef>
          </c:cat>
          <c:val>
            <c:numRef>
              <c:f>'HARIAN DESEMBER'!$J$415:$J$416</c:f>
              <c:numCache/>
            </c:numRef>
          </c:val>
        </c:ser>
        <c:axId val="900935837"/>
        <c:axId val="750178256"/>
      </c:bar3DChart>
      <c:catAx>
        <c:axId val="9009358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178256"/>
      </c:catAx>
      <c:valAx>
        <c:axId val="75017825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9358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DESEMBER'!$G$441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DESEMBER'!$H$440</c:f>
            </c:strRef>
          </c:cat>
          <c:val>
            <c:numRef>
              <c:f>'HARIAN DESEMBER'!$H$441</c:f>
              <c:numCache/>
            </c:numRef>
          </c:val>
        </c:ser>
        <c:ser>
          <c:idx val="1"/>
          <c:order val="1"/>
          <c:tx>
            <c:strRef>
              <c:f>'HARIAN DESEMBER'!$G$442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DESEMBER'!$H$440</c:f>
            </c:strRef>
          </c:cat>
          <c:val>
            <c:numRef>
              <c:f>'HARIAN DESEMBER'!$H$442</c:f>
              <c:numCache/>
            </c:numRef>
          </c:val>
        </c:ser>
        <c:axId val="1150785972"/>
        <c:axId val="1826857273"/>
      </c:bar3DChart>
      <c:catAx>
        <c:axId val="1150785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857273"/>
      </c:catAx>
      <c:valAx>
        <c:axId val="182685727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785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DESEMBER'!$H$440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DESEMBER'!$G$441:$G$442</c:f>
            </c:strRef>
          </c:cat>
          <c:val>
            <c:numRef>
              <c:f>'HARIAN DESEMBER'!$H$441:$H$442</c:f>
              <c:numCache/>
            </c:numRef>
          </c:val>
        </c:ser>
        <c:ser>
          <c:idx val="1"/>
          <c:order val="1"/>
          <c:tx>
            <c:strRef>
              <c:f>'HARIAN DESEMBER'!$J$440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DESEMBER'!$G$441:$G$442</c:f>
            </c:strRef>
          </c:cat>
          <c:val>
            <c:numRef>
              <c:f>'HARIAN DESEMBER'!$J$441:$J$442</c:f>
              <c:numCache/>
            </c:numRef>
          </c:val>
        </c:ser>
        <c:axId val="372275273"/>
        <c:axId val="641427203"/>
      </c:bar3DChart>
      <c:catAx>
        <c:axId val="3722752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427203"/>
      </c:catAx>
      <c:valAx>
        <c:axId val="64142720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2752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DESEMBER'!$G$467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DESEMBER'!$H$466</c:f>
            </c:strRef>
          </c:cat>
          <c:val>
            <c:numRef>
              <c:f>'HARIAN DESEMBER'!$H$467</c:f>
              <c:numCache/>
            </c:numRef>
          </c:val>
        </c:ser>
        <c:ser>
          <c:idx val="1"/>
          <c:order val="1"/>
          <c:tx>
            <c:strRef>
              <c:f>'HARIAN DESEMBER'!$G$468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DESEMBER'!$H$466</c:f>
            </c:strRef>
          </c:cat>
          <c:val>
            <c:numRef>
              <c:f>'HARIAN DESEMBER'!$H$468</c:f>
              <c:numCache/>
            </c:numRef>
          </c:val>
        </c:ser>
        <c:ser>
          <c:idx val="2"/>
          <c:order val="2"/>
          <c:tx>
            <c:strRef>
              <c:f>'HARIAN DESEMBER'!$G$469</c:f>
            </c:strRef>
          </c:tx>
          <c:cat>
            <c:strRef>
              <c:f>'HARIAN DESEMBER'!$H$466</c:f>
            </c:strRef>
          </c:cat>
          <c:val>
            <c:numRef>
              <c:f>'HARIAN DESEMBER'!$H$469</c:f>
              <c:numCache/>
            </c:numRef>
          </c:val>
        </c:ser>
        <c:ser>
          <c:idx val="3"/>
          <c:order val="3"/>
          <c:tx>
            <c:strRef>
              <c:f>'HARIAN DESEMBER'!$G$470</c:f>
            </c:strRef>
          </c:tx>
          <c:cat>
            <c:strRef>
              <c:f>'HARIAN DESEMBER'!$H$466</c:f>
            </c:strRef>
          </c:cat>
          <c:val>
            <c:numRef>
              <c:f>'HARIAN DESEMBER'!$H$470</c:f>
              <c:numCache/>
            </c:numRef>
          </c:val>
        </c:ser>
        <c:axId val="39410946"/>
        <c:axId val="1106265062"/>
      </c:bar3DChart>
      <c:catAx>
        <c:axId val="39410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265062"/>
      </c:catAx>
      <c:valAx>
        <c:axId val="110626506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10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DESEMBER'!$H$466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DESEMBER'!$G$467:$G$470</c:f>
            </c:strRef>
          </c:cat>
          <c:val>
            <c:numRef>
              <c:f>'HARIAN DESEMBER'!$H$467:$H$470</c:f>
              <c:numCache/>
            </c:numRef>
          </c:val>
        </c:ser>
        <c:ser>
          <c:idx val="1"/>
          <c:order val="1"/>
          <c:tx>
            <c:strRef>
              <c:f>'HARIAN DESEMBER'!$J$466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DESEMBER'!$G$467:$G$470</c:f>
            </c:strRef>
          </c:cat>
          <c:val>
            <c:numRef>
              <c:f>'HARIAN DESEMBER'!$J$467:$J$470</c:f>
              <c:numCache/>
            </c:numRef>
          </c:val>
        </c:ser>
        <c:axId val="698312467"/>
        <c:axId val="1879482097"/>
      </c:bar3DChart>
      <c:catAx>
        <c:axId val="6983124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482097"/>
      </c:catAx>
      <c:valAx>
        <c:axId val="187948209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3124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DESEMBER'!$G$492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DESEMBER'!$H$491</c:f>
            </c:strRef>
          </c:cat>
          <c:val>
            <c:numRef>
              <c:f>'HARIAN DESEMBER'!$H$492</c:f>
              <c:numCache/>
            </c:numRef>
          </c:val>
        </c:ser>
        <c:ser>
          <c:idx val="1"/>
          <c:order val="1"/>
          <c:tx>
            <c:strRef>
              <c:f>'HARIAN DESEMBER'!$G$493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DESEMBER'!$H$491</c:f>
            </c:strRef>
          </c:cat>
          <c:val>
            <c:numRef>
              <c:f>'HARIAN DESEMBER'!$H$493</c:f>
              <c:numCache/>
            </c:numRef>
          </c:val>
        </c:ser>
        <c:ser>
          <c:idx val="2"/>
          <c:order val="2"/>
          <c:tx>
            <c:strRef>
              <c:f>'HARIAN DESEMBER'!$G$494</c:f>
            </c:strRef>
          </c:tx>
          <c:cat>
            <c:strRef>
              <c:f>'HARIAN DESEMBER'!$H$491</c:f>
            </c:strRef>
          </c:cat>
          <c:val>
            <c:numRef>
              <c:f>'HARIAN DESEMBER'!$H$494</c:f>
              <c:numCache/>
            </c:numRef>
          </c:val>
        </c:ser>
        <c:ser>
          <c:idx val="3"/>
          <c:order val="3"/>
          <c:tx>
            <c:strRef>
              <c:f>'HARIAN DESEMBER'!$G$495</c:f>
            </c:strRef>
          </c:tx>
          <c:cat>
            <c:strRef>
              <c:f>'HARIAN DESEMBER'!$H$491</c:f>
            </c:strRef>
          </c:cat>
          <c:val>
            <c:numRef>
              <c:f>'HARIAN DESEMBER'!$H$495</c:f>
              <c:numCache/>
            </c:numRef>
          </c:val>
        </c:ser>
        <c:axId val="1011916843"/>
        <c:axId val="541532425"/>
      </c:bar3DChart>
      <c:catAx>
        <c:axId val="1011916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532425"/>
      </c:catAx>
      <c:valAx>
        <c:axId val="54153242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916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DESEMBER'!$H$491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DESEMBER'!$G$492:$G$495</c:f>
            </c:strRef>
          </c:cat>
          <c:val>
            <c:numRef>
              <c:f>'HARIAN DESEMBER'!$H$492:$H$495</c:f>
              <c:numCache/>
            </c:numRef>
          </c:val>
        </c:ser>
        <c:ser>
          <c:idx val="1"/>
          <c:order val="1"/>
          <c:tx>
            <c:strRef>
              <c:f>'HARIAN DESEMBER'!$J$491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DESEMBER'!$G$492:$G$495</c:f>
            </c:strRef>
          </c:cat>
          <c:val>
            <c:numRef>
              <c:f>'HARIAN DESEMBER'!$J$492:$J$495</c:f>
              <c:numCache/>
            </c:numRef>
          </c:val>
        </c:ser>
        <c:axId val="1998402115"/>
        <c:axId val="1619273140"/>
      </c:bar3DChart>
      <c:catAx>
        <c:axId val="19984021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273140"/>
      </c:catAx>
      <c:valAx>
        <c:axId val="161927314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4021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DESEMBER'!$G$518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DESEMBER'!$H$517</c:f>
            </c:strRef>
          </c:cat>
          <c:val>
            <c:numRef>
              <c:f>'HARIAN DESEMBER'!$H$518</c:f>
              <c:numCache/>
            </c:numRef>
          </c:val>
        </c:ser>
        <c:ser>
          <c:idx val="1"/>
          <c:order val="1"/>
          <c:tx>
            <c:strRef>
              <c:f>'HARIAN DESEMBER'!$G$519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DESEMBER'!$H$517</c:f>
            </c:strRef>
          </c:cat>
          <c:val>
            <c:numRef>
              <c:f>'HARIAN DESEMBER'!$H$519</c:f>
              <c:numCache/>
            </c:numRef>
          </c:val>
        </c:ser>
        <c:ser>
          <c:idx val="2"/>
          <c:order val="2"/>
          <c:tx>
            <c:strRef>
              <c:f>'HARIAN DESEMBER'!$G$520</c:f>
            </c:strRef>
          </c:tx>
          <c:cat>
            <c:strRef>
              <c:f>'HARIAN DESEMBER'!$H$517</c:f>
            </c:strRef>
          </c:cat>
          <c:val>
            <c:numRef>
              <c:f>'HARIAN DESEMBER'!$H$520</c:f>
              <c:numCache/>
            </c:numRef>
          </c:val>
        </c:ser>
        <c:ser>
          <c:idx val="3"/>
          <c:order val="3"/>
          <c:tx>
            <c:strRef>
              <c:f>'HARIAN DESEMBER'!$G$521</c:f>
            </c:strRef>
          </c:tx>
          <c:cat>
            <c:strRef>
              <c:f>'HARIAN DESEMBER'!$H$517</c:f>
            </c:strRef>
          </c:cat>
          <c:val>
            <c:numRef>
              <c:f>'HARIAN DESEMBER'!$H$521</c:f>
              <c:numCache/>
            </c:numRef>
          </c:val>
        </c:ser>
        <c:axId val="305869750"/>
        <c:axId val="1525518973"/>
      </c:bar3DChart>
      <c:catAx>
        <c:axId val="305869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518973"/>
      </c:catAx>
      <c:valAx>
        <c:axId val="152551897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869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DESEMBER'!$H$517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DESEMBER'!$G$518:$G$521</c:f>
            </c:strRef>
          </c:cat>
          <c:val>
            <c:numRef>
              <c:f>'HARIAN DESEMBER'!$H$518:$H$521</c:f>
              <c:numCache/>
            </c:numRef>
          </c:val>
        </c:ser>
        <c:ser>
          <c:idx val="1"/>
          <c:order val="1"/>
          <c:tx>
            <c:strRef>
              <c:f>'HARIAN DESEMBER'!$J$517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DESEMBER'!$G$518:$G$521</c:f>
            </c:strRef>
          </c:cat>
          <c:val>
            <c:numRef>
              <c:f>'HARIAN DESEMBER'!$J$518:$J$521</c:f>
              <c:numCache/>
            </c:numRef>
          </c:val>
        </c:ser>
        <c:axId val="1657647005"/>
        <c:axId val="1581639169"/>
      </c:bar3DChart>
      <c:catAx>
        <c:axId val="1657647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39169"/>
      </c:catAx>
      <c:valAx>
        <c:axId val="158163916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6470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DESEMBER'!$G$543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DESEMBER'!$H$542</c:f>
            </c:strRef>
          </c:cat>
          <c:val>
            <c:numRef>
              <c:f>'HARIAN DESEMBER'!$H$543</c:f>
              <c:numCache/>
            </c:numRef>
          </c:val>
        </c:ser>
        <c:ser>
          <c:idx val="1"/>
          <c:order val="1"/>
          <c:tx>
            <c:strRef>
              <c:f>'HARIAN DESEMBER'!$G$544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DESEMBER'!$H$542</c:f>
            </c:strRef>
          </c:cat>
          <c:val>
            <c:numRef>
              <c:f>'HARIAN DESEMBER'!$H$544</c:f>
              <c:numCache/>
            </c:numRef>
          </c:val>
        </c:ser>
        <c:ser>
          <c:idx val="2"/>
          <c:order val="2"/>
          <c:tx>
            <c:strRef>
              <c:f>'HARIAN DESEMBER'!$G$545</c:f>
            </c:strRef>
          </c:tx>
          <c:cat>
            <c:strRef>
              <c:f>'HARIAN DESEMBER'!$H$542</c:f>
            </c:strRef>
          </c:cat>
          <c:val>
            <c:numRef>
              <c:f>'HARIAN DESEMBER'!$H$545</c:f>
              <c:numCache/>
            </c:numRef>
          </c:val>
        </c:ser>
        <c:ser>
          <c:idx val="3"/>
          <c:order val="3"/>
          <c:tx>
            <c:strRef>
              <c:f>'HARIAN DESEMBER'!$G$546</c:f>
            </c:strRef>
          </c:tx>
          <c:cat>
            <c:strRef>
              <c:f>'HARIAN DESEMBER'!$H$542</c:f>
            </c:strRef>
          </c:cat>
          <c:val>
            <c:numRef>
              <c:f>'HARIAN DESEMBER'!$H$546</c:f>
              <c:numCache/>
            </c:numRef>
          </c:val>
        </c:ser>
        <c:axId val="1354793713"/>
        <c:axId val="2085686310"/>
      </c:bar3DChart>
      <c:catAx>
        <c:axId val="1354793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686310"/>
      </c:catAx>
      <c:valAx>
        <c:axId val="208568631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793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DESEMBER'!$H$542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DESEMBER'!$G$543:$G$546</c:f>
            </c:strRef>
          </c:cat>
          <c:val>
            <c:numRef>
              <c:f>'HARIAN DESEMBER'!$H$543:$H$546</c:f>
              <c:numCache/>
            </c:numRef>
          </c:val>
        </c:ser>
        <c:ser>
          <c:idx val="1"/>
          <c:order val="1"/>
          <c:tx>
            <c:strRef>
              <c:f>'HARIAN DESEMBER'!$J$542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DESEMBER'!$G$543:$G$546</c:f>
            </c:strRef>
          </c:cat>
          <c:val>
            <c:numRef>
              <c:f>'HARIAN DESEMBER'!$J$543:$J$546</c:f>
              <c:numCache/>
            </c:numRef>
          </c:val>
        </c:ser>
        <c:axId val="1975797174"/>
        <c:axId val="1068821482"/>
      </c:bar3DChart>
      <c:catAx>
        <c:axId val="19757971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821482"/>
      </c:catAx>
      <c:valAx>
        <c:axId val="106882148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7971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DESEMBER'!$G$568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DESEMBER'!$H$567</c:f>
            </c:strRef>
          </c:cat>
          <c:val>
            <c:numRef>
              <c:f>'HARIAN DESEMBER'!$H$568</c:f>
              <c:numCache/>
            </c:numRef>
          </c:val>
        </c:ser>
        <c:ser>
          <c:idx val="1"/>
          <c:order val="1"/>
          <c:tx>
            <c:strRef>
              <c:f>'HARIAN DESEMBER'!$G$569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DESEMBER'!$H$567</c:f>
            </c:strRef>
          </c:cat>
          <c:val>
            <c:numRef>
              <c:f>'HARIAN DESEMBER'!$H$569</c:f>
              <c:numCache/>
            </c:numRef>
          </c:val>
        </c:ser>
        <c:ser>
          <c:idx val="2"/>
          <c:order val="2"/>
          <c:tx>
            <c:strRef>
              <c:f>'HARIAN DESEMBER'!$G$570</c:f>
            </c:strRef>
          </c:tx>
          <c:cat>
            <c:strRef>
              <c:f>'HARIAN DESEMBER'!$H$567</c:f>
            </c:strRef>
          </c:cat>
          <c:val>
            <c:numRef>
              <c:f>'HARIAN DESEMBER'!$H$570</c:f>
              <c:numCache/>
            </c:numRef>
          </c:val>
        </c:ser>
        <c:ser>
          <c:idx val="3"/>
          <c:order val="3"/>
          <c:tx>
            <c:strRef>
              <c:f>'HARIAN DESEMBER'!$G$571</c:f>
            </c:strRef>
          </c:tx>
          <c:cat>
            <c:strRef>
              <c:f>'HARIAN DESEMBER'!$H$567</c:f>
            </c:strRef>
          </c:cat>
          <c:val>
            <c:numRef>
              <c:f>'HARIAN DESEMBER'!$H$571</c:f>
              <c:numCache/>
            </c:numRef>
          </c:val>
        </c:ser>
        <c:axId val="1264537870"/>
        <c:axId val="1794038411"/>
      </c:bar3DChart>
      <c:catAx>
        <c:axId val="1264537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038411"/>
      </c:catAx>
      <c:valAx>
        <c:axId val="17940384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537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DESEMBER'!$H$567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DESEMBER'!$G$568:$G$571</c:f>
            </c:strRef>
          </c:cat>
          <c:val>
            <c:numRef>
              <c:f>'HARIAN DESEMBER'!$H$568:$H$571</c:f>
              <c:numCache/>
            </c:numRef>
          </c:val>
        </c:ser>
        <c:ser>
          <c:idx val="1"/>
          <c:order val="1"/>
          <c:tx>
            <c:strRef>
              <c:f>'HARIAN DESEMBER'!$J$567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DESEMBER'!$G$568:$G$571</c:f>
            </c:strRef>
          </c:cat>
          <c:val>
            <c:numRef>
              <c:f>'HARIAN DESEMBER'!$J$568:$J$571</c:f>
              <c:numCache/>
            </c:numRef>
          </c:val>
        </c:ser>
        <c:axId val="1281658029"/>
        <c:axId val="334276167"/>
      </c:bar3DChart>
      <c:catAx>
        <c:axId val="12816580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276167"/>
      </c:catAx>
      <c:valAx>
        <c:axId val="33427616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6580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DESEMBER'!$G$593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DESEMBER'!$H$592</c:f>
            </c:strRef>
          </c:cat>
          <c:val>
            <c:numRef>
              <c:f>'HARIAN DESEMBER'!$H$593</c:f>
              <c:numCache/>
            </c:numRef>
          </c:val>
        </c:ser>
        <c:ser>
          <c:idx val="1"/>
          <c:order val="1"/>
          <c:tx>
            <c:strRef>
              <c:f>'HARIAN DESEMBER'!$G$594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DESEMBER'!$H$592</c:f>
            </c:strRef>
          </c:cat>
          <c:val>
            <c:numRef>
              <c:f>'HARIAN DESEMBER'!$H$594</c:f>
              <c:numCache/>
            </c:numRef>
          </c:val>
        </c:ser>
        <c:ser>
          <c:idx val="2"/>
          <c:order val="2"/>
          <c:tx>
            <c:strRef>
              <c:f>'HARIAN DESEMBER'!$G$595</c:f>
            </c:strRef>
          </c:tx>
          <c:cat>
            <c:strRef>
              <c:f>'HARIAN DESEMBER'!$H$592</c:f>
            </c:strRef>
          </c:cat>
          <c:val>
            <c:numRef>
              <c:f>'HARIAN DESEMBER'!$H$595</c:f>
              <c:numCache/>
            </c:numRef>
          </c:val>
        </c:ser>
        <c:ser>
          <c:idx val="3"/>
          <c:order val="3"/>
          <c:tx>
            <c:strRef>
              <c:f>'HARIAN DESEMBER'!$G$596</c:f>
            </c:strRef>
          </c:tx>
          <c:cat>
            <c:strRef>
              <c:f>'HARIAN DESEMBER'!$H$592</c:f>
            </c:strRef>
          </c:cat>
          <c:val>
            <c:numRef>
              <c:f>'HARIAN DESEMBER'!$H$596</c:f>
              <c:numCache/>
            </c:numRef>
          </c:val>
        </c:ser>
        <c:axId val="1207501407"/>
        <c:axId val="1203130732"/>
      </c:bar3DChart>
      <c:catAx>
        <c:axId val="1207501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130732"/>
      </c:catAx>
      <c:valAx>
        <c:axId val="12031307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501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DESEMBER'!$H$592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DESEMBER'!$G$593:$G$596</c:f>
            </c:strRef>
          </c:cat>
          <c:val>
            <c:numRef>
              <c:f>'HARIAN DESEMBER'!$H$593:$H$596</c:f>
              <c:numCache/>
            </c:numRef>
          </c:val>
        </c:ser>
        <c:ser>
          <c:idx val="1"/>
          <c:order val="1"/>
          <c:tx>
            <c:strRef>
              <c:f>'HARIAN DESEMBER'!$J$592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DESEMBER'!$G$593:$G$596</c:f>
            </c:strRef>
          </c:cat>
          <c:val>
            <c:numRef>
              <c:f>'HARIAN DESEMBER'!$J$593:$J$596</c:f>
              <c:numCache/>
            </c:numRef>
          </c:val>
        </c:ser>
        <c:axId val="21121684"/>
        <c:axId val="429349285"/>
      </c:bar3DChart>
      <c:catAx>
        <c:axId val="211216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349285"/>
      </c:catAx>
      <c:valAx>
        <c:axId val="42934928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16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DESEMBER'!$G$618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DESEMBER'!$H$617</c:f>
            </c:strRef>
          </c:cat>
          <c:val>
            <c:numRef>
              <c:f>'HARIAN DESEMBER'!$H$618</c:f>
              <c:numCache/>
            </c:numRef>
          </c:val>
        </c:ser>
        <c:ser>
          <c:idx val="1"/>
          <c:order val="1"/>
          <c:tx>
            <c:strRef>
              <c:f>'HARIAN DESEMBER'!$G$619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DESEMBER'!$H$617</c:f>
            </c:strRef>
          </c:cat>
          <c:val>
            <c:numRef>
              <c:f>'HARIAN DESEMBER'!$H$619</c:f>
              <c:numCache/>
            </c:numRef>
          </c:val>
        </c:ser>
        <c:ser>
          <c:idx val="2"/>
          <c:order val="2"/>
          <c:tx>
            <c:strRef>
              <c:f>'HARIAN DESEMBER'!$G$620</c:f>
            </c:strRef>
          </c:tx>
          <c:cat>
            <c:strRef>
              <c:f>'HARIAN DESEMBER'!$H$617</c:f>
            </c:strRef>
          </c:cat>
          <c:val>
            <c:numRef>
              <c:f>'HARIAN DESEMBER'!$H$620</c:f>
              <c:numCache/>
            </c:numRef>
          </c:val>
        </c:ser>
        <c:ser>
          <c:idx val="3"/>
          <c:order val="3"/>
          <c:tx>
            <c:strRef>
              <c:f>'HARIAN DESEMBER'!$G$621</c:f>
            </c:strRef>
          </c:tx>
          <c:cat>
            <c:strRef>
              <c:f>'HARIAN DESEMBER'!$H$617</c:f>
            </c:strRef>
          </c:cat>
          <c:val>
            <c:numRef>
              <c:f>'HARIAN DESEMBER'!$H$621</c:f>
              <c:numCache/>
            </c:numRef>
          </c:val>
        </c:ser>
        <c:axId val="1686390250"/>
        <c:axId val="1330023507"/>
      </c:bar3DChart>
      <c:catAx>
        <c:axId val="1686390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023507"/>
      </c:catAx>
      <c:valAx>
        <c:axId val="133002350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390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DESEMBER'!$H$617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DESEMBER'!$G$618:$G$621</c:f>
            </c:strRef>
          </c:cat>
          <c:val>
            <c:numRef>
              <c:f>'HARIAN DESEMBER'!$H$618:$H$621</c:f>
              <c:numCache/>
            </c:numRef>
          </c:val>
        </c:ser>
        <c:ser>
          <c:idx val="1"/>
          <c:order val="1"/>
          <c:tx>
            <c:strRef>
              <c:f>'HARIAN DESEMBER'!$J$617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DESEMBER'!$G$618:$G$621</c:f>
            </c:strRef>
          </c:cat>
          <c:val>
            <c:numRef>
              <c:f>'HARIAN DESEMBER'!$J$618:$J$621</c:f>
              <c:numCache/>
            </c:numRef>
          </c:val>
        </c:ser>
        <c:axId val="613965633"/>
        <c:axId val="2087076570"/>
      </c:bar3DChart>
      <c:catAx>
        <c:axId val="6139656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076570"/>
      </c:catAx>
      <c:valAx>
        <c:axId val="208707657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9656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DESEMBER'!$G$643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DESEMBER'!$H$642</c:f>
            </c:strRef>
          </c:cat>
          <c:val>
            <c:numRef>
              <c:f>'HARIAN DESEMBER'!$H$643</c:f>
              <c:numCache/>
            </c:numRef>
          </c:val>
        </c:ser>
        <c:ser>
          <c:idx val="1"/>
          <c:order val="1"/>
          <c:tx>
            <c:strRef>
              <c:f>'HARIAN DESEMBER'!$G$644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DESEMBER'!$H$642</c:f>
            </c:strRef>
          </c:cat>
          <c:val>
            <c:numRef>
              <c:f>'HARIAN DESEMBER'!$H$644</c:f>
              <c:numCache/>
            </c:numRef>
          </c:val>
        </c:ser>
        <c:ser>
          <c:idx val="2"/>
          <c:order val="2"/>
          <c:tx>
            <c:strRef>
              <c:f>'HARIAN DESEMBER'!$G$645</c:f>
            </c:strRef>
          </c:tx>
          <c:cat>
            <c:strRef>
              <c:f>'HARIAN DESEMBER'!$H$642</c:f>
            </c:strRef>
          </c:cat>
          <c:val>
            <c:numRef>
              <c:f>'HARIAN DESEMBER'!$H$645</c:f>
              <c:numCache/>
            </c:numRef>
          </c:val>
        </c:ser>
        <c:ser>
          <c:idx val="3"/>
          <c:order val="3"/>
          <c:tx>
            <c:strRef>
              <c:f>'HARIAN DESEMBER'!$G$646</c:f>
            </c:strRef>
          </c:tx>
          <c:cat>
            <c:strRef>
              <c:f>'HARIAN DESEMBER'!$H$642</c:f>
            </c:strRef>
          </c:cat>
          <c:val>
            <c:numRef>
              <c:f>'HARIAN DESEMBER'!$H$646</c:f>
              <c:numCache/>
            </c:numRef>
          </c:val>
        </c:ser>
        <c:axId val="18767933"/>
        <c:axId val="838956139"/>
      </c:bar3DChart>
      <c:catAx>
        <c:axId val="18767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956139"/>
      </c:catAx>
      <c:valAx>
        <c:axId val="83895613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7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DESEMBER'!$H$440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DESEMBER'!$G$441:$G$442</c:f>
            </c:strRef>
          </c:cat>
          <c:val>
            <c:numRef>
              <c:f>'HARIAN DESEMBER'!$H$441:$H$442</c:f>
              <c:numCache/>
            </c:numRef>
          </c:val>
        </c:ser>
        <c:ser>
          <c:idx val="1"/>
          <c:order val="1"/>
          <c:tx>
            <c:strRef>
              <c:f>'HARIAN DESEMBER'!$J$440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DESEMBER'!$G$441:$G$442</c:f>
            </c:strRef>
          </c:cat>
          <c:val>
            <c:numRef>
              <c:f>'HARIAN DESEMBER'!$J$441:$J$442</c:f>
              <c:numCache/>
            </c:numRef>
          </c:val>
        </c:ser>
        <c:axId val="577916166"/>
        <c:axId val="383185756"/>
      </c:bar3DChart>
      <c:catAx>
        <c:axId val="5779161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185756"/>
      </c:catAx>
      <c:valAx>
        <c:axId val="38318575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9161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 vs BULAN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SUMMARY!$A$41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SUMMARY!$B$40</c:f>
            </c:strRef>
          </c:cat>
          <c:val>
            <c:numRef>
              <c:f>SUMMARY!$B$41</c:f>
              <c:numCache/>
            </c:numRef>
          </c:val>
        </c:ser>
        <c:ser>
          <c:idx val="1"/>
          <c:order val="1"/>
          <c:tx>
            <c:strRef>
              <c:f>SUMMARY!$A$42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SUMMARY!$B$40</c:f>
            </c:strRef>
          </c:cat>
          <c:val>
            <c:numRef>
              <c:f>SUMMARY!$B$42</c:f>
              <c:numCache/>
            </c:numRef>
          </c:val>
        </c:ser>
        <c:ser>
          <c:idx val="2"/>
          <c:order val="2"/>
          <c:tx>
            <c:strRef>
              <c:f>SUMMARY!$A$43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SUMMARY!$B$40</c:f>
            </c:strRef>
          </c:cat>
          <c:val>
            <c:numRef>
              <c:f>SUMMARY!$B$43</c:f>
              <c:numCache/>
            </c:numRef>
          </c:val>
        </c:ser>
        <c:ser>
          <c:idx val="3"/>
          <c:order val="3"/>
          <c:tx>
            <c:strRef>
              <c:f>SUMMARY!$A$44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SUMMARY!$B$40</c:f>
            </c:strRef>
          </c:cat>
          <c:val>
            <c:numRef>
              <c:f>SUMMARY!$B$44</c:f>
              <c:numCache/>
            </c:numRef>
          </c:val>
        </c:ser>
        <c:axId val="732228569"/>
        <c:axId val="1627279473"/>
      </c:bar3DChart>
      <c:catAx>
        <c:axId val="732228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279473"/>
      </c:catAx>
      <c:valAx>
        <c:axId val="1627279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228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'HARIAN JANUARI 26'!$H$3</c:f>
            </c:strRef>
          </c:cat>
          <c:val>
            <c:numRef>
              <c:f>'HARIAN JANUARI 26'!$H$4</c:f>
              <c:numCache/>
            </c:numRef>
          </c:val>
        </c:ser>
        <c:ser>
          <c:idx val="1"/>
          <c:order val="1"/>
          <c:tx>
            <c:strRef>
              <c:f>'HARIAN JANUARI 26'!$G$5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'HARIAN JANUARI 26'!$H$3</c:f>
            </c:strRef>
          </c:cat>
          <c:val>
            <c:numRef>
              <c:f>'HARIAN JANUARI 26'!$H$5</c:f>
              <c:numCache/>
            </c:numRef>
          </c:val>
        </c:ser>
        <c:axId val="1914636001"/>
        <c:axId val="1522672988"/>
      </c:bar3DChart>
      <c:catAx>
        <c:axId val="191463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672988"/>
      </c:catAx>
      <c:valAx>
        <c:axId val="15226729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636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26'!$G$4:$G$5</c:f>
            </c:strRef>
          </c:cat>
          <c:val>
            <c:numRef>
              <c:f>'HARIAN JANUARI 26'!$H$4:$H$5</c:f>
              <c:numCache/>
            </c:numRef>
          </c:val>
        </c:ser>
        <c:ser>
          <c:idx val="1"/>
          <c:order val="1"/>
          <c:tx>
            <c:strRef>
              <c:f>'HARIAN JANUARI 26'!$J$3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26'!$G$4:$G$5</c:f>
            </c:strRef>
          </c:cat>
          <c:val>
            <c:numRef>
              <c:f>'HARIAN JANUARI 26'!$J$4:$J$5</c:f>
              <c:numCache/>
            </c:numRef>
          </c:val>
        </c:ser>
        <c:axId val="540197875"/>
        <c:axId val="1982936353"/>
      </c:bar3DChart>
      <c:catAx>
        <c:axId val="5401978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936353"/>
      </c:catAx>
      <c:valAx>
        <c:axId val="198293635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1978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26'!$G$56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26'!$H$55</c:f>
            </c:strRef>
          </c:cat>
          <c:val>
            <c:numRef>
              <c:f>'HARIAN JANUARI 26'!$H$56</c:f>
              <c:numCache/>
            </c:numRef>
          </c:val>
        </c:ser>
        <c:ser>
          <c:idx val="1"/>
          <c:order val="1"/>
          <c:tx>
            <c:strRef>
              <c:f>'HARIAN JANUARI 26'!$G$57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26'!$H$55</c:f>
            </c:strRef>
          </c:cat>
          <c:val>
            <c:numRef>
              <c:f>'HARIAN JANUARI 26'!$H$57</c:f>
              <c:numCache/>
            </c:numRef>
          </c:val>
        </c:ser>
        <c:axId val="2123796587"/>
        <c:axId val="1330532833"/>
      </c:bar3DChart>
      <c:catAx>
        <c:axId val="2123796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532833"/>
      </c:catAx>
      <c:valAx>
        <c:axId val="133053283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796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26'!$H$55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26'!$G$56:$G$57</c:f>
            </c:strRef>
          </c:cat>
          <c:val>
            <c:numRef>
              <c:f>'HARIAN JANUARI 26'!$H$56:$H$57</c:f>
              <c:numCache/>
            </c:numRef>
          </c:val>
        </c:ser>
        <c:ser>
          <c:idx val="1"/>
          <c:order val="1"/>
          <c:tx>
            <c:strRef>
              <c:f>'HARIAN JANUARI 26'!$J$55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26'!$G$56:$G$57</c:f>
            </c:strRef>
          </c:cat>
          <c:val>
            <c:numRef>
              <c:f>'HARIAN JANUARI 26'!$J$56:$J$57</c:f>
              <c:numCache/>
            </c:numRef>
          </c:val>
        </c:ser>
        <c:axId val="1957350358"/>
        <c:axId val="1737491762"/>
      </c:bar3DChart>
      <c:catAx>
        <c:axId val="19573503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491762"/>
      </c:catAx>
      <c:valAx>
        <c:axId val="173749176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3503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26'!$G$82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26'!$H$81</c:f>
            </c:strRef>
          </c:cat>
          <c:val>
            <c:numRef>
              <c:f>'HARIAN JANUARI 26'!$H$82</c:f>
              <c:numCache/>
            </c:numRef>
          </c:val>
        </c:ser>
        <c:ser>
          <c:idx val="1"/>
          <c:order val="1"/>
          <c:tx>
            <c:strRef>
              <c:f>'HARIAN JANUARI 26'!$G$83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26'!$H$81</c:f>
            </c:strRef>
          </c:cat>
          <c:val>
            <c:numRef>
              <c:f>'HARIAN JANUARI 26'!$H$83</c:f>
              <c:numCache/>
            </c:numRef>
          </c:val>
        </c:ser>
        <c:axId val="1113592642"/>
        <c:axId val="1500252179"/>
      </c:bar3DChart>
      <c:catAx>
        <c:axId val="1113592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252179"/>
      </c:catAx>
      <c:valAx>
        <c:axId val="150025217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592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26'!$H$81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26'!$G$82:$G$83</c:f>
            </c:strRef>
          </c:cat>
          <c:val>
            <c:numRef>
              <c:f>'HARIAN JANUARI 26'!$H$82:$H$83</c:f>
              <c:numCache/>
            </c:numRef>
          </c:val>
        </c:ser>
        <c:ser>
          <c:idx val="1"/>
          <c:order val="1"/>
          <c:tx>
            <c:strRef>
              <c:f>'HARIAN JANUARI 26'!$J$81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26'!$G$82:$G$83</c:f>
            </c:strRef>
          </c:cat>
          <c:val>
            <c:numRef>
              <c:f>'HARIAN JANUARI 26'!$J$82:$J$83</c:f>
              <c:numCache/>
            </c:numRef>
          </c:val>
        </c:ser>
        <c:axId val="491932625"/>
        <c:axId val="779379268"/>
      </c:bar3DChart>
      <c:catAx>
        <c:axId val="491932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379268"/>
      </c:catAx>
      <c:valAx>
        <c:axId val="77937926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9326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26'!$G$107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26'!$H$106</c:f>
            </c:strRef>
          </c:cat>
          <c:val>
            <c:numRef>
              <c:f>'HARIAN JANUARI 26'!$H$107</c:f>
              <c:numCache/>
            </c:numRef>
          </c:val>
        </c:ser>
        <c:ser>
          <c:idx val="1"/>
          <c:order val="1"/>
          <c:tx>
            <c:strRef>
              <c:f>'HARIAN JANUARI 26'!$G$108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26'!$H$106</c:f>
            </c:strRef>
          </c:cat>
          <c:val>
            <c:numRef>
              <c:f>'HARIAN JANUARI 26'!$H$108</c:f>
              <c:numCache/>
            </c:numRef>
          </c:val>
        </c:ser>
        <c:axId val="1674726965"/>
        <c:axId val="2040887708"/>
      </c:bar3DChart>
      <c:catAx>
        <c:axId val="1674726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887708"/>
      </c:catAx>
      <c:valAx>
        <c:axId val="204088770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726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26'!$H$106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26'!$G$107:$G$108</c:f>
            </c:strRef>
          </c:cat>
          <c:val>
            <c:numRef>
              <c:f>'HARIAN JANUARI 26'!$H$107:$H$108</c:f>
              <c:numCache/>
            </c:numRef>
          </c:val>
        </c:ser>
        <c:ser>
          <c:idx val="1"/>
          <c:order val="1"/>
          <c:tx>
            <c:strRef>
              <c:f>'HARIAN JANUARI 26'!$J$106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26'!$G$107:$G$108</c:f>
            </c:strRef>
          </c:cat>
          <c:val>
            <c:numRef>
              <c:f>'HARIAN JANUARI 26'!$J$107:$J$108</c:f>
              <c:numCache/>
            </c:numRef>
          </c:val>
        </c:ser>
        <c:axId val="732518500"/>
        <c:axId val="1774129118"/>
      </c:bar3DChart>
      <c:catAx>
        <c:axId val="7325185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129118"/>
      </c:catAx>
      <c:valAx>
        <c:axId val="177412911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5185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26'!$H$131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26'!$G$132:$G$133</c:f>
            </c:strRef>
          </c:cat>
          <c:val>
            <c:numRef>
              <c:f>'HARIAN JANUARI 26'!$H$132:$H$133</c:f>
              <c:numCache/>
            </c:numRef>
          </c:val>
        </c:ser>
        <c:ser>
          <c:idx val="1"/>
          <c:order val="1"/>
          <c:tx>
            <c:strRef>
              <c:f>'HARIAN JANUARI 26'!$J$131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26'!$G$132:$G$133</c:f>
            </c:strRef>
          </c:cat>
          <c:val>
            <c:numRef>
              <c:f>'HARIAN JANUARI 26'!$J$132:$J$133</c:f>
              <c:numCache/>
            </c:numRef>
          </c:val>
        </c:ser>
        <c:axId val="6560696"/>
        <c:axId val="588616818"/>
      </c:bar3DChart>
      <c:catAx>
        <c:axId val="65606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616818"/>
      </c:catAx>
      <c:valAx>
        <c:axId val="58861681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06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26'!$G$132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26'!$H$131</c:f>
            </c:strRef>
          </c:cat>
          <c:val>
            <c:numRef>
              <c:f>'HARIAN JANUARI 26'!$H$132</c:f>
              <c:numCache/>
            </c:numRef>
          </c:val>
        </c:ser>
        <c:ser>
          <c:idx val="1"/>
          <c:order val="1"/>
          <c:tx>
            <c:strRef>
              <c:f>'HARIAN JANUARI 26'!$G$133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26'!$H$131</c:f>
            </c:strRef>
          </c:cat>
          <c:val>
            <c:numRef>
              <c:f>'HARIAN JANUARI 26'!$H$133</c:f>
              <c:numCache/>
            </c:numRef>
          </c:val>
        </c:ser>
        <c:axId val="1752974596"/>
        <c:axId val="944663855"/>
      </c:bar3DChart>
      <c:catAx>
        <c:axId val="1752974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663855"/>
      </c:catAx>
      <c:valAx>
        <c:axId val="94466385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974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26'!$G$157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26'!$H$156</c:f>
            </c:strRef>
          </c:cat>
          <c:val>
            <c:numRef>
              <c:f>'HARIAN JANUARI 26'!$H$157</c:f>
              <c:numCache/>
            </c:numRef>
          </c:val>
        </c:ser>
        <c:ser>
          <c:idx val="1"/>
          <c:order val="1"/>
          <c:tx>
            <c:strRef>
              <c:f>'HARIAN JANUARI 26'!$G$158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26'!$H$156</c:f>
            </c:strRef>
          </c:cat>
          <c:val>
            <c:numRef>
              <c:f>'HARIAN JANUARI 26'!$H$158</c:f>
              <c:numCache/>
            </c:numRef>
          </c:val>
        </c:ser>
        <c:axId val="725123841"/>
        <c:axId val="747451404"/>
      </c:bar3DChart>
      <c:catAx>
        <c:axId val="725123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451404"/>
      </c:catAx>
      <c:valAx>
        <c:axId val="7474514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123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26'!$G$157:$G$158</c:f>
            </c:strRef>
          </c:cat>
          <c:val>
            <c:numRef>
              <c:f>'HARIAN JANUARI 26'!$H$157:$H$158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26'!$G$157:$G$158</c:f>
            </c:strRef>
          </c:cat>
          <c:val>
            <c:numRef>
              <c:f>'HARIAN JANUARI 26'!$J$157:$J$158</c:f>
              <c:numCache/>
            </c:numRef>
          </c:val>
        </c:ser>
        <c:axId val="1952263237"/>
        <c:axId val="124586852"/>
      </c:bar3DChart>
      <c:catAx>
        <c:axId val="19522632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86852"/>
      </c:catAx>
      <c:valAx>
        <c:axId val="12458685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2632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26'!$G$183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26'!$H$182</c:f>
            </c:strRef>
          </c:cat>
          <c:val>
            <c:numRef>
              <c:f>'HARIAN JANUARI 26'!$H$183</c:f>
              <c:numCache/>
            </c:numRef>
          </c:val>
        </c:ser>
        <c:ser>
          <c:idx val="1"/>
          <c:order val="1"/>
          <c:tx>
            <c:strRef>
              <c:f>'HARIAN JANUARI 26'!$G$184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26'!$H$182</c:f>
            </c:strRef>
          </c:cat>
          <c:val>
            <c:numRef>
              <c:f>'HARIAN JANUARI 26'!$H$184</c:f>
              <c:numCache/>
            </c:numRef>
          </c:val>
        </c:ser>
        <c:axId val="949289547"/>
        <c:axId val="443584222"/>
      </c:bar3DChart>
      <c:catAx>
        <c:axId val="949289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584222"/>
      </c:catAx>
      <c:valAx>
        <c:axId val="44358422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289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26'!$G$183:$G$184</c:f>
            </c:strRef>
          </c:cat>
          <c:val>
            <c:numRef>
              <c:f>'HARIAN JANUARI 26'!$H$183:$H$184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26'!$G$183:$G$184</c:f>
            </c:strRef>
          </c:cat>
          <c:val>
            <c:numRef>
              <c:f>'HARIAN JANUARI 26'!$J$183:$J$184</c:f>
              <c:numCache/>
            </c:numRef>
          </c:val>
        </c:ser>
        <c:axId val="278558692"/>
        <c:axId val="695831524"/>
      </c:bar3DChart>
      <c:catAx>
        <c:axId val="2785586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831524"/>
      </c:catAx>
      <c:valAx>
        <c:axId val="69583152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5586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26'!$G$208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26'!$H$207</c:f>
            </c:strRef>
          </c:cat>
          <c:val>
            <c:numRef>
              <c:f>'HARIAN JANUARI 26'!$H$208</c:f>
              <c:numCache/>
            </c:numRef>
          </c:val>
        </c:ser>
        <c:ser>
          <c:idx val="1"/>
          <c:order val="1"/>
          <c:tx>
            <c:strRef>
              <c:f>'HARIAN JANUARI 26'!$G$209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26'!$H$207</c:f>
            </c:strRef>
          </c:cat>
          <c:val>
            <c:numRef>
              <c:f>'HARIAN JANUARI 26'!$H$209</c:f>
              <c:numCache/>
            </c:numRef>
          </c:val>
        </c:ser>
        <c:axId val="1781076366"/>
        <c:axId val="67193401"/>
      </c:bar3DChart>
      <c:catAx>
        <c:axId val="178107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93401"/>
      </c:catAx>
      <c:valAx>
        <c:axId val="6719340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076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26'!$G$208:$G$209</c:f>
            </c:strRef>
          </c:cat>
          <c:val>
            <c:numRef>
              <c:f>'HARIAN JANUARI 26'!$H$208:$H$209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26'!$G$208:$G$209</c:f>
            </c:strRef>
          </c:cat>
          <c:val>
            <c:numRef>
              <c:f>'HARIAN JANUARI 26'!$J$208:$J$209</c:f>
              <c:numCache/>
            </c:numRef>
          </c:val>
        </c:ser>
        <c:axId val="1710616126"/>
        <c:axId val="1963930704"/>
      </c:bar3DChart>
      <c:catAx>
        <c:axId val="17106161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930704"/>
      </c:catAx>
      <c:valAx>
        <c:axId val="196393070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6161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26'!$G$233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26'!$H$232</c:f>
            </c:strRef>
          </c:cat>
          <c:val>
            <c:numRef>
              <c:f>'HARIAN JANUARI 26'!$H$233</c:f>
              <c:numCache/>
            </c:numRef>
          </c:val>
        </c:ser>
        <c:ser>
          <c:idx val="1"/>
          <c:order val="1"/>
          <c:tx>
            <c:strRef>
              <c:f>'HARIAN JANUARI 26'!$G$234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26'!$H$232</c:f>
            </c:strRef>
          </c:cat>
          <c:val>
            <c:numRef>
              <c:f>'HARIAN JANUARI 26'!$H$234</c:f>
              <c:numCache/>
            </c:numRef>
          </c:val>
        </c:ser>
        <c:axId val="661812632"/>
        <c:axId val="1168645005"/>
      </c:bar3DChart>
      <c:catAx>
        <c:axId val="661812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645005"/>
      </c:catAx>
      <c:valAx>
        <c:axId val="116864500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812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26'!$G$233:$G$234</c:f>
            </c:strRef>
          </c:cat>
          <c:val>
            <c:numRef>
              <c:f>'HARIAN JANUARI 26'!$H$233:$H$234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26'!$G$233:$G$234</c:f>
            </c:strRef>
          </c:cat>
          <c:val>
            <c:numRef>
              <c:f>'HARIAN JANUARI 26'!$J$233:$J$234</c:f>
              <c:numCache/>
            </c:numRef>
          </c:val>
        </c:ser>
        <c:axId val="890170624"/>
        <c:axId val="1463410045"/>
      </c:bar3DChart>
      <c:catAx>
        <c:axId val="8901706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410045"/>
      </c:catAx>
      <c:valAx>
        <c:axId val="146341004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1706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26'!$G$30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'HARIAN JANUARI 26'!$H$29</c:f>
            </c:strRef>
          </c:cat>
          <c:val>
            <c:numRef>
              <c:f>'HARIAN JANUARI 26'!$H$30</c:f>
              <c:numCache/>
            </c:numRef>
          </c:val>
        </c:ser>
        <c:ser>
          <c:idx val="1"/>
          <c:order val="1"/>
          <c:tx>
            <c:strRef>
              <c:f>'HARIAN JANUARI 26'!$G$31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'HARIAN JANUARI 26'!$H$29</c:f>
            </c:strRef>
          </c:cat>
          <c:val>
            <c:numRef>
              <c:f>'HARIAN JANUARI 26'!$H$31</c:f>
              <c:numCache/>
            </c:numRef>
          </c:val>
        </c:ser>
        <c:axId val="1440525913"/>
        <c:axId val="321034986"/>
      </c:bar3DChart>
      <c:catAx>
        <c:axId val="1440525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034986"/>
      </c:catAx>
      <c:valAx>
        <c:axId val="32103498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525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26'!$H$29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26'!$G$30:$G$31</c:f>
            </c:strRef>
          </c:cat>
          <c:val>
            <c:numRef>
              <c:f>'HARIAN JANUARI 26'!$H$30:$H$31</c:f>
              <c:numCache/>
            </c:numRef>
          </c:val>
        </c:ser>
        <c:ser>
          <c:idx val="1"/>
          <c:order val="1"/>
          <c:tx>
            <c:strRef>
              <c:f>'HARIAN JANUARI 26'!$J$29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26'!$G$30:$G$31</c:f>
            </c:strRef>
          </c:cat>
          <c:val>
            <c:numRef>
              <c:f>'HARIAN JANUARI 26'!$J$30:$J$31</c:f>
              <c:numCache/>
            </c:numRef>
          </c:val>
        </c:ser>
        <c:axId val="184122161"/>
        <c:axId val="1978230108"/>
      </c:bar3DChart>
      <c:catAx>
        <c:axId val="1841221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230108"/>
      </c:catAx>
      <c:valAx>
        <c:axId val="197823010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221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26'!$H$258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26'!$G$259:$G$260</c:f>
            </c:strRef>
          </c:cat>
          <c:val>
            <c:numRef>
              <c:f>'HARIAN JANUARI 26'!$H$259:$H$260</c:f>
              <c:numCache/>
            </c:numRef>
          </c:val>
        </c:ser>
        <c:ser>
          <c:idx val="1"/>
          <c:order val="1"/>
          <c:tx>
            <c:strRef>
              <c:f>'HARIAN JANUARI 26'!$J$258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26'!$G$259:$G$260</c:f>
            </c:strRef>
          </c:cat>
          <c:val>
            <c:numRef>
              <c:f>'HARIAN JANUARI 26'!$J$259:$J$260</c:f>
              <c:numCache/>
            </c:numRef>
          </c:val>
        </c:ser>
        <c:axId val="540990877"/>
        <c:axId val="1860239411"/>
      </c:bar3DChart>
      <c:catAx>
        <c:axId val="5409908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239411"/>
      </c:catAx>
      <c:valAx>
        <c:axId val="186023941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9908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26'!$G$259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26'!$H$258</c:f>
            </c:strRef>
          </c:cat>
          <c:val>
            <c:numRef>
              <c:f>'HARIAN JANUARI 26'!$H$259</c:f>
              <c:numCache/>
            </c:numRef>
          </c:val>
        </c:ser>
        <c:ser>
          <c:idx val="1"/>
          <c:order val="1"/>
          <c:tx>
            <c:strRef>
              <c:f>'HARIAN JANUARI 26'!$G$260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26'!$H$258</c:f>
            </c:strRef>
          </c:cat>
          <c:val>
            <c:numRef>
              <c:f>'HARIAN JANUARI 26'!$H$260</c:f>
              <c:numCache/>
            </c:numRef>
          </c:val>
        </c:ser>
        <c:axId val="361232926"/>
        <c:axId val="340548836"/>
      </c:bar3DChart>
      <c:catAx>
        <c:axId val="361232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548836"/>
      </c:catAx>
      <c:valAx>
        <c:axId val="34054883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232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26'!$G$285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26'!$H$284</c:f>
            </c:strRef>
          </c:cat>
          <c:val>
            <c:numRef>
              <c:f>'HARIAN JANUARI 26'!$H$285</c:f>
              <c:numCache/>
            </c:numRef>
          </c:val>
        </c:ser>
        <c:ser>
          <c:idx val="1"/>
          <c:order val="1"/>
          <c:tx>
            <c:strRef>
              <c:f>'HARIAN JANUARI 26'!$G$286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26'!$H$284</c:f>
            </c:strRef>
          </c:cat>
          <c:val>
            <c:numRef>
              <c:f>'HARIAN JANUARI 26'!$H$286</c:f>
              <c:numCache/>
            </c:numRef>
          </c:val>
        </c:ser>
        <c:axId val="805203037"/>
        <c:axId val="1829981374"/>
      </c:bar3DChart>
      <c:catAx>
        <c:axId val="805203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981374"/>
      </c:catAx>
      <c:valAx>
        <c:axId val="182998137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203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26'!$H$284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26'!$G$285:$G$286</c:f>
            </c:strRef>
          </c:cat>
          <c:val>
            <c:numRef>
              <c:f>'HARIAN JANUARI 26'!$H$285:$H$286</c:f>
              <c:numCache/>
            </c:numRef>
          </c:val>
        </c:ser>
        <c:ser>
          <c:idx val="1"/>
          <c:order val="1"/>
          <c:tx>
            <c:strRef>
              <c:f>'HARIAN JANUARI 26'!$J$284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26'!$G$285:$G$286</c:f>
            </c:strRef>
          </c:cat>
          <c:val>
            <c:numRef>
              <c:f>'HARIAN JANUARI 26'!$J$285:$J$286</c:f>
              <c:numCache/>
            </c:numRef>
          </c:val>
        </c:ser>
        <c:axId val="1976862290"/>
        <c:axId val="563622706"/>
      </c:bar3DChart>
      <c:catAx>
        <c:axId val="19768622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622706"/>
      </c:catAx>
      <c:valAx>
        <c:axId val="56362270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8622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26'!$G$311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26'!$H$310</c:f>
            </c:strRef>
          </c:cat>
          <c:val>
            <c:numRef>
              <c:f>'HARIAN JANUARI 26'!$H$311</c:f>
              <c:numCache/>
            </c:numRef>
          </c:val>
        </c:ser>
        <c:ser>
          <c:idx val="1"/>
          <c:order val="1"/>
          <c:tx>
            <c:strRef>
              <c:f>'HARIAN JANUARI 26'!$G$312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26'!$H$310</c:f>
            </c:strRef>
          </c:cat>
          <c:val>
            <c:numRef>
              <c:f>'HARIAN JANUARI 26'!$H$312</c:f>
              <c:numCache/>
            </c:numRef>
          </c:val>
        </c:ser>
        <c:axId val="177786049"/>
        <c:axId val="1474015315"/>
      </c:bar3DChart>
      <c:catAx>
        <c:axId val="177786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015315"/>
      </c:catAx>
      <c:valAx>
        <c:axId val="147401531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86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26'!$H$310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26'!$G$311:$G$312</c:f>
            </c:strRef>
          </c:cat>
          <c:val>
            <c:numRef>
              <c:f>'HARIAN JANUARI 26'!$H$311:$H$312</c:f>
              <c:numCache/>
            </c:numRef>
          </c:val>
        </c:ser>
        <c:ser>
          <c:idx val="1"/>
          <c:order val="1"/>
          <c:tx>
            <c:strRef>
              <c:f>'HARIAN JANUARI 26'!$J$310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26'!$G$311:$G$312</c:f>
            </c:strRef>
          </c:cat>
          <c:val>
            <c:numRef>
              <c:f>'HARIAN JANUARI 26'!$J$311:$J$312</c:f>
              <c:numCache/>
            </c:numRef>
          </c:val>
        </c:ser>
        <c:axId val="350502845"/>
        <c:axId val="598057522"/>
      </c:bar3DChart>
      <c:catAx>
        <c:axId val="3505028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057522"/>
      </c:catAx>
      <c:valAx>
        <c:axId val="59805752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5028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26'!$G$337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26'!$H$336</c:f>
            </c:strRef>
          </c:cat>
          <c:val>
            <c:numRef>
              <c:f>'HARIAN JANUARI 26'!$H$337</c:f>
              <c:numCache/>
            </c:numRef>
          </c:val>
        </c:ser>
        <c:ser>
          <c:idx val="1"/>
          <c:order val="1"/>
          <c:tx>
            <c:strRef>
              <c:f>'HARIAN JANUARI 26'!$G$338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26'!$H$336</c:f>
            </c:strRef>
          </c:cat>
          <c:val>
            <c:numRef>
              <c:f>'HARIAN JANUARI 26'!$H$338</c:f>
              <c:numCache/>
            </c:numRef>
          </c:val>
        </c:ser>
        <c:axId val="1819046036"/>
        <c:axId val="1907330450"/>
      </c:bar3DChart>
      <c:catAx>
        <c:axId val="1819046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330450"/>
      </c:catAx>
      <c:valAx>
        <c:axId val="190733045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046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26'!$H$336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26'!$G$337:$G$338</c:f>
            </c:strRef>
          </c:cat>
          <c:val>
            <c:numRef>
              <c:f>'HARIAN JANUARI 26'!$H$337:$H$338</c:f>
              <c:numCache/>
            </c:numRef>
          </c:val>
        </c:ser>
        <c:ser>
          <c:idx val="1"/>
          <c:order val="1"/>
          <c:tx>
            <c:strRef>
              <c:f>'HARIAN JANUARI 26'!$J$336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26'!$G$337:$G$338</c:f>
            </c:strRef>
          </c:cat>
          <c:val>
            <c:numRef>
              <c:f>'HARIAN JANUARI 26'!$J$337:$J$338</c:f>
              <c:numCache/>
            </c:numRef>
          </c:val>
        </c:ser>
        <c:axId val="291743933"/>
        <c:axId val="1057036735"/>
      </c:bar3DChart>
      <c:catAx>
        <c:axId val="2917439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036735"/>
      </c:catAx>
      <c:valAx>
        <c:axId val="105703673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7439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26'!$G$363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26'!$H$362</c:f>
            </c:strRef>
          </c:cat>
          <c:val>
            <c:numRef>
              <c:f>'HARIAN JANUARI 26'!$H$363</c:f>
              <c:numCache/>
            </c:numRef>
          </c:val>
        </c:ser>
        <c:ser>
          <c:idx val="1"/>
          <c:order val="1"/>
          <c:tx>
            <c:strRef>
              <c:f>'HARIAN JANUARI 26'!$G$364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26'!$H$362</c:f>
            </c:strRef>
          </c:cat>
          <c:val>
            <c:numRef>
              <c:f>'HARIAN JANUARI 26'!$H$364</c:f>
              <c:numCache/>
            </c:numRef>
          </c:val>
        </c:ser>
        <c:axId val="772350219"/>
        <c:axId val="2060579830"/>
      </c:bar3DChart>
      <c:catAx>
        <c:axId val="772350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579830"/>
      </c:catAx>
      <c:valAx>
        <c:axId val="20605798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350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26'!$H$362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26'!$G$363:$G$364</c:f>
            </c:strRef>
          </c:cat>
          <c:val>
            <c:numRef>
              <c:f>'HARIAN JANUARI 26'!$H$363:$H$364</c:f>
              <c:numCache/>
            </c:numRef>
          </c:val>
        </c:ser>
        <c:ser>
          <c:idx val="1"/>
          <c:order val="1"/>
          <c:tx>
            <c:strRef>
              <c:f>'HARIAN JANUARI 26'!$J$362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26'!$G$363:$G$364</c:f>
            </c:strRef>
          </c:cat>
          <c:val>
            <c:numRef>
              <c:f>'HARIAN JANUARI 26'!$J$363:$J$364</c:f>
              <c:numCache/>
            </c:numRef>
          </c:val>
        </c:ser>
        <c:axId val="1986159979"/>
        <c:axId val="452286877"/>
      </c:bar3DChart>
      <c:catAx>
        <c:axId val="19861599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286877"/>
      </c:catAx>
      <c:valAx>
        <c:axId val="45228687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1599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26'!$G$389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26'!$H$388</c:f>
            </c:strRef>
          </c:cat>
          <c:val>
            <c:numRef>
              <c:f>'HARIAN JANUARI 26'!$H$389</c:f>
              <c:numCache/>
            </c:numRef>
          </c:val>
        </c:ser>
        <c:ser>
          <c:idx val="1"/>
          <c:order val="1"/>
          <c:tx>
            <c:strRef>
              <c:f>'HARIAN JANUARI 26'!$G$390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26'!$H$388</c:f>
            </c:strRef>
          </c:cat>
          <c:val>
            <c:numRef>
              <c:f>'HARIAN JANUARI 26'!$H$390</c:f>
              <c:numCache/>
            </c:numRef>
          </c:val>
        </c:ser>
        <c:axId val="162131319"/>
        <c:axId val="1014063047"/>
      </c:bar3DChart>
      <c:catAx>
        <c:axId val="162131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063047"/>
      </c:catAx>
      <c:valAx>
        <c:axId val="101406304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31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26'!$H$388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26'!$G$389:$G$390</c:f>
            </c:strRef>
          </c:cat>
          <c:val>
            <c:numRef>
              <c:f>'HARIAN JANUARI 26'!$H$389:$H$390</c:f>
              <c:numCache/>
            </c:numRef>
          </c:val>
        </c:ser>
        <c:ser>
          <c:idx val="1"/>
          <c:order val="1"/>
          <c:tx>
            <c:strRef>
              <c:f>'HARIAN JANUARI 26'!$J$388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26'!$G$389:$G$390</c:f>
            </c:strRef>
          </c:cat>
          <c:val>
            <c:numRef>
              <c:f>'HARIAN JANUARI 26'!$J$389:$J$390</c:f>
              <c:numCache/>
            </c:numRef>
          </c:val>
        </c:ser>
        <c:axId val="734187048"/>
        <c:axId val="425617955"/>
      </c:bar3DChart>
      <c:catAx>
        <c:axId val="7341870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617955"/>
      </c:catAx>
      <c:valAx>
        <c:axId val="42561795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1870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26'!$G$415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26'!$H$414</c:f>
            </c:strRef>
          </c:cat>
          <c:val>
            <c:numRef>
              <c:f>'HARIAN JANUARI 26'!$H$415</c:f>
              <c:numCache/>
            </c:numRef>
          </c:val>
        </c:ser>
        <c:ser>
          <c:idx val="1"/>
          <c:order val="1"/>
          <c:tx>
            <c:strRef>
              <c:f>'HARIAN JANUARI 26'!$G$416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26'!$H$414</c:f>
            </c:strRef>
          </c:cat>
          <c:val>
            <c:numRef>
              <c:f>'HARIAN JANUARI 26'!$H$416</c:f>
              <c:numCache/>
            </c:numRef>
          </c:val>
        </c:ser>
        <c:axId val="1554160494"/>
        <c:axId val="1835822080"/>
      </c:bar3DChart>
      <c:catAx>
        <c:axId val="1554160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822080"/>
      </c:catAx>
      <c:valAx>
        <c:axId val="183582208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160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26'!$H$414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26'!$G$415:$G$416</c:f>
            </c:strRef>
          </c:cat>
          <c:val>
            <c:numRef>
              <c:f>'HARIAN JANUARI 26'!$H$415:$H$416</c:f>
              <c:numCache/>
            </c:numRef>
          </c:val>
        </c:ser>
        <c:ser>
          <c:idx val="1"/>
          <c:order val="1"/>
          <c:tx>
            <c:strRef>
              <c:f>'HARIAN JANUARI 26'!$J$414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26'!$G$415:$G$416</c:f>
            </c:strRef>
          </c:cat>
          <c:val>
            <c:numRef>
              <c:f>'HARIAN JANUARI 26'!$J$415:$J$416</c:f>
              <c:numCache/>
            </c:numRef>
          </c:val>
        </c:ser>
        <c:axId val="1200776604"/>
        <c:axId val="1805548689"/>
      </c:bar3DChart>
      <c:catAx>
        <c:axId val="12007766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548689"/>
      </c:catAx>
      <c:valAx>
        <c:axId val="180554868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7766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26'!$G$441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26'!$H$440</c:f>
            </c:strRef>
          </c:cat>
          <c:val>
            <c:numRef>
              <c:f>'HARIAN JANUARI 26'!$H$441</c:f>
              <c:numCache/>
            </c:numRef>
          </c:val>
        </c:ser>
        <c:ser>
          <c:idx val="1"/>
          <c:order val="1"/>
          <c:tx>
            <c:strRef>
              <c:f>'HARIAN JANUARI 26'!$G$442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26'!$H$440</c:f>
            </c:strRef>
          </c:cat>
          <c:val>
            <c:numRef>
              <c:f>'HARIAN JANUARI 26'!$H$442</c:f>
              <c:numCache/>
            </c:numRef>
          </c:val>
        </c:ser>
        <c:axId val="2108528842"/>
        <c:axId val="1473218136"/>
      </c:bar3DChart>
      <c:catAx>
        <c:axId val="2108528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218136"/>
      </c:catAx>
      <c:valAx>
        <c:axId val="147321813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528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26'!$H$440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26'!$G$441:$G$442</c:f>
            </c:strRef>
          </c:cat>
          <c:val>
            <c:numRef>
              <c:f>'HARIAN JANUARI 26'!$H$441:$H$442</c:f>
              <c:numCache/>
            </c:numRef>
          </c:val>
        </c:ser>
        <c:ser>
          <c:idx val="1"/>
          <c:order val="1"/>
          <c:tx>
            <c:strRef>
              <c:f>'HARIAN JANUARI 26'!$J$440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26'!$G$441:$G$442</c:f>
            </c:strRef>
          </c:cat>
          <c:val>
            <c:numRef>
              <c:f>'HARIAN JANUARI 26'!$J$441:$J$442</c:f>
              <c:numCache/>
            </c:numRef>
          </c:val>
        </c:ser>
        <c:axId val="1108121806"/>
        <c:axId val="1055707036"/>
      </c:bar3DChart>
      <c:catAx>
        <c:axId val="11081218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707036"/>
      </c:catAx>
      <c:valAx>
        <c:axId val="105570703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1218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26'!$G$467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26'!$H$466</c:f>
            </c:strRef>
          </c:cat>
          <c:val>
            <c:numRef>
              <c:f>'HARIAN JANUARI 26'!$H$467</c:f>
              <c:numCache/>
            </c:numRef>
          </c:val>
        </c:ser>
        <c:ser>
          <c:idx val="1"/>
          <c:order val="1"/>
          <c:tx>
            <c:strRef>
              <c:f>'HARIAN JANUARI 26'!$G$468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26'!$H$466</c:f>
            </c:strRef>
          </c:cat>
          <c:val>
            <c:numRef>
              <c:f>'HARIAN JANUARI 26'!$H$468</c:f>
              <c:numCache/>
            </c:numRef>
          </c:val>
        </c:ser>
        <c:ser>
          <c:idx val="2"/>
          <c:order val="2"/>
          <c:tx>
            <c:strRef>
              <c:f>'HARIAN JANUARI 26'!$G$469</c:f>
            </c:strRef>
          </c:tx>
          <c:cat>
            <c:strRef>
              <c:f>'HARIAN JANUARI 26'!$H$466</c:f>
            </c:strRef>
          </c:cat>
          <c:val>
            <c:numRef>
              <c:f>'HARIAN JANUARI 26'!$H$469</c:f>
              <c:numCache/>
            </c:numRef>
          </c:val>
        </c:ser>
        <c:ser>
          <c:idx val="3"/>
          <c:order val="3"/>
          <c:tx>
            <c:strRef>
              <c:f>'HARIAN JANUARI 26'!$G$470</c:f>
            </c:strRef>
          </c:tx>
          <c:cat>
            <c:strRef>
              <c:f>'HARIAN JANUARI 26'!$H$466</c:f>
            </c:strRef>
          </c:cat>
          <c:val>
            <c:numRef>
              <c:f>'HARIAN JANUARI 26'!$H$470</c:f>
              <c:numCache/>
            </c:numRef>
          </c:val>
        </c:ser>
        <c:axId val="1292776312"/>
        <c:axId val="89032491"/>
      </c:bar3DChart>
      <c:catAx>
        <c:axId val="1292776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32491"/>
      </c:catAx>
      <c:valAx>
        <c:axId val="8903249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76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26'!$H$466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26'!$G$467:$G$470</c:f>
            </c:strRef>
          </c:cat>
          <c:val>
            <c:numRef>
              <c:f>'HARIAN JANUARI 26'!$H$467:$H$470</c:f>
              <c:numCache/>
            </c:numRef>
          </c:val>
        </c:ser>
        <c:ser>
          <c:idx val="1"/>
          <c:order val="1"/>
          <c:tx>
            <c:strRef>
              <c:f>'HARIAN JANUARI 26'!$J$466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26'!$G$467:$G$470</c:f>
            </c:strRef>
          </c:cat>
          <c:val>
            <c:numRef>
              <c:f>'HARIAN JANUARI 26'!$J$467:$J$470</c:f>
              <c:numCache/>
            </c:numRef>
          </c:val>
        </c:ser>
        <c:axId val="1191112787"/>
        <c:axId val="1065264698"/>
      </c:bar3DChart>
      <c:catAx>
        <c:axId val="11911127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264698"/>
      </c:catAx>
      <c:valAx>
        <c:axId val="106526469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1127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26'!$G$492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26'!$H$491</c:f>
            </c:strRef>
          </c:cat>
          <c:val>
            <c:numRef>
              <c:f>'HARIAN JANUARI 26'!$H$492</c:f>
              <c:numCache/>
            </c:numRef>
          </c:val>
        </c:ser>
        <c:ser>
          <c:idx val="1"/>
          <c:order val="1"/>
          <c:tx>
            <c:strRef>
              <c:f>'HARIAN JANUARI 26'!$G$493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26'!$H$491</c:f>
            </c:strRef>
          </c:cat>
          <c:val>
            <c:numRef>
              <c:f>'HARIAN JANUARI 26'!$H$493</c:f>
              <c:numCache/>
            </c:numRef>
          </c:val>
        </c:ser>
        <c:ser>
          <c:idx val="2"/>
          <c:order val="2"/>
          <c:tx>
            <c:strRef>
              <c:f>'HARIAN JANUARI 26'!$G$494</c:f>
            </c:strRef>
          </c:tx>
          <c:cat>
            <c:strRef>
              <c:f>'HARIAN JANUARI 26'!$H$491</c:f>
            </c:strRef>
          </c:cat>
          <c:val>
            <c:numRef>
              <c:f>'HARIAN JANUARI 26'!$H$494</c:f>
              <c:numCache/>
            </c:numRef>
          </c:val>
        </c:ser>
        <c:ser>
          <c:idx val="3"/>
          <c:order val="3"/>
          <c:tx>
            <c:strRef>
              <c:f>'HARIAN JANUARI 26'!$G$495</c:f>
            </c:strRef>
          </c:tx>
          <c:cat>
            <c:strRef>
              <c:f>'HARIAN JANUARI 26'!$H$491</c:f>
            </c:strRef>
          </c:cat>
          <c:val>
            <c:numRef>
              <c:f>'HARIAN JANUARI 26'!$H$495</c:f>
              <c:numCache/>
            </c:numRef>
          </c:val>
        </c:ser>
        <c:axId val="1710746635"/>
        <c:axId val="1634723074"/>
      </c:bar3DChart>
      <c:catAx>
        <c:axId val="1710746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723074"/>
      </c:catAx>
      <c:valAx>
        <c:axId val="163472307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746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26'!$H$491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26'!$G$492:$G$495</c:f>
            </c:strRef>
          </c:cat>
          <c:val>
            <c:numRef>
              <c:f>'HARIAN JANUARI 26'!$H$492:$H$495</c:f>
              <c:numCache/>
            </c:numRef>
          </c:val>
        </c:ser>
        <c:ser>
          <c:idx val="1"/>
          <c:order val="1"/>
          <c:tx>
            <c:strRef>
              <c:f>'HARIAN JANUARI 26'!$J$491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26'!$G$492:$G$495</c:f>
            </c:strRef>
          </c:cat>
          <c:val>
            <c:numRef>
              <c:f>'HARIAN JANUARI 26'!$J$492:$J$495</c:f>
              <c:numCache/>
            </c:numRef>
          </c:val>
        </c:ser>
        <c:axId val="127861232"/>
        <c:axId val="264263869"/>
      </c:bar3DChart>
      <c:catAx>
        <c:axId val="1278612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263869"/>
      </c:catAx>
      <c:valAx>
        <c:axId val="26426386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612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26'!$G$518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26'!$H$517</c:f>
            </c:strRef>
          </c:cat>
          <c:val>
            <c:numRef>
              <c:f>'HARIAN JANUARI 26'!$H$518</c:f>
              <c:numCache/>
            </c:numRef>
          </c:val>
        </c:ser>
        <c:ser>
          <c:idx val="1"/>
          <c:order val="1"/>
          <c:tx>
            <c:strRef>
              <c:f>'HARIAN JANUARI 26'!$G$519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26'!$H$517</c:f>
            </c:strRef>
          </c:cat>
          <c:val>
            <c:numRef>
              <c:f>'HARIAN JANUARI 26'!$H$519</c:f>
              <c:numCache/>
            </c:numRef>
          </c:val>
        </c:ser>
        <c:ser>
          <c:idx val="2"/>
          <c:order val="2"/>
          <c:tx>
            <c:strRef>
              <c:f>'HARIAN JANUARI 26'!$G$520</c:f>
            </c:strRef>
          </c:tx>
          <c:cat>
            <c:strRef>
              <c:f>'HARIAN JANUARI 26'!$H$517</c:f>
            </c:strRef>
          </c:cat>
          <c:val>
            <c:numRef>
              <c:f>'HARIAN JANUARI 26'!$H$520</c:f>
              <c:numCache/>
            </c:numRef>
          </c:val>
        </c:ser>
        <c:ser>
          <c:idx val="3"/>
          <c:order val="3"/>
          <c:tx>
            <c:strRef>
              <c:f>'HARIAN JANUARI 26'!$G$521</c:f>
            </c:strRef>
          </c:tx>
          <c:cat>
            <c:strRef>
              <c:f>'HARIAN JANUARI 26'!$H$517</c:f>
            </c:strRef>
          </c:cat>
          <c:val>
            <c:numRef>
              <c:f>'HARIAN JANUARI 26'!$H$521</c:f>
              <c:numCache/>
            </c:numRef>
          </c:val>
        </c:ser>
        <c:axId val="1900909162"/>
        <c:axId val="1725153339"/>
      </c:bar3DChart>
      <c:catAx>
        <c:axId val="1900909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153339"/>
      </c:catAx>
      <c:valAx>
        <c:axId val="172515333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909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26'!$H$517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26'!$G$518:$G$521</c:f>
            </c:strRef>
          </c:cat>
          <c:val>
            <c:numRef>
              <c:f>'HARIAN JANUARI 26'!$H$518:$H$521</c:f>
              <c:numCache/>
            </c:numRef>
          </c:val>
        </c:ser>
        <c:ser>
          <c:idx val="1"/>
          <c:order val="1"/>
          <c:tx>
            <c:strRef>
              <c:f>'HARIAN JANUARI 26'!$J$517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26'!$G$518:$G$521</c:f>
            </c:strRef>
          </c:cat>
          <c:val>
            <c:numRef>
              <c:f>'HARIAN JANUARI 26'!$J$518:$J$521</c:f>
              <c:numCache/>
            </c:numRef>
          </c:val>
        </c:ser>
        <c:axId val="759571758"/>
        <c:axId val="983347671"/>
      </c:bar3DChart>
      <c:catAx>
        <c:axId val="7595717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347671"/>
      </c:catAx>
      <c:valAx>
        <c:axId val="98334767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5717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26'!$G$543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26'!$H$542</c:f>
            </c:strRef>
          </c:cat>
          <c:val>
            <c:numRef>
              <c:f>'HARIAN JANUARI 26'!$H$543</c:f>
              <c:numCache/>
            </c:numRef>
          </c:val>
        </c:ser>
        <c:ser>
          <c:idx val="1"/>
          <c:order val="1"/>
          <c:tx>
            <c:strRef>
              <c:f>'HARIAN JANUARI 26'!$G$544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26'!$H$542</c:f>
            </c:strRef>
          </c:cat>
          <c:val>
            <c:numRef>
              <c:f>'HARIAN JANUARI 26'!$H$544</c:f>
              <c:numCache/>
            </c:numRef>
          </c:val>
        </c:ser>
        <c:ser>
          <c:idx val="2"/>
          <c:order val="2"/>
          <c:tx>
            <c:strRef>
              <c:f>'HARIAN JANUARI 26'!$G$545</c:f>
            </c:strRef>
          </c:tx>
          <c:cat>
            <c:strRef>
              <c:f>'HARIAN JANUARI 26'!$H$542</c:f>
            </c:strRef>
          </c:cat>
          <c:val>
            <c:numRef>
              <c:f>'HARIAN JANUARI 26'!$H$545</c:f>
              <c:numCache/>
            </c:numRef>
          </c:val>
        </c:ser>
        <c:ser>
          <c:idx val="3"/>
          <c:order val="3"/>
          <c:tx>
            <c:strRef>
              <c:f>'HARIAN JANUARI 26'!$G$546</c:f>
            </c:strRef>
          </c:tx>
          <c:cat>
            <c:strRef>
              <c:f>'HARIAN JANUARI 26'!$H$542</c:f>
            </c:strRef>
          </c:cat>
          <c:val>
            <c:numRef>
              <c:f>'HARIAN JANUARI 26'!$H$546</c:f>
              <c:numCache/>
            </c:numRef>
          </c:val>
        </c:ser>
        <c:axId val="717641902"/>
        <c:axId val="1090462118"/>
      </c:bar3DChart>
      <c:catAx>
        <c:axId val="717641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462118"/>
      </c:catAx>
      <c:valAx>
        <c:axId val="10904621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641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26'!$H$542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26'!$G$543:$G$546</c:f>
            </c:strRef>
          </c:cat>
          <c:val>
            <c:numRef>
              <c:f>'HARIAN JANUARI 26'!$H$543:$H$546</c:f>
              <c:numCache/>
            </c:numRef>
          </c:val>
        </c:ser>
        <c:ser>
          <c:idx val="1"/>
          <c:order val="1"/>
          <c:tx>
            <c:strRef>
              <c:f>'HARIAN JANUARI 26'!$J$542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26'!$G$543:$G$546</c:f>
            </c:strRef>
          </c:cat>
          <c:val>
            <c:numRef>
              <c:f>'HARIAN JANUARI 26'!$J$543:$J$546</c:f>
              <c:numCache/>
            </c:numRef>
          </c:val>
        </c:ser>
        <c:axId val="497322873"/>
        <c:axId val="778451218"/>
      </c:bar3DChart>
      <c:catAx>
        <c:axId val="4973228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451218"/>
      </c:catAx>
      <c:valAx>
        <c:axId val="77845121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3228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26'!$G$568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26'!$H$567</c:f>
            </c:strRef>
          </c:cat>
          <c:val>
            <c:numRef>
              <c:f>'HARIAN JANUARI 26'!$H$568</c:f>
              <c:numCache/>
            </c:numRef>
          </c:val>
        </c:ser>
        <c:ser>
          <c:idx val="1"/>
          <c:order val="1"/>
          <c:tx>
            <c:strRef>
              <c:f>'HARIAN JANUARI 26'!$G$569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26'!$H$567</c:f>
            </c:strRef>
          </c:cat>
          <c:val>
            <c:numRef>
              <c:f>'HARIAN JANUARI 26'!$H$569</c:f>
              <c:numCache/>
            </c:numRef>
          </c:val>
        </c:ser>
        <c:ser>
          <c:idx val="2"/>
          <c:order val="2"/>
          <c:tx>
            <c:strRef>
              <c:f>'HARIAN JANUARI 26'!$G$570</c:f>
            </c:strRef>
          </c:tx>
          <c:cat>
            <c:strRef>
              <c:f>'HARIAN JANUARI 26'!$H$567</c:f>
            </c:strRef>
          </c:cat>
          <c:val>
            <c:numRef>
              <c:f>'HARIAN JANUARI 26'!$H$570</c:f>
              <c:numCache/>
            </c:numRef>
          </c:val>
        </c:ser>
        <c:ser>
          <c:idx val="3"/>
          <c:order val="3"/>
          <c:tx>
            <c:strRef>
              <c:f>'HARIAN JANUARI 26'!$G$571</c:f>
            </c:strRef>
          </c:tx>
          <c:cat>
            <c:strRef>
              <c:f>'HARIAN JANUARI 26'!$H$567</c:f>
            </c:strRef>
          </c:cat>
          <c:val>
            <c:numRef>
              <c:f>'HARIAN JANUARI 26'!$H$571</c:f>
              <c:numCache/>
            </c:numRef>
          </c:val>
        </c:ser>
        <c:axId val="1320375020"/>
        <c:axId val="2054842965"/>
      </c:bar3DChart>
      <c:catAx>
        <c:axId val="1320375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842965"/>
      </c:catAx>
      <c:valAx>
        <c:axId val="205484296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375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26'!$H$567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26'!$G$568:$G$571</c:f>
            </c:strRef>
          </c:cat>
          <c:val>
            <c:numRef>
              <c:f>'HARIAN JANUARI 26'!$H$568:$H$571</c:f>
              <c:numCache/>
            </c:numRef>
          </c:val>
        </c:ser>
        <c:ser>
          <c:idx val="1"/>
          <c:order val="1"/>
          <c:tx>
            <c:strRef>
              <c:f>'HARIAN JANUARI 26'!$J$567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26'!$G$568:$G$571</c:f>
            </c:strRef>
          </c:cat>
          <c:val>
            <c:numRef>
              <c:f>'HARIAN JANUARI 26'!$J$568:$J$571</c:f>
              <c:numCache/>
            </c:numRef>
          </c:val>
        </c:ser>
        <c:axId val="1413502447"/>
        <c:axId val="1622223633"/>
      </c:bar3DChart>
      <c:catAx>
        <c:axId val="14135024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223633"/>
      </c:catAx>
      <c:valAx>
        <c:axId val="162222363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5024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26'!$G$593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26'!$H$592</c:f>
            </c:strRef>
          </c:cat>
          <c:val>
            <c:numRef>
              <c:f>'HARIAN JANUARI 26'!$H$593</c:f>
              <c:numCache/>
            </c:numRef>
          </c:val>
        </c:ser>
        <c:ser>
          <c:idx val="1"/>
          <c:order val="1"/>
          <c:tx>
            <c:strRef>
              <c:f>'HARIAN JANUARI 26'!$G$594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26'!$H$592</c:f>
            </c:strRef>
          </c:cat>
          <c:val>
            <c:numRef>
              <c:f>'HARIAN JANUARI 26'!$H$594</c:f>
              <c:numCache/>
            </c:numRef>
          </c:val>
        </c:ser>
        <c:ser>
          <c:idx val="2"/>
          <c:order val="2"/>
          <c:tx>
            <c:strRef>
              <c:f>'HARIAN JANUARI 26'!$G$595</c:f>
            </c:strRef>
          </c:tx>
          <c:cat>
            <c:strRef>
              <c:f>'HARIAN JANUARI 26'!$H$592</c:f>
            </c:strRef>
          </c:cat>
          <c:val>
            <c:numRef>
              <c:f>'HARIAN JANUARI 26'!$H$595</c:f>
              <c:numCache/>
            </c:numRef>
          </c:val>
        </c:ser>
        <c:ser>
          <c:idx val="3"/>
          <c:order val="3"/>
          <c:tx>
            <c:strRef>
              <c:f>'HARIAN JANUARI 26'!$G$596</c:f>
            </c:strRef>
          </c:tx>
          <c:cat>
            <c:strRef>
              <c:f>'HARIAN JANUARI 26'!$H$592</c:f>
            </c:strRef>
          </c:cat>
          <c:val>
            <c:numRef>
              <c:f>'HARIAN JANUARI 26'!$H$596</c:f>
              <c:numCache/>
            </c:numRef>
          </c:val>
        </c:ser>
        <c:axId val="407381985"/>
        <c:axId val="1794812089"/>
      </c:bar3DChart>
      <c:catAx>
        <c:axId val="407381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812089"/>
      </c:catAx>
      <c:valAx>
        <c:axId val="179481208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381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26'!$H$592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26'!$G$593:$G$596</c:f>
            </c:strRef>
          </c:cat>
          <c:val>
            <c:numRef>
              <c:f>'HARIAN JANUARI 26'!$H$593:$H$596</c:f>
              <c:numCache/>
            </c:numRef>
          </c:val>
        </c:ser>
        <c:ser>
          <c:idx val="1"/>
          <c:order val="1"/>
          <c:tx>
            <c:strRef>
              <c:f>'HARIAN JANUARI 26'!$J$592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26'!$G$593:$G$596</c:f>
            </c:strRef>
          </c:cat>
          <c:val>
            <c:numRef>
              <c:f>'HARIAN JANUARI 26'!$J$593:$J$596</c:f>
              <c:numCache/>
            </c:numRef>
          </c:val>
        </c:ser>
        <c:axId val="1277692886"/>
        <c:axId val="387088662"/>
      </c:bar3DChart>
      <c:catAx>
        <c:axId val="12776928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088662"/>
      </c:catAx>
      <c:valAx>
        <c:axId val="38708866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6928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26'!$G$618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26'!$H$617</c:f>
            </c:strRef>
          </c:cat>
          <c:val>
            <c:numRef>
              <c:f>'HARIAN JANUARI 26'!$H$618</c:f>
              <c:numCache/>
            </c:numRef>
          </c:val>
        </c:ser>
        <c:ser>
          <c:idx val="1"/>
          <c:order val="1"/>
          <c:tx>
            <c:strRef>
              <c:f>'HARIAN JANUARI 26'!$G$619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26'!$H$617</c:f>
            </c:strRef>
          </c:cat>
          <c:val>
            <c:numRef>
              <c:f>'HARIAN JANUARI 26'!$H$619</c:f>
              <c:numCache/>
            </c:numRef>
          </c:val>
        </c:ser>
        <c:ser>
          <c:idx val="2"/>
          <c:order val="2"/>
          <c:tx>
            <c:strRef>
              <c:f>'HARIAN JANUARI 26'!$G$620</c:f>
            </c:strRef>
          </c:tx>
          <c:cat>
            <c:strRef>
              <c:f>'HARIAN JANUARI 26'!$H$617</c:f>
            </c:strRef>
          </c:cat>
          <c:val>
            <c:numRef>
              <c:f>'HARIAN JANUARI 26'!$H$620</c:f>
              <c:numCache/>
            </c:numRef>
          </c:val>
        </c:ser>
        <c:ser>
          <c:idx val="3"/>
          <c:order val="3"/>
          <c:tx>
            <c:strRef>
              <c:f>'HARIAN JANUARI 26'!$G$621</c:f>
            </c:strRef>
          </c:tx>
          <c:cat>
            <c:strRef>
              <c:f>'HARIAN JANUARI 26'!$H$617</c:f>
            </c:strRef>
          </c:cat>
          <c:val>
            <c:numRef>
              <c:f>'HARIAN JANUARI 26'!$H$621</c:f>
              <c:numCache/>
            </c:numRef>
          </c:val>
        </c:ser>
        <c:axId val="2058245718"/>
        <c:axId val="1204416072"/>
      </c:bar3DChart>
      <c:catAx>
        <c:axId val="2058245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416072"/>
      </c:catAx>
      <c:valAx>
        <c:axId val="120441607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245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26'!$H$617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26'!$G$618:$G$621</c:f>
            </c:strRef>
          </c:cat>
          <c:val>
            <c:numRef>
              <c:f>'HARIAN JANUARI 26'!$H$618:$H$621</c:f>
              <c:numCache/>
            </c:numRef>
          </c:val>
        </c:ser>
        <c:ser>
          <c:idx val="1"/>
          <c:order val="1"/>
          <c:tx>
            <c:strRef>
              <c:f>'HARIAN JANUARI 26'!$J$617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26'!$G$618:$G$621</c:f>
            </c:strRef>
          </c:cat>
          <c:val>
            <c:numRef>
              <c:f>'HARIAN JANUARI 26'!$J$618:$J$621</c:f>
              <c:numCache/>
            </c:numRef>
          </c:val>
        </c:ser>
        <c:axId val="976906336"/>
        <c:axId val="48785530"/>
      </c:bar3DChart>
      <c:catAx>
        <c:axId val="9769063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85530"/>
      </c:catAx>
      <c:valAx>
        <c:axId val="4878553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9063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JANUARI 26'!$G$643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26'!$H$642</c:f>
            </c:strRef>
          </c:cat>
          <c:val>
            <c:numRef>
              <c:f>'HARIAN JANUARI 26'!$H$643</c:f>
              <c:numCache/>
            </c:numRef>
          </c:val>
        </c:ser>
        <c:ser>
          <c:idx val="1"/>
          <c:order val="1"/>
          <c:tx>
            <c:strRef>
              <c:f>'HARIAN JANUARI 26'!$G$644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26'!$H$642</c:f>
            </c:strRef>
          </c:cat>
          <c:val>
            <c:numRef>
              <c:f>'HARIAN JANUARI 26'!$H$644</c:f>
              <c:numCache/>
            </c:numRef>
          </c:val>
        </c:ser>
        <c:ser>
          <c:idx val="2"/>
          <c:order val="2"/>
          <c:tx>
            <c:strRef>
              <c:f>'HARIAN JANUARI 26'!$G$645</c:f>
            </c:strRef>
          </c:tx>
          <c:cat>
            <c:strRef>
              <c:f>'HARIAN JANUARI 26'!$H$642</c:f>
            </c:strRef>
          </c:cat>
          <c:val>
            <c:numRef>
              <c:f>'HARIAN JANUARI 26'!$H$645</c:f>
              <c:numCache/>
            </c:numRef>
          </c:val>
        </c:ser>
        <c:ser>
          <c:idx val="3"/>
          <c:order val="3"/>
          <c:tx>
            <c:strRef>
              <c:f>'HARIAN JANUARI 26'!$G$646</c:f>
            </c:strRef>
          </c:tx>
          <c:cat>
            <c:strRef>
              <c:f>'HARIAN JANUARI 26'!$H$642</c:f>
            </c:strRef>
          </c:cat>
          <c:val>
            <c:numRef>
              <c:f>'HARIAN JANUARI 26'!$H$646</c:f>
              <c:numCache/>
            </c:numRef>
          </c:val>
        </c:ser>
        <c:axId val="2105449785"/>
        <c:axId val="767278643"/>
      </c:bar3DChart>
      <c:catAx>
        <c:axId val="2105449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278643"/>
      </c:catAx>
      <c:valAx>
        <c:axId val="76727864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449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JANUARI 26'!$H$440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26'!$G$441:$G$442</c:f>
            </c:strRef>
          </c:cat>
          <c:val>
            <c:numRef>
              <c:f>'HARIAN JANUARI 26'!$H$441:$H$442</c:f>
              <c:numCache/>
            </c:numRef>
          </c:val>
        </c:ser>
        <c:ser>
          <c:idx val="1"/>
          <c:order val="1"/>
          <c:tx>
            <c:strRef>
              <c:f>'HARIAN JANUARI 26'!$J$440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JANUARI 26'!$G$441:$G$442</c:f>
            </c:strRef>
          </c:cat>
          <c:val>
            <c:numRef>
              <c:f>'HARIAN JANUARI 26'!$J$441:$J$442</c:f>
              <c:numCache/>
            </c:numRef>
          </c:val>
        </c:ser>
        <c:axId val="981214024"/>
        <c:axId val="501885496"/>
      </c:bar3DChart>
      <c:catAx>
        <c:axId val="9812140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885496"/>
      </c:catAx>
      <c:valAx>
        <c:axId val="50188549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2140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NOVEMBER'!$G$4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'HARIAN NOVEMBER'!$H$3</c:f>
            </c:strRef>
          </c:cat>
          <c:val>
            <c:numRef>
              <c:f>'HARIAN NOVEMBER'!$H$4</c:f>
              <c:numCache/>
            </c:numRef>
          </c:val>
        </c:ser>
        <c:ser>
          <c:idx val="1"/>
          <c:order val="1"/>
          <c:tx>
            <c:strRef>
              <c:f>'HARIAN NOVEMBER'!$G$5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'HARIAN NOVEMBER'!$H$3</c:f>
            </c:strRef>
          </c:cat>
          <c:val>
            <c:numRef>
              <c:f>'HARIAN NOVEMBER'!$H$5</c:f>
              <c:numCache/>
            </c:numRef>
          </c:val>
        </c:ser>
        <c:axId val="1547786253"/>
        <c:axId val="281396655"/>
      </c:bar3DChart>
      <c:catAx>
        <c:axId val="1547786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396655"/>
      </c:catAx>
      <c:valAx>
        <c:axId val="28139665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86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NOVEMBER'!$H$3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NOVEMBER'!$G$4:$G$5</c:f>
            </c:strRef>
          </c:cat>
          <c:val>
            <c:numRef>
              <c:f>'HARIAN NOVEMBER'!$H$4:$H$5</c:f>
              <c:numCache/>
            </c:numRef>
          </c:val>
        </c:ser>
        <c:ser>
          <c:idx val="1"/>
          <c:order val="1"/>
          <c:tx>
            <c:strRef>
              <c:f>'HARIAN NOVEMBER'!$J$3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NOVEMBER'!$G$4:$G$5</c:f>
            </c:strRef>
          </c:cat>
          <c:val>
            <c:numRef>
              <c:f>'HARIAN NOVEMBER'!$J$4:$J$5</c:f>
              <c:numCache/>
            </c:numRef>
          </c:val>
        </c:ser>
        <c:axId val="2120634792"/>
        <c:axId val="285375909"/>
      </c:bar3DChart>
      <c:catAx>
        <c:axId val="21206347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375909"/>
      </c:catAx>
      <c:valAx>
        <c:axId val="28537590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6347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NOVEMBER'!$G$30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'HARIAN NOVEMBER'!$H$29</c:f>
            </c:strRef>
          </c:cat>
          <c:val>
            <c:numRef>
              <c:f>'HARIAN NOVEMBER'!$H$30</c:f>
              <c:numCache/>
            </c:numRef>
          </c:val>
        </c:ser>
        <c:ser>
          <c:idx val="1"/>
          <c:order val="1"/>
          <c:tx>
            <c:strRef>
              <c:f>'HARIAN NOVEMBER'!$G$31</c:f>
            </c:strRef>
          </c:tx>
          <c:cat>
            <c:strRef>
              <c:f>'HARIAN NOVEMBER'!$H$29</c:f>
            </c:strRef>
          </c:cat>
          <c:val>
            <c:numRef>
              <c:f>'HARIAN NOVEMBER'!$H$31</c:f>
              <c:numCache/>
            </c:numRef>
          </c:val>
        </c:ser>
        <c:axId val="114759962"/>
        <c:axId val="379669660"/>
      </c:bar3DChart>
      <c:catAx>
        <c:axId val="114759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669660"/>
      </c:catAx>
      <c:valAx>
        <c:axId val="3796696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59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NOVEMBER'!$H$29:$H$30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NOVEMBER'!$G$31</c:f>
            </c:strRef>
          </c:cat>
          <c:val>
            <c:numRef>
              <c:f>'HARIAN NOVEMBER'!$H$31</c:f>
              <c:numCache/>
            </c:numRef>
          </c:val>
        </c:ser>
        <c:ser>
          <c:idx val="1"/>
          <c:order val="1"/>
          <c:tx>
            <c:strRef>
              <c:f>'HARIAN NOVEMBER'!$J$29:$J$30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NOVEMBER'!$G$31</c:f>
            </c:strRef>
          </c:cat>
          <c:val>
            <c:numRef>
              <c:f>'HARIAN NOVEMBER'!$J$31</c:f>
              <c:numCache/>
            </c:numRef>
          </c:val>
        </c:ser>
        <c:axId val="1036982630"/>
        <c:axId val="277833637"/>
      </c:bar3DChart>
      <c:catAx>
        <c:axId val="10369826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833637"/>
      </c:catAx>
      <c:valAx>
        <c:axId val="27783363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9826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NOVEMBER'!$G$56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NOVEMBER'!$H$55</c:f>
            </c:strRef>
          </c:cat>
          <c:val>
            <c:numRef>
              <c:f>'HARIAN NOVEMBER'!$H$56</c:f>
              <c:numCache/>
            </c:numRef>
          </c:val>
        </c:ser>
        <c:ser>
          <c:idx val="1"/>
          <c:order val="1"/>
          <c:tx>
            <c:strRef>
              <c:f>'HARIAN NOVEMBER'!$G$57</c:f>
            </c:strRef>
          </c:tx>
          <c:cat>
            <c:strRef>
              <c:f>'HARIAN NOVEMBER'!$H$55</c:f>
            </c:strRef>
          </c:cat>
          <c:val>
            <c:numRef>
              <c:f>'HARIAN NOVEMBER'!$H$57</c:f>
              <c:numCache/>
            </c:numRef>
          </c:val>
        </c:ser>
        <c:axId val="782617304"/>
        <c:axId val="773882167"/>
      </c:bar3DChart>
      <c:catAx>
        <c:axId val="782617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882167"/>
      </c:catAx>
      <c:valAx>
        <c:axId val="77388216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617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NOVEMBER'!$H$55:$H$56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NOVEMBER'!$G$57</c:f>
            </c:strRef>
          </c:cat>
          <c:val>
            <c:numRef>
              <c:f>'HARIAN NOVEMBER'!$H$57</c:f>
              <c:numCache/>
            </c:numRef>
          </c:val>
        </c:ser>
        <c:ser>
          <c:idx val="1"/>
          <c:order val="1"/>
          <c:tx>
            <c:strRef>
              <c:f>'HARIAN NOVEMBER'!$J$55:$J$56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NOVEMBER'!$G$57</c:f>
            </c:strRef>
          </c:cat>
          <c:val>
            <c:numRef>
              <c:f>'HARIAN NOVEMBER'!$J$57</c:f>
              <c:numCache/>
            </c:numRef>
          </c:val>
        </c:ser>
        <c:axId val="1126625224"/>
        <c:axId val="76660018"/>
      </c:bar3DChart>
      <c:catAx>
        <c:axId val="1126625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60018"/>
      </c:catAx>
      <c:valAx>
        <c:axId val="7666001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6252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NOVEMBER'!$G$82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NOVEMBER'!$H$81</c:f>
            </c:strRef>
          </c:cat>
          <c:val>
            <c:numRef>
              <c:f>'HARIAN NOVEMBER'!$H$82</c:f>
              <c:numCache/>
            </c:numRef>
          </c:val>
        </c:ser>
        <c:ser>
          <c:idx val="1"/>
          <c:order val="1"/>
          <c:tx>
            <c:strRef>
              <c:f>'HARIAN NOVEMBER'!$G$83</c:f>
            </c:strRef>
          </c:tx>
          <c:cat>
            <c:strRef>
              <c:f>'HARIAN NOVEMBER'!$H$81</c:f>
            </c:strRef>
          </c:cat>
          <c:val>
            <c:numRef>
              <c:f>'HARIAN NOVEMBER'!$H$83</c:f>
              <c:numCache/>
            </c:numRef>
          </c:val>
        </c:ser>
        <c:axId val="1805148288"/>
        <c:axId val="1407474289"/>
      </c:bar3DChart>
      <c:catAx>
        <c:axId val="180514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474289"/>
      </c:catAx>
      <c:valAx>
        <c:axId val="140747428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148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NOVEMBER'!$H$81:$H$82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NOVEMBER'!$G$83</c:f>
            </c:strRef>
          </c:cat>
          <c:val>
            <c:numRef>
              <c:f>'HARIAN NOVEMBER'!$H$83</c:f>
              <c:numCache/>
            </c:numRef>
          </c:val>
        </c:ser>
        <c:ser>
          <c:idx val="1"/>
          <c:order val="1"/>
          <c:tx>
            <c:strRef>
              <c:f>'HARIAN NOVEMBER'!$J$81:$J$82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NOVEMBER'!$G$83</c:f>
            </c:strRef>
          </c:cat>
          <c:val>
            <c:numRef>
              <c:f>'HARIAN NOVEMBER'!$J$83</c:f>
              <c:numCache/>
            </c:numRef>
          </c:val>
        </c:ser>
        <c:axId val="278258125"/>
        <c:axId val="987993679"/>
      </c:bar3DChart>
      <c:catAx>
        <c:axId val="2782581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993679"/>
      </c:catAx>
      <c:valAx>
        <c:axId val="98799367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2581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NOVEMBER'!$G$107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NOVEMBER'!$H$106</c:f>
            </c:strRef>
          </c:cat>
          <c:val>
            <c:numRef>
              <c:f>'HARIAN NOVEMBER'!$H$107</c:f>
              <c:numCache/>
            </c:numRef>
          </c:val>
        </c:ser>
        <c:ser>
          <c:idx val="1"/>
          <c:order val="1"/>
          <c:tx>
            <c:strRef>
              <c:f>'HARIAN NOVEMBER'!$G$108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NOVEMBER'!$H$106</c:f>
            </c:strRef>
          </c:cat>
          <c:val>
            <c:numRef>
              <c:f>'HARIAN NOVEMBER'!$H$108</c:f>
              <c:numCache/>
            </c:numRef>
          </c:val>
        </c:ser>
        <c:axId val="572792296"/>
        <c:axId val="534983636"/>
      </c:bar3DChart>
      <c:catAx>
        <c:axId val="572792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983636"/>
      </c:catAx>
      <c:valAx>
        <c:axId val="53498363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792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NOVEMBER'!$H$106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NOVEMBER'!$G$107:$G$108</c:f>
            </c:strRef>
          </c:cat>
          <c:val>
            <c:numRef>
              <c:f>'HARIAN NOVEMBER'!$H$107:$H$108</c:f>
              <c:numCache/>
            </c:numRef>
          </c:val>
        </c:ser>
        <c:ser>
          <c:idx val="1"/>
          <c:order val="1"/>
          <c:tx>
            <c:strRef>
              <c:f>'HARIAN NOVEMBER'!$J$106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NOVEMBER'!$G$107:$G$108</c:f>
            </c:strRef>
          </c:cat>
          <c:val>
            <c:numRef>
              <c:f>'HARIAN NOVEMBER'!$J$107:$J$108</c:f>
              <c:numCache/>
            </c:numRef>
          </c:val>
        </c:ser>
        <c:axId val="699004119"/>
        <c:axId val="1217074592"/>
      </c:bar3DChart>
      <c:catAx>
        <c:axId val="6990041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074592"/>
      </c:catAx>
      <c:valAx>
        <c:axId val="121707459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0041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'HARIAN NOVEMBER'!$H$131:$H$132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NOVEMBER'!$G$133</c:f>
            </c:strRef>
          </c:cat>
          <c:val>
            <c:numRef>
              <c:f>'HARIAN NOVEMBER'!$H$133</c:f>
              <c:numCache/>
            </c:numRef>
          </c:val>
        </c:ser>
        <c:ser>
          <c:idx val="1"/>
          <c:order val="1"/>
          <c:tx>
            <c:strRef>
              <c:f>'HARIAN NOVEMBER'!$J$131:$J$132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NOVEMBER'!$G$133</c:f>
            </c:strRef>
          </c:cat>
          <c:val>
            <c:numRef>
              <c:f>'HARIAN NOVEMBER'!$J$133</c:f>
              <c:numCache/>
            </c:numRef>
          </c:val>
        </c:ser>
        <c:axId val="1983992224"/>
        <c:axId val="398248267"/>
      </c:bar3DChart>
      <c:catAx>
        <c:axId val="1983992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248267"/>
      </c:catAx>
      <c:valAx>
        <c:axId val="39824826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9922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NOVEMBER'!$G$132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NOVEMBER'!$H$131</c:f>
            </c:strRef>
          </c:cat>
          <c:val>
            <c:numRef>
              <c:f>'HARIAN NOVEMBER'!$H$132</c:f>
              <c:numCache/>
            </c:numRef>
          </c:val>
        </c:ser>
        <c:ser>
          <c:idx val="1"/>
          <c:order val="1"/>
          <c:tx>
            <c:strRef>
              <c:f>'HARIAN NOVEMBER'!$G$133</c:f>
            </c:strRef>
          </c:tx>
          <c:cat>
            <c:strRef>
              <c:f>'HARIAN NOVEMBER'!$H$131</c:f>
            </c:strRef>
          </c:cat>
          <c:val>
            <c:numRef>
              <c:f>'HARIAN NOVEMBER'!$H$133</c:f>
              <c:numCache/>
            </c:numRef>
          </c:val>
        </c:ser>
        <c:axId val="1613049061"/>
        <c:axId val="315199761"/>
      </c:bar3DChart>
      <c:catAx>
        <c:axId val="161304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199761"/>
      </c:catAx>
      <c:valAx>
        <c:axId val="31519976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049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NOVEMBER'!$G$157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NOVEMBER'!$H$156</c:f>
            </c:strRef>
          </c:cat>
          <c:val>
            <c:numRef>
              <c:f>'HARIAN NOVEMBER'!$H$157</c:f>
              <c:numCache/>
            </c:numRef>
          </c:val>
        </c:ser>
        <c:ser>
          <c:idx val="1"/>
          <c:order val="1"/>
          <c:tx>
            <c:strRef>
              <c:f>'HARIAN NOVEMBER'!$G$158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NOVEMBER'!$H$156</c:f>
            </c:strRef>
          </c:cat>
          <c:val>
            <c:numRef>
              <c:f>'HARIAN NOVEMBER'!$H$158</c:f>
              <c:numCache/>
            </c:numRef>
          </c:val>
        </c:ser>
        <c:axId val="1293687585"/>
        <c:axId val="1553394533"/>
      </c:bar3DChart>
      <c:catAx>
        <c:axId val="1293687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394533"/>
      </c:catAx>
      <c:valAx>
        <c:axId val="155339453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687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NOVEMBER'!$G$157:$G$158</c:f>
            </c:strRef>
          </c:cat>
          <c:val>
            <c:numRef>
              <c:f>'HARIAN NOVEMBER'!$H$157:$H$158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NOVEMBER'!$G$157:$G$158</c:f>
            </c:strRef>
          </c:cat>
          <c:val>
            <c:numRef>
              <c:f>'HARIAN NOVEMBER'!$J$157:$J$158</c:f>
              <c:numCache/>
            </c:numRef>
          </c:val>
        </c:ser>
        <c:axId val="222415661"/>
        <c:axId val="627243098"/>
      </c:bar3DChart>
      <c:catAx>
        <c:axId val="2224156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243098"/>
      </c:catAx>
      <c:valAx>
        <c:axId val="62724309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4156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NOVEMBER'!$G$182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NOVEMBER'!$H$181</c:f>
            </c:strRef>
          </c:cat>
          <c:val>
            <c:numRef>
              <c:f>'HARIAN NOVEMBER'!$H$182</c:f>
              <c:numCache/>
            </c:numRef>
          </c:val>
        </c:ser>
        <c:ser>
          <c:idx val="1"/>
          <c:order val="1"/>
          <c:tx>
            <c:strRef>
              <c:f>'HARIAN NOVEMBER'!$G$183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NOVEMBER'!$H$181</c:f>
            </c:strRef>
          </c:cat>
          <c:val>
            <c:numRef>
              <c:f>'HARIAN NOVEMBER'!$H$183</c:f>
              <c:numCache/>
            </c:numRef>
          </c:val>
        </c:ser>
        <c:axId val="616494902"/>
        <c:axId val="481406932"/>
      </c:bar3DChart>
      <c:catAx>
        <c:axId val="616494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406932"/>
      </c:catAx>
      <c:valAx>
        <c:axId val="4814069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494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NOVEMBER'!$G$182:$G$183</c:f>
            </c:strRef>
          </c:cat>
          <c:val>
            <c:numRef>
              <c:f>'HARIAN NOVEMBER'!$H$182:$H$183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NOVEMBER'!$G$182:$G$183</c:f>
            </c:strRef>
          </c:cat>
          <c:val>
            <c:numRef>
              <c:f>'HARIAN NOVEMBER'!$J$182:$J$183</c:f>
              <c:numCache/>
            </c:numRef>
          </c:val>
        </c:ser>
        <c:axId val="464129826"/>
        <c:axId val="144069680"/>
      </c:bar3DChart>
      <c:catAx>
        <c:axId val="464129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69680"/>
      </c:catAx>
      <c:valAx>
        <c:axId val="14406968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1298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NOVEMBER'!$G$207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NOVEMBER'!$H$206</c:f>
            </c:strRef>
          </c:cat>
          <c:val>
            <c:numRef>
              <c:f>'HARIAN NOVEMBER'!$H$207</c:f>
              <c:numCache/>
            </c:numRef>
          </c:val>
        </c:ser>
        <c:ser>
          <c:idx val="1"/>
          <c:order val="1"/>
          <c:tx>
            <c:strRef>
              <c:f>'HARIAN NOVEMBER'!$G$208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NOVEMBER'!$H$206</c:f>
            </c:strRef>
          </c:cat>
          <c:val>
            <c:numRef>
              <c:f>'HARIAN NOVEMBER'!$H$208</c:f>
              <c:numCache/>
            </c:numRef>
          </c:val>
        </c:ser>
        <c:axId val="314851961"/>
        <c:axId val="1214972707"/>
      </c:bar3DChart>
      <c:catAx>
        <c:axId val="314851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972707"/>
      </c:catAx>
      <c:valAx>
        <c:axId val="121497270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851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NOVEMBER'!$G$207:$G$208</c:f>
            </c:strRef>
          </c:cat>
          <c:val>
            <c:numRef>
              <c:f>'HARIAN NOVEMBER'!$H$207:$H$208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NOVEMBER'!$G$207:$G$208</c:f>
            </c:strRef>
          </c:cat>
          <c:val>
            <c:numRef>
              <c:f>'HARIAN NOVEMBER'!$J$207:$J$208</c:f>
              <c:numCache/>
            </c:numRef>
          </c:val>
        </c:ser>
        <c:axId val="1392780646"/>
        <c:axId val="947164601"/>
      </c:bar3DChart>
      <c:catAx>
        <c:axId val="13927806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164601"/>
      </c:catAx>
      <c:valAx>
        <c:axId val="94716460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7806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'HARIAN NOVEMBER'!$G$232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NOVEMBER'!$H$231</c:f>
            </c:strRef>
          </c:cat>
          <c:val>
            <c:numRef>
              <c:f>'HARIAN NOVEMBER'!$H$232</c:f>
              <c:numCache/>
            </c:numRef>
          </c:val>
        </c:ser>
        <c:ser>
          <c:idx val="1"/>
          <c:order val="1"/>
          <c:tx>
            <c:strRef>
              <c:f>'HARIAN NOVEMBER'!$G$233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NOVEMBER'!$H$231</c:f>
            </c:strRef>
          </c:cat>
          <c:val>
            <c:numRef>
              <c:f>'HARIAN NOVEMBER'!$H$233</c:f>
              <c:numCache/>
            </c:numRef>
          </c:val>
        </c:ser>
        <c:axId val="1508172861"/>
        <c:axId val="1547245623"/>
      </c:bar3DChart>
      <c:catAx>
        <c:axId val="1508172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245623"/>
      </c:catAx>
      <c:valAx>
        <c:axId val="15472456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172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ORDER VS TARGET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NOVEMBER'!$G$232:$G$233</c:f>
            </c:strRef>
          </c:cat>
          <c:val>
            <c:numRef>
              <c:f>'HARIAN NOVEMBER'!$H$232:$H$233</c:f>
              <c:numCache/>
            </c:numRef>
          </c:val>
        </c:ser>
        <c:ser>
          <c:idx val="1"/>
          <c:order val="1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'HARIAN NOVEMBER'!$G$232:$G$233</c:f>
            </c:strRef>
          </c:cat>
          <c:val>
            <c:numRef>
              <c:f>'HARIAN NOVEMBER'!$J$232:$J$233</c:f>
              <c:numCache/>
            </c:numRef>
          </c:val>
        </c:ser>
        <c:axId val="1578175989"/>
        <c:axId val="980651340"/>
      </c:bar3DChart>
      <c:catAx>
        <c:axId val="15781759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651340"/>
      </c:catAx>
      <c:valAx>
        <c:axId val="98065134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759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.png"/><Relationship Id="rId13" Type="http://schemas.openxmlformats.org/officeDocument/2006/relationships/image" Target="../media/image5.png"/><Relationship Id="rId12" Type="http://schemas.openxmlformats.org/officeDocument/2006/relationships/image" Target="../media/image6.png"/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image17.png"/><Relationship Id="rId4" Type="http://schemas.openxmlformats.org/officeDocument/2006/relationships/image" Target="../media/image10.png"/><Relationship Id="rId9" Type="http://schemas.openxmlformats.org/officeDocument/2006/relationships/image" Target="../media/image8.png"/><Relationship Id="rId15" Type="http://schemas.openxmlformats.org/officeDocument/2006/relationships/image" Target="../media/image11.png"/><Relationship Id="rId14" Type="http://schemas.openxmlformats.org/officeDocument/2006/relationships/image" Target="../media/image14.png"/><Relationship Id="rId17" Type="http://schemas.openxmlformats.org/officeDocument/2006/relationships/image" Target="../media/image7.png"/><Relationship Id="rId16" Type="http://schemas.openxmlformats.org/officeDocument/2006/relationships/image" Target="../media/image4.png"/><Relationship Id="rId5" Type="http://schemas.openxmlformats.org/officeDocument/2006/relationships/image" Target="../media/image3.png"/><Relationship Id="rId19" Type="http://schemas.openxmlformats.org/officeDocument/2006/relationships/image" Target="../media/image9.png"/><Relationship Id="rId6" Type="http://schemas.openxmlformats.org/officeDocument/2006/relationships/image" Target="../media/image16.png"/><Relationship Id="rId18" Type="http://schemas.openxmlformats.org/officeDocument/2006/relationships/image" Target="../media/image13.png"/><Relationship Id="rId7" Type="http://schemas.openxmlformats.org/officeDocument/2006/relationships/image" Target="../media/image2.png"/><Relationship Id="rId8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3.xml"/><Relationship Id="rId10" Type="http://schemas.openxmlformats.org/officeDocument/2006/relationships/chart" Target="../charts/chart12.xml"/><Relationship Id="rId13" Type="http://schemas.openxmlformats.org/officeDocument/2006/relationships/chart" Target="../charts/chart15.xml"/><Relationship Id="rId12" Type="http://schemas.openxmlformats.org/officeDocument/2006/relationships/chart" Target="../charts/chart14.xml"/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5" Type="http://schemas.openxmlformats.org/officeDocument/2006/relationships/chart" Target="../charts/chart17.xml"/><Relationship Id="rId14" Type="http://schemas.openxmlformats.org/officeDocument/2006/relationships/chart" Target="../charts/chart16.xml"/><Relationship Id="rId16" Type="http://schemas.openxmlformats.org/officeDocument/2006/relationships/chart" Target="../charts/chart18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9.xml"/><Relationship Id="rId10" Type="http://schemas.openxmlformats.org/officeDocument/2006/relationships/chart" Target="../charts/chart28.xml"/><Relationship Id="rId13" Type="http://schemas.openxmlformats.org/officeDocument/2006/relationships/chart" Target="../charts/chart31.xml"/><Relationship Id="rId12" Type="http://schemas.openxmlformats.org/officeDocument/2006/relationships/chart" Target="../charts/chart30.xml"/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5" Type="http://schemas.openxmlformats.org/officeDocument/2006/relationships/chart" Target="../charts/chart33.xml"/><Relationship Id="rId14" Type="http://schemas.openxmlformats.org/officeDocument/2006/relationships/chart" Target="../charts/chart3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Relationship Id="rId7" Type="http://schemas.openxmlformats.org/officeDocument/2006/relationships/chart" Target="../charts/chart25.xml"/><Relationship Id="rId8" Type="http://schemas.openxmlformats.org/officeDocument/2006/relationships/chart" Target="../charts/chart26.xm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44.xml"/><Relationship Id="rId10" Type="http://schemas.openxmlformats.org/officeDocument/2006/relationships/chart" Target="../charts/chart43.xml"/><Relationship Id="rId13" Type="http://schemas.openxmlformats.org/officeDocument/2006/relationships/chart" Target="../charts/chart46.xml"/><Relationship Id="rId12" Type="http://schemas.openxmlformats.org/officeDocument/2006/relationships/chart" Target="../charts/chart45.xml"/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5" Type="http://schemas.openxmlformats.org/officeDocument/2006/relationships/chart" Target="../charts/chart48.xml"/><Relationship Id="rId14" Type="http://schemas.openxmlformats.org/officeDocument/2006/relationships/chart" Target="../charts/chart47.xml"/><Relationship Id="rId16" Type="http://schemas.openxmlformats.org/officeDocument/2006/relationships/chart" Target="../charts/chart49.xml"/><Relationship Id="rId5" Type="http://schemas.openxmlformats.org/officeDocument/2006/relationships/chart" Target="../charts/chart38.xml"/><Relationship Id="rId6" Type="http://schemas.openxmlformats.org/officeDocument/2006/relationships/chart" Target="../charts/chart39.xml"/><Relationship Id="rId7" Type="http://schemas.openxmlformats.org/officeDocument/2006/relationships/chart" Target="../charts/chart40.xml"/><Relationship Id="rId8" Type="http://schemas.openxmlformats.org/officeDocument/2006/relationships/chart" Target="../charts/chart41.xml"/></Relationships>
</file>

<file path=xl/drawings/_rels/drawing10.xml.rels><?xml version="1.0" encoding="UTF-8" standalone="yes"?><Relationships xmlns="http://schemas.openxmlformats.org/package/2006/relationships"><Relationship Id="rId40" Type="http://schemas.openxmlformats.org/officeDocument/2006/relationships/chart" Target="../charts/chart89.xml"/><Relationship Id="rId42" Type="http://schemas.openxmlformats.org/officeDocument/2006/relationships/chart" Target="../charts/chart91.xml"/><Relationship Id="rId41" Type="http://schemas.openxmlformats.org/officeDocument/2006/relationships/chart" Target="../charts/chart90.xml"/><Relationship Id="rId44" Type="http://schemas.openxmlformats.org/officeDocument/2006/relationships/chart" Target="../charts/chart93.xml"/><Relationship Id="rId43" Type="http://schemas.openxmlformats.org/officeDocument/2006/relationships/chart" Target="../charts/chart92.xml"/><Relationship Id="rId46" Type="http://schemas.openxmlformats.org/officeDocument/2006/relationships/chart" Target="../charts/chart95.xml"/><Relationship Id="rId45" Type="http://schemas.openxmlformats.org/officeDocument/2006/relationships/chart" Target="../charts/chart94.xml"/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chart" Target="../charts/chart53.xml"/><Relationship Id="rId9" Type="http://schemas.openxmlformats.org/officeDocument/2006/relationships/chart" Target="../charts/chart58.xml"/><Relationship Id="rId48" Type="http://schemas.openxmlformats.org/officeDocument/2006/relationships/chart" Target="../charts/chart97.xml"/><Relationship Id="rId47" Type="http://schemas.openxmlformats.org/officeDocument/2006/relationships/chart" Target="../charts/chart96.xml"/><Relationship Id="rId49" Type="http://schemas.openxmlformats.org/officeDocument/2006/relationships/chart" Target="../charts/chart98.xml"/><Relationship Id="rId5" Type="http://schemas.openxmlformats.org/officeDocument/2006/relationships/chart" Target="../charts/chart54.xml"/><Relationship Id="rId6" Type="http://schemas.openxmlformats.org/officeDocument/2006/relationships/chart" Target="../charts/chart55.xml"/><Relationship Id="rId7" Type="http://schemas.openxmlformats.org/officeDocument/2006/relationships/chart" Target="../charts/chart56.xml"/><Relationship Id="rId8" Type="http://schemas.openxmlformats.org/officeDocument/2006/relationships/chart" Target="../charts/chart57.xml"/><Relationship Id="rId31" Type="http://schemas.openxmlformats.org/officeDocument/2006/relationships/chart" Target="../charts/chart80.xml"/><Relationship Id="rId30" Type="http://schemas.openxmlformats.org/officeDocument/2006/relationships/chart" Target="../charts/chart79.xml"/><Relationship Id="rId33" Type="http://schemas.openxmlformats.org/officeDocument/2006/relationships/chart" Target="../charts/chart82.xml"/><Relationship Id="rId32" Type="http://schemas.openxmlformats.org/officeDocument/2006/relationships/chart" Target="../charts/chart81.xml"/><Relationship Id="rId35" Type="http://schemas.openxmlformats.org/officeDocument/2006/relationships/chart" Target="../charts/chart84.xml"/><Relationship Id="rId34" Type="http://schemas.openxmlformats.org/officeDocument/2006/relationships/chart" Target="../charts/chart83.xml"/><Relationship Id="rId37" Type="http://schemas.openxmlformats.org/officeDocument/2006/relationships/chart" Target="../charts/chart86.xml"/><Relationship Id="rId36" Type="http://schemas.openxmlformats.org/officeDocument/2006/relationships/chart" Target="../charts/chart85.xml"/><Relationship Id="rId39" Type="http://schemas.openxmlformats.org/officeDocument/2006/relationships/chart" Target="../charts/chart88.xml"/><Relationship Id="rId38" Type="http://schemas.openxmlformats.org/officeDocument/2006/relationships/chart" Target="../charts/chart87.xml"/><Relationship Id="rId20" Type="http://schemas.openxmlformats.org/officeDocument/2006/relationships/chart" Target="../charts/chart69.xml"/><Relationship Id="rId22" Type="http://schemas.openxmlformats.org/officeDocument/2006/relationships/chart" Target="../charts/chart71.xml"/><Relationship Id="rId21" Type="http://schemas.openxmlformats.org/officeDocument/2006/relationships/chart" Target="../charts/chart70.xml"/><Relationship Id="rId24" Type="http://schemas.openxmlformats.org/officeDocument/2006/relationships/chart" Target="../charts/chart73.xml"/><Relationship Id="rId23" Type="http://schemas.openxmlformats.org/officeDocument/2006/relationships/chart" Target="../charts/chart72.xml"/><Relationship Id="rId26" Type="http://schemas.openxmlformats.org/officeDocument/2006/relationships/chart" Target="../charts/chart75.xml"/><Relationship Id="rId25" Type="http://schemas.openxmlformats.org/officeDocument/2006/relationships/chart" Target="../charts/chart74.xml"/><Relationship Id="rId28" Type="http://schemas.openxmlformats.org/officeDocument/2006/relationships/chart" Target="../charts/chart77.xml"/><Relationship Id="rId27" Type="http://schemas.openxmlformats.org/officeDocument/2006/relationships/chart" Target="../charts/chart76.xml"/><Relationship Id="rId29" Type="http://schemas.openxmlformats.org/officeDocument/2006/relationships/chart" Target="../charts/chart78.xml"/><Relationship Id="rId51" Type="http://schemas.openxmlformats.org/officeDocument/2006/relationships/chart" Target="../charts/chart100.xml"/><Relationship Id="rId50" Type="http://schemas.openxmlformats.org/officeDocument/2006/relationships/chart" Target="../charts/chart99.xml"/><Relationship Id="rId52" Type="http://schemas.openxmlformats.org/officeDocument/2006/relationships/chart" Target="../charts/chart101.xml"/><Relationship Id="rId11" Type="http://schemas.openxmlformats.org/officeDocument/2006/relationships/chart" Target="../charts/chart60.xml"/><Relationship Id="rId10" Type="http://schemas.openxmlformats.org/officeDocument/2006/relationships/chart" Target="../charts/chart59.xml"/><Relationship Id="rId13" Type="http://schemas.openxmlformats.org/officeDocument/2006/relationships/chart" Target="../charts/chart62.xml"/><Relationship Id="rId12" Type="http://schemas.openxmlformats.org/officeDocument/2006/relationships/chart" Target="../charts/chart61.xml"/><Relationship Id="rId15" Type="http://schemas.openxmlformats.org/officeDocument/2006/relationships/chart" Target="../charts/chart64.xml"/><Relationship Id="rId14" Type="http://schemas.openxmlformats.org/officeDocument/2006/relationships/chart" Target="../charts/chart63.xml"/><Relationship Id="rId17" Type="http://schemas.openxmlformats.org/officeDocument/2006/relationships/chart" Target="../charts/chart66.xml"/><Relationship Id="rId16" Type="http://schemas.openxmlformats.org/officeDocument/2006/relationships/chart" Target="../charts/chart65.xml"/><Relationship Id="rId19" Type="http://schemas.openxmlformats.org/officeDocument/2006/relationships/chart" Target="../charts/chart68.xml"/><Relationship Id="rId18" Type="http://schemas.openxmlformats.org/officeDocument/2006/relationships/chart" Target="../charts/chart6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chart" Target="../charts/chart142.xml"/><Relationship Id="rId42" Type="http://schemas.openxmlformats.org/officeDocument/2006/relationships/chart" Target="../charts/chart144.xml"/><Relationship Id="rId41" Type="http://schemas.openxmlformats.org/officeDocument/2006/relationships/chart" Target="../charts/chart143.xml"/><Relationship Id="rId44" Type="http://schemas.openxmlformats.org/officeDocument/2006/relationships/chart" Target="../charts/chart146.xml"/><Relationship Id="rId43" Type="http://schemas.openxmlformats.org/officeDocument/2006/relationships/chart" Target="../charts/chart145.xml"/><Relationship Id="rId46" Type="http://schemas.openxmlformats.org/officeDocument/2006/relationships/chart" Target="../charts/chart148.xml"/><Relationship Id="rId45" Type="http://schemas.openxmlformats.org/officeDocument/2006/relationships/chart" Target="../charts/chart147.xml"/><Relationship Id="rId1" Type="http://schemas.openxmlformats.org/officeDocument/2006/relationships/chart" Target="../charts/chart103.xml"/><Relationship Id="rId2" Type="http://schemas.openxmlformats.org/officeDocument/2006/relationships/chart" Target="../charts/chart104.xml"/><Relationship Id="rId3" Type="http://schemas.openxmlformats.org/officeDocument/2006/relationships/chart" Target="../charts/chart105.xml"/><Relationship Id="rId4" Type="http://schemas.openxmlformats.org/officeDocument/2006/relationships/chart" Target="../charts/chart106.xml"/><Relationship Id="rId9" Type="http://schemas.openxmlformats.org/officeDocument/2006/relationships/chart" Target="../charts/chart111.xml"/><Relationship Id="rId48" Type="http://schemas.openxmlformats.org/officeDocument/2006/relationships/chart" Target="../charts/chart150.xml"/><Relationship Id="rId47" Type="http://schemas.openxmlformats.org/officeDocument/2006/relationships/chart" Target="../charts/chart149.xml"/><Relationship Id="rId49" Type="http://schemas.openxmlformats.org/officeDocument/2006/relationships/chart" Target="../charts/chart151.xml"/><Relationship Id="rId5" Type="http://schemas.openxmlformats.org/officeDocument/2006/relationships/chart" Target="../charts/chart107.xml"/><Relationship Id="rId6" Type="http://schemas.openxmlformats.org/officeDocument/2006/relationships/chart" Target="../charts/chart108.xml"/><Relationship Id="rId7" Type="http://schemas.openxmlformats.org/officeDocument/2006/relationships/chart" Target="../charts/chart109.xml"/><Relationship Id="rId8" Type="http://schemas.openxmlformats.org/officeDocument/2006/relationships/chart" Target="../charts/chart110.xml"/><Relationship Id="rId31" Type="http://schemas.openxmlformats.org/officeDocument/2006/relationships/chart" Target="../charts/chart133.xml"/><Relationship Id="rId30" Type="http://schemas.openxmlformats.org/officeDocument/2006/relationships/chart" Target="../charts/chart132.xml"/><Relationship Id="rId33" Type="http://schemas.openxmlformats.org/officeDocument/2006/relationships/chart" Target="../charts/chart135.xml"/><Relationship Id="rId32" Type="http://schemas.openxmlformats.org/officeDocument/2006/relationships/chart" Target="../charts/chart134.xml"/><Relationship Id="rId35" Type="http://schemas.openxmlformats.org/officeDocument/2006/relationships/chart" Target="../charts/chart137.xml"/><Relationship Id="rId34" Type="http://schemas.openxmlformats.org/officeDocument/2006/relationships/chart" Target="../charts/chart136.xml"/><Relationship Id="rId37" Type="http://schemas.openxmlformats.org/officeDocument/2006/relationships/chart" Target="../charts/chart139.xml"/><Relationship Id="rId36" Type="http://schemas.openxmlformats.org/officeDocument/2006/relationships/chart" Target="../charts/chart138.xml"/><Relationship Id="rId39" Type="http://schemas.openxmlformats.org/officeDocument/2006/relationships/chart" Target="../charts/chart141.xml"/><Relationship Id="rId38" Type="http://schemas.openxmlformats.org/officeDocument/2006/relationships/chart" Target="../charts/chart140.xml"/><Relationship Id="rId20" Type="http://schemas.openxmlformats.org/officeDocument/2006/relationships/chart" Target="../charts/chart122.xml"/><Relationship Id="rId22" Type="http://schemas.openxmlformats.org/officeDocument/2006/relationships/chart" Target="../charts/chart124.xml"/><Relationship Id="rId21" Type="http://schemas.openxmlformats.org/officeDocument/2006/relationships/chart" Target="../charts/chart123.xml"/><Relationship Id="rId24" Type="http://schemas.openxmlformats.org/officeDocument/2006/relationships/chart" Target="../charts/chart126.xml"/><Relationship Id="rId23" Type="http://schemas.openxmlformats.org/officeDocument/2006/relationships/chart" Target="../charts/chart125.xml"/><Relationship Id="rId26" Type="http://schemas.openxmlformats.org/officeDocument/2006/relationships/chart" Target="../charts/chart128.xml"/><Relationship Id="rId25" Type="http://schemas.openxmlformats.org/officeDocument/2006/relationships/chart" Target="../charts/chart127.xml"/><Relationship Id="rId28" Type="http://schemas.openxmlformats.org/officeDocument/2006/relationships/chart" Target="../charts/chart130.xml"/><Relationship Id="rId27" Type="http://schemas.openxmlformats.org/officeDocument/2006/relationships/chart" Target="../charts/chart129.xml"/><Relationship Id="rId29" Type="http://schemas.openxmlformats.org/officeDocument/2006/relationships/chart" Target="../charts/chart131.xml"/><Relationship Id="rId51" Type="http://schemas.openxmlformats.org/officeDocument/2006/relationships/chart" Target="../charts/chart153.xml"/><Relationship Id="rId50" Type="http://schemas.openxmlformats.org/officeDocument/2006/relationships/chart" Target="../charts/chart152.xml"/><Relationship Id="rId52" Type="http://schemas.openxmlformats.org/officeDocument/2006/relationships/chart" Target="../charts/chart154.xml"/><Relationship Id="rId11" Type="http://schemas.openxmlformats.org/officeDocument/2006/relationships/chart" Target="../charts/chart113.xml"/><Relationship Id="rId10" Type="http://schemas.openxmlformats.org/officeDocument/2006/relationships/chart" Target="../charts/chart112.xml"/><Relationship Id="rId13" Type="http://schemas.openxmlformats.org/officeDocument/2006/relationships/chart" Target="../charts/chart115.xml"/><Relationship Id="rId12" Type="http://schemas.openxmlformats.org/officeDocument/2006/relationships/chart" Target="../charts/chart114.xml"/><Relationship Id="rId15" Type="http://schemas.openxmlformats.org/officeDocument/2006/relationships/chart" Target="../charts/chart117.xml"/><Relationship Id="rId14" Type="http://schemas.openxmlformats.org/officeDocument/2006/relationships/chart" Target="../charts/chart116.xml"/><Relationship Id="rId17" Type="http://schemas.openxmlformats.org/officeDocument/2006/relationships/chart" Target="../charts/chart119.xml"/><Relationship Id="rId16" Type="http://schemas.openxmlformats.org/officeDocument/2006/relationships/chart" Target="../charts/chart118.xml"/><Relationship Id="rId19" Type="http://schemas.openxmlformats.org/officeDocument/2006/relationships/chart" Target="../charts/chart121.xml"/><Relationship Id="rId18" Type="http://schemas.openxmlformats.org/officeDocument/2006/relationships/chart" Target="../charts/chart12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5.xml"/><Relationship Id="rId2" Type="http://schemas.openxmlformats.org/officeDocument/2006/relationships/chart" Target="../charts/chart156.xml"/><Relationship Id="rId3" Type="http://schemas.openxmlformats.org/officeDocument/2006/relationships/chart" Target="../charts/chart157.xml"/><Relationship Id="rId4" Type="http://schemas.openxmlformats.org/officeDocument/2006/relationships/chart" Target="../charts/chart158.xml"/><Relationship Id="rId9" Type="http://schemas.openxmlformats.org/officeDocument/2006/relationships/chart" Target="../charts/chart163.xml"/><Relationship Id="rId5" Type="http://schemas.openxmlformats.org/officeDocument/2006/relationships/chart" Target="../charts/chart159.xml"/><Relationship Id="rId6" Type="http://schemas.openxmlformats.org/officeDocument/2006/relationships/chart" Target="../charts/chart160.xml"/><Relationship Id="rId7" Type="http://schemas.openxmlformats.org/officeDocument/2006/relationships/chart" Target="../charts/chart161.xml"/><Relationship Id="rId8" Type="http://schemas.openxmlformats.org/officeDocument/2006/relationships/chart" Target="../charts/chart162.xml"/><Relationship Id="rId20" Type="http://schemas.openxmlformats.org/officeDocument/2006/relationships/chart" Target="../charts/chart174.xml"/><Relationship Id="rId11" Type="http://schemas.openxmlformats.org/officeDocument/2006/relationships/chart" Target="../charts/chart165.xml"/><Relationship Id="rId10" Type="http://schemas.openxmlformats.org/officeDocument/2006/relationships/chart" Target="../charts/chart164.xml"/><Relationship Id="rId13" Type="http://schemas.openxmlformats.org/officeDocument/2006/relationships/chart" Target="../charts/chart167.xml"/><Relationship Id="rId12" Type="http://schemas.openxmlformats.org/officeDocument/2006/relationships/chart" Target="../charts/chart166.xml"/><Relationship Id="rId15" Type="http://schemas.openxmlformats.org/officeDocument/2006/relationships/chart" Target="../charts/chart169.xml"/><Relationship Id="rId14" Type="http://schemas.openxmlformats.org/officeDocument/2006/relationships/chart" Target="../charts/chart168.xml"/><Relationship Id="rId17" Type="http://schemas.openxmlformats.org/officeDocument/2006/relationships/chart" Target="../charts/chart171.xml"/><Relationship Id="rId16" Type="http://schemas.openxmlformats.org/officeDocument/2006/relationships/chart" Target="../charts/chart170.xml"/><Relationship Id="rId19" Type="http://schemas.openxmlformats.org/officeDocument/2006/relationships/chart" Target="../charts/chart173.xml"/><Relationship Id="rId18" Type="http://schemas.openxmlformats.org/officeDocument/2006/relationships/chart" Target="../charts/chart17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38</xdr:row>
      <xdr:rowOff>142875</xdr:rowOff>
    </xdr:from>
    <xdr:ext cx="7153275" cy="3162300"/>
    <xdr:pic>
      <xdr:nvPicPr>
        <xdr:cNvPr id="1976957782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18</xdr:row>
      <xdr:rowOff>190500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171450</xdr:colOff>
      <xdr:row>7</xdr:row>
      <xdr:rowOff>161925</xdr:rowOff>
    </xdr:from>
    <xdr:ext cx="857250" cy="809625"/>
    <xdr:pic>
      <xdr:nvPicPr>
        <xdr:cNvPr id="0" name="image17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14</xdr:row>
      <xdr:rowOff>28575</xdr:rowOff>
    </xdr:from>
    <xdr:ext cx="657225" cy="657225"/>
    <xdr:pic>
      <xdr:nvPicPr>
        <xdr:cNvPr id="0" name="image10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24</xdr:row>
      <xdr:rowOff>47625</xdr:rowOff>
    </xdr:from>
    <xdr:ext cx="657225" cy="657225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29</xdr:row>
      <xdr:rowOff>19050</xdr:rowOff>
    </xdr:from>
    <xdr:ext cx="857250" cy="857250"/>
    <xdr:pic>
      <xdr:nvPicPr>
        <xdr:cNvPr id="0" name="image16.png" title="Gambar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24</xdr:row>
      <xdr:rowOff>47625</xdr:rowOff>
    </xdr:from>
    <xdr:ext cx="771525" cy="809625"/>
    <xdr:pic>
      <xdr:nvPicPr>
        <xdr:cNvPr id="0" name="image2.pn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8</xdr:row>
      <xdr:rowOff>66675</xdr:rowOff>
    </xdr:from>
    <xdr:ext cx="657225" cy="657225"/>
    <xdr:pic>
      <xdr:nvPicPr>
        <xdr:cNvPr id="0" name="image15.png" title="Gamba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14</xdr:row>
      <xdr:rowOff>28575</xdr:rowOff>
    </xdr:from>
    <xdr:ext cx="904875" cy="657225"/>
    <xdr:pic>
      <xdr:nvPicPr>
        <xdr:cNvPr id="0" name="image8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14</xdr:row>
      <xdr:rowOff>28575</xdr:rowOff>
    </xdr:from>
    <xdr:ext cx="657225" cy="657225"/>
    <xdr:pic>
      <xdr:nvPicPr>
        <xdr:cNvPr id="0" name="image1.png" title="Gambar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13</xdr:row>
      <xdr:rowOff>209550</xdr:rowOff>
    </xdr:from>
    <xdr:ext cx="771525" cy="704850"/>
    <xdr:pic>
      <xdr:nvPicPr>
        <xdr:cNvPr id="0" name="image12.png" title="Gambar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18</xdr:row>
      <xdr:rowOff>180975</xdr:rowOff>
    </xdr:from>
    <xdr:ext cx="771525" cy="771525"/>
    <xdr:pic>
      <xdr:nvPicPr>
        <xdr:cNvPr id="0" name="image6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18</xdr:row>
      <xdr:rowOff>190500</xdr:rowOff>
    </xdr:from>
    <xdr:ext cx="771525" cy="809625"/>
    <xdr:pic>
      <xdr:nvPicPr>
        <xdr:cNvPr id="0" name="image5.png" title="Gambar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1143000</xdr:colOff>
      <xdr:row>19</xdr:row>
      <xdr:rowOff>47625</xdr:rowOff>
    </xdr:from>
    <xdr:ext cx="1162050" cy="657225"/>
    <xdr:pic>
      <xdr:nvPicPr>
        <xdr:cNvPr id="0" name="image14.png" title="Gambar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19</xdr:row>
      <xdr:rowOff>57150</xdr:rowOff>
    </xdr:from>
    <xdr:ext cx="1162050" cy="704850"/>
    <xdr:pic>
      <xdr:nvPicPr>
        <xdr:cNvPr id="0" name="image11.png" title="Gambar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24</xdr:row>
      <xdr:rowOff>104775</xdr:rowOff>
    </xdr:from>
    <xdr:ext cx="723900" cy="704850"/>
    <xdr:pic>
      <xdr:nvPicPr>
        <xdr:cNvPr id="0" name="image4.png" title="Gambar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</xdr:colOff>
      <xdr:row>23</xdr:row>
      <xdr:rowOff>161925</xdr:rowOff>
    </xdr:from>
    <xdr:ext cx="1162050" cy="809625"/>
    <xdr:pic>
      <xdr:nvPicPr>
        <xdr:cNvPr id="0" name="image7.png" title="Gambar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29</xdr:row>
      <xdr:rowOff>19050</xdr:rowOff>
    </xdr:from>
    <xdr:ext cx="857250" cy="857250"/>
    <xdr:pic>
      <xdr:nvPicPr>
        <xdr:cNvPr id="0" name="image13.png" title="Gambar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30</xdr:row>
      <xdr:rowOff>9525</xdr:rowOff>
    </xdr:from>
    <xdr:ext cx="552450" cy="609600"/>
    <xdr:pic>
      <xdr:nvPicPr>
        <xdr:cNvPr id="0" name="image9.png" title="Gambar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9</xdr:row>
      <xdr:rowOff>257175</xdr:rowOff>
    </xdr:from>
    <xdr:ext cx="3657600" cy="226695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123825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24</xdr:row>
      <xdr:rowOff>57150</xdr:rowOff>
    </xdr:from>
    <xdr:ext cx="5715000" cy="3533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142875</xdr:colOff>
      <xdr:row>43</xdr:row>
      <xdr:rowOff>57150</xdr:rowOff>
    </xdr:from>
    <xdr:ext cx="5715000" cy="35337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142875</xdr:colOff>
      <xdr:row>62</xdr:row>
      <xdr:rowOff>66675</xdr:rowOff>
    </xdr:from>
    <xdr:ext cx="5715000" cy="35337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952500</xdr:colOff>
      <xdr:row>81</xdr:row>
      <xdr:rowOff>190500</xdr:rowOff>
    </xdr:from>
    <xdr:ext cx="5715000" cy="3533775"/>
    <xdr:graphicFrame>
      <xdr:nvGraphicFramePr>
        <xdr:cNvPr id="8" name="Chart 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28575</xdr:colOff>
      <xdr:row>101</xdr:row>
      <xdr:rowOff>114300</xdr:rowOff>
    </xdr:from>
    <xdr:ext cx="5715000" cy="3533775"/>
    <xdr:graphicFrame>
      <xdr:nvGraphicFramePr>
        <xdr:cNvPr id="9" name="Chart 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200025</xdr:colOff>
      <xdr:row>6</xdr:row>
      <xdr:rowOff>19050</xdr:rowOff>
    </xdr:from>
    <xdr:ext cx="5715000" cy="3533775"/>
    <xdr:graphicFrame>
      <xdr:nvGraphicFramePr>
        <xdr:cNvPr id="10" name="Chart 1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200025</xdr:colOff>
      <xdr:row>24</xdr:row>
      <xdr:rowOff>57150</xdr:rowOff>
    </xdr:from>
    <xdr:ext cx="5715000" cy="3533775"/>
    <xdr:graphicFrame>
      <xdr:nvGraphicFramePr>
        <xdr:cNvPr id="11" name="Chart 1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200025</xdr:colOff>
      <xdr:row>177</xdr:row>
      <xdr:rowOff>95250</xdr:rowOff>
    </xdr:from>
    <xdr:ext cx="5715000" cy="3533775"/>
    <xdr:graphicFrame>
      <xdr:nvGraphicFramePr>
        <xdr:cNvPr id="12" name="Chart 1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352425</xdr:colOff>
      <xdr:row>43</xdr:row>
      <xdr:rowOff>114300</xdr:rowOff>
    </xdr:from>
    <xdr:ext cx="5715000" cy="3533775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352425</xdr:colOff>
      <xdr:row>62</xdr:row>
      <xdr:rowOff>161925</xdr:rowOff>
    </xdr:from>
    <xdr:ext cx="5715000" cy="3533775"/>
    <xdr:graphicFrame>
      <xdr:nvGraphicFramePr>
        <xdr:cNvPr id="14" name="Chart 1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15</xdr:col>
      <xdr:colOff>352425</xdr:colOff>
      <xdr:row>82</xdr:row>
      <xdr:rowOff>85725</xdr:rowOff>
    </xdr:from>
    <xdr:ext cx="5715000" cy="3533775"/>
    <xdr:graphicFrame>
      <xdr:nvGraphicFramePr>
        <xdr:cNvPr id="15" name="Chart 1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15</xdr:col>
      <xdr:colOff>352425</xdr:colOff>
      <xdr:row>101</xdr:row>
      <xdr:rowOff>114300</xdr:rowOff>
    </xdr:from>
    <xdr:ext cx="5715000" cy="3533775"/>
    <xdr:graphicFrame>
      <xdr:nvGraphicFramePr>
        <xdr:cNvPr id="16" name="Chart 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15</xdr:col>
      <xdr:colOff>352425</xdr:colOff>
      <xdr:row>120</xdr:row>
      <xdr:rowOff>85725</xdr:rowOff>
    </xdr:from>
    <xdr:ext cx="5715000" cy="3533775"/>
    <xdr:graphicFrame>
      <xdr:nvGraphicFramePr>
        <xdr:cNvPr id="17" name="Chart 1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15</xdr:col>
      <xdr:colOff>295275</xdr:colOff>
      <xdr:row>139</xdr:row>
      <xdr:rowOff>104775</xdr:rowOff>
    </xdr:from>
    <xdr:ext cx="5715000" cy="3533775"/>
    <xdr:graphicFrame>
      <xdr:nvGraphicFramePr>
        <xdr:cNvPr id="18" name="Chart 1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15</xdr:col>
      <xdr:colOff>295275</xdr:colOff>
      <xdr:row>158</xdr:row>
      <xdr:rowOff>123825</xdr:rowOff>
    </xdr:from>
    <xdr:ext cx="5715000" cy="3533775"/>
    <xdr:graphicFrame>
      <xdr:nvGraphicFramePr>
        <xdr:cNvPr id="19" name="Chart 1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3</xdr:row>
      <xdr:rowOff>180975</xdr:rowOff>
    </xdr:from>
    <xdr:ext cx="3733800" cy="2305050"/>
    <xdr:graphicFrame>
      <xdr:nvGraphicFramePr>
        <xdr:cNvPr id="20" name="Chart 2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400050</xdr:colOff>
      <xdr:row>3</xdr:row>
      <xdr:rowOff>180975</xdr:rowOff>
    </xdr:from>
    <xdr:ext cx="3790950" cy="2305050"/>
    <xdr:graphicFrame>
      <xdr:nvGraphicFramePr>
        <xdr:cNvPr id="21" name="Chart 2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38100</xdr:colOff>
      <xdr:row>15</xdr:row>
      <xdr:rowOff>161925</xdr:rowOff>
    </xdr:from>
    <xdr:ext cx="3686175" cy="2305050"/>
    <xdr:graphicFrame>
      <xdr:nvGraphicFramePr>
        <xdr:cNvPr id="22" name="Chart 2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247650</xdr:colOff>
      <xdr:row>15</xdr:row>
      <xdr:rowOff>76200</xdr:rowOff>
    </xdr:from>
    <xdr:ext cx="3867150" cy="2390775"/>
    <xdr:graphicFrame>
      <xdr:nvGraphicFramePr>
        <xdr:cNvPr id="23" name="Chart 2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38100</xdr:colOff>
      <xdr:row>27</xdr:row>
      <xdr:rowOff>190500</xdr:rowOff>
    </xdr:from>
    <xdr:ext cx="3686175" cy="2305050"/>
    <xdr:graphicFrame>
      <xdr:nvGraphicFramePr>
        <xdr:cNvPr id="24" name="Chart 2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400050</xdr:colOff>
      <xdr:row>27</xdr:row>
      <xdr:rowOff>190500</xdr:rowOff>
    </xdr:from>
    <xdr:ext cx="3467100" cy="2114550"/>
    <xdr:graphicFrame>
      <xdr:nvGraphicFramePr>
        <xdr:cNvPr id="25" name="Chart 2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419100</xdr:colOff>
      <xdr:row>40</xdr:row>
      <xdr:rowOff>114300</xdr:rowOff>
    </xdr:from>
    <xdr:ext cx="3314700" cy="2066925"/>
    <xdr:graphicFrame>
      <xdr:nvGraphicFramePr>
        <xdr:cNvPr id="26" name="Chart 2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295275</xdr:colOff>
      <xdr:row>39</xdr:row>
      <xdr:rowOff>95250</xdr:rowOff>
    </xdr:from>
    <xdr:ext cx="3571875" cy="2238375"/>
    <xdr:graphicFrame>
      <xdr:nvGraphicFramePr>
        <xdr:cNvPr id="27" name="Chart 2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333375</xdr:colOff>
      <xdr:row>52</xdr:row>
      <xdr:rowOff>47625</xdr:rowOff>
    </xdr:from>
    <xdr:ext cx="3733800" cy="2305050"/>
    <xdr:graphicFrame>
      <xdr:nvGraphicFramePr>
        <xdr:cNvPr id="28" name="Chart 2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314325</xdr:colOff>
      <xdr:row>52</xdr:row>
      <xdr:rowOff>47625</xdr:rowOff>
    </xdr:from>
    <xdr:ext cx="3733800" cy="2305050"/>
    <xdr:graphicFrame>
      <xdr:nvGraphicFramePr>
        <xdr:cNvPr id="29" name="Chart 2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323850</xdr:colOff>
      <xdr:row>64</xdr:row>
      <xdr:rowOff>104775</xdr:rowOff>
    </xdr:from>
    <xdr:ext cx="3924300" cy="2390775"/>
    <xdr:graphicFrame>
      <xdr:nvGraphicFramePr>
        <xdr:cNvPr id="30" name="Chart 3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12</xdr:col>
      <xdr:colOff>676275</xdr:colOff>
      <xdr:row>64</xdr:row>
      <xdr:rowOff>142875</xdr:rowOff>
    </xdr:from>
    <xdr:ext cx="3733800" cy="2305050"/>
    <xdr:graphicFrame>
      <xdr:nvGraphicFramePr>
        <xdr:cNvPr id="31" name="Chart 3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371475</xdr:colOff>
      <xdr:row>40</xdr:row>
      <xdr:rowOff>114300</xdr:rowOff>
    </xdr:from>
    <xdr:ext cx="3571875" cy="2238375"/>
    <xdr:graphicFrame>
      <xdr:nvGraphicFramePr>
        <xdr:cNvPr id="32" name="Chart 3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428625</xdr:colOff>
      <xdr:row>64</xdr:row>
      <xdr:rowOff>57150</xdr:rowOff>
    </xdr:from>
    <xdr:ext cx="3371850" cy="2066925"/>
    <xdr:graphicFrame>
      <xdr:nvGraphicFramePr>
        <xdr:cNvPr id="33" name="Chart 3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</xdr:col>
      <xdr:colOff>371475</xdr:colOff>
      <xdr:row>53</xdr:row>
      <xdr:rowOff>9525</xdr:rowOff>
    </xdr:from>
    <xdr:ext cx="3371850" cy="2066925"/>
    <xdr:graphicFrame>
      <xdr:nvGraphicFramePr>
        <xdr:cNvPr id="34" name="Chart 3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3</xdr:row>
      <xdr:rowOff>171450</xdr:rowOff>
    </xdr:from>
    <xdr:ext cx="5153025" cy="3190875"/>
    <xdr:graphicFrame>
      <xdr:nvGraphicFramePr>
        <xdr:cNvPr id="35" name="Chart 3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838200</xdr:colOff>
      <xdr:row>3</xdr:row>
      <xdr:rowOff>171450</xdr:rowOff>
    </xdr:from>
    <xdr:ext cx="5153025" cy="3190875"/>
    <xdr:graphicFrame>
      <xdr:nvGraphicFramePr>
        <xdr:cNvPr id="36" name="Chart 3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933450</xdr:colOff>
      <xdr:row>21</xdr:row>
      <xdr:rowOff>95250</xdr:rowOff>
    </xdr:from>
    <xdr:ext cx="5210175" cy="3257550"/>
    <xdr:graphicFrame>
      <xdr:nvGraphicFramePr>
        <xdr:cNvPr id="37" name="Chart 3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781050</xdr:colOff>
      <xdr:row>21</xdr:row>
      <xdr:rowOff>95250</xdr:rowOff>
    </xdr:from>
    <xdr:ext cx="5210175" cy="3190875"/>
    <xdr:graphicFrame>
      <xdr:nvGraphicFramePr>
        <xdr:cNvPr id="38" name="Chart 3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914400</xdr:colOff>
      <xdr:row>38</xdr:row>
      <xdr:rowOff>38100</xdr:rowOff>
    </xdr:from>
    <xdr:ext cx="5210175" cy="3257550"/>
    <xdr:graphicFrame>
      <xdr:nvGraphicFramePr>
        <xdr:cNvPr id="39" name="Chart 3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714375</xdr:colOff>
      <xdr:row>38</xdr:row>
      <xdr:rowOff>38100</xdr:rowOff>
    </xdr:from>
    <xdr:ext cx="5257800" cy="3190875"/>
    <xdr:graphicFrame>
      <xdr:nvGraphicFramePr>
        <xdr:cNvPr id="40" name="Chart 4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914400</xdr:colOff>
      <xdr:row>54</xdr:row>
      <xdr:rowOff>171450</xdr:rowOff>
    </xdr:from>
    <xdr:ext cx="5257800" cy="3257550"/>
    <xdr:graphicFrame>
      <xdr:nvGraphicFramePr>
        <xdr:cNvPr id="41" name="Chart 4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771525</xdr:colOff>
      <xdr:row>54</xdr:row>
      <xdr:rowOff>171450</xdr:rowOff>
    </xdr:from>
    <xdr:ext cx="5210175" cy="3257550"/>
    <xdr:graphicFrame>
      <xdr:nvGraphicFramePr>
        <xdr:cNvPr id="42" name="Chart 4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923925</xdr:colOff>
      <xdr:row>71</xdr:row>
      <xdr:rowOff>190500</xdr:rowOff>
    </xdr:from>
    <xdr:ext cx="5257800" cy="3257550"/>
    <xdr:graphicFrame>
      <xdr:nvGraphicFramePr>
        <xdr:cNvPr id="43" name="Chart 4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800100</xdr:colOff>
      <xdr:row>72</xdr:row>
      <xdr:rowOff>57150</xdr:rowOff>
    </xdr:from>
    <xdr:ext cx="5153025" cy="3190875"/>
    <xdr:graphicFrame>
      <xdr:nvGraphicFramePr>
        <xdr:cNvPr id="44" name="Chart 4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923925</xdr:colOff>
      <xdr:row>89</xdr:row>
      <xdr:rowOff>0</xdr:rowOff>
    </xdr:from>
    <xdr:ext cx="5257800" cy="3257550"/>
    <xdr:graphicFrame>
      <xdr:nvGraphicFramePr>
        <xdr:cNvPr id="45" name="Chart 4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14</xdr:col>
      <xdr:colOff>847725</xdr:colOff>
      <xdr:row>88</xdr:row>
      <xdr:rowOff>200025</xdr:rowOff>
    </xdr:from>
    <xdr:ext cx="5257800" cy="3257550"/>
    <xdr:graphicFrame>
      <xdr:nvGraphicFramePr>
        <xdr:cNvPr id="46" name="Chart 4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</xdr:col>
      <xdr:colOff>466725</xdr:colOff>
      <xdr:row>39</xdr:row>
      <xdr:rowOff>171450</xdr:rowOff>
    </xdr:from>
    <xdr:ext cx="5153025" cy="3190875"/>
    <xdr:graphicFrame>
      <xdr:nvGraphicFramePr>
        <xdr:cNvPr id="47" name="Chart 4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</xdr:col>
      <xdr:colOff>466725</xdr:colOff>
      <xdr:row>56</xdr:row>
      <xdr:rowOff>9525</xdr:rowOff>
    </xdr:from>
    <xdr:ext cx="5153025" cy="3190875"/>
    <xdr:graphicFrame>
      <xdr:nvGraphicFramePr>
        <xdr:cNvPr id="48" name="Chart 4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</xdr:col>
      <xdr:colOff>466725</xdr:colOff>
      <xdr:row>72</xdr:row>
      <xdr:rowOff>161925</xdr:rowOff>
    </xdr:from>
    <xdr:ext cx="5210175" cy="3190875"/>
    <xdr:graphicFrame>
      <xdr:nvGraphicFramePr>
        <xdr:cNvPr id="49" name="Chart 4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</xdr:col>
      <xdr:colOff>466725</xdr:colOff>
      <xdr:row>89</xdr:row>
      <xdr:rowOff>57150</xdr:rowOff>
    </xdr:from>
    <xdr:ext cx="5210175" cy="3257550"/>
    <xdr:graphicFrame>
      <xdr:nvGraphicFramePr>
        <xdr:cNvPr id="50" name="Chart 5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8</xdr:row>
      <xdr:rowOff>28575</xdr:rowOff>
    </xdr:from>
    <xdr:ext cx="5381625" cy="3352800"/>
    <xdr:graphicFrame>
      <xdr:nvGraphicFramePr>
        <xdr:cNvPr id="51" name="Chart 5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923925</xdr:colOff>
      <xdr:row>8</xdr:row>
      <xdr:rowOff>28575</xdr:rowOff>
    </xdr:from>
    <xdr:ext cx="5448300" cy="3352800"/>
    <xdr:graphicFrame>
      <xdr:nvGraphicFramePr>
        <xdr:cNvPr id="52" name="Chart 5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59</xdr:row>
      <xdr:rowOff>200025</xdr:rowOff>
    </xdr:from>
    <xdr:ext cx="5514975" cy="3429000"/>
    <xdr:graphicFrame>
      <xdr:nvGraphicFramePr>
        <xdr:cNvPr id="53" name="Chart 5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923925</xdr:colOff>
      <xdr:row>59</xdr:row>
      <xdr:rowOff>200025</xdr:rowOff>
    </xdr:from>
    <xdr:ext cx="5514975" cy="3429000"/>
    <xdr:graphicFrame>
      <xdr:nvGraphicFramePr>
        <xdr:cNvPr id="54" name="Chart 5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952500</xdr:colOff>
      <xdr:row>85</xdr:row>
      <xdr:rowOff>161925</xdr:rowOff>
    </xdr:from>
    <xdr:ext cx="5514975" cy="3429000"/>
    <xdr:graphicFrame>
      <xdr:nvGraphicFramePr>
        <xdr:cNvPr id="55" name="Chart 5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266700</xdr:colOff>
      <xdr:row>85</xdr:row>
      <xdr:rowOff>161925</xdr:rowOff>
    </xdr:from>
    <xdr:ext cx="5514975" cy="3429000"/>
    <xdr:graphicFrame>
      <xdr:nvGraphicFramePr>
        <xdr:cNvPr id="56" name="Chart 5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952500</xdr:colOff>
      <xdr:row>110</xdr:row>
      <xdr:rowOff>161925</xdr:rowOff>
    </xdr:from>
    <xdr:ext cx="5514975" cy="3429000"/>
    <xdr:graphicFrame>
      <xdr:nvGraphicFramePr>
        <xdr:cNvPr id="57" name="Chart 5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266700</xdr:colOff>
      <xdr:row>110</xdr:row>
      <xdr:rowOff>104775</xdr:rowOff>
    </xdr:from>
    <xdr:ext cx="5514975" cy="3429000"/>
    <xdr:graphicFrame>
      <xdr:nvGraphicFramePr>
        <xdr:cNvPr id="58" name="Chart 5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266700</xdr:colOff>
      <xdr:row>135</xdr:row>
      <xdr:rowOff>104775</xdr:rowOff>
    </xdr:from>
    <xdr:ext cx="5514975" cy="3429000"/>
    <xdr:graphicFrame>
      <xdr:nvGraphicFramePr>
        <xdr:cNvPr id="59" name="Chart 5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952500</xdr:colOff>
      <xdr:row>135</xdr:row>
      <xdr:rowOff>161925</xdr:rowOff>
    </xdr:from>
    <xdr:ext cx="5514975" cy="3429000"/>
    <xdr:graphicFrame>
      <xdr:nvGraphicFramePr>
        <xdr:cNvPr id="60" name="Chart 6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828675</xdr:colOff>
      <xdr:row>161</xdr:row>
      <xdr:rowOff>57150</xdr:rowOff>
    </xdr:from>
    <xdr:ext cx="5514975" cy="3429000"/>
    <xdr:graphicFrame>
      <xdr:nvGraphicFramePr>
        <xdr:cNvPr id="61" name="Chart 6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12</xdr:col>
      <xdr:colOff>266700</xdr:colOff>
      <xdr:row>161</xdr:row>
      <xdr:rowOff>47625</xdr:rowOff>
    </xdr:from>
    <xdr:ext cx="5514975" cy="3429000"/>
    <xdr:graphicFrame>
      <xdr:nvGraphicFramePr>
        <xdr:cNvPr id="62" name="Chart 6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952500</xdr:colOff>
      <xdr:row>186</xdr:row>
      <xdr:rowOff>161925</xdr:rowOff>
    </xdr:from>
    <xdr:ext cx="5514975" cy="3429000"/>
    <xdr:graphicFrame>
      <xdr:nvGraphicFramePr>
        <xdr:cNvPr id="63" name="Chart 6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12</xdr:col>
      <xdr:colOff>266700</xdr:colOff>
      <xdr:row>186</xdr:row>
      <xdr:rowOff>161925</xdr:rowOff>
    </xdr:from>
    <xdr:ext cx="5514975" cy="3429000"/>
    <xdr:graphicFrame>
      <xdr:nvGraphicFramePr>
        <xdr:cNvPr id="64" name="Chart 6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952500</xdr:colOff>
      <xdr:row>211</xdr:row>
      <xdr:rowOff>76200</xdr:rowOff>
    </xdr:from>
    <xdr:ext cx="5514975" cy="3429000"/>
    <xdr:graphicFrame>
      <xdr:nvGraphicFramePr>
        <xdr:cNvPr id="65" name="Chart 6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12</xdr:col>
      <xdr:colOff>190500</xdr:colOff>
      <xdr:row>211</xdr:row>
      <xdr:rowOff>66675</xdr:rowOff>
    </xdr:from>
    <xdr:ext cx="5514975" cy="3429000"/>
    <xdr:graphicFrame>
      <xdr:nvGraphicFramePr>
        <xdr:cNvPr id="66" name="Chart 6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952500</xdr:colOff>
      <xdr:row>236</xdr:row>
      <xdr:rowOff>161925</xdr:rowOff>
    </xdr:from>
    <xdr:ext cx="5514975" cy="3429000"/>
    <xdr:graphicFrame>
      <xdr:nvGraphicFramePr>
        <xdr:cNvPr id="67" name="Chart 6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12</xdr:col>
      <xdr:colOff>266700</xdr:colOff>
      <xdr:row>236</xdr:row>
      <xdr:rowOff>161925</xdr:rowOff>
    </xdr:from>
    <xdr:ext cx="5514975" cy="3429000"/>
    <xdr:graphicFrame>
      <xdr:nvGraphicFramePr>
        <xdr:cNvPr id="68" name="Chart 6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952500</xdr:colOff>
      <xdr:row>33</xdr:row>
      <xdr:rowOff>180975</xdr:rowOff>
    </xdr:from>
    <xdr:ext cx="5381625" cy="3352800"/>
    <xdr:graphicFrame>
      <xdr:nvGraphicFramePr>
        <xdr:cNvPr id="69" name="Chart 6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11</xdr:col>
      <xdr:colOff>923925</xdr:colOff>
      <xdr:row>33</xdr:row>
      <xdr:rowOff>142875</xdr:rowOff>
    </xdr:from>
    <xdr:ext cx="5448300" cy="3352800"/>
    <xdr:graphicFrame>
      <xdr:nvGraphicFramePr>
        <xdr:cNvPr id="70" name="Chart 7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12</xdr:col>
      <xdr:colOff>266700</xdr:colOff>
      <xdr:row>263</xdr:row>
      <xdr:rowOff>19050</xdr:rowOff>
    </xdr:from>
    <xdr:ext cx="5514975" cy="3429000"/>
    <xdr:graphicFrame>
      <xdr:nvGraphicFramePr>
        <xdr:cNvPr id="71" name="Chart 7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952500</xdr:colOff>
      <xdr:row>263</xdr:row>
      <xdr:rowOff>19050</xdr:rowOff>
    </xdr:from>
    <xdr:ext cx="5514975" cy="3429000"/>
    <xdr:graphicFrame>
      <xdr:nvGraphicFramePr>
        <xdr:cNvPr id="72" name="Chart 7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952500</xdr:colOff>
      <xdr:row>289</xdr:row>
      <xdr:rowOff>76200</xdr:rowOff>
    </xdr:from>
    <xdr:ext cx="5514975" cy="3429000"/>
    <xdr:graphicFrame>
      <xdr:nvGraphicFramePr>
        <xdr:cNvPr id="73" name="Chart 7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12</xdr:col>
      <xdr:colOff>266700</xdr:colOff>
      <xdr:row>289</xdr:row>
      <xdr:rowOff>76200</xdr:rowOff>
    </xdr:from>
    <xdr:ext cx="5514975" cy="3429000"/>
    <xdr:graphicFrame>
      <xdr:nvGraphicFramePr>
        <xdr:cNvPr id="74" name="Chart 7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5</xdr:col>
      <xdr:colOff>952500</xdr:colOff>
      <xdr:row>314</xdr:row>
      <xdr:rowOff>161925</xdr:rowOff>
    </xdr:from>
    <xdr:ext cx="5514975" cy="3429000"/>
    <xdr:graphicFrame>
      <xdr:nvGraphicFramePr>
        <xdr:cNvPr id="75" name="Chart 7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12</xdr:col>
      <xdr:colOff>190500</xdr:colOff>
      <xdr:row>314</xdr:row>
      <xdr:rowOff>171450</xdr:rowOff>
    </xdr:from>
    <xdr:ext cx="5514975" cy="3429000"/>
    <xdr:graphicFrame>
      <xdr:nvGraphicFramePr>
        <xdr:cNvPr id="76" name="Chart 7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5</xdr:col>
      <xdr:colOff>952500</xdr:colOff>
      <xdr:row>340</xdr:row>
      <xdr:rowOff>190500</xdr:rowOff>
    </xdr:from>
    <xdr:ext cx="5514975" cy="3429000"/>
    <xdr:graphicFrame>
      <xdr:nvGraphicFramePr>
        <xdr:cNvPr id="77" name="Chart 7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12</xdr:col>
      <xdr:colOff>266700</xdr:colOff>
      <xdr:row>340</xdr:row>
      <xdr:rowOff>161925</xdr:rowOff>
    </xdr:from>
    <xdr:ext cx="5514975" cy="3429000"/>
    <xdr:graphicFrame>
      <xdr:nvGraphicFramePr>
        <xdr:cNvPr id="78" name="Chart 7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5</xdr:col>
      <xdr:colOff>952500</xdr:colOff>
      <xdr:row>367</xdr:row>
      <xdr:rowOff>19050</xdr:rowOff>
    </xdr:from>
    <xdr:ext cx="5514975" cy="3429000"/>
    <xdr:graphicFrame>
      <xdr:nvGraphicFramePr>
        <xdr:cNvPr id="79" name="Chart 7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12</xdr:col>
      <xdr:colOff>342900</xdr:colOff>
      <xdr:row>367</xdr:row>
      <xdr:rowOff>19050</xdr:rowOff>
    </xdr:from>
    <xdr:ext cx="5514975" cy="3429000"/>
    <xdr:graphicFrame>
      <xdr:nvGraphicFramePr>
        <xdr:cNvPr id="80" name="Chart 8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5</xdr:col>
      <xdr:colOff>885825</xdr:colOff>
      <xdr:row>392</xdr:row>
      <xdr:rowOff>161925</xdr:rowOff>
    </xdr:from>
    <xdr:ext cx="5514975" cy="3429000"/>
    <xdr:graphicFrame>
      <xdr:nvGraphicFramePr>
        <xdr:cNvPr id="81" name="Chart 8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12</xdr:col>
      <xdr:colOff>276225</xdr:colOff>
      <xdr:row>392</xdr:row>
      <xdr:rowOff>104775</xdr:rowOff>
    </xdr:from>
    <xdr:ext cx="5514975" cy="3429000"/>
    <xdr:graphicFrame>
      <xdr:nvGraphicFramePr>
        <xdr:cNvPr id="82" name="Chart 8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5</xdr:col>
      <xdr:colOff>952500</xdr:colOff>
      <xdr:row>419</xdr:row>
      <xdr:rowOff>76200</xdr:rowOff>
    </xdr:from>
    <xdr:ext cx="5514975" cy="3429000"/>
    <xdr:graphicFrame>
      <xdr:nvGraphicFramePr>
        <xdr:cNvPr id="83" name="Chart 8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12</xdr:col>
      <xdr:colOff>266700</xdr:colOff>
      <xdr:row>419</xdr:row>
      <xdr:rowOff>66675</xdr:rowOff>
    </xdr:from>
    <xdr:ext cx="5514975" cy="3429000"/>
    <xdr:graphicFrame>
      <xdr:nvGraphicFramePr>
        <xdr:cNvPr id="84" name="Chart 8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5</xdr:col>
      <xdr:colOff>885825</xdr:colOff>
      <xdr:row>444</xdr:row>
      <xdr:rowOff>161925</xdr:rowOff>
    </xdr:from>
    <xdr:ext cx="5514975" cy="3429000"/>
    <xdr:graphicFrame>
      <xdr:nvGraphicFramePr>
        <xdr:cNvPr id="85" name="Chart 8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12</xdr:col>
      <xdr:colOff>190500</xdr:colOff>
      <xdr:row>444</xdr:row>
      <xdr:rowOff>161925</xdr:rowOff>
    </xdr:from>
    <xdr:ext cx="5514975" cy="3429000"/>
    <xdr:graphicFrame>
      <xdr:nvGraphicFramePr>
        <xdr:cNvPr id="86" name="Chart 8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5</xdr:col>
      <xdr:colOff>952500</xdr:colOff>
      <xdr:row>470</xdr:row>
      <xdr:rowOff>57150</xdr:rowOff>
    </xdr:from>
    <xdr:ext cx="5514975" cy="3429000"/>
    <xdr:graphicFrame>
      <xdr:nvGraphicFramePr>
        <xdr:cNvPr id="87" name="Chart 8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12</xdr:col>
      <xdr:colOff>142875</xdr:colOff>
      <xdr:row>470</xdr:row>
      <xdr:rowOff>57150</xdr:rowOff>
    </xdr:from>
    <xdr:ext cx="5514975" cy="3429000"/>
    <xdr:graphicFrame>
      <xdr:nvGraphicFramePr>
        <xdr:cNvPr id="88" name="Chart 8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5</xdr:col>
      <xdr:colOff>885825</xdr:colOff>
      <xdr:row>495</xdr:row>
      <xdr:rowOff>95250</xdr:rowOff>
    </xdr:from>
    <xdr:ext cx="5514975" cy="3429000"/>
    <xdr:graphicFrame>
      <xdr:nvGraphicFramePr>
        <xdr:cNvPr id="89" name="Chart 8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12</xdr:col>
      <xdr:colOff>142875</xdr:colOff>
      <xdr:row>495</xdr:row>
      <xdr:rowOff>95250</xdr:rowOff>
    </xdr:from>
    <xdr:ext cx="5514975" cy="3429000"/>
    <xdr:graphicFrame>
      <xdr:nvGraphicFramePr>
        <xdr:cNvPr id="90" name="Chart 9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5</xdr:col>
      <xdr:colOff>885825</xdr:colOff>
      <xdr:row>521</xdr:row>
      <xdr:rowOff>76200</xdr:rowOff>
    </xdr:from>
    <xdr:ext cx="5514975" cy="3429000"/>
    <xdr:graphicFrame>
      <xdr:nvGraphicFramePr>
        <xdr:cNvPr id="91" name="Chart 9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12</xdr:col>
      <xdr:colOff>142875</xdr:colOff>
      <xdr:row>521</xdr:row>
      <xdr:rowOff>76200</xdr:rowOff>
    </xdr:from>
    <xdr:ext cx="5514975" cy="3429000"/>
    <xdr:graphicFrame>
      <xdr:nvGraphicFramePr>
        <xdr:cNvPr id="92" name="Chart 9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5</xdr:col>
      <xdr:colOff>952500</xdr:colOff>
      <xdr:row>546</xdr:row>
      <xdr:rowOff>28575</xdr:rowOff>
    </xdr:from>
    <xdr:ext cx="5514975" cy="3429000"/>
    <xdr:graphicFrame>
      <xdr:nvGraphicFramePr>
        <xdr:cNvPr id="93" name="Chart 9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12</xdr:col>
      <xdr:colOff>190500</xdr:colOff>
      <xdr:row>546</xdr:row>
      <xdr:rowOff>28575</xdr:rowOff>
    </xdr:from>
    <xdr:ext cx="5514975" cy="3429000"/>
    <xdr:graphicFrame>
      <xdr:nvGraphicFramePr>
        <xdr:cNvPr id="94" name="Chart 9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5</xdr:col>
      <xdr:colOff>885825</xdr:colOff>
      <xdr:row>571</xdr:row>
      <xdr:rowOff>0</xdr:rowOff>
    </xdr:from>
    <xdr:ext cx="5514975" cy="3429000"/>
    <xdr:graphicFrame>
      <xdr:nvGraphicFramePr>
        <xdr:cNvPr id="95" name="Chart 9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12</xdr:col>
      <xdr:colOff>142875</xdr:colOff>
      <xdr:row>571</xdr:row>
      <xdr:rowOff>9525</xdr:rowOff>
    </xdr:from>
    <xdr:ext cx="5514975" cy="3429000"/>
    <xdr:graphicFrame>
      <xdr:nvGraphicFramePr>
        <xdr:cNvPr id="96" name="Chart 9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6</xdr:col>
      <xdr:colOff>0</xdr:colOff>
      <xdr:row>596</xdr:row>
      <xdr:rowOff>66675</xdr:rowOff>
    </xdr:from>
    <xdr:ext cx="5514975" cy="3429000"/>
    <xdr:graphicFrame>
      <xdr:nvGraphicFramePr>
        <xdr:cNvPr id="97" name="Chart 9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12</xdr:col>
      <xdr:colOff>142875</xdr:colOff>
      <xdr:row>596</xdr:row>
      <xdr:rowOff>66675</xdr:rowOff>
    </xdr:from>
    <xdr:ext cx="5514975" cy="3429000"/>
    <xdr:graphicFrame>
      <xdr:nvGraphicFramePr>
        <xdr:cNvPr id="98" name="Chart 9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5</xdr:col>
      <xdr:colOff>952500</xdr:colOff>
      <xdr:row>621</xdr:row>
      <xdr:rowOff>66675</xdr:rowOff>
    </xdr:from>
    <xdr:ext cx="5514975" cy="3429000"/>
    <xdr:graphicFrame>
      <xdr:nvGraphicFramePr>
        <xdr:cNvPr id="99" name="Chart 9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12</xdr:col>
      <xdr:colOff>142875</xdr:colOff>
      <xdr:row>621</xdr:row>
      <xdr:rowOff>66675</xdr:rowOff>
    </xdr:from>
    <xdr:ext cx="5514975" cy="3429000"/>
    <xdr:graphicFrame>
      <xdr:nvGraphicFramePr>
        <xdr:cNvPr id="100" name="Chart 10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5</xdr:col>
      <xdr:colOff>885825</xdr:colOff>
      <xdr:row>646</xdr:row>
      <xdr:rowOff>47625</xdr:rowOff>
    </xdr:from>
    <xdr:ext cx="5514975" cy="3429000"/>
    <xdr:graphicFrame>
      <xdr:nvGraphicFramePr>
        <xdr:cNvPr id="101" name="Chart 10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12</xdr:col>
      <xdr:colOff>142875</xdr:colOff>
      <xdr:row>646</xdr:row>
      <xdr:rowOff>47625</xdr:rowOff>
    </xdr:from>
    <xdr:ext cx="5514975" cy="3429000"/>
    <xdr:graphicFrame>
      <xdr:nvGraphicFramePr>
        <xdr:cNvPr id="102" name="Chart 10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47</xdr:row>
      <xdr:rowOff>19050</xdr:rowOff>
    </xdr:from>
    <xdr:ext cx="5715000" cy="3533775"/>
    <xdr:graphicFrame>
      <xdr:nvGraphicFramePr>
        <xdr:cNvPr id="103" name="Chart 10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8</xdr:row>
      <xdr:rowOff>28575</xdr:rowOff>
    </xdr:from>
    <xdr:ext cx="5381625" cy="3352800"/>
    <xdr:graphicFrame>
      <xdr:nvGraphicFramePr>
        <xdr:cNvPr id="104" name="Chart 10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923925</xdr:colOff>
      <xdr:row>8</xdr:row>
      <xdr:rowOff>28575</xdr:rowOff>
    </xdr:from>
    <xdr:ext cx="5448300" cy="3352800"/>
    <xdr:graphicFrame>
      <xdr:nvGraphicFramePr>
        <xdr:cNvPr id="105" name="Chart 10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59</xdr:row>
      <xdr:rowOff>200025</xdr:rowOff>
    </xdr:from>
    <xdr:ext cx="5514975" cy="3429000"/>
    <xdr:graphicFrame>
      <xdr:nvGraphicFramePr>
        <xdr:cNvPr id="106" name="Chart 10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923925</xdr:colOff>
      <xdr:row>59</xdr:row>
      <xdr:rowOff>200025</xdr:rowOff>
    </xdr:from>
    <xdr:ext cx="5514975" cy="3429000"/>
    <xdr:graphicFrame>
      <xdr:nvGraphicFramePr>
        <xdr:cNvPr id="107" name="Chart 10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952500</xdr:colOff>
      <xdr:row>85</xdr:row>
      <xdr:rowOff>161925</xdr:rowOff>
    </xdr:from>
    <xdr:ext cx="5514975" cy="3429000"/>
    <xdr:graphicFrame>
      <xdr:nvGraphicFramePr>
        <xdr:cNvPr id="108" name="Chart 10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266700</xdr:colOff>
      <xdr:row>85</xdr:row>
      <xdr:rowOff>161925</xdr:rowOff>
    </xdr:from>
    <xdr:ext cx="5514975" cy="3429000"/>
    <xdr:graphicFrame>
      <xdr:nvGraphicFramePr>
        <xdr:cNvPr id="109" name="Chart 10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952500</xdr:colOff>
      <xdr:row>110</xdr:row>
      <xdr:rowOff>161925</xdr:rowOff>
    </xdr:from>
    <xdr:ext cx="5514975" cy="3429000"/>
    <xdr:graphicFrame>
      <xdr:nvGraphicFramePr>
        <xdr:cNvPr id="110" name="Chart 11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266700</xdr:colOff>
      <xdr:row>110</xdr:row>
      <xdr:rowOff>104775</xdr:rowOff>
    </xdr:from>
    <xdr:ext cx="5514975" cy="3429000"/>
    <xdr:graphicFrame>
      <xdr:nvGraphicFramePr>
        <xdr:cNvPr id="111" name="Chart 11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266700</xdr:colOff>
      <xdr:row>135</xdr:row>
      <xdr:rowOff>104775</xdr:rowOff>
    </xdr:from>
    <xdr:ext cx="5514975" cy="3429000"/>
    <xdr:graphicFrame>
      <xdr:nvGraphicFramePr>
        <xdr:cNvPr id="112" name="Chart 11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952500</xdr:colOff>
      <xdr:row>135</xdr:row>
      <xdr:rowOff>161925</xdr:rowOff>
    </xdr:from>
    <xdr:ext cx="5514975" cy="3429000"/>
    <xdr:graphicFrame>
      <xdr:nvGraphicFramePr>
        <xdr:cNvPr id="113" name="Chart 1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828675</xdr:colOff>
      <xdr:row>161</xdr:row>
      <xdr:rowOff>57150</xdr:rowOff>
    </xdr:from>
    <xdr:ext cx="5514975" cy="3429000"/>
    <xdr:graphicFrame>
      <xdr:nvGraphicFramePr>
        <xdr:cNvPr id="114" name="Chart 11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12</xdr:col>
      <xdr:colOff>266700</xdr:colOff>
      <xdr:row>161</xdr:row>
      <xdr:rowOff>47625</xdr:rowOff>
    </xdr:from>
    <xdr:ext cx="5514975" cy="3429000"/>
    <xdr:graphicFrame>
      <xdr:nvGraphicFramePr>
        <xdr:cNvPr id="115" name="Chart 11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952500</xdr:colOff>
      <xdr:row>186</xdr:row>
      <xdr:rowOff>161925</xdr:rowOff>
    </xdr:from>
    <xdr:ext cx="5514975" cy="3429000"/>
    <xdr:graphicFrame>
      <xdr:nvGraphicFramePr>
        <xdr:cNvPr id="116" name="Chart 1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12</xdr:col>
      <xdr:colOff>266700</xdr:colOff>
      <xdr:row>186</xdr:row>
      <xdr:rowOff>161925</xdr:rowOff>
    </xdr:from>
    <xdr:ext cx="5514975" cy="3429000"/>
    <xdr:graphicFrame>
      <xdr:nvGraphicFramePr>
        <xdr:cNvPr id="117" name="Chart 11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952500</xdr:colOff>
      <xdr:row>211</xdr:row>
      <xdr:rowOff>76200</xdr:rowOff>
    </xdr:from>
    <xdr:ext cx="5514975" cy="3429000"/>
    <xdr:graphicFrame>
      <xdr:nvGraphicFramePr>
        <xdr:cNvPr id="118" name="Chart 11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12</xdr:col>
      <xdr:colOff>190500</xdr:colOff>
      <xdr:row>211</xdr:row>
      <xdr:rowOff>66675</xdr:rowOff>
    </xdr:from>
    <xdr:ext cx="5514975" cy="3429000"/>
    <xdr:graphicFrame>
      <xdr:nvGraphicFramePr>
        <xdr:cNvPr id="119" name="Chart 11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952500</xdr:colOff>
      <xdr:row>236</xdr:row>
      <xdr:rowOff>161925</xdr:rowOff>
    </xdr:from>
    <xdr:ext cx="5514975" cy="3429000"/>
    <xdr:graphicFrame>
      <xdr:nvGraphicFramePr>
        <xdr:cNvPr id="120" name="Chart 12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12</xdr:col>
      <xdr:colOff>266700</xdr:colOff>
      <xdr:row>236</xdr:row>
      <xdr:rowOff>161925</xdr:rowOff>
    </xdr:from>
    <xdr:ext cx="5514975" cy="3429000"/>
    <xdr:graphicFrame>
      <xdr:nvGraphicFramePr>
        <xdr:cNvPr id="121" name="Chart 12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952500</xdr:colOff>
      <xdr:row>33</xdr:row>
      <xdr:rowOff>180975</xdr:rowOff>
    </xdr:from>
    <xdr:ext cx="5381625" cy="3352800"/>
    <xdr:graphicFrame>
      <xdr:nvGraphicFramePr>
        <xdr:cNvPr id="122" name="Chart 12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11</xdr:col>
      <xdr:colOff>923925</xdr:colOff>
      <xdr:row>33</xdr:row>
      <xdr:rowOff>142875</xdr:rowOff>
    </xdr:from>
    <xdr:ext cx="5448300" cy="3352800"/>
    <xdr:graphicFrame>
      <xdr:nvGraphicFramePr>
        <xdr:cNvPr id="123" name="Chart 12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12</xdr:col>
      <xdr:colOff>266700</xdr:colOff>
      <xdr:row>263</xdr:row>
      <xdr:rowOff>19050</xdr:rowOff>
    </xdr:from>
    <xdr:ext cx="5514975" cy="3429000"/>
    <xdr:graphicFrame>
      <xdr:nvGraphicFramePr>
        <xdr:cNvPr id="124" name="Chart 12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952500</xdr:colOff>
      <xdr:row>263</xdr:row>
      <xdr:rowOff>19050</xdr:rowOff>
    </xdr:from>
    <xdr:ext cx="5514975" cy="3429000"/>
    <xdr:graphicFrame>
      <xdr:nvGraphicFramePr>
        <xdr:cNvPr id="125" name="Chart 12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952500</xdr:colOff>
      <xdr:row>289</xdr:row>
      <xdr:rowOff>76200</xdr:rowOff>
    </xdr:from>
    <xdr:ext cx="5514975" cy="3429000"/>
    <xdr:graphicFrame>
      <xdr:nvGraphicFramePr>
        <xdr:cNvPr id="126" name="Chart 12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12</xdr:col>
      <xdr:colOff>266700</xdr:colOff>
      <xdr:row>289</xdr:row>
      <xdr:rowOff>76200</xdr:rowOff>
    </xdr:from>
    <xdr:ext cx="5514975" cy="3429000"/>
    <xdr:graphicFrame>
      <xdr:nvGraphicFramePr>
        <xdr:cNvPr id="127" name="Chart 12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5</xdr:col>
      <xdr:colOff>952500</xdr:colOff>
      <xdr:row>314</xdr:row>
      <xdr:rowOff>161925</xdr:rowOff>
    </xdr:from>
    <xdr:ext cx="5514975" cy="3429000"/>
    <xdr:graphicFrame>
      <xdr:nvGraphicFramePr>
        <xdr:cNvPr id="128" name="Chart 12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12</xdr:col>
      <xdr:colOff>190500</xdr:colOff>
      <xdr:row>314</xdr:row>
      <xdr:rowOff>171450</xdr:rowOff>
    </xdr:from>
    <xdr:ext cx="5514975" cy="3429000"/>
    <xdr:graphicFrame>
      <xdr:nvGraphicFramePr>
        <xdr:cNvPr id="129" name="Chart 12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5</xdr:col>
      <xdr:colOff>952500</xdr:colOff>
      <xdr:row>340</xdr:row>
      <xdr:rowOff>190500</xdr:rowOff>
    </xdr:from>
    <xdr:ext cx="5514975" cy="3429000"/>
    <xdr:graphicFrame>
      <xdr:nvGraphicFramePr>
        <xdr:cNvPr id="130" name="Chart 13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12</xdr:col>
      <xdr:colOff>266700</xdr:colOff>
      <xdr:row>340</xdr:row>
      <xdr:rowOff>161925</xdr:rowOff>
    </xdr:from>
    <xdr:ext cx="5514975" cy="3429000"/>
    <xdr:graphicFrame>
      <xdr:nvGraphicFramePr>
        <xdr:cNvPr id="131" name="Chart 13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5</xdr:col>
      <xdr:colOff>952500</xdr:colOff>
      <xdr:row>367</xdr:row>
      <xdr:rowOff>19050</xdr:rowOff>
    </xdr:from>
    <xdr:ext cx="5514975" cy="3429000"/>
    <xdr:graphicFrame>
      <xdr:nvGraphicFramePr>
        <xdr:cNvPr id="132" name="Chart 13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12</xdr:col>
      <xdr:colOff>342900</xdr:colOff>
      <xdr:row>367</xdr:row>
      <xdr:rowOff>19050</xdr:rowOff>
    </xdr:from>
    <xdr:ext cx="5514975" cy="3429000"/>
    <xdr:graphicFrame>
      <xdr:nvGraphicFramePr>
        <xdr:cNvPr id="133" name="Chart 13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5</xdr:col>
      <xdr:colOff>885825</xdr:colOff>
      <xdr:row>392</xdr:row>
      <xdr:rowOff>161925</xdr:rowOff>
    </xdr:from>
    <xdr:ext cx="5514975" cy="3429000"/>
    <xdr:graphicFrame>
      <xdr:nvGraphicFramePr>
        <xdr:cNvPr id="134" name="Chart 13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12</xdr:col>
      <xdr:colOff>276225</xdr:colOff>
      <xdr:row>392</xdr:row>
      <xdr:rowOff>104775</xdr:rowOff>
    </xdr:from>
    <xdr:ext cx="5514975" cy="3429000"/>
    <xdr:graphicFrame>
      <xdr:nvGraphicFramePr>
        <xdr:cNvPr id="135" name="Chart 13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5</xdr:col>
      <xdr:colOff>952500</xdr:colOff>
      <xdr:row>419</xdr:row>
      <xdr:rowOff>76200</xdr:rowOff>
    </xdr:from>
    <xdr:ext cx="5514975" cy="3429000"/>
    <xdr:graphicFrame>
      <xdr:nvGraphicFramePr>
        <xdr:cNvPr id="136" name="Chart 13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12</xdr:col>
      <xdr:colOff>266700</xdr:colOff>
      <xdr:row>419</xdr:row>
      <xdr:rowOff>66675</xdr:rowOff>
    </xdr:from>
    <xdr:ext cx="5514975" cy="3429000"/>
    <xdr:graphicFrame>
      <xdr:nvGraphicFramePr>
        <xdr:cNvPr id="137" name="Chart 13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5</xdr:col>
      <xdr:colOff>885825</xdr:colOff>
      <xdr:row>444</xdr:row>
      <xdr:rowOff>161925</xdr:rowOff>
    </xdr:from>
    <xdr:ext cx="5514975" cy="3429000"/>
    <xdr:graphicFrame>
      <xdr:nvGraphicFramePr>
        <xdr:cNvPr id="138" name="Chart 13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12</xdr:col>
      <xdr:colOff>190500</xdr:colOff>
      <xdr:row>444</xdr:row>
      <xdr:rowOff>161925</xdr:rowOff>
    </xdr:from>
    <xdr:ext cx="5514975" cy="3429000"/>
    <xdr:graphicFrame>
      <xdr:nvGraphicFramePr>
        <xdr:cNvPr id="139" name="Chart 13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5</xdr:col>
      <xdr:colOff>952500</xdr:colOff>
      <xdr:row>470</xdr:row>
      <xdr:rowOff>57150</xdr:rowOff>
    </xdr:from>
    <xdr:ext cx="5514975" cy="3429000"/>
    <xdr:graphicFrame>
      <xdr:nvGraphicFramePr>
        <xdr:cNvPr id="140" name="Chart 14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12</xdr:col>
      <xdr:colOff>142875</xdr:colOff>
      <xdr:row>470</xdr:row>
      <xdr:rowOff>57150</xdr:rowOff>
    </xdr:from>
    <xdr:ext cx="5514975" cy="3429000"/>
    <xdr:graphicFrame>
      <xdr:nvGraphicFramePr>
        <xdr:cNvPr id="141" name="Chart 14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5</xdr:col>
      <xdr:colOff>885825</xdr:colOff>
      <xdr:row>495</xdr:row>
      <xdr:rowOff>95250</xdr:rowOff>
    </xdr:from>
    <xdr:ext cx="5514975" cy="3429000"/>
    <xdr:graphicFrame>
      <xdr:nvGraphicFramePr>
        <xdr:cNvPr id="142" name="Chart 14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12</xdr:col>
      <xdr:colOff>142875</xdr:colOff>
      <xdr:row>495</xdr:row>
      <xdr:rowOff>95250</xdr:rowOff>
    </xdr:from>
    <xdr:ext cx="5514975" cy="3429000"/>
    <xdr:graphicFrame>
      <xdr:nvGraphicFramePr>
        <xdr:cNvPr id="143" name="Chart 14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5</xdr:col>
      <xdr:colOff>885825</xdr:colOff>
      <xdr:row>521</xdr:row>
      <xdr:rowOff>76200</xdr:rowOff>
    </xdr:from>
    <xdr:ext cx="5514975" cy="3429000"/>
    <xdr:graphicFrame>
      <xdr:nvGraphicFramePr>
        <xdr:cNvPr id="144" name="Chart 14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12</xdr:col>
      <xdr:colOff>142875</xdr:colOff>
      <xdr:row>521</xdr:row>
      <xdr:rowOff>76200</xdr:rowOff>
    </xdr:from>
    <xdr:ext cx="5514975" cy="3429000"/>
    <xdr:graphicFrame>
      <xdr:nvGraphicFramePr>
        <xdr:cNvPr id="145" name="Chart 14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5</xdr:col>
      <xdr:colOff>952500</xdr:colOff>
      <xdr:row>546</xdr:row>
      <xdr:rowOff>28575</xdr:rowOff>
    </xdr:from>
    <xdr:ext cx="5514975" cy="3429000"/>
    <xdr:graphicFrame>
      <xdr:nvGraphicFramePr>
        <xdr:cNvPr id="146" name="Chart 14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12</xdr:col>
      <xdr:colOff>190500</xdr:colOff>
      <xdr:row>546</xdr:row>
      <xdr:rowOff>28575</xdr:rowOff>
    </xdr:from>
    <xdr:ext cx="5514975" cy="3429000"/>
    <xdr:graphicFrame>
      <xdr:nvGraphicFramePr>
        <xdr:cNvPr id="147" name="Chart 14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5</xdr:col>
      <xdr:colOff>885825</xdr:colOff>
      <xdr:row>571</xdr:row>
      <xdr:rowOff>0</xdr:rowOff>
    </xdr:from>
    <xdr:ext cx="5514975" cy="3429000"/>
    <xdr:graphicFrame>
      <xdr:nvGraphicFramePr>
        <xdr:cNvPr id="148" name="Chart 14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12</xdr:col>
      <xdr:colOff>142875</xdr:colOff>
      <xdr:row>571</xdr:row>
      <xdr:rowOff>9525</xdr:rowOff>
    </xdr:from>
    <xdr:ext cx="5514975" cy="3429000"/>
    <xdr:graphicFrame>
      <xdr:nvGraphicFramePr>
        <xdr:cNvPr id="149" name="Chart 14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6</xdr:col>
      <xdr:colOff>0</xdr:colOff>
      <xdr:row>596</xdr:row>
      <xdr:rowOff>66675</xdr:rowOff>
    </xdr:from>
    <xdr:ext cx="5514975" cy="3429000"/>
    <xdr:graphicFrame>
      <xdr:nvGraphicFramePr>
        <xdr:cNvPr id="150" name="Chart 15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12</xdr:col>
      <xdr:colOff>142875</xdr:colOff>
      <xdr:row>596</xdr:row>
      <xdr:rowOff>66675</xdr:rowOff>
    </xdr:from>
    <xdr:ext cx="5514975" cy="3429000"/>
    <xdr:graphicFrame>
      <xdr:nvGraphicFramePr>
        <xdr:cNvPr id="151" name="Chart 15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5</xdr:col>
      <xdr:colOff>952500</xdr:colOff>
      <xdr:row>621</xdr:row>
      <xdr:rowOff>66675</xdr:rowOff>
    </xdr:from>
    <xdr:ext cx="5514975" cy="3429000"/>
    <xdr:graphicFrame>
      <xdr:nvGraphicFramePr>
        <xdr:cNvPr id="152" name="Chart 15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12</xdr:col>
      <xdr:colOff>142875</xdr:colOff>
      <xdr:row>621</xdr:row>
      <xdr:rowOff>66675</xdr:rowOff>
    </xdr:from>
    <xdr:ext cx="5514975" cy="3429000"/>
    <xdr:graphicFrame>
      <xdr:nvGraphicFramePr>
        <xdr:cNvPr id="153" name="Chart 15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5</xdr:col>
      <xdr:colOff>885825</xdr:colOff>
      <xdr:row>646</xdr:row>
      <xdr:rowOff>47625</xdr:rowOff>
    </xdr:from>
    <xdr:ext cx="5514975" cy="3429000"/>
    <xdr:graphicFrame>
      <xdr:nvGraphicFramePr>
        <xdr:cNvPr id="154" name="Chart 15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12</xdr:col>
      <xdr:colOff>142875</xdr:colOff>
      <xdr:row>646</xdr:row>
      <xdr:rowOff>47625</xdr:rowOff>
    </xdr:from>
    <xdr:ext cx="5514975" cy="3429000"/>
    <xdr:graphicFrame>
      <xdr:nvGraphicFramePr>
        <xdr:cNvPr id="155" name="Chart 15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8</xdr:row>
      <xdr:rowOff>28575</xdr:rowOff>
    </xdr:from>
    <xdr:ext cx="5381625" cy="3352800"/>
    <xdr:graphicFrame>
      <xdr:nvGraphicFramePr>
        <xdr:cNvPr id="156" name="Chart 15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923925</xdr:colOff>
      <xdr:row>8</xdr:row>
      <xdr:rowOff>28575</xdr:rowOff>
    </xdr:from>
    <xdr:ext cx="5448300" cy="3352800"/>
    <xdr:graphicFrame>
      <xdr:nvGraphicFramePr>
        <xdr:cNvPr id="157" name="Chart 15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33</xdr:row>
      <xdr:rowOff>180975</xdr:rowOff>
    </xdr:from>
    <xdr:ext cx="5381625" cy="3352800"/>
    <xdr:graphicFrame>
      <xdr:nvGraphicFramePr>
        <xdr:cNvPr id="158" name="Chart 15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923925</xdr:colOff>
      <xdr:row>33</xdr:row>
      <xdr:rowOff>142875</xdr:rowOff>
    </xdr:from>
    <xdr:ext cx="5448300" cy="3352800"/>
    <xdr:graphicFrame>
      <xdr:nvGraphicFramePr>
        <xdr:cNvPr id="159" name="Chart 15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952500</xdr:colOff>
      <xdr:row>59</xdr:row>
      <xdr:rowOff>200025</xdr:rowOff>
    </xdr:from>
    <xdr:ext cx="5514975" cy="3429000"/>
    <xdr:graphicFrame>
      <xdr:nvGraphicFramePr>
        <xdr:cNvPr id="160" name="Chart 16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923925</xdr:colOff>
      <xdr:row>59</xdr:row>
      <xdr:rowOff>200025</xdr:rowOff>
    </xdr:from>
    <xdr:ext cx="5514975" cy="3429000"/>
    <xdr:graphicFrame>
      <xdr:nvGraphicFramePr>
        <xdr:cNvPr id="161" name="Chart 16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952500</xdr:colOff>
      <xdr:row>85</xdr:row>
      <xdr:rowOff>161925</xdr:rowOff>
    </xdr:from>
    <xdr:ext cx="5514975" cy="3429000"/>
    <xdr:graphicFrame>
      <xdr:nvGraphicFramePr>
        <xdr:cNvPr id="162" name="Chart 16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266700</xdr:colOff>
      <xdr:row>85</xdr:row>
      <xdr:rowOff>161925</xdr:rowOff>
    </xdr:from>
    <xdr:ext cx="5514975" cy="3429000"/>
    <xdr:graphicFrame>
      <xdr:nvGraphicFramePr>
        <xdr:cNvPr id="163" name="Chart 16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952500</xdr:colOff>
      <xdr:row>110</xdr:row>
      <xdr:rowOff>161925</xdr:rowOff>
    </xdr:from>
    <xdr:ext cx="5514975" cy="3429000"/>
    <xdr:graphicFrame>
      <xdr:nvGraphicFramePr>
        <xdr:cNvPr id="164" name="Chart 16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12</xdr:col>
      <xdr:colOff>266700</xdr:colOff>
      <xdr:row>110</xdr:row>
      <xdr:rowOff>104775</xdr:rowOff>
    </xdr:from>
    <xdr:ext cx="5514975" cy="3429000"/>
    <xdr:graphicFrame>
      <xdr:nvGraphicFramePr>
        <xdr:cNvPr id="165" name="Chart 16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12</xdr:col>
      <xdr:colOff>266700</xdr:colOff>
      <xdr:row>135</xdr:row>
      <xdr:rowOff>104775</xdr:rowOff>
    </xdr:from>
    <xdr:ext cx="5514975" cy="3429000"/>
    <xdr:graphicFrame>
      <xdr:nvGraphicFramePr>
        <xdr:cNvPr id="166" name="Chart 16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952500</xdr:colOff>
      <xdr:row>135</xdr:row>
      <xdr:rowOff>161925</xdr:rowOff>
    </xdr:from>
    <xdr:ext cx="5514975" cy="3429000"/>
    <xdr:graphicFrame>
      <xdr:nvGraphicFramePr>
        <xdr:cNvPr id="167" name="Chart 16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952500</xdr:colOff>
      <xdr:row>161</xdr:row>
      <xdr:rowOff>47625</xdr:rowOff>
    </xdr:from>
    <xdr:ext cx="5514975" cy="3429000"/>
    <xdr:graphicFrame>
      <xdr:nvGraphicFramePr>
        <xdr:cNvPr id="168" name="Chart 16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12</xdr:col>
      <xdr:colOff>266700</xdr:colOff>
      <xdr:row>161</xdr:row>
      <xdr:rowOff>47625</xdr:rowOff>
    </xdr:from>
    <xdr:ext cx="5514975" cy="3429000"/>
    <xdr:graphicFrame>
      <xdr:nvGraphicFramePr>
        <xdr:cNvPr id="169" name="Chart 16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952500</xdr:colOff>
      <xdr:row>185</xdr:row>
      <xdr:rowOff>161925</xdr:rowOff>
    </xdr:from>
    <xdr:ext cx="5514975" cy="3429000"/>
    <xdr:graphicFrame>
      <xdr:nvGraphicFramePr>
        <xdr:cNvPr id="170" name="Chart 17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12</xdr:col>
      <xdr:colOff>266700</xdr:colOff>
      <xdr:row>185</xdr:row>
      <xdr:rowOff>161925</xdr:rowOff>
    </xdr:from>
    <xdr:ext cx="5514975" cy="3429000"/>
    <xdr:graphicFrame>
      <xdr:nvGraphicFramePr>
        <xdr:cNvPr id="171" name="Chart 17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952500</xdr:colOff>
      <xdr:row>210</xdr:row>
      <xdr:rowOff>76200</xdr:rowOff>
    </xdr:from>
    <xdr:ext cx="5514975" cy="3429000"/>
    <xdr:graphicFrame>
      <xdr:nvGraphicFramePr>
        <xdr:cNvPr id="172" name="Chart 17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12</xdr:col>
      <xdr:colOff>190500</xdr:colOff>
      <xdr:row>210</xdr:row>
      <xdr:rowOff>66675</xdr:rowOff>
    </xdr:from>
    <xdr:ext cx="5514975" cy="3429000"/>
    <xdr:graphicFrame>
      <xdr:nvGraphicFramePr>
        <xdr:cNvPr id="173" name="Chart 17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952500</xdr:colOff>
      <xdr:row>235</xdr:row>
      <xdr:rowOff>161925</xdr:rowOff>
    </xdr:from>
    <xdr:ext cx="5514975" cy="3429000"/>
    <xdr:graphicFrame>
      <xdr:nvGraphicFramePr>
        <xdr:cNvPr id="174" name="Chart 17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12</xdr:col>
      <xdr:colOff>266700</xdr:colOff>
      <xdr:row>235</xdr:row>
      <xdr:rowOff>161925</xdr:rowOff>
    </xdr:from>
    <xdr:ext cx="5514975" cy="3429000"/>
    <xdr:graphicFrame>
      <xdr:nvGraphicFramePr>
        <xdr:cNvPr id="175" name="Chart 17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N6:N35" displayName="Table_1" name="Table_1" id="1">
  <tableColumns count="1">
    <tableColumn name="Column1" id="1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P982" displayName="PENDAPATAN_BULANAN" name="PENDAPATAN_BULANAN" id="2">
  <autoFilter ref="$A$1:$P$982"/>
  <tableColumns count="16">
    <tableColumn name="IITEM CODE" id="1"/>
    <tableColumn name="INSTANSI" id="2"/>
    <tableColumn name="CUSTOMER" id="3"/>
    <tableColumn name="DATE" id="4"/>
    <tableColumn name="PRODUCT" id="5"/>
    <tableColumn name="QTY" id="6"/>
    <tableColumn name="PRICE" id="7"/>
    <tableColumn name="TOTAL PRICE" id="8"/>
    <tableColumn name="Column 9" id="9"/>
    <tableColumn name="Column 10" id="10"/>
    <tableColumn name="Column 12" id="11"/>
    <tableColumn name="Column 13" id="12"/>
    <tableColumn name="Column 14" id="13"/>
    <tableColumn name="Column 15" id="14"/>
    <tableColumn name="Column 16" id="15"/>
    <tableColumn name="Column 17" id="16"/>
  </tableColumns>
  <tableStyleInfo name="HELPER-style" showColumnStripes="0" showFirstColumn="1" showLastColumn="1" showRowStripes="1"/>
</table>
</file>

<file path=xl/tables/table3.xml><?xml version="1.0" encoding="utf-8"?>
<table xmlns="http://schemas.openxmlformats.org/spreadsheetml/2006/main" ref="A1:J1139" displayName="Table1" name="Table1" id="3">
  <tableColumns count="10">
    <tableColumn name="IITEM CODE" id="1"/>
    <tableColumn name="INSTANSI" id="2"/>
    <tableColumn name="CUSTOMER" id="3"/>
    <tableColumn name="DATE" id="4"/>
    <tableColumn name="PRODUCT" id="5"/>
    <tableColumn name="QTY" id="6"/>
    <tableColumn name="PRICE" id="7"/>
    <tableColumn name="TOTAL PRICE" id="8"/>
    <tableColumn name="KETERANGAN" id="9"/>
    <tableColumn name="Column 10" id="10"/>
  </tableColumns>
  <tableStyleInfo name="BULAN BERJALAN BANUA-style" showColumnStripes="0" showFirstColumn="1" showLastColumn="1" showRowStripes="1"/>
</table>
</file>

<file path=xl/tables/table4.xml><?xml version="1.0" encoding="utf-8"?>
<table xmlns="http://schemas.openxmlformats.org/spreadsheetml/2006/main" ref="A1:J1162" displayName="Table1_2" name="Table1_2" id="4">
  <tableColumns count="10">
    <tableColumn name="IITEM CODE" id="1"/>
    <tableColumn name="INSTANSI" id="2"/>
    <tableColumn name="CUSTOMER" id="3"/>
    <tableColumn name="DATE" id="4"/>
    <tableColumn name="PRODUCT" id="5"/>
    <tableColumn name="QTY" id="6"/>
    <tableColumn name="PRICE" id="7"/>
    <tableColumn name="TOTAL PRICE" id="8"/>
    <tableColumn name="KETERANGAN" id="9"/>
    <tableColumn name="Column 10" id="10"/>
  </tableColumns>
  <tableStyleInfo name="BULAN BERJALAN TANAKA-style" showColumnStripes="0" showFirstColumn="1" showLastColumn="1" showRowStripes="1"/>
</table>
</file>

<file path=xl/tables/table5.xml><?xml version="1.0" encoding="utf-8"?>
<table xmlns="http://schemas.openxmlformats.org/spreadsheetml/2006/main" headerRowCount="0" ref="D2:E5" displayName="Table_2" name="Table_2" id="5">
  <tableColumns count="2">
    <tableColumn name="Column1" id="1"/>
    <tableColumn name="Column2" id="2"/>
  </tableColumns>
  <tableStyleInfo name="LAPORAN HARIAN-style" showColumnStripes="0" showFirstColumn="1" showLastColumn="1" showRowStripes="1"/>
</table>
</file>

<file path=xl/tables/table6.xml><?xml version="1.0" encoding="utf-8"?>
<table xmlns="http://schemas.openxmlformats.org/spreadsheetml/2006/main" headerRowCount="0" ref="D2:G4" displayName="Table_3" name="Table_3" id="6">
  <tableColumns count="4">
    <tableColumn name="Column1" id="1"/>
    <tableColumn name="Column2" id="2"/>
    <tableColumn name="Column3" id="3"/>
    <tableColumn name="Column4" id="4"/>
  </tableColumns>
  <tableStyleInfo name="LAPORAN BULANAN-style" showColumnStripes="0" showFirstColumn="1" showLastColumn="1" showRowStripes="1"/>
</table>
</file>

<file path=xl/tables/table7.xml><?xml version="1.0" encoding="utf-8"?>
<table xmlns="http://schemas.openxmlformats.org/spreadsheetml/2006/main" headerRowCount="0" ref="D41:E44" displayName="Table_4" name="Table_4" id="7">
  <tableColumns count="2">
    <tableColumn name="Column1" id="1"/>
    <tableColumn name="Column2" id="2"/>
  </tableColumns>
  <tableStyleInfo name="LAPORAN BULANAN-style 2" showColumnStripes="0" showFirstColumn="1" showLastColumn="1" showRowStripes="1"/>
</table>
</file>

<file path=xl/tables/table8.xml><?xml version="1.0" encoding="utf-8"?>
<table xmlns="http://schemas.openxmlformats.org/spreadsheetml/2006/main" headerRowCount="0" ref="E46:G78" displayName="Table_5" name="Table_5" id="8">
  <tableColumns count="3">
    <tableColumn name="Column1" id="1"/>
    <tableColumn name="Column2" id="2"/>
    <tableColumn name="Column3" id="3"/>
  </tableColumns>
  <tableStyleInfo name="LAPORAN BULANA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D2:E3" displayName="Table_6" name="Table_6" id="9">
  <tableColumns count="2">
    <tableColumn name="Column1" id="1"/>
    <tableColumn name="Column2" id="2"/>
  </tableColumns>
  <tableStyleInfo name="LAPORAN TG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5" t="s">
        <v>5</v>
      </c>
      <c r="O1" s="6"/>
      <c r="P1" s="6"/>
      <c r="S1" s="6"/>
      <c r="T1" s="6"/>
      <c r="U1" s="6"/>
      <c r="V1" s="6"/>
      <c r="W1" s="6"/>
      <c r="X1" s="6"/>
      <c r="Y1" s="6"/>
    </row>
    <row r="2">
      <c r="A2" s="7"/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9" t="s">
        <v>18</v>
      </c>
      <c r="B3" s="10">
        <v>2.0E7</v>
      </c>
      <c r="C3" s="10">
        <v>8000000.0</v>
      </c>
      <c r="D3" s="10">
        <v>8000000.0</v>
      </c>
      <c r="E3" s="10">
        <v>1.5E7</v>
      </c>
      <c r="F3" s="10">
        <v>1.5E7</v>
      </c>
      <c r="G3" s="10">
        <v>1.5E7</v>
      </c>
      <c r="H3" s="10">
        <v>1.5E7</v>
      </c>
      <c r="I3" s="10">
        <v>1.5E7</v>
      </c>
      <c r="J3" s="10">
        <v>1.5E7</v>
      </c>
      <c r="K3" s="10">
        <v>8000000.0</v>
      </c>
      <c r="L3" s="10">
        <v>8000000.0</v>
      </c>
      <c r="M3" s="10">
        <v>8000000.0</v>
      </c>
      <c r="N3" s="11">
        <f t="shared" ref="N3:N18" si="1">SUM(B3:M3)</f>
        <v>150000000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9" t="s">
        <v>19</v>
      </c>
      <c r="B4" s="10">
        <v>5000000.0</v>
      </c>
      <c r="C4" s="13">
        <v>1000000.0</v>
      </c>
      <c r="D4" s="13">
        <v>1000000.0</v>
      </c>
      <c r="E4" s="10">
        <v>5000000.0</v>
      </c>
      <c r="F4" s="10">
        <v>8000000.0</v>
      </c>
      <c r="G4" s="10">
        <v>5000000.0</v>
      </c>
      <c r="H4" s="10">
        <v>5000000.0</v>
      </c>
      <c r="I4" s="10">
        <v>1.0E7</v>
      </c>
      <c r="J4" s="10">
        <v>9000000.0</v>
      </c>
      <c r="K4" s="10">
        <v>5000000.0</v>
      </c>
      <c r="L4" s="10">
        <v>6000000.0</v>
      </c>
      <c r="M4" s="10">
        <v>5000000.0</v>
      </c>
      <c r="N4" s="11">
        <f t="shared" si="1"/>
        <v>65000000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9" t="s">
        <v>20</v>
      </c>
      <c r="B5" s="13">
        <v>1.0E7</v>
      </c>
      <c r="C5" s="13">
        <v>1000000.0</v>
      </c>
      <c r="D5" s="10">
        <v>1000000.0</v>
      </c>
      <c r="E5" s="10">
        <v>3000000.0</v>
      </c>
      <c r="F5" s="10">
        <v>3000000.0</v>
      </c>
      <c r="G5" s="10">
        <v>5000000.0</v>
      </c>
      <c r="H5" s="10">
        <v>4000000.0</v>
      </c>
      <c r="I5" s="10">
        <v>5000000.0</v>
      </c>
      <c r="J5" s="10">
        <v>5000000.0</v>
      </c>
      <c r="K5" s="10">
        <v>3000000.0</v>
      </c>
      <c r="L5" s="10">
        <v>3000000.0</v>
      </c>
      <c r="M5" s="10">
        <v>2000000.0</v>
      </c>
      <c r="N5" s="11">
        <f t="shared" si="1"/>
        <v>45000000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9" t="s">
        <v>21</v>
      </c>
      <c r="B6" s="13">
        <v>1000000.0</v>
      </c>
      <c r="C6" s="10">
        <v>0.0</v>
      </c>
      <c r="D6" s="10">
        <v>0.0</v>
      </c>
      <c r="E6" s="10">
        <v>0.0</v>
      </c>
      <c r="F6" s="13">
        <v>1000000.0</v>
      </c>
      <c r="G6" s="10">
        <v>1000000.0</v>
      </c>
      <c r="H6" s="10">
        <v>1000000.0</v>
      </c>
      <c r="I6" s="10">
        <v>1000000.0</v>
      </c>
      <c r="J6" s="10">
        <v>0.0</v>
      </c>
      <c r="K6" s="13">
        <v>0.0</v>
      </c>
      <c r="L6" s="13">
        <v>0.0</v>
      </c>
      <c r="M6" s="13"/>
      <c r="N6" s="11">
        <f t="shared" si="1"/>
        <v>5000000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9" t="s">
        <v>22</v>
      </c>
      <c r="B7" s="13">
        <v>1000000.0</v>
      </c>
      <c r="C7" s="10">
        <v>0.0</v>
      </c>
      <c r="D7" s="10">
        <v>0.0</v>
      </c>
      <c r="E7" s="10">
        <v>0.0</v>
      </c>
      <c r="F7" s="13">
        <v>1000000.0</v>
      </c>
      <c r="G7" s="10">
        <v>1000000.0</v>
      </c>
      <c r="H7" s="10">
        <v>1000000.0</v>
      </c>
      <c r="I7" s="10">
        <v>1000000.0</v>
      </c>
      <c r="J7" s="10">
        <v>0.0</v>
      </c>
      <c r="K7" s="13">
        <v>0.0</v>
      </c>
      <c r="L7" s="13">
        <v>0.0</v>
      </c>
      <c r="M7" s="13"/>
      <c r="N7" s="11">
        <f t="shared" si="1"/>
        <v>5000000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9" t="s">
        <v>23</v>
      </c>
      <c r="B8" s="13">
        <v>1000000.0</v>
      </c>
      <c r="C8" s="10">
        <v>0.0</v>
      </c>
      <c r="D8" s="10">
        <v>0.0</v>
      </c>
      <c r="E8" s="10">
        <v>0.0</v>
      </c>
      <c r="F8" s="13">
        <v>1000000.0</v>
      </c>
      <c r="G8" s="10">
        <v>1000000.0</v>
      </c>
      <c r="H8" s="10">
        <v>1000000.0</v>
      </c>
      <c r="I8" s="10">
        <v>1000000.0</v>
      </c>
      <c r="J8" s="10">
        <v>0.0</v>
      </c>
      <c r="K8" s="13">
        <v>0.0</v>
      </c>
      <c r="L8" s="13">
        <v>0.0</v>
      </c>
      <c r="M8" s="13"/>
      <c r="N8" s="11">
        <f t="shared" si="1"/>
        <v>5000000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9" t="s">
        <v>24</v>
      </c>
      <c r="B9" s="10">
        <v>1000000.0</v>
      </c>
      <c r="C9" s="10">
        <v>0.0</v>
      </c>
      <c r="D9" s="10">
        <v>0.0</v>
      </c>
      <c r="E9" s="10">
        <v>1000000.0</v>
      </c>
      <c r="F9" s="10">
        <v>2000000.0</v>
      </c>
      <c r="G9" s="10">
        <v>3000000.0</v>
      </c>
      <c r="H9" s="10">
        <v>3000000.0</v>
      </c>
      <c r="I9" s="10">
        <v>4000000.0</v>
      </c>
      <c r="J9" s="10">
        <v>4000000.0</v>
      </c>
      <c r="K9" s="10">
        <v>4000000.0</v>
      </c>
      <c r="L9" s="10">
        <v>4000000.0</v>
      </c>
      <c r="M9" s="10">
        <v>4000000.0</v>
      </c>
      <c r="N9" s="11">
        <f t="shared" si="1"/>
        <v>30000000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9" t="s">
        <v>25</v>
      </c>
      <c r="B10" s="10">
        <v>2.0E7</v>
      </c>
      <c r="C10" s="10">
        <v>1.0E7</v>
      </c>
      <c r="D10" s="10">
        <v>1.0E7</v>
      </c>
      <c r="E10" s="10">
        <v>1.0E7</v>
      </c>
      <c r="F10" s="10">
        <v>1.0E7</v>
      </c>
      <c r="G10" s="10">
        <v>1.0E7</v>
      </c>
      <c r="H10" s="10">
        <v>1.0E7</v>
      </c>
      <c r="I10" s="10">
        <v>1.0E7</v>
      </c>
      <c r="J10" s="10">
        <v>1.0E7</v>
      </c>
      <c r="K10" s="10">
        <v>1.0E7</v>
      </c>
      <c r="L10" s="10">
        <v>1.0E7</v>
      </c>
      <c r="M10" s="10">
        <v>5000000.0</v>
      </c>
      <c r="N10" s="11">
        <f t="shared" si="1"/>
        <v>125000000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9" t="s">
        <v>26</v>
      </c>
      <c r="B11" s="13">
        <v>5000000.0</v>
      </c>
      <c r="C11" s="13">
        <v>1000000.0</v>
      </c>
      <c r="D11" s="13">
        <v>1000000.0</v>
      </c>
      <c r="E11" s="10">
        <v>3000000.0</v>
      </c>
      <c r="F11" s="10">
        <v>5000000.0</v>
      </c>
      <c r="G11" s="10">
        <v>5000000.0</v>
      </c>
      <c r="H11" s="10">
        <v>5000000.0</v>
      </c>
      <c r="I11" s="10">
        <v>5000000.0</v>
      </c>
      <c r="J11" s="10">
        <v>5000000.0</v>
      </c>
      <c r="K11" s="10">
        <v>5000000.0</v>
      </c>
      <c r="L11" s="10">
        <v>5000000.0</v>
      </c>
      <c r="M11" s="10">
        <v>5000000.0</v>
      </c>
      <c r="N11" s="11">
        <f t="shared" si="1"/>
        <v>50000000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9" t="s">
        <v>27</v>
      </c>
      <c r="B12" s="13">
        <v>0.0</v>
      </c>
      <c r="C12" s="10">
        <v>0.0</v>
      </c>
      <c r="D12" s="10">
        <v>0.0</v>
      </c>
      <c r="E12" s="10">
        <v>2000000.0</v>
      </c>
      <c r="F12" s="10">
        <v>4.6E7</v>
      </c>
      <c r="G12" s="10">
        <v>4.7E7</v>
      </c>
      <c r="H12" s="13">
        <v>4.5E7</v>
      </c>
      <c r="I12" s="13">
        <v>4.5E7</v>
      </c>
      <c r="J12" s="10">
        <v>4.8E7</v>
      </c>
      <c r="K12" s="10">
        <v>6000000.0</v>
      </c>
      <c r="L12" s="10">
        <v>5000000.0</v>
      </c>
      <c r="M12" s="10">
        <v>6000000.0</v>
      </c>
      <c r="N12" s="11">
        <f t="shared" si="1"/>
        <v>250000000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9" t="s">
        <v>28</v>
      </c>
      <c r="B13" s="13">
        <v>0.0</v>
      </c>
      <c r="C13" s="10">
        <v>0.0</v>
      </c>
      <c r="D13" s="10">
        <v>0.0</v>
      </c>
      <c r="E13" s="10">
        <v>3000000.0</v>
      </c>
      <c r="F13" s="13">
        <v>4.5E7</v>
      </c>
      <c r="G13" s="13">
        <v>4.5E7</v>
      </c>
      <c r="H13" s="10">
        <v>4.7E7</v>
      </c>
      <c r="I13" s="13">
        <v>4.5E7</v>
      </c>
      <c r="J13" s="10">
        <v>4.8E7</v>
      </c>
      <c r="K13" s="10">
        <v>6000000.0</v>
      </c>
      <c r="L13" s="10">
        <v>5000000.0</v>
      </c>
      <c r="M13" s="10">
        <v>6000000.0</v>
      </c>
      <c r="N13" s="11">
        <f t="shared" si="1"/>
        <v>250000000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9" t="s">
        <v>29</v>
      </c>
      <c r="B14" s="13">
        <v>0.0</v>
      </c>
      <c r="C14" s="13">
        <v>0.0</v>
      </c>
      <c r="D14" s="13">
        <v>0.0</v>
      </c>
      <c r="E14" s="10">
        <v>5000000.0</v>
      </c>
      <c r="F14" s="10">
        <v>5000000.0</v>
      </c>
      <c r="G14" s="10">
        <v>5000000.0</v>
      </c>
      <c r="H14" s="10">
        <v>5000000.0</v>
      </c>
      <c r="I14" s="13">
        <v>1.0E7</v>
      </c>
      <c r="J14" s="10">
        <v>5000000.0</v>
      </c>
      <c r="K14" s="10">
        <v>5000000.0</v>
      </c>
      <c r="L14" s="10">
        <v>5000000.0</v>
      </c>
      <c r="M14" s="10">
        <v>5000000.0</v>
      </c>
      <c r="N14" s="11">
        <f t="shared" si="1"/>
        <v>50000000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9" t="s">
        <v>30</v>
      </c>
      <c r="B15" s="10">
        <v>1000000.0</v>
      </c>
      <c r="C15" s="10">
        <v>1000000.0</v>
      </c>
      <c r="D15" s="10">
        <v>1000000.0</v>
      </c>
      <c r="E15" s="10">
        <v>5000000.0</v>
      </c>
      <c r="F15" s="10">
        <v>5000000.0</v>
      </c>
      <c r="G15" s="10">
        <v>5000000.0</v>
      </c>
      <c r="H15" s="10">
        <v>5000000.0</v>
      </c>
      <c r="I15" s="10">
        <v>5000000.0</v>
      </c>
      <c r="J15" s="10">
        <v>5000000.0</v>
      </c>
      <c r="K15" s="10">
        <v>5000000.0</v>
      </c>
      <c r="L15" s="10">
        <v>5000000.0</v>
      </c>
      <c r="M15" s="10">
        <v>7000000.0</v>
      </c>
      <c r="N15" s="11">
        <f t="shared" si="1"/>
        <v>50000000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9" t="s">
        <v>31</v>
      </c>
      <c r="B16" s="13">
        <v>2.0E7</v>
      </c>
      <c r="C16" s="10">
        <v>1.0E7</v>
      </c>
      <c r="D16" s="10">
        <v>1.0E7</v>
      </c>
      <c r="E16" s="13">
        <v>2.0E7</v>
      </c>
      <c r="F16" s="10">
        <v>2.2E7</v>
      </c>
      <c r="G16" s="10">
        <v>2.5E7</v>
      </c>
      <c r="H16" s="10">
        <v>2.6E7</v>
      </c>
      <c r="I16" s="10">
        <v>2.0E7</v>
      </c>
      <c r="J16" s="10">
        <v>2.2E7</v>
      </c>
      <c r="K16" s="10">
        <v>1.5E7</v>
      </c>
      <c r="L16" s="10">
        <v>1.5E7</v>
      </c>
      <c r="M16" s="10">
        <v>1.5E7</v>
      </c>
      <c r="N16" s="11">
        <f t="shared" si="1"/>
        <v>220000000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9" t="s">
        <v>32</v>
      </c>
      <c r="B17" s="13">
        <v>1.5E7</v>
      </c>
      <c r="C17" s="13">
        <v>1.5E7</v>
      </c>
      <c r="D17" s="13">
        <v>1.5E7</v>
      </c>
      <c r="E17" s="13">
        <v>1.5E7</v>
      </c>
      <c r="F17" s="13">
        <v>1.5E7</v>
      </c>
      <c r="G17" s="10">
        <v>2.0E7</v>
      </c>
      <c r="H17" s="10">
        <v>2.0E7</v>
      </c>
      <c r="I17" s="10">
        <v>2.0E7</v>
      </c>
      <c r="J17" s="10">
        <v>2.0E7</v>
      </c>
      <c r="K17" s="10">
        <v>1.5E7</v>
      </c>
      <c r="L17" s="10">
        <v>1.5E7</v>
      </c>
      <c r="M17" s="10">
        <v>1.5E7</v>
      </c>
      <c r="N17" s="11">
        <f t="shared" si="1"/>
        <v>200000000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4" t="s">
        <v>5</v>
      </c>
      <c r="B18" s="15">
        <f t="shared" ref="B18:M18" si="2">SUM(B2:B17)</f>
        <v>100000000</v>
      </c>
      <c r="C18" s="15">
        <f t="shared" si="2"/>
        <v>47000000</v>
      </c>
      <c r="D18" s="15">
        <f t="shared" si="2"/>
        <v>47000000</v>
      </c>
      <c r="E18" s="15">
        <f t="shared" si="2"/>
        <v>87000000</v>
      </c>
      <c r="F18" s="15">
        <f t="shared" si="2"/>
        <v>184000000</v>
      </c>
      <c r="G18" s="15">
        <f t="shared" si="2"/>
        <v>193000000</v>
      </c>
      <c r="H18" s="15">
        <f t="shared" si="2"/>
        <v>193000000</v>
      </c>
      <c r="I18" s="15">
        <f t="shared" si="2"/>
        <v>197000000</v>
      </c>
      <c r="J18" s="15">
        <f t="shared" si="2"/>
        <v>196000000</v>
      </c>
      <c r="K18" s="15">
        <f t="shared" si="2"/>
        <v>87000000</v>
      </c>
      <c r="L18" s="15">
        <f t="shared" si="2"/>
        <v>86000000</v>
      </c>
      <c r="M18" s="15">
        <f t="shared" si="2"/>
        <v>83000000</v>
      </c>
      <c r="N18" s="16">
        <f t="shared" si="1"/>
        <v>1500000000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7">
        <v>1.0E8</v>
      </c>
      <c r="C19" s="17">
        <v>4.7E7</v>
      </c>
      <c r="D19" s="17">
        <v>4.7E7</v>
      </c>
      <c r="E19" s="17">
        <v>8.7E7</v>
      </c>
      <c r="F19" s="17">
        <v>1.84E8</v>
      </c>
      <c r="G19" s="17">
        <v>1.93E8</v>
      </c>
      <c r="H19" s="17">
        <v>1.93E8</v>
      </c>
      <c r="I19" s="17">
        <v>1.97E8</v>
      </c>
      <c r="J19" s="17">
        <v>1.96E8</v>
      </c>
      <c r="K19" s="17">
        <v>8.7E7</v>
      </c>
      <c r="L19" s="17">
        <v>8.6E7</v>
      </c>
      <c r="M19" s="17">
        <v>8.3E7</v>
      </c>
      <c r="N19" s="12"/>
      <c r="O19" s="12" t="s">
        <v>33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 t="s">
        <v>34</v>
      </c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s">
        <v>35</v>
      </c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 t="s">
        <v>36</v>
      </c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 t="s">
        <v>37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 t="s">
        <v>38</v>
      </c>
      <c r="D24" s="6"/>
      <c r="E24" s="6"/>
      <c r="F24" s="6"/>
      <c r="G24" s="6"/>
      <c r="H24" s="6"/>
      <c r="I24" s="6"/>
      <c r="J24" s="6"/>
      <c r="K24" s="6" t="s">
        <v>39</v>
      </c>
      <c r="L24" s="6" t="s">
        <v>40</v>
      </c>
      <c r="M24" s="6" t="s">
        <v>41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 t="s">
        <v>42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 t="s">
        <v>43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 t="s">
        <v>44</v>
      </c>
      <c r="H28" s="6"/>
      <c r="I28" s="6"/>
      <c r="J28" s="6"/>
      <c r="K28" s="6"/>
      <c r="L28" s="6" t="s">
        <v>45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 t="s">
        <v>46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</sheetData>
  <mergeCells count="7">
    <mergeCell ref="A1:A2"/>
    <mergeCell ref="B1:D1"/>
    <mergeCell ref="E1:G1"/>
    <mergeCell ref="H1:J1"/>
    <mergeCell ref="K1:M1"/>
    <mergeCell ref="N1:N2"/>
    <mergeCell ref="P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3.63"/>
    <col customWidth="1" min="3" max="3" width="17.0"/>
    <col customWidth="1" min="4" max="4" width="15.13"/>
    <col customWidth="1" min="5" max="5" width="7.0"/>
    <col customWidth="1" min="6" max="6" width="16.0"/>
    <col customWidth="1" min="7" max="7" width="16.25"/>
    <col customWidth="1" min="8" max="8" width="7.75"/>
    <col customWidth="1" min="9" max="9" width="15.88"/>
    <col customWidth="1" min="10" max="10" width="15.25"/>
    <col customWidth="1" min="11" max="11" width="7.63"/>
    <col customWidth="1" min="12" max="12" width="14.25"/>
    <col customWidth="1" min="13" max="13" width="16.5"/>
    <col customWidth="1" min="14" max="14" width="16.38"/>
    <col customWidth="1" min="18" max="18" width="19.38"/>
    <col customWidth="1" min="19" max="19" width="16.0"/>
  </cols>
  <sheetData>
    <row r="1">
      <c r="A1" s="18" t="s">
        <v>47</v>
      </c>
    </row>
    <row r="2">
      <c r="B2" s="19" t="s">
        <v>48</v>
      </c>
    </row>
    <row r="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6">
      <c r="C6" s="21" t="s">
        <v>49</v>
      </c>
      <c r="D6" s="22">
        <v>46113.0</v>
      </c>
      <c r="N6" s="23"/>
    </row>
    <row r="7">
      <c r="C7" s="21" t="s">
        <v>50</v>
      </c>
      <c r="D7" s="22">
        <v>46142.0</v>
      </c>
      <c r="N7" s="23"/>
    </row>
    <row r="8">
      <c r="N8" s="23"/>
    </row>
    <row r="9">
      <c r="C9" s="24" t="s">
        <v>51</v>
      </c>
      <c r="D9" s="25"/>
      <c r="F9" s="24" t="s">
        <v>52</v>
      </c>
      <c r="G9" s="25"/>
      <c r="I9" s="26" t="s">
        <v>53</v>
      </c>
      <c r="K9" s="27"/>
      <c r="M9" s="6"/>
      <c r="N9" s="23"/>
    </row>
    <row r="10">
      <c r="C10" s="28">
        <f>sum(HELPER!H:H)</f>
        <v>71550000</v>
      </c>
      <c r="D10" s="25"/>
      <c r="F10" s="29">
        <f>COUNT(HELPER!F:F)</f>
        <v>45</v>
      </c>
      <c r="G10" s="25"/>
      <c r="I10" s="30">
        <f>SUM(HELPER!F:F)</f>
        <v>797</v>
      </c>
      <c r="K10" s="27"/>
      <c r="M10" s="6"/>
      <c r="N10" s="23"/>
    </row>
    <row r="11">
      <c r="K11" s="27"/>
      <c r="M11" s="6"/>
      <c r="N11" s="23"/>
    </row>
    <row r="12">
      <c r="K12" s="27"/>
      <c r="M12" s="6"/>
      <c r="N12" s="23"/>
    </row>
    <row r="13">
      <c r="F13" s="31"/>
      <c r="N13" s="23"/>
    </row>
    <row r="14">
      <c r="A14" s="32"/>
      <c r="B14" s="33"/>
      <c r="C14" s="33"/>
      <c r="D14" s="33"/>
      <c r="E14" s="33"/>
      <c r="F14" s="34"/>
      <c r="G14" s="33"/>
      <c r="H14" s="33"/>
      <c r="I14" s="33"/>
      <c r="J14" s="33"/>
      <c r="K14" s="33"/>
      <c r="L14" s="33"/>
      <c r="M14" s="33"/>
      <c r="N14" s="33"/>
    </row>
    <row r="15">
      <c r="A15" s="32"/>
      <c r="B15" s="33"/>
      <c r="C15" s="35" t="s">
        <v>18</v>
      </c>
      <c r="E15" s="33"/>
      <c r="F15" s="35" t="s">
        <v>19</v>
      </c>
      <c r="H15" s="33"/>
      <c r="I15" s="35" t="s">
        <v>20</v>
      </c>
      <c r="J15" s="35"/>
      <c r="K15" s="36"/>
      <c r="L15" s="35" t="s">
        <v>21</v>
      </c>
      <c r="M15" s="35"/>
      <c r="N15" s="33"/>
    </row>
    <row r="16">
      <c r="A16" s="32"/>
      <c r="B16" s="33"/>
      <c r="C16" s="37">
        <f>SUMIF(HELPER!$A:$A, DASHBOARD!C15, HELPER!$H:$H)
</f>
        <v>0</v>
      </c>
      <c r="D16" s="38"/>
      <c r="E16" s="33"/>
      <c r="F16" s="37">
        <f>SUMIF(HELPER!$A:$A, DASHBOARD!F15, HELPER!$H:$H)
</f>
        <v>0</v>
      </c>
      <c r="G16" s="38"/>
      <c r="H16" s="33"/>
      <c r="I16" s="37">
        <f>SUMIF(HELPER!$A:$A, DASHBOARD!I15, HELPER!$H:$H)
</f>
        <v>0</v>
      </c>
      <c r="J16" s="39"/>
      <c r="K16" s="40"/>
      <c r="L16" s="37">
        <f>SUMIF(HELPER!$A:$A, DASHBOARD!L15, HELPER!$H:$H)
</f>
        <v>0</v>
      </c>
      <c r="M16" s="39"/>
      <c r="N16" s="33"/>
    </row>
    <row r="17">
      <c r="A17" s="32"/>
      <c r="B17" s="33"/>
      <c r="E17" s="33"/>
      <c r="H17" s="33"/>
      <c r="J17" s="39"/>
      <c r="K17" s="40"/>
      <c r="M17" s="39"/>
      <c r="N17" s="33"/>
    </row>
    <row r="18">
      <c r="A18" s="32"/>
      <c r="B18" s="33"/>
      <c r="E18" s="33"/>
      <c r="H18" s="33"/>
      <c r="J18" s="39"/>
      <c r="K18" s="40"/>
      <c r="M18" s="39"/>
      <c r="N18" s="33"/>
      <c r="Q18" s="41" t="s">
        <v>54</v>
      </c>
      <c r="R18" s="42"/>
      <c r="S18" s="42"/>
      <c r="T18" s="42"/>
      <c r="U18" s="42"/>
      <c r="V18" s="42"/>
    </row>
    <row r="19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>
      <c r="A20" s="32"/>
      <c r="B20" s="33"/>
      <c r="C20" s="35" t="s">
        <v>22</v>
      </c>
      <c r="E20" s="33"/>
      <c r="F20" s="35" t="s">
        <v>23</v>
      </c>
      <c r="H20" s="33"/>
      <c r="I20" s="35" t="s">
        <v>24</v>
      </c>
      <c r="J20" s="35"/>
      <c r="K20" s="36"/>
      <c r="L20" s="35" t="s">
        <v>25</v>
      </c>
      <c r="M20" s="35"/>
      <c r="N20" s="33"/>
      <c r="R20" s="43"/>
    </row>
    <row r="21">
      <c r="A21" s="32"/>
      <c r="B21" s="33"/>
      <c r="C21" s="37">
        <f>SUMIF(HELPER!$A:$A, DASHBOARD!C20, HELPER!$H:$H)
</f>
        <v>0</v>
      </c>
      <c r="D21" s="38"/>
      <c r="E21" s="33"/>
      <c r="F21" s="37">
        <f>SUMIF(HELPER!$A:$A, DASHBOARD!F20, HELPER!$H:$H)
</f>
        <v>0</v>
      </c>
      <c r="G21" s="38"/>
      <c r="H21" s="33"/>
      <c r="I21" s="37">
        <f>SUMIF(HELPER!$A:$A, DASHBOARD!I20, HELPER!$H:$H)
</f>
        <v>0</v>
      </c>
      <c r="J21" s="39"/>
      <c r="K21" s="40"/>
      <c r="L21" s="37">
        <f>SUMIF(HELPER!$A:$A, DASHBOARD!L20, HELPER!$H:$H)
</f>
        <v>0</v>
      </c>
      <c r="M21" s="39"/>
      <c r="N21" s="33"/>
    </row>
    <row r="22">
      <c r="A22" s="32"/>
      <c r="B22" s="33"/>
      <c r="E22" s="33"/>
      <c r="H22" s="33"/>
      <c r="J22" s="39"/>
      <c r="K22" s="40"/>
      <c r="M22" s="39"/>
      <c r="N22" s="33"/>
    </row>
    <row r="23">
      <c r="A23" s="32"/>
      <c r="B23" s="33"/>
      <c r="E23" s="33"/>
      <c r="H23" s="33"/>
      <c r="J23" s="39"/>
      <c r="K23" s="40"/>
      <c r="M23" s="39"/>
      <c r="N23" s="33"/>
    </row>
    <row r="24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>
      <c r="A25" s="32"/>
      <c r="B25" s="33"/>
      <c r="C25" s="35" t="s">
        <v>26</v>
      </c>
      <c r="E25" s="33"/>
      <c r="F25" s="35" t="s">
        <v>27</v>
      </c>
      <c r="H25" s="33"/>
      <c r="I25" s="35" t="s">
        <v>28</v>
      </c>
      <c r="J25" s="35"/>
      <c r="K25" s="36"/>
      <c r="L25" s="35" t="s">
        <v>29</v>
      </c>
      <c r="M25" s="35"/>
      <c r="N25" s="33"/>
    </row>
    <row r="26">
      <c r="A26" s="32"/>
      <c r="B26" s="33"/>
      <c r="C26" s="37">
        <f>SUMIF(HELPER!$A:$A, DASHBOARD!C25, HELPER!$H:$H)
</f>
        <v>0</v>
      </c>
      <c r="D26" s="38"/>
      <c r="E26" s="33"/>
      <c r="F26" s="37">
        <f>SUMIF(HELPER!$A:$A, DASHBOARD!F25, HELPER!$H:$H)
</f>
        <v>0</v>
      </c>
      <c r="G26" s="38"/>
      <c r="H26" s="33"/>
      <c r="I26" s="37">
        <f>SUMIF(HELPER!$A:$A, DASHBOARD!I25, HELPER!$H:$H)
</f>
        <v>0</v>
      </c>
      <c r="J26" s="39"/>
      <c r="K26" s="40"/>
      <c r="L26" s="37">
        <f>SUMIF(HELPER!$A:$A, DASHBOARD!L25, HELPER!$H:$H)
</f>
        <v>0</v>
      </c>
      <c r="M26" s="39"/>
      <c r="N26" s="33"/>
    </row>
    <row r="27">
      <c r="A27" s="32"/>
      <c r="B27" s="33"/>
      <c r="E27" s="33"/>
      <c r="H27" s="33"/>
      <c r="J27" s="39"/>
      <c r="K27" s="40"/>
      <c r="M27" s="39"/>
      <c r="N27" s="33"/>
    </row>
    <row r="28">
      <c r="A28" s="32"/>
      <c r="B28" s="33"/>
      <c r="E28" s="33"/>
      <c r="H28" s="33"/>
      <c r="J28" s="39"/>
      <c r="K28" s="40"/>
      <c r="M28" s="39"/>
      <c r="N28" s="33"/>
    </row>
    <row r="29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>
      <c r="A30" s="32"/>
      <c r="B30" s="33"/>
      <c r="C30" s="35" t="s">
        <v>30</v>
      </c>
      <c r="E30" s="33"/>
      <c r="F30" s="35" t="s">
        <v>31</v>
      </c>
      <c r="H30" s="33"/>
      <c r="I30" s="35" t="s">
        <v>32</v>
      </c>
      <c r="J30" s="35"/>
      <c r="K30" s="36"/>
      <c r="L30" s="35" t="s">
        <v>55</v>
      </c>
      <c r="M30" s="35"/>
      <c r="N30" s="33"/>
    </row>
    <row r="31">
      <c r="A31" s="32"/>
      <c r="B31" s="33"/>
      <c r="C31" s="37">
        <f>SUMIF(HELPER!$A:$A, DASHBOARD!C30, HELPER!$H:$H)
</f>
        <v>0</v>
      </c>
      <c r="D31" s="38"/>
      <c r="E31" s="33"/>
      <c r="F31" s="37">
        <f>SUMIF(HELPER!$A:$A, DASHBOARD!F30, HELPER!$H:$H)
</f>
        <v>0</v>
      </c>
      <c r="G31" s="38"/>
      <c r="H31" s="33"/>
      <c r="I31" s="37">
        <f>SUMIF(HELPER!$A:$A, DASHBOARD!I30, HELPER!$H:$H)
</f>
        <v>0</v>
      </c>
      <c r="J31" s="39"/>
      <c r="K31" s="40"/>
      <c r="L31" s="37">
        <f>SUMIF(HELPER!$A:$A, DASHBOARD!L30, HELPER!$H:$H)
</f>
        <v>0</v>
      </c>
      <c r="M31" s="39"/>
      <c r="N31" s="33"/>
    </row>
    <row r="32">
      <c r="A32" s="32"/>
      <c r="B32" s="33"/>
      <c r="E32" s="33"/>
      <c r="H32" s="33"/>
      <c r="J32" s="39"/>
      <c r="K32" s="40"/>
      <c r="M32" s="39"/>
      <c r="N32" s="33"/>
    </row>
    <row r="33">
      <c r="A33" s="32"/>
      <c r="B33" s="33"/>
      <c r="E33" s="33"/>
      <c r="H33" s="33"/>
      <c r="J33" s="39"/>
      <c r="K33" s="40"/>
      <c r="M33" s="39"/>
      <c r="N33" s="33"/>
    </row>
    <row r="34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9">
      <c r="R39" s="44"/>
    </row>
    <row r="40">
      <c r="L40" s="45"/>
      <c r="M40" s="46" t="s">
        <v>56</v>
      </c>
      <c r="N40" s="47"/>
      <c r="O40" s="47"/>
      <c r="P40" s="47"/>
      <c r="R40" s="48" t="s">
        <v>57</v>
      </c>
      <c r="S40" s="47"/>
      <c r="T40" s="47"/>
      <c r="U40" s="47"/>
    </row>
    <row r="41">
      <c r="L41" s="45"/>
      <c r="M41" s="44" t="s">
        <v>28</v>
      </c>
      <c r="N41" s="49">
        <f>I26</f>
        <v>0</v>
      </c>
      <c r="O41" s="50">
        <f>N41/C10</f>
        <v>0</v>
      </c>
      <c r="P41" s="51" t="str">
        <f>IFERROR(__xludf.DUMMYFUNCTION("SPARKLINE(O41, {""Charttype"",""Bar""; ""Max"",1; ""Color1"", ""#c2795a""})
"),"")</f>
        <v/>
      </c>
      <c r="R41" s="44" t="str">
        <f>IFERROR(__xludf.DUMMYFUNCTION("SORTN(M41:O56,16,,2,false)"),"SMK NON TBSM")</f>
        <v>SMK NON TBSM</v>
      </c>
      <c r="S41" s="49">
        <f>IFERROR(__xludf.DUMMYFUNCTION("""COMPUTED_VALUE"""),0.0)</f>
        <v>0</v>
      </c>
      <c r="T41" s="50">
        <f>IFERROR(__xludf.DUMMYFUNCTION("""COMPUTED_VALUE"""),0.0)</f>
        <v>0</v>
      </c>
      <c r="U41" s="51" t="str">
        <f>IFERROR(__xludf.DUMMYFUNCTION("SPARKLINE(T41, {""Charttype"",""Bar""; ""Max"",1; ""Color1"", ""#c2795a""})
"),"")</f>
        <v/>
      </c>
    </row>
    <row r="42">
      <c r="L42" s="45"/>
      <c r="M42" s="52" t="s">
        <v>32</v>
      </c>
      <c r="N42" s="49">
        <f>I31</f>
        <v>0</v>
      </c>
      <c r="O42" s="50">
        <f>N42/C10</f>
        <v>0</v>
      </c>
      <c r="P42" s="51" t="str">
        <f>IFERROR(__xludf.DUMMYFUNCTION("SPARKLINE(O42, {""Charttype"",""Bar""; ""Max"",1; ""Color1"", ""#c2795a""})
"),"")</f>
        <v/>
      </c>
      <c r="R42" s="52" t="str">
        <f>IFERROR(__xludf.DUMMYFUNCTION("""COMPUTED_VALUE"""),"UMUM KOMUNITAS")</f>
        <v>UMUM KOMUNITAS</v>
      </c>
      <c r="S42" s="49">
        <f>IFERROR(__xludf.DUMMYFUNCTION("""COMPUTED_VALUE"""),0.0)</f>
        <v>0</v>
      </c>
      <c r="T42" s="50">
        <f>IFERROR(__xludf.DUMMYFUNCTION("""COMPUTED_VALUE"""),0.0)</f>
        <v>0</v>
      </c>
      <c r="U42" s="51" t="str">
        <f>IFERROR(__xludf.DUMMYFUNCTION("SPARKLINE(T42, {""Charttype"",""Bar""; ""Max"",1; ""Color1"", ""#c2795a""})
"),"")</f>
        <v/>
      </c>
    </row>
    <row r="43">
      <c r="D43" s="53"/>
      <c r="E43" s="53"/>
      <c r="L43" s="45"/>
      <c r="M43" s="44" t="s">
        <v>18</v>
      </c>
      <c r="N43" s="49">
        <f>C16</f>
        <v>0</v>
      </c>
      <c r="O43" s="50">
        <f>N43/C10</f>
        <v>0</v>
      </c>
      <c r="P43" s="51" t="str">
        <f>IFERROR(__xludf.DUMMYFUNCTION("SPARKLINE(O43, {""Charttype"",""Bar""; ""Max"",1; ""Color1"", ""#c2795a""})
"),"")</f>
        <v/>
      </c>
      <c r="R43" s="44" t="str">
        <f>IFERROR(__xludf.DUMMYFUNCTION("""COMPUTED_VALUE"""),"HONDA MOTOR")</f>
        <v>HONDA MOTOR</v>
      </c>
      <c r="S43" s="49">
        <f>IFERROR(__xludf.DUMMYFUNCTION("""COMPUTED_VALUE"""),0.0)</f>
        <v>0</v>
      </c>
      <c r="T43" s="50">
        <f>IFERROR(__xludf.DUMMYFUNCTION("""COMPUTED_VALUE"""),0.0)</f>
        <v>0</v>
      </c>
      <c r="U43" s="51" t="str">
        <f>IFERROR(__xludf.DUMMYFUNCTION("SPARKLINE(T43, {""Charttype"",""Bar""; ""Max"",1; ""Color1"", ""#c2795a""})
"),"")</f>
        <v/>
      </c>
    </row>
    <row r="44">
      <c r="D44" s="53"/>
      <c r="E44" s="53"/>
      <c r="L44" s="45"/>
      <c r="M44" s="52" t="s">
        <v>58</v>
      </c>
      <c r="N44" s="49">
        <f>F31</f>
        <v>0</v>
      </c>
      <c r="O44" s="50">
        <f>N44/C10</f>
        <v>0</v>
      </c>
      <c r="P44" s="51" t="str">
        <f>IFERROR(__xludf.DUMMYFUNCTION("SPARKLINE(O44, {""Charttype"",""Bar""; ""Max"",1; ""Color1"", ""#c2795a""})
"),"")</f>
        <v/>
      </c>
      <c r="R44" s="44" t="str">
        <f>IFERROR(__xludf.DUMMYFUNCTION("""COMPUTED_VALUE"""),"UMUM CAMPANY")</f>
        <v>UMUM CAMPANY</v>
      </c>
      <c r="S44" s="49">
        <f>IFERROR(__xludf.DUMMYFUNCTION("""COMPUTED_VALUE"""),0.0)</f>
        <v>0</v>
      </c>
      <c r="T44" s="50">
        <f>IFERROR(__xludf.DUMMYFUNCTION("""COMPUTED_VALUE"""),0.0)</f>
        <v>0</v>
      </c>
      <c r="U44" s="51" t="str">
        <f>IFERROR(__xludf.DUMMYFUNCTION("SPARKLINE(T44, {""Charttype"",""Bar""; ""Max"",1; ""Color1"", ""#c2795a""})
"),"")</f>
        <v/>
      </c>
    </row>
    <row r="45">
      <c r="D45" s="53"/>
      <c r="E45" s="53"/>
      <c r="L45" s="45"/>
      <c r="M45" s="44" t="s">
        <v>25</v>
      </c>
      <c r="N45" s="49">
        <f>L21</f>
        <v>0</v>
      </c>
      <c r="O45" s="50">
        <f>N45/C10</f>
        <v>0</v>
      </c>
      <c r="P45" s="51" t="str">
        <f>IFERROR(__xludf.DUMMYFUNCTION("SPARKLINE(O45, {""Charttype"",""Bar""; ""Max"",1; ""Color1"", ""#c2795a""})
"),"")</f>
        <v/>
      </c>
      <c r="R45" s="44" t="str">
        <f>IFERROR(__xludf.DUMMYFUNCTION("""COMPUTED_VALUE"""),"TOYOTA")</f>
        <v>TOYOTA</v>
      </c>
      <c r="S45" s="49">
        <f>IFERROR(__xludf.DUMMYFUNCTION("""COMPUTED_VALUE"""),0.0)</f>
        <v>0</v>
      </c>
      <c r="T45" s="50">
        <f>IFERROR(__xludf.DUMMYFUNCTION("""COMPUTED_VALUE"""),0.0)</f>
        <v>0</v>
      </c>
      <c r="U45" s="51" t="str">
        <f>IFERROR(__xludf.DUMMYFUNCTION("SPARKLINE(T45, {""Charttype"",""Bar""; ""Max"",1; ""Color1"", ""#c2795a""})
"),"")</f>
        <v/>
      </c>
    </row>
    <row r="46">
      <c r="D46" s="53"/>
      <c r="E46" s="53"/>
      <c r="L46" s="45"/>
      <c r="M46" s="44" t="s">
        <v>26</v>
      </c>
      <c r="N46" s="49">
        <f>C26</f>
        <v>0</v>
      </c>
      <c r="O46" s="50">
        <f>N46/C10</f>
        <v>0</v>
      </c>
      <c r="P46" s="51" t="str">
        <f>IFERROR(__xludf.DUMMYFUNCTION("SPARKLINE(O46, {""Charttype"",""Bar""; ""Max"",1; ""Color1"", ""#c2795a""})
"),"")</f>
        <v/>
      </c>
      <c r="R46" s="44" t="str">
        <f>IFERROR(__xludf.DUMMYFUNCTION("""COMPUTED_VALUE"""),"YAMAHA")</f>
        <v>YAMAHA</v>
      </c>
      <c r="S46" s="49">
        <f>IFERROR(__xludf.DUMMYFUNCTION("""COMPUTED_VALUE"""),0.0)</f>
        <v>0</v>
      </c>
      <c r="T46" s="50">
        <f>IFERROR(__xludf.DUMMYFUNCTION("""COMPUTED_VALUE"""),0.0)</f>
        <v>0</v>
      </c>
      <c r="U46" s="51" t="str">
        <f>IFERROR(__xludf.DUMMYFUNCTION("SPARKLINE(T46, {""Charttype"",""Bar""; ""Max"",1; ""Color1"", ""#c2795a""})
"),"")</f>
        <v/>
      </c>
    </row>
    <row r="47">
      <c r="D47" s="53"/>
      <c r="E47" s="53"/>
      <c r="L47" s="45"/>
      <c r="M47" s="44" t="s">
        <v>21</v>
      </c>
      <c r="N47" s="49">
        <f>L16</f>
        <v>0</v>
      </c>
      <c r="O47" s="50">
        <f>N47/C10</f>
        <v>0</v>
      </c>
      <c r="P47" s="51" t="str">
        <f>IFERROR(__xludf.DUMMYFUNCTION("SPARKLINE(O47, {""Charttype"",""Bar""; ""Max"",1; ""Color1"", ""#c2795a""})
"),"")</f>
        <v/>
      </c>
      <c r="R47" s="44" t="str">
        <f>IFERROR(__xludf.DUMMYFUNCTION("""COMPUTED_VALUE"""),"SUZUKI")</f>
        <v>SUZUKI</v>
      </c>
      <c r="S47" s="49">
        <f>IFERROR(__xludf.DUMMYFUNCTION("""COMPUTED_VALUE"""),0.0)</f>
        <v>0</v>
      </c>
      <c r="T47" s="50">
        <f>IFERROR(__xludf.DUMMYFUNCTION("""COMPUTED_VALUE"""),0.0)</f>
        <v>0</v>
      </c>
      <c r="U47" s="51" t="str">
        <f>IFERROR(__xludf.DUMMYFUNCTION("SPARKLINE(T47, {""Charttype"",""Bar""; ""Max"",1; ""Color1"", ""#c2795a""})
"),"")</f>
        <v/>
      </c>
    </row>
    <row r="48">
      <c r="D48" s="53"/>
      <c r="E48" s="53"/>
      <c r="L48" s="45"/>
      <c r="M48" s="44" t="s">
        <v>59</v>
      </c>
      <c r="N48" s="49">
        <f>I16</f>
        <v>0</v>
      </c>
      <c r="O48" s="50">
        <f>N48/C10</f>
        <v>0</v>
      </c>
      <c r="P48" s="51" t="str">
        <f>IFERROR(__xludf.DUMMYFUNCTION("SPARKLINE(O48, {""Charttype"",""Bar""; ""Max"",1; ""Color1"", ""#c2795a""})
"),"")</f>
        <v/>
      </c>
      <c r="R48" s="44" t="str">
        <f>IFERROR(__xludf.DUMMYFUNCTION("""COMPUTED_VALUE"""),"HONDA MOBIL ")</f>
        <v>HONDA MOBIL </v>
      </c>
      <c r="S48" s="49">
        <f>IFERROR(__xludf.DUMMYFUNCTION("""COMPUTED_VALUE"""),0.0)</f>
        <v>0</v>
      </c>
      <c r="T48" s="50">
        <f>IFERROR(__xludf.DUMMYFUNCTION("""COMPUTED_VALUE"""),0.0)</f>
        <v>0</v>
      </c>
      <c r="U48" s="51" t="str">
        <f>IFERROR(__xludf.DUMMYFUNCTION("SPARKLINE(T48, {""Charttype"",""Bar""; ""Max"",1; ""Color1"", ""#c2795a""})
"),"")</f>
        <v/>
      </c>
    </row>
    <row r="49">
      <c r="D49" s="53"/>
      <c r="E49" s="53"/>
      <c r="L49" s="45"/>
      <c r="M49" s="44" t="s">
        <v>60</v>
      </c>
      <c r="N49" s="49">
        <f>F21</f>
        <v>0</v>
      </c>
      <c r="O49" s="50">
        <f>N49/C10</f>
        <v>0</v>
      </c>
      <c r="P49" s="51" t="str">
        <f>IFERROR(__xludf.DUMMYFUNCTION("SPARKLINE(O49, {""Charttype"",""Bar""; ""Max"",1; ""Color1"", ""#c2795a""})
"),"")</f>
        <v/>
      </c>
      <c r="R49" s="44" t="str">
        <f>IFERROR(__xludf.DUMMYFUNCTION("""COMPUTED_VALUE"""),"MITSUBISI")</f>
        <v>MITSUBISI</v>
      </c>
      <c r="S49" s="49">
        <f>IFERROR(__xludf.DUMMYFUNCTION("""COMPUTED_VALUE"""),0.0)</f>
        <v>0</v>
      </c>
      <c r="T49" s="50">
        <f>IFERROR(__xludf.DUMMYFUNCTION("""COMPUTED_VALUE"""),0.0)</f>
        <v>0</v>
      </c>
      <c r="U49" s="51" t="str">
        <f>IFERROR(__xludf.DUMMYFUNCTION("SPARKLINE(T49, {""Charttype"",""Bar""; ""Max"",1; ""Color1"", ""#c2795a""})
"),"")</f>
        <v/>
      </c>
    </row>
    <row r="50">
      <c r="E50" s="53"/>
      <c r="L50" s="45"/>
      <c r="M50" s="44" t="s">
        <v>19</v>
      </c>
      <c r="N50" s="49">
        <f>F16</f>
        <v>0</v>
      </c>
      <c r="O50" s="50">
        <f>N50/C10</f>
        <v>0</v>
      </c>
      <c r="P50" s="51" t="str">
        <f>IFERROR(__xludf.DUMMYFUNCTION("SPARKLINE(O50, {""Charttype"",""Bar""; ""Max"",1; ""Color1"", ""#c2795a""})
"),"")</f>
        <v/>
      </c>
      <c r="R50" s="44" t="str">
        <f>IFERROR(__xludf.DUMMYFUNCTION("""COMPUTED_VALUE"""),"WULING")</f>
        <v>WULING</v>
      </c>
      <c r="S50" s="49">
        <f>IFERROR(__xludf.DUMMYFUNCTION("""COMPUTED_VALUE"""),0.0)</f>
        <v>0</v>
      </c>
      <c r="T50" s="50">
        <f>IFERROR(__xludf.DUMMYFUNCTION("""COMPUTED_VALUE"""),0.0)</f>
        <v>0</v>
      </c>
      <c r="U50" s="51" t="str">
        <f>IFERROR(__xludf.DUMMYFUNCTION("SPARKLINE(T50, {""Charttype"",""Bar""; ""Max"",1; ""Color1"", ""#c2795a""})
"),"")</f>
        <v/>
      </c>
    </row>
    <row r="51">
      <c r="L51" s="45"/>
      <c r="M51" s="44" t="s">
        <v>22</v>
      </c>
      <c r="N51" s="49">
        <f>C21</f>
        <v>0</v>
      </c>
      <c r="O51" s="50">
        <f>N51/C10</f>
        <v>0</v>
      </c>
      <c r="P51" s="51" t="str">
        <f>IFERROR(__xludf.DUMMYFUNCTION("SPARKLINE(O51, {""Charttype"",""Bar""; ""Max"",1; ""Color1"", ""#c2795a""})
"),"")</f>
        <v/>
      </c>
      <c r="R51" s="44" t="str">
        <f>IFERROR(__xludf.DUMMYFUNCTION("""COMPUTED_VALUE"""),"DAIHATSU")</f>
        <v>DAIHATSU</v>
      </c>
      <c r="S51" s="49">
        <f>IFERROR(__xludf.DUMMYFUNCTION("""COMPUTED_VALUE"""),0.0)</f>
        <v>0</v>
      </c>
      <c r="T51" s="50">
        <f>IFERROR(__xludf.DUMMYFUNCTION("""COMPUTED_VALUE"""),0.0)</f>
        <v>0</v>
      </c>
      <c r="U51" s="51" t="str">
        <f>IFERROR(__xludf.DUMMYFUNCTION("SPARKLINE(T51, {""Charttype"",""Bar""; ""Max"",1; ""Color1"", ""#c2795a""})
"),"")</f>
        <v/>
      </c>
    </row>
    <row r="52">
      <c r="L52" s="45"/>
      <c r="M52" s="44" t="s">
        <v>24</v>
      </c>
      <c r="N52" s="49">
        <f>I21</f>
        <v>0</v>
      </c>
      <c r="O52" s="50">
        <f>N52/C10</f>
        <v>0</v>
      </c>
      <c r="P52" s="51" t="str">
        <f>IFERROR(__xludf.DUMMYFUNCTION("SPARKLINE(O52, {""Charttype"",""Bar""; ""Max"",1; ""Color1"", ""#c2795a""})
"),"")</f>
        <v/>
      </c>
      <c r="R52" s="44" t="str">
        <f>IFERROR(__xludf.DUMMYFUNCTION("""COMPUTED_VALUE"""),"MAZDA")</f>
        <v>MAZDA</v>
      </c>
      <c r="S52" s="49">
        <f>IFERROR(__xludf.DUMMYFUNCTION("""COMPUTED_VALUE"""),0.0)</f>
        <v>0</v>
      </c>
      <c r="T52" s="50">
        <f>IFERROR(__xludf.DUMMYFUNCTION("""COMPUTED_VALUE"""),0.0)</f>
        <v>0</v>
      </c>
      <c r="U52" s="51" t="str">
        <f>IFERROR(__xludf.DUMMYFUNCTION("SPARKLINE(T52, {""Charttype"",""Bar""; ""Max"",1; ""Color1"", ""#c2795a""})
"),"")</f>
        <v/>
      </c>
    </row>
    <row r="53">
      <c r="L53" s="45"/>
      <c r="M53" s="44" t="s">
        <v>27</v>
      </c>
      <c r="N53" s="54">
        <f>F26</f>
        <v>0</v>
      </c>
      <c r="O53" s="55">
        <f>N53/C10</f>
        <v>0</v>
      </c>
      <c r="P53" s="56"/>
      <c r="R53" s="44" t="str">
        <f>IFERROR(__xludf.DUMMYFUNCTION("""COMPUTED_VALUE"""),"SMK TBSM HONDA")</f>
        <v>SMK TBSM HONDA</v>
      </c>
      <c r="S53" s="54">
        <f>IFERROR(__xludf.DUMMYFUNCTION("""COMPUTED_VALUE"""),0.0)</f>
        <v>0</v>
      </c>
      <c r="T53" s="55">
        <f>IFERROR(__xludf.DUMMYFUNCTION("""COMPUTED_VALUE"""),0.0)</f>
        <v>0</v>
      </c>
      <c r="U53" s="51" t="str">
        <f>IFERROR(__xludf.DUMMYFUNCTION("SPARKLINE(T53, {""Charttype"",""Bar""; ""Max"",1; ""Color1"", ""#c2795a""})
"),"")</f>
        <v/>
      </c>
    </row>
    <row r="54">
      <c r="L54" s="45"/>
      <c r="M54" s="44" t="s">
        <v>29</v>
      </c>
      <c r="N54" s="54">
        <f>L26</f>
        <v>0</v>
      </c>
      <c r="O54" s="55">
        <f>N54/C10</f>
        <v>0</v>
      </c>
      <c r="P54" s="56"/>
      <c r="R54" s="57" t="str">
        <f>IFERROR(__xludf.DUMMYFUNCTION("""COMPUTED_VALUE"""),"TK")</f>
        <v>TK</v>
      </c>
      <c r="S54" s="54">
        <f>IFERROR(__xludf.DUMMYFUNCTION("""COMPUTED_VALUE"""),0.0)</f>
        <v>0</v>
      </c>
      <c r="T54" s="55">
        <f>IFERROR(__xludf.DUMMYFUNCTION("""COMPUTED_VALUE"""),0.0)</f>
        <v>0</v>
      </c>
      <c r="U54" s="51" t="str">
        <f>IFERROR(__xludf.DUMMYFUNCTION("SPARKLINE(T54, {""Charttype"",""Bar""; ""Max"",1; ""Color1"", ""#c2795a""})
"),"")</f>
        <v/>
      </c>
    </row>
    <row r="55">
      <c r="L55" s="45"/>
      <c r="M55" s="52" t="s">
        <v>30</v>
      </c>
      <c r="N55" s="54">
        <f>C31</f>
        <v>0</v>
      </c>
      <c r="O55" s="55">
        <f>N55/C10</f>
        <v>0</v>
      </c>
      <c r="P55" s="56"/>
      <c r="R55" s="52" t="str">
        <f>IFERROR(__xludf.DUMMYFUNCTION("""COMPUTED_VALUE"""),"UMUM KAMPUS")</f>
        <v>UMUM KAMPUS</v>
      </c>
      <c r="S55" s="54">
        <f>IFERROR(__xludf.DUMMYFUNCTION("""COMPUTED_VALUE"""),0.0)</f>
        <v>0</v>
      </c>
      <c r="T55" s="55">
        <f>IFERROR(__xludf.DUMMYFUNCTION("""COMPUTED_VALUE"""),0.0)</f>
        <v>0</v>
      </c>
      <c r="U55" s="51" t="str">
        <f>IFERROR(__xludf.DUMMYFUNCTION("SPARKLINE(T55, {""Charttype"",""Bar""; ""Max"",1; ""Color1"", ""#c2795a""})
"),"")</f>
        <v/>
      </c>
    </row>
    <row r="56">
      <c r="L56" s="45"/>
      <c r="M56" s="58" t="s">
        <v>55</v>
      </c>
      <c r="N56" s="54">
        <f>L31</f>
        <v>0</v>
      </c>
      <c r="O56" s="55">
        <f>N56/C10</f>
        <v>0</v>
      </c>
      <c r="P56" s="56"/>
      <c r="R56" s="58" t="str">
        <f>IFERROR(__xludf.DUMMYFUNCTION("""COMPUTED_VALUE"""),"KOSONG")</f>
        <v>KOSONG</v>
      </c>
      <c r="S56" s="54">
        <f>IFERROR(__xludf.DUMMYFUNCTION("""COMPUTED_VALUE"""),0.0)</f>
        <v>0</v>
      </c>
      <c r="T56" s="55">
        <f>IFERROR(__xludf.DUMMYFUNCTION("""COMPUTED_VALUE"""),0.0)</f>
        <v>0</v>
      </c>
      <c r="U56" s="51" t="str">
        <f>IFERROR(__xludf.DUMMYFUNCTION("SPARKLINE(T56, {""Charttype"",""Bar""; ""Max"",1; ""Color1"", ""#c2795a""})
"),"")</f>
        <v/>
      </c>
    </row>
    <row r="57">
      <c r="L57" s="45"/>
      <c r="M57" s="42"/>
      <c r="N57" s="42"/>
      <c r="O57" s="42"/>
      <c r="P57" s="42"/>
      <c r="R57" s="42"/>
      <c r="S57" s="42"/>
      <c r="T57" s="42"/>
      <c r="U57" s="42"/>
    </row>
    <row r="58">
      <c r="L58" s="45"/>
    </row>
  </sheetData>
  <mergeCells count="39">
    <mergeCell ref="B2:N4"/>
    <mergeCell ref="I9:J9"/>
    <mergeCell ref="C10:C12"/>
    <mergeCell ref="D10:D12"/>
    <mergeCell ref="F10:F12"/>
    <mergeCell ref="G10:G12"/>
    <mergeCell ref="I10:J12"/>
    <mergeCell ref="C15:D15"/>
    <mergeCell ref="F15:G15"/>
    <mergeCell ref="C16:C18"/>
    <mergeCell ref="F16:F18"/>
    <mergeCell ref="G16:G18"/>
    <mergeCell ref="I16:I18"/>
    <mergeCell ref="L16:L18"/>
    <mergeCell ref="I21:I23"/>
    <mergeCell ref="L21:L23"/>
    <mergeCell ref="D16:D18"/>
    <mergeCell ref="C20:D20"/>
    <mergeCell ref="F20:G20"/>
    <mergeCell ref="C21:C23"/>
    <mergeCell ref="D21:D23"/>
    <mergeCell ref="F21:F23"/>
    <mergeCell ref="G21:G23"/>
    <mergeCell ref="C25:D25"/>
    <mergeCell ref="F25:G25"/>
    <mergeCell ref="C26:C28"/>
    <mergeCell ref="F26:F28"/>
    <mergeCell ref="G26:G28"/>
    <mergeCell ref="I26:I28"/>
    <mergeCell ref="L26:L28"/>
    <mergeCell ref="I31:I33"/>
    <mergeCell ref="L31:L33"/>
    <mergeCell ref="D26:D28"/>
    <mergeCell ref="C30:D30"/>
    <mergeCell ref="F30:G30"/>
    <mergeCell ref="C31:C33"/>
    <mergeCell ref="D31:D33"/>
    <mergeCell ref="F31:F33"/>
    <mergeCell ref="G31:G33"/>
  </mergeCells>
  <dataValidations>
    <dataValidation type="custom" allowBlank="1" showDropDown="1" sqref="D6:D7">
      <formula1>OR(NOT(ISERROR(DATEVALUE(D6))), AND(ISNUMBER(D6), LEFT(CELL("format", D6))="D"))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14.75"/>
    <col customWidth="1" min="3" max="3" width="23.13"/>
    <col customWidth="1" min="4" max="11" width="17.0"/>
    <col customWidth="1" min="12" max="12" width="35.5"/>
    <col customWidth="1" min="13" max="16" width="17.0"/>
  </cols>
  <sheetData>
    <row r="1" ht="22.5" customHeight="1">
      <c r="A1" s="59" t="s">
        <v>61</v>
      </c>
      <c r="B1" s="60" t="s">
        <v>62</v>
      </c>
      <c r="C1" s="60" t="s">
        <v>63</v>
      </c>
      <c r="D1" s="59" t="s">
        <v>64</v>
      </c>
      <c r="E1" s="60" t="s">
        <v>65</v>
      </c>
      <c r="F1" s="59" t="s">
        <v>66</v>
      </c>
      <c r="G1" s="60" t="s">
        <v>67</v>
      </c>
      <c r="H1" s="59" t="s">
        <v>68</v>
      </c>
      <c r="I1" s="59" t="s">
        <v>69</v>
      </c>
      <c r="J1" s="59" t="s">
        <v>70</v>
      </c>
      <c r="K1" s="59" t="s">
        <v>71</v>
      </c>
      <c r="L1" s="59" t="s">
        <v>72</v>
      </c>
      <c r="M1" s="59" t="s">
        <v>73</v>
      </c>
      <c r="N1" s="59" t="s">
        <v>74</v>
      </c>
      <c r="O1" s="59" t="s">
        <v>75</v>
      </c>
      <c r="P1" s="59" t="s">
        <v>76</v>
      </c>
    </row>
    <row r="2" ht="22.5" customHeight="1">
      <c r="A2" s="61" t="str">
        <f>IFERROR(__xludf.DUMMYFUNCTION("FILTER(Table1,Table1[DATE]&gt;=DASHBOARD!D6,Table1[DATE]&lt;=DASHBOARD!D7)"),"")</f>
        <v/>
      </c>
      <c r="B2" s="62"/>
      <c r="C2" s="63" t="str">
        <f>IFERROR(__xludf.DUMMYFUNCTION("""COMPUTED_VALUE"""),"Pak Brili Agung")</f>
        <v>Pak Brili Agung</v>
      </c>
      <c r="D2" s="64">
        <f>IFERROR(__xludf.DUMMYFUNCTION("""COMPUTED_VALUE"""),46113.0)</f>
        <v>46113</v>
      </c>
      <c r="E2" s="63" t="str">
        <f>IFERROR(__xludf.DUMMYFUNCTION("""COMPUTED_VALUE"""),"Kaos Polo Biru Muda")</f>
        <v>Kaos Polo Biru Muda</v>
      </c>
      <c r="F2" s="61">
        <f>IFERROR(__xludf.DUMMYFUNCTION("""COMPUTED_VALUE"""),38.0)</f>
        <v>38</v>
      </c>
      <c r="G2" s="63">
        <f>IFERROR(__xludf.DUMMYFUNCTION("""COMPUTED_VALUE"""),79000.0)</f>
        <v>79000</v>
      </c>
      <c r="H2" s="63">
        <f>IFERROR(__xludf.DUMMYFUNCTION("""COMPUTED_VALUE"""),3002000.0)</f>
        <v>3002000</v>
      </c>
      <c r="I2" s="63">
        <f>IFERROR(__xludf.DUMMYFUNCTION("""COMPUTED_VALUE"""),1.094E7)</f>
        <v>10940000</v>
      </c>
      <c r="J2" s="65"/>
      <c r="K2" s="63"/>
      <c r="L2" s="63"/>
      <c r="M2" s="63"/>
      <c r="N2" s="63"/>
      <c r="O2" s="63"/>
      <c r="P2" s="63"/>
    </row>
    <row r="3" ht="22.5" customHeight="1">
      <c r="A3" s="61"/>
      <c r="B3" s="66"/>
      <c r="C3" s="67" t="str">
        <f>IFERROR(__xludf.DUMMYFUNCTION("""COMPUTED_VALUE"""),"Pak Brili Agung")</f>
        <v>Pak Brili Agung</v>
      </c>
      <c r="D3" s="68">
        <f>IFERROR(__xludf.DUMMYFUNCTION("""COMPUTED_VALUE"""),46113.0)</f>
        <v>46113</v>
      </c>
      <c r="E3" s="67" t="str">
        <f>IFERROR(__xludf.DUMMYFUNCTION("""COMPUTED_VALUE"""),"Kaos Polo Biru Muda")</f>
        <v>Kaos Polo Biru Muda</v>
      </c>
      <c r="F3" s="69">
        <f>IFERROR(__xludf.DUMMYFUNCTION("""COMPUTED_VALUE"""),2.0)</f>
        <v>2</v>
      </c>
      <c r="G3" s="67">
        <f>IFERROR(__xludf.DUMMYFUNCTION("""COMPUTED_VALUE"""),89000.0)</f>
        <v>89000</v>
      </c>
      <c r="H3" s="67">
        <f>IFERROR(__xludf.DUMMYFUNCTION("""COMPUTED_VALUE"""),178000.0)</f>
        <v>178000</v>
      </c>
      <c r="I3" s="67"/>
      <c r="J3" s="70"/>
      <c r="K3" s="67"/>
      <c r="L3" s="67"/>
      <c r="M3" s="67"/>
      <c r="N3" s="67"/>
      <c r="O3" s="67"/>
      <c r="P3" s="67"/>
    </row>
    <row r="4" ht="22.5" customHeight="1">
      <c r="A4" s="61"/>
      <c r="B4" s="66"/>
      <c r="C4" s="67" t="str">
        <f>IFERROR(__xludf.DUMMYFUNCTION("""COMPUTED_VALUE"""),"Pak Brili Agung")</f>
        <v>Pak Brili Agung</v>
      </c>
      <c r="D4" s="68">
        <f>IFERROR(__xludf.DUMMYFUNCTION("""COMPUTED_VALUE"""),46113.0)</f>
        <v>46113</v>
      </c>
      <c r="E4" s="67" t="str">
        <f>IFERROR(__xludf.DUMMYFUNCTION("""COMPUTED_VALUE"""),"Kaos Polo Biru Navy")</f>
        <v>Kaos Polo Biru Navy</v>
      </c>
      <c r="F4" s="69">
        <f>IFERROR(__xludf.DUMMYFUNCTION("""COMPUTED_VALUE"""),38.0)</f>
        <v>38</v>
      </c>
      <c r="G4" s="67">
        <f>IFERROR(__xludf.DUMMYFUNCTION("""COMPUTED_VALUE"""),79000.0)</f>
        <v>79000</v>
      </c>
      <c r="H4" s="67">
        <f>IFERROR(__xludf.DUMMYFUNCTION("""COMPUTED_VALUE"""),3002000.0)</f>
        <v>3002000</v>
      </c>
      <c r="I4" s="67"/>
      <c r="J4" s="67"/>
      <c r="K4" s="67" t="str">
        <f t="array" ref="K4:K5">UNIQUE(A:A)</f>
        <v>IITEM CODE</v>
      </c>
      <c r="L4" s="65" t="s">
        <v>77</v>
      </c>
      <c r="M4" s="67"/>
      <c r="N4" s="70"/>
      <c r="O4" s="63" t="s">
        <v>78</v>
      </c>
      <c r="P4" s="63" t="s">
        <v>79</v>
      </c>
    </row>
    <row r="5" ht="22.5" customHeight="1">
      <c r="A5" s="61"/>
      <c r="B5" s="66"/>
      <c r="C5" s="67" t="str">
        <f>IFERROR(__xludf.DUMMYFUNCTION("""COMPUTED_VALUE"""),"Pak Brili Agung")</f>
        <v>Pak Brili Agung</v>
      </c>
      <c r="D5" s="68">
        <f>IFERROR(__xludf.DUMMYFUNCTION("""COMPUTED_VALUE"""),46113.0)</f>
        <v>46113</v>
      </c>
      <c r="E5" s="67" t="str">
        <f>IFERROR(__xludf.DUMMYFUNCTION("""COMPUTED_VALUE"""),"Kaos Polo Biru Navy")</f>
        <v>Kaos Polo Biru Navy</v>
      </c>
      <c r="F5" s="69">
        <f>IFERROR(__xludf.DUMMYFUNCTION("""COMPUTED_VALUE"""),2.0)</f>
        <v>2</v>
      </c>
      <c r="G5" s="67">
        <f>IFERROR(__xludf.DUMMYFUNCTION("""COMPUTED_VALUE"""),89000.0)</f>
        <v>89000</v>
      </c>
      <c r="H5" s="67">
        <f>IFERROR(__xludf.DUMMYFUNCTION("""COMPUTED_VALUE"""),178000.0)</f>
        <v>178000</v>
      </c>
      <c r="I5" s="67"/>
      <c r="J5" s="70" t="str">
        <f>IFERROR(__xludf.DUMMYFUNCTION("""COMPUTED_VALUE""")," ")</f>
        <v> </v>
      </c>
      <c r="K5" s="67"/>
      <c r="L5" s="63" t="s">
        <v>80</v>
      </c>
      <c r="M5" s="67">
        <f t="shared" ref="M5:M36" si="1">SUMIFS(H2:H45,E2:E45,L5)</f>
        <v>0</v>
      </c>
      <c r="N5" s="67"/>
      <c r="O5" s="67" t="str">
        <f>IFERROR(__xludf.DUMMYFUNCTION("SORTN(K40:L71,5,,2,0)"),"Seragam Mekanik Honda")</f>
        <v>Seragam Mekanik Honda</v>
      </c>
      <c r="P5" s="67">
        <f>IFERROR(__xludf.DUMMYFUNCTION("""COMPUTED_VALUE"""),450000.0)</f>
        <v>450000</v>
      </c>
    </row>
    <row r="6" ht="22.5" customHeight="1">
      <c r="A6" s="61"/>
      <c r="B6" s="61"/>
      <c r="C6" s="67" t="str">
        <f>IFERROR(__xludf.DUMMYFUNCTION("""COMPUTED_VALUE"""),"Pak Brili Agung")</f>
        <v>Pak Brili Agung</v>
      </c>
      <c r="D6" s="68">
        <f>IFERROR(__xludf.DUMMYFUNCTION("""COMPUTED_VALUE"""),46113.0)</f>
        <v>46113</v>
      </c>
      <c r="E6" s="67" t="str">
        <f>IFERROR(__xludf.DUMMYFUNCTION("""COMPUTED_VALUE"""),"Kaos Polo Cream")</f>
        <v>Kaos Polo Cream</v>
      </c>
      <c r="F6" s="69">
        <f>IFERROR(__xludf.DUMMYFUNCTION("""COMPUTED_VALUE"""),38.0)</f>
        <v>38</v>
      </c>
      <c r="G6" s="67">
        <f>IFERROR(__xludf.DUMMYFUNCTION("""COMPUTED_VALUE"""),79000.0)</f>
        <v>79000</v>
      </c>
      <c r="H6" s="67">
        <f>IFERROR(__xludf.DUMMYFUNCTION("""COMPUTED_VALUE"""),3002000.0)</f>
        <v>3002000</v>
      </c>
      <c r="I6" s="67"/>
      <c r="J6" s="70"/>
      <c r="K6" s="67"/>
      <c r="L6" s="67" t="s">
        <v>81</v>
      </c>
      <c r="M6" s="67">
        <f t="shared" si="1"/>
        <v>0</v>
      </c>
      <c r="N6" s="67"/>
      <c r="O6" s="67" t="str">
        <f>IFERROR(__xludf.DUMMYFUNCTION("""COMPUTED_VALUE"""),"Wearpack Mitsubitshi")</f>
        <v>Wearpack Mitsubitshi</v>
      </c>
      <c r="P6" s="67">
        <f>IFERROR(__xludf.DUMMYFUNCTION("""COMPUTED_VALUE"""),440000.0)</f>
        <v>440000</v>
      </c>
    </row>
    <row r="7" ht="22.5" customHeight="1">
      <c r="A7" s="61"/>
      <c r="B7" s="61"/>
      <c r="C7" s="67" t="str">
        <f>IFERROR(__xludf.DUMMYFUNCTION("""COMPUTED_VALUE"""),"Pak Brili Agung")</f>
        <v>Pak Brili Agung</v>
      </c>
      <c r="D7" s="68">
        <f>IFERROR(__xludf.DUMMYFUNCTION("""COMPUTED_VALUE"""),46113.0)</f>
        <v>46113</v>
      </c>
      <c r="E7" s="67" t="str">
        <f>IFERROR(__xludf.DUMMYFUNCTION("""COMPUTED_VALUE"""),"Kaos Polo Cream")</f>
        <v>Kaos Polo Cream</v>
      </c>
      <c r="F7" s="69">
        <f>IFERROR(__xludf.DUMMYFUNCTION("""COMPUTED_VALUE"""),2.0)</f>
        <v>2</v>
      </c>
      <c r="G7" s="67">
        <f>IFERROR(__xludf.DUMMYFUNCTION("""COMPUTED_VALUE"""),89000.0)</f>
        <v>89000</v>
      </c>
      <c r="H7" s="67">
        <f>IFERROR(__xludf.DUMMYFUNCTION("""COMPUTED_VALUE"""),178000.0)</f>
        <v>178000</v>
      </c>
      <c r="I7" s="67"/>
      <c r="J7" s="70"/>
      <c r="K7" s="67"/>
      <c r="L7" s="67" t="s">
        <v>82</v>
      </c>
      <c r="M7" s="67">
        <f t="shared" si="1"/>
        <v>0</v>
      </c>
      <c r="N7" s="67"/>
      <c r="O7" s="67" t="str">
        <f>IFERROR(__xludf.DUMMYFUNCTION("""COMPUTED_VALUE"""),"Seragam PDH Custom")</f>
        <v>Seragam PDH Custom</v>
      </c>
      <c r="P7" s="67">
        <f>IFERROR(__xludf.DUMMYFUNCTION("""COMPUTED_VALUE"""),0.0)</f>
        <v>0</v>
      </c>
    </row>
    <row r="8" ht="22.5" customHeight="1">
      <c r="A8" s="61"/>
      <c r="B8" s="66"/>
      <c r="C8" s="67" t="str">
        <f>IFERROR(__xludf.DUMMYFUNCTION("""COMPUTED_VALUE"""),"Pak Brili Agung")</f>
        <v>Pak Brili Agung</v>
      </c>
      <c r="D8" s="68">
        <f>IFERROR(__xludf.DUMMYFUNCTION("""COMPUTED_VALUE"""),46113.0)</f>
        <v>46113</v>
      </c>
      <c r="E8" s="67" t="str">
        <f>IFERROR(__xludf.DUMMYFUNCTION("""COMPUTED_VALUE"""),"Apron")</f>
        <v>Apron</v>
      </c>
      <c r="F8" s="69">
        <f>IFERROR(__xludf.DUMMYFUNCTION("""COMPUTED_VALUE"""),40.0)</f>
        <v>40</v>
      </c>
      <c r="G8" s="67">
        <f>IFERROR(__xludf.DUMMYFUNCTION("""COMPUTED_VALUE"""),35000.0)</f>
        <v>35000</v>
      </c>
      <c r="H8" s="67">
        <f>IFERROR(__xludf.DUMMYFUNCTION("""COMPUTED_VALUE"""),1400000.0)</f>
        <v>1400000</v>
      </c>
      <c r="I8" s="67"/>
      <c r="J8" s="70"/>
      <c r="K8" s="67"/>
      <c r="L8" s="67" t="s">
        <v>83</v>
      </c>
      <c r="M8" s="67">
        <f t="shared" si="1"/>
        <v>0</v>
      </c>
      <c r="N8" s="63"/>
      <c r="O8" s="67" t="str">
        <f>IFERROR(__xludf.DUMMYFUNCTION("""COMPUTED_VALUE"""),"Honda Mekanik 1 set")</f>
        <v>Honda Mekanik 1 set</v>
      </c>
      <c r="P8" s="67">
        <f>IFERROR(__xludf.DUMMYFUNCTION("""COMPUTED_VALUE"""),0.0)</f>
        <v>0</v>
      </c>
    </row>
    <row r="9" ht="22.5" customHeight="1">
      <c r="A9" s="61"/>
      <c r="B9" s="66"/>
      <c r="C9" s="67" t="str">
        <f>IFERROR(__xludf.DUMMYFUNCTION("""COMPUTED_VALUE"""),"Ibu Sarmauli")</f>
        <v>Ibu Sarmauli</v>
      </c>
      <c r="D9" s="68">
        <f>IFERROR(__xludf.DUMMYFUNCTION("""COMPUTED_VALUE"""),46114.0)</f>
        <v>46114</v>
      </c>
      <c r="E9" s="67" t="str">
        <f>IFERROR(__xludf.DUMMYFUNCTION("""COMPUTED_VALUE"""),"Celemek SPPG Kecil")</f>
        <v>Celemek SPPG Kecil</v>
      </c>
      <c r="F9" s="69">
        <f>IFERROR(__xludf.DUMMYFUNCTION("""COMPUTED_VALUE"""),179.0)</f>
        <v>179</v>
      </c>
      <c r="G9" s="67">
        <f>IFERROR(__xludf.DUMMYFUNCTION("""COMPUTED_VALUE"""),27000.0)</f>
        <v>27000</v>
      </c>
      <c r="H9" s="67">
        <f>IFERROR(__xludf.DUMMYFUNCTION("""COMPUTED_VALUE"""),4833000.0)</f>
        <v>4833000</v>
      </c>
      <c r="I9" s="67">
        <f>IFERROR(__xludf.DUMMYFUNCTION("""COMPUTED_VALUE"""),4833000.0)</f>
        <v>4833000</v>
      </c>
      <c r="J9" s="70"/>
      <c r="K9" s="67"/>
      <c r="L9" s="67" t="s">
        <v>84</v>
      </c>
      <c r="M9" s="67">
        <f t="shared" si="1"/>
        <v>0</v>
      </c>
      <c r="O9" s="71" t="str">
        <f>IFERROR(__xludf.DUMMYFUNCTION("""COMPUTED_VALUE"""),"Toyota tanpa bordir")</f>
        <v>Toyota tanpa bordir</v>
      </c>
      <c r="P9" s="67">
        <f>IFERROR(__xludf.DUMMYFUNCTION("""COMPUTED_VALUE"""),0.0)</f>
        <v>0</v>
      </c>
    </row>
    <row r="10" ht="22.5" customHeight="1">
      <c r="A10" s="61"/>
      <c r="B10" s="66"/>
      <c r="C10" s="67" t="str">
        <f>IFERROR(__xludf.DUMMYFUNCTION("""COMPUTED_VALUE"""),"Pak Abdul")</f>
        <v>Pak Abdul</v>
      </c>
      <c r="D10" s="72">
        <f>IFERROR(__xludf.DUMMYFUNCTION("""COMPUTED_VALUE"""),46118.0)</f>
        <v>46118</v>
      </c>
      <c r="E10" s="67" t="str">
        <f>IFERROR(__xludf.DUMMYFUNCTION("""COMPUTED_VALUE"""),"Seragam Mekanik 1 Set")</f>
        <v>Seragam Mekanik 1 Set</v>
      </c>
      <c r="F10" s="69">
        <f>IFERROR(__xludf.DUMMYFUNCTION("""COMPUTED_VALUE"""),4.0)</f>
        <v>4</v>
      </c>
      <c r="G10" s="67">
        <f>IFERROR(__xludf.DUMMYFUNCTION("""COMPUTED_VALUE"""),250000.0)</f>
        <v>250000</v>
      </c>
      <c r="H10" s="67">
        <f>IFERROR(__xludf.DUMMYFUNCTION("""COMPUTED_VALUE"""),1000000.0)</f>
        <v>1000000</v>
      </c>
      <c r="I10" s="67"/>
      <c r="J10" s="70"/>
      <c r="K10" s="67"/>
      <c r="L10" s="67" t="s">
        <v>85</v>
      </c>
      <c r="M10" s="67">
        <f t="shared" si="1"/>
        <v>0</v>
      </c>
      <c r="O10" s="66"/>
      <c r="P10" s="67"/>
    </row>
    <row r="11" ht="22.5" customHeight="1">
      <c r="A11" s="61"/>
      <c r="B11" s="66"/>
      <c r="C11" s="67" t="str">
        <f>IFERROR(__xludf.DUMMYFUNCTION("""COMPUTED_VALUE"""),"Pak Abdul")</f>
        <v>Pak Abdul</v>
      </c>
      <c r="D11" s="68">
        <f>IFERROR(__xludf.DUMMYFUNCTION("""COMPUTED_VALUE"""),46118.0)</f>
        <v>46118</v>
      </c>
      <c r="E11" s="67" t="str">
        <f>IFERROR(__xludf.DUMMYFUNCTION("""COMPUTED_VALUE"""),"Seragam Mekanik 1 Set")</f>
        <v>Seragam Mekanik 1 Set</v>
      </c>
      <c r="F11" s="69">
        <f>IFERROR(__xludf.DUMMYFUNCTION("""COMPUTED_VALUE"""),1.0)</f>
        <v>1</v>
      </c>
      <c r="G11" s="67">
        <f>IFERROR(__xludf.DUMMYFUNCTION("""COMPUTED_VALUE"""),260000.0)</f>
        <v>260000</v>
      </c>
      <c r="H11" s="67">
        <f>IFERROR(__xludf.DUMMYFUNCTION("""COMPUTED_VALUE"""),260000.0)</f>
        <v>260000</v>
      </c>
      <c r="I11" s="67"/>
      <c r="J11" s="70"/>
      <c r="K11" s="67"/>
      <c r="L11" s="67" t="s">
        <v>86</v>
      </c>
      <c r="M11" s="67">
        <f t="shared" si="1"/>
        <v>0</v>
      </c>
      <c r="P11" s="67"/>
    </row>
    <row r="12" ht="22.5" customHeight="1">
      <c r="A12" s="61"/>
      <c r="B12" s="66"/>
      <c r="C12" s="67" t="str">
        <f>IFERROR(__xludf.DUMMYFUNCTION("""COMPUTED_VALUE"""),"Pak Abdul")</f>
        <v>Pak Abdul</v>
      </c>
      <c r="D12" s="68">
        <f>IFERROR(__xludf.DUMMYFUNCTION("""COMPUTED_VALUE"""),46118.0)</f>
        <v>46118</v>
      </c>
      <c r="E12" s="67" t="str">
        <f>IFERROR(__xludf.DUMMYFUNCTION("""COMPUTED_VALUE"""),"Seragam Mekanik 1 Set")</f>
        <v>Seragam Mekanik 1 Set</v>
      </c>
      <c r="F12" s="69">
        <f>IFERROR(__xludf.DUMMYFUNCTION("""COMPUTED_VALUE"""),1.0)</f>
        <v>1</v>
      </c>
      <c r="G12" s="67">
        <f>IFERROR(__xludf.DUMMYFUNCTION("""COMPUTED_VALUE"""),270000.0)</f>
        <v>270000</v>
      </c>
      <c r="H12" s="67">
        <f>IFERROR(__xludf.DUMMYFUNCTION("""COMPUTED_VALUE"""),270000.0)</f>
        <v>270000</v>
      </c>
      <c r="I12" s="67">
        <f>IFERROR(__xludf.DUMMYFUNCTION("""COMPUTED_VALUE"""),1530000.0)</f>
        <v>1530000</v>
      </c>
      <c r="J12" s="70"/>
      <c r="K12" s="67"/>
      <c r="L12" s="67" t="s">
        <v>87</v>
      </c>
      <c r="M12" s="67">
        <f t="shared" si="1"/>
        <v>0</v>
      </c>
      <c r="N12" s="67"/>
      <c r="P12" s="67"/>
    </row>
    <row r="13" ht="22.5" customHeight="1">
      <c r="A13" s="61"/>
      <c r="B13" s="66"/>
      <c r="C13" s="67" t="str">
        <f>IFERROR(__xludf.DUMMYFUNCTION("""COMPUTED_VALUE""")," PT Anugerah Kasih Putera (AKSP)")</f>
        <v> PT Anugerah Kasih Putera (AKSP)</v>
      </c>
      <c r="D13" s="73">
        <f>IFERROR(__xludf.DUMMYFUNCTION("""COMPUTED_VALUE"""),46119.0)</f>
        <v>46119</v>
      </c>
      <c r="E13" s="67" t="str">
        <f>IFERROR(__xludf.DUMMYFUNCTION("""COMPUTED_VALUE"""),"Seragam Honda (Teknisi, Foreman, Cuci)")</f>
        <v>Seragam Honda (Teknisi, Foreman, Cuci)</v>
      </c>
      <c r="F13" s="69">
        <f>IFERROR(__xludf.DUMMYFUNCTION("""COMPUTED_VALUE"""),36.0)</f>
        <v>36</v>
      </c>
      <c r="G13" s="67">
        <f>IFERROR(__xludf.DUMMYFUNCTION("""COMPUTED_VALUE"""),110000.0)</f>
        <v>110000</v>
      </c>
      <c r="H13" s="67">
        <f>IFERROR(__xludf.DUMMYFUNCTION("""COMPUTED_VALUE"""),3960000.0)</f>
        <v>3960000</v>
      </c>
      <c r="I13" s="67"/>
      <c r="J13" s="70"/>
      <c r="K13" s="67"/>
      <c r="L13" s="67" t="s">
        <v>88</v>
      </c>
      <c r="M13" s="67">
        <f t="shared" si="1"/>
        <v>0</v>
      </c>
      <c r="N13" s="67"/>
      <c r="O13" s="66"/>
      <c r="P13" s="67"/>
    </row>
    <row r="14" ht="22.5" customHeight="1">
      <c r="A14" s="61"/>
      <c r="B14" s="66"/>
      <c r="C14" s="67" t="str">
        <f>IFERROR(__xludf.DUMMYFUNCTION("""COMPUTED_VALUE""")," PT Anugerah Kasih Putera (AKSP)")</f>
        <v> PT Anugerah Kasih Putera (AKSP)</v>
      </c>
      <c r="D14" s="73">
        <f>IFERROR(__xludf.DUMMYFUNCTION("""COMPUTED_VALUE"""),46119.0)</f>
        <v>46119</v>
      </c>
      <c r="E14" s="67" t="str">
        <f>IFERROR(__xludf.DUMMYFUNCTION("""COMPUTED_VALUE"""),"Seragam Honda (Teknisi, Foreman, Cuci)")</f>
        <v>Seragam Honda (Teknisi, Foreman, Cuci)</v>
      </c>
      <c r="F14" s="69">
        <f>IFERROR(__xludf.DUMMYFUNCTION("""COMPUTED_VALUE"""),3.0)</f>
        <v>3</v>
      </c>
      <c r="G14" s="67">
        <f>IFERROR(__xludf.DUMMYFUNCTION("""COMPUTED_VALUE"""),120000.0)</f>
        <v>120000</v>
      </c>
      <c r="H14" s="67">
        <f>IFERROR(__xludf.DUMMYFUNCTION("""COMPUTED_VALUE"""),360000.0)</f>
        <v>360000</v>
      </c>
      <c r="I14" s="67"/>
      <c r="J14" s="67"/>
      <c r="K14" s="67"/>
      <c r="L14" s="67" t="s">
        <v>89</v>
      </c>
      <c r="M14" s="67">
        <f t="shared" si="1"/>
        <v>0</v>
      </c>
      <c r="N14" s="67"/>
      <c r="O14" s="66"/>
      <c r="P14" s="67"/>
    </row>
    <row r="15" ht="22.5" customHeight="1">
      <c r="A15" s="61"/>
      <c r="B15" s="66"/>
      <c r="C15" s="67" t="str">
        <f>IFERROR(__xludf.DUMMYFUNCTION("""COMPUTED_VALUE""")," PT Anugerah Kasih Putera (AKSP)")</f>
        <v> PT Anugerah Kasih Putera (AKSP)</v>
      </c>
      <c r="D15" s="73">
        <f>IFERROR(__xludf.DUMMYFUNCTION("""COMPUTED_VALUE"""),46119.0)</f>
        <v>46119</v>
      </c>
      <c r="E15" s="67" t="str">
        <f>IFERROR(__xludf.DUMMYFUNCTION("""COMPUTED_VALUE"""),"Seragam Honda (Teknisi, Foreman, Cuci)")</f>
        <v>Seragam Honda (Teknisi, Foreman, Cuci)</v>
      </c>
      <c r="F15" s="69">
        <f>IFERROR(__xludf.DUMMYFUNCTION("""COMPUTED_VALUE"""),1.0)</f>
        <v>1</v>
      </c>
      <c r="G15" s="67">
        <f>IFERROR(__xludf.DUMMYFUNCTION("""COMPUTED_VALUE"""),130000.0)</f>
        <v>130000</v>
      </c>
      <c r="H15" s="67">
        <f>IFERROR(__xludf.DUMMYFUNCTION("""COMPUTED_VALUE"""),130000.0)</f>
        <v>130000</v>
      </c>
      <c r="I15" s="67"/>
      <c r="J15" s="70"/>
      <c r="K15" s="67"/>
      <c r="L15" s="67" t="s">
        <v>90</v>
      </c>
      <c r="M15" s="67">
        <f t="shared" si="1"/>
        <v>0</v>
      </c>
      <c r="N15" s="67"/>
      <c r="O15" s="66"/>
      <c r="P15" s="67"/>
    </row>
    <row r="16" ht="22.5" customHeight="1">
      <c r="A16" s="61"/>
      <c r="B16" s="66"/>
      <c r="C16" s="67" t="str">
        <f>IFERROR(__xludf.DUMMYFUNCTION("""COMPUTED_VALUE"""),"PT Anugerah Kasih Putera (Bantul)")</f>
        <v>PT Anugerah Kasih Putera (Bantul)</v>
      </c>
      <c r="D16" s="73">
        <f>IFERROR(__xludf.DUMMYFUNCTION("""COMPUTED_VALUE"""),46119.0)</f>
        <v>46119</v>
      </c>
      <c r="E16" s="67" t="str">
        <f>IFERROR(__xludf.DUMMYFUNCTION("""COMPUTED_VALUE"""),"Seragam Honda (Teknisi)")</f>
        <v>Seragam Honda (Teknisi)</v>
      </c>
      <c r="F16" s="69">
        <f>IFERROR(__xludf.DUMMYFUNCTION("""COMPUTED_VALUE"""),12.0)</f>
        <v>12</v>
      </c>
      <c r="G16" s="67">
        <f>IFERROR(__xludf.DUMMYFUNCTION("""COMPUTED_VALUE"""),110000.0)</f>
        <v>110000</v>
      </c>
      <c r="H16" s="67">
        <f>IFERROR(__xludf.DUMMYFUNCTION("""COMPUTED_VALUE"""),1320000.0)</f>
        <v>1320000</v>
      </c>
      <c r="I16" s="67">
        <f>IFERROR(__xludf.DUMMYFUNCTION("""COMPUTED_VALUE"""),5890000.0)</f>
        <v>5890000</v>
      </c>
      <c r="J16" s="70"/>
      <c r="K16" s="67"/>
      <c r="L16" s="67" t="s">
        <v>91</v>
      </c>
      <c r="M16" s="67">
        <f t="shared" si="1"/>
        <v>0</v>
      </c>
      <c r="N16" s="67"/>
      <c r="P16" s="67"/>
    </row>
    <row r="17" ht="22.5" customHeight="1">
      <c r="A17" s="61"/>
      <c r="B17" s="66"/>
      <c r="C17" s="67" t="str">
        <f>IFERROR(__xludf.DUMMYFUNCTION("""COMPUTED_VALUE"""),"PT Anugerah Kasih Putera (Bantul)")</f>
        <v>PT Anugerah Kasih Putera (Bantul)</v>
      </c>
      <c r="D17" s="73">
        <f>IFERROR(__xludf.DUMMYFUNCTION("""COMPUTED_VALUE"""),46119.0)</f>
        <v>46119</v>
      </c>
      <c r="E17" s="67" t="str">
        <f>IFERROR(__xludf.DUMMYFUNCTION("""COMPUTED_VALUE"""),"Seragam Honda (Teknisi)")</f>
        <v>Seragam Honda (Teknisi)</v>
      </c>
      <c r="F17" s="69">
        <f>IFERROR(__xludf.DUMMYFUNCTION("""COMPUTED_VALUE"""),1.0)</f>
        <v>1</v>
      </c>
      <c r="G17" s="67">
        <f>IFERROR(__xludf.DUMMYFUNCTION("""COMPUTED_VALUE"""),120000.0)</f>
        <v>120000</v>
      </c>
      <c r="H17" s="67">
        <f>IFERROR(__xludf.DUMMYFUNCTION("""COMPUTED_VALUE"""),120000.0)</f>
        <v>120000</v>
      </c>
      <c r="I17" s="67"/>
      <c r="J17" s="70"/>
      <c r="K17" s="67"/>
      <c r="L17" s="67" t="s">
        <v>80</v>
      </c>
      <c r="M17" s="67">
        <f t="shared" si="1"/>
        <v>0</v>
      </c>
      <c r="N17" s="67"/>
      <c r="O17" s="66"/>
      <c r="P17" s="67"/>
    </row>
    <row r="18" ht="22.5" customHeight="1">
      <c r="A18" s="61"/>
      <c r="B18" s="66"/>
      <c r="C18" s="67" t="str">
        <f>IFERROR(__xludf.DUMMYFUNCTION("""COMPUTED_VALUE"""),"Ibu Sarmauli")</f>
        <v>Ibu Sarmauli</v>
      </c>
      <c r="D18" s="68">
        <f>IFERROR(__xludf.DUMMYFUNCTION("""COMPUTED_VALUE"""),46125.0)</f>
        <v>46125</v>
      </c>
      <c r="E18" s="67" t="str">
        <f>IFERROR(__xludf.DUMMYFUNCTION("""COMPUTED_VALUE"""),"Kaos Polo SPPG")</f>
        <v>Kaos Polo SPPG</v>
      </c>
      <c r="F18" s="69">
        <f>IFERROR(__xludf.DUMMYFUNCTION("""COMPUTED_VALUE"""),54.0)</f>
        <v>54</v>
      </c>
      <c r="G18" s="67">
        <f>IFERROR(__xludf.DUMMYFUNCTION("""COMPUTED_VALUE"""),67000.0)</f>
        <v>67000</v>
      </c>
      <c r="H18" s="67">
        <f>IFERROR(__xludf.DUMMYFUNCTION("""COMPUTED_VALUE"""),3618000.0)</f>
        <v>3618000</v>
      </c>
      <c r="I18" s="67">
        <f>IFERROR(__xludf.DUMMYFUNCTION("""COMPUTED_VALUE"""),1.4022E7)</f>
        <v>14022000</v>
      </c>
      <c r="J18" s="70"/>
      <c r="K18" s="67"/>
      <c r="L18" s="67" t="s">
        <v>85</v>
      </c>
      <c r="M18" s="67">
        <f t="shared" si="1"/>
        <v>0</v>
      </c>
      <c r="N18" s="67"/>
      <c r="O18" s="66"/>
      <c r="P18" s="67"/>
    </row>
    <row r="19" ht="22.5" customHeight="1">
      <c r="A19" s="61"/>
      <c r="B19" s="66"/>
      <c r="C19" s="67" t="str">
        <f>IFERROR(__xludf.DUMMYFUNCTION("""COMPUTED_VALUE"""),"Ibu Sarmauli")</f>
        <v>Ibu Sarmauli</v>
      </c>
      <c r="D19" s="68">
        <f>IFERROR(__xludf.DUMMYFUNCTION("""COMPUTED_VALUE"""),46125.0)</f>
        <v>46125</v>
      </c>
      <c r="E19" s="67" t="str">
        <f>IFERROR(__xludf.DUMMYFUNCTION("""COMPUTED_VALUE"""),"Kaos Polo SPPG")</f>
        <v>Kaos Polo SPPG</v>
      </c>
      <c r="F19" s="69">
        <f>IFERROR(__xludf.DUMMYFUNCTION("""COMPUTED_VALUE"""),18.0)</f>
        <v>18</v>
      </c>
      <c r="G19" s="67">
        <f>IFERROR(__xludf.DUMMYFUNCTION("""COMPUTED_VALUE"""),72000.0)</f>
        <v>72000</v>
      </c>
      <c r="H19" s="67">
        <f>IFERROR(__xludf.DUMMYFUNCTION("""COMPUTED_VALUE"""),1296000.0)</f>
        <v>1296000</v>
      </c>
      <c r="I19" s="67"/>
      <c r="J19" s="70"/>
      <c r="K19" s="67"/>
      <c r="L19" s="67" t="s">
        <v>92</v>
      </c>
      <c r="M19" s="67">
        <f t="shared" si="1"/>
        <v>0</v>
      </c>
      <c r="N19" s="67"/>
      <c r="O19" s="67"/>
      <c r="P19" s="67"/>
    </row>
    <row r="20" ht="22.5" customHeight="1">
      <c r="A20" s="61"/>
      <c r="B20" s="66"/>
      <c r="C20" s="67" t="str">
        <f>IFERROR(__xludf.DUMMYFUNCTION("""COMPUTED_VALUE"""),"Ibu Sarmauli")</f>
        <v>Ibu Sarmauli</v>
      </c>
      <c r="D20" s="68">
        <f>IFERROR(__xludf.DUMMYFUNCTION("""COMPUTED_VALUE"""),46125.0)</f>
        <v>46125</v>
      </c>
      <c r="E20" s="67" t="str">
        <f>IFERROR(__xludf.DUMMYFUNCTION("""COMPUTED_VALUE"""),"Kaos Polo SPPG")</f>
        <v>Kaos Polo SPPG</v>
      </c>
      <c r="F20" s="69">
        <f>IFERROR(__xludf.DUMMYFUNCTION("""COMPUTED_VALUE"""),72.0)</f>
        <v>72</v>
      </c>
      <c r="G20" s="67">
        <f>IFERROR(__xludf.DUMMYFUNCTION("""COMPUTED_VALUE"""),77000.0)</f>
        <v>77000</v>
      </c>
      <c r="H20" s="67">
        <f>IFERROR(__xludf.DUMMYFUNCTION("""COMPUTED_VALUE"""),5544000.0)</f>
        <v>5544000</v>
      </c>
      <c r="I20" s="67"/>
      <c r="J20" s="70"/>
      <c r="K20" s="67"/>
      <c r="L20" s="67" t="s">
        <v>93</v>
      </c>
      <c r="M20" s="67">
        <f t="shared" si="1"/>
        <v>0</v>
      </c>
      <c r="N20" s="67"/>
      <c r="O20" s="67"/>
      <c r="P20" s="67"/>
    </row>
    <row r="21" ht="22.5" customHeight="1">
      <c r="A21" s="61"/>
      <c r="B21" s="66"/>
      <c r="C21" s="67" t="str">
        <f>IFERROR(__xludf.DUMMYFUNCTION("""COMPUTED_VALUE"""),"Ibu Sarmauli")</f>
        <v>Ibu Sarmauli</v>
      </c>
      <c r="D21" s="68">
        <f>IFERROR(__xludf.DUMMYFUNCTION("""COMPUTED_VALUE"""),46125.0)</f>
        <v>46125</v>
      </c>
      <c r="E21" s="67" t="str">
        <f>IFERROR(__xludf.DUMMYFUNCTION("""COMPUTED_VALUE"""),"Kaos Polo SPPG")</f>
        <v>Kaos Polo SPPG</v>
      </c>
      <c r="F21" s="69">
        <f>IFERROR(__xludf.DUMMYFUNCTION("""COMPUTED_VALUE"""),24.0)</f>
        <v>24</v>
      </c>
      <c r="G21" s="67">
        <f>IFERROR(__xludf.DUMMYFUNCTION("""COMPUTED_VALUE"""),87000.0)</f>
        <v>87000</v>
      </c>
      <c r="H21" s="67">
        <f>IFERROR(__xludf.DUMMYFUNCTION("""COMPUTED_VALUE"""),2088000.0)</f>
        <v>2088000</v>
      </c>
      <c r="I21" s="67"/>
      <c r="J21" s="70"/>
      <c r="K21" s="67"/>
      <c r="L21" s="67" t="s">
        <v>94</v>
      </c>
      <c r="M21" s="67">
        <f t="shared" si="1"/>
        <v>0</v>
      </c>
      <c r="N21" s="67"/>
      <c r="O21" s="67"/>
      <c r="P21" s="67"/>
    </row>
    <row r="22" ht="22.5" customHeight="1">
      <c r="A22" s="61"/>
      <c r="B22" s="66"/>
      <c r="C22" s="67" t="str">
        <f>IFERROR(__xludf.DUMMYFUNCTION("""COMPUTED_VALUE"""),"Ibu Sarmauli")</f>
        <v>Ibu Sarmauli</v>
      </c>
      <c r="D22" s="68">
        <f>IFERROR(__xludf.DUMMYFUNCTION("""COMPUTED_VALUE"""),46125.0)</f>
        <v>46125</v>
      </c>
      <c r="E22" s="67" t="str">
        <f>IFERROR(__xludf.DUMMYFUNCTION("""COMPUTED_VALUE"""),"Kaos Polo SPPG")</f>
        <v>Kaos Polo SPPG</v>
      </c>
      <c r="F22" s="69">
        <f>IFERROR(__xludf.DUMMYFUNCTION("""COMPUTED_VALUE"""),18.0)</f>
        <v>18</v>
      </c>
      <c r="G22" s="67">
        <f>IFERROR(__xludf.DUMMYFUNCTION("""COMPUTED_VALUE"""),82000.0)</f>
        <v>82000</v>
      </c>
      <c r="H22" s="67">
        <f>IFERROR(__xludf.DUMMYFUNCTION("""COMPUTED_VALUE"""),1476000.0)</f>
        <v>1476000</v>
      </c>
      <c r="I22" s="67"/>
      <c r="J22" s="70"/>
      <c r="K22" s="67"/>
      <c r="L22" s="67" t="s">
        <v>95</v>
      </c>
      <c r="M22" s="67">
        <f t="shared" si="1"/>
        <v>0</v>
      </c>
      <c r="N22" s="67"/>
      <c r="O22" s="67"/>
      <c r="P22" s="67"/>
    </row>
    <row r="23" ht="22.5" customHeight="1">
      <c r="A23" s="61"/>
      <c r="B23" s="66"/>
      <c r="C23" s="67" t="str">
        <f>IFERROR(__xludf.DUMMYFUNCTION("""COMPUTED_VALUE""")," Pak Shidqi")</f>
        <v> Pak Shidqi</v>
      </c>
      <c r="D23" s="68">
        <f>IFERROR(__xludf.DUMMYFUNCTION("""COMPUTED_VALUE"""),46128.0)</f>
        <v>46128</v>
      </c>
      <c r="E23" s="67" t="str">
        <f>IFERROR(__xludf.DUMMYFUNCTION("""COMPUTED_VALUE"""),"Wearpack")</f>
        <v>Wearpack</v>
      </c>
      <c r="F23" s="69">
        <f>IFERROR(__xludf.DUMMYFUNCTION("""COMPUTED_VALUE"""),3.0)</f>
        <v>3</v>
      </c>
      <c r="G23" s="67">
        <f>IFERROR(__xludf.DUMMYFUNCTION("""COMPUTED_VALUE"""),280000.0)</f>
        <v>280000</v>
      </c>
      <c r="H23" s="67">
        <f>IFERROR(__xludf.DUMMYFUNCTION("""COMPUTED_VALUE"""),840000.0)</f>
        <v>840000</v>
      </c>
      <c r="I23" s="67">
        <f>IFERROR(__xludf.DUMMYFUNCTION("""COMPUTED_VALUE"""),1.534E7)</f>
        <v>15340000</v>
      </c>
      <c r="J23" s="70"/>
      <c r="K23" s="67"/>
      <c r="L23" s="67" t="s">
        <v>96</v>
      </c>
      <c r="M23" s="67">
        <f t="shared" si="1"/>
        <v>0</v>
      </c>
      <c r="N23" s="67"/>
      <c r="O23" s="67"/>
      <c r="P23" s="67"/>
    </row>
    <row r="24" ht="22.5" customHeight="1">
      <c r="A24" s="61"/>
      <c r="B24" s="66"/>
      <c r="C24" s="67" t="str">
        <f>IFERROR(__xludf.DUMMYFUNCTION("""COMPUTED_VALUE"""),"Pak Dwi ")</f>
        <v>Pak Dwi </v>
      </c>
      <c r="D24" s="68">
        <f>IFERROR(__xludf.DUMMYFUNCTION("""COMPUTED_VALUE"""),46128.0)</f>
        <v>46128</v>
      </c>
      <c r="E24" s="67" t="str">
        <f>IFERROR(__xludf.DUMMYFUNCTION("""COMPUTED_VALUE"""),"Seragam TSM ")</f>
        <v>Seragam TSM </v>
      </c>
      <c r="F24" s="69">
        <f>IFERROR(__xludf.DUMMYFUNCTION("""COMPUTED_VALUE"""),49.0)</f>
        <v>49</v>
      </c>
      <c r="G24" s="67">
        <f>IFERROR(__xludf.DUMMYFUNCTION("""COMPUTED_VALUE"""),220000.0)</f>
        <v>220000</v>
      </c>
      <c r="H24" s="67">
        <f>IFERROR(__xludf.DUMMYFUNCTION("""COMPUTED_VALUE"""),1.078E7)</f>
        <v>10780000</v>
      </c>
      <c r="I24" s="67"/>
      <c r="J24" s="70"/>
      <c r="K24" s="67"/>
      <c r="L24" s="67" t="s">
        <v>97</v>
      </c>
      <c r="M24" s="67">
        <f t="shared" si="1"/>
        <v>0</v>
      </c>
      <c r="N24" s="67"/>
      <c r="O24" s="67"/>
      <c r="P24" s="67"/>
    </row>
    <row r="25" ht="22.5" customHeight="1">
      <c r="A25" s="61"/>
      <c r="B25" s="66"/>
      <c r="C25" s="67" t="str">
        <f>IFERROR(__xludf.DUMMYFUNCTION("""COMPUTED_VALUE"""),"Pak Dwi ")</f>
        <v>Pak Dwi </v>
      </c>
      <c r="D25" s="68">
        <f>IFERROR(__xludf.DUMMYFUNCTION("""COMPUTED_VALUE"""),46128.0)</f>
        <v>46128</v>
      </c>
      <c r="E25" s="67" t="str">
        <f>IFERROR(__xludf.DUMMYFUNCTION("""COMPUTED_VALUE"""),"Seragam TSM ")</f>
        <v>Seragam TSM </v>
      </c>
      <c r="F25" s="69">
        <f>IFERROR(__xludf.DUMMYFUNCTION("""COMPUTED_VALUE"""),2.0)</f>
        <v>2</v>
      </c>
      <c r="G25" s="67">
        <f>IFERROR(__xludf.DUMMYFUNCTION("""COMPUTED_VALUE"""),230000.0)</f>
        <v>230000</v>
      </c>
      <c r="H25" s="67">
        <f>IFERROR(__xludf.DUMMYFUNCTION("""COMPUTED_VALUE"""),460000.0)</f>
        <v>460000</v>
      </c>
      <c r="I25" s="67"/>
      <c r="J25" s="67"/>
      <c r="K25" s="67"/>
      <c r="L25" s="67" t="s">
        <v>98</v>
      </c>
      <c r="M25" s="67">
        <f t="shared" si="1"/>
        <v>450000</v>
      </c>
      <c r="N25" s="65">
        <v>4.0</v>
      </c>
      <c r="O25" s="67"/>
      <c r="P25" s="67"/>
    </row>
    <row r="26" ht="22.5" customHeight="1">
      <c r="A26" s="61"/>
      <c r="B26" s="66"/>
      <c r="C26" s="67" t="str">
        <f>IFERROR(__xludf.DUMMYFUNCTION("""COMPUTED_VALUE"""),"Pak Dwi ")</f>
        <v>Pak Dwi </v>
      </c>
      <c r="D26" s="68">
        <f>IFERROR(__xludf.DUMMYFUNCTION("""COMPUTED_VALUE"""),46128.0)</f>
        <v>46128</v>
      </c>
      <c r="E26" s="67" t="str">
        <f>IFERROR(__xludf.DUMMYFUNCTION("""COMPUTED_VALUE"""),"Seragam TSM ")</f>
        <v>Seragam TSM </v>
      </c>
      <c r="F26" s="69">
        <f>IFERROR(__xludf.DUMMYFUNCTION("""COMPUTED_VALUE"""),13.0)</f>
        <v>13</v>
      </c>
      <c r="G26" s="67">
        <f>IFERROR(__xludf.DUMMYFUNCTION("""COMPUTED_VALUE"""),200000.0)</f>
        <v>200000</v>
      </c>
      <c r="H26" s="67">
        <f>IFERROR(__xludf.DUMMYFUNCTION("""COMPUTED_VALUE"""),2600000.0)</f>
        <v>2600000</v>
      </c>
      <c r="I26" s="67"/>
      <c r="J26" s="70"/>
      <c r="K26" s="67"/>
      <c r="L26" s="67" t="s">
        <v>99</v>
      </c>
      <c r="M26" s="67">
        <f t="shared" si="1"/>
        <v>0</v>
      </c>
      <c r="N26" s="67"/>
      <c r="O26" s="67"/>
      <c r="P26" s="67"/>
    </row>
    <row r="27" ht="22.5" customHeight="1">
      <c r="A27" s="61"/>
      <c r="B27" s="66"/>
      <c r="C27" s="67" t="str">
        <f>IFERROR(__xludf.DUMMYFUNCTION("""COMPUTED_VALUE"""),"Pak Dwi ")</f>
        <v>Pak Dwi </v>
      </c>
      <c r="D27" s="68">
        <f>IFERROR(__xludf.DUMMYFUNCTION("""COMPUTED_VALUE"""),46128.0)</f>
        <v>46128</v>
      </c>
      <c r="E27" s="67" t="str">
        <f>IFERROR(__xludf.DUMMYFUNCTION("""COMPUTED_VALUE"""),"Seragam TSM ")</f>
        <v>Seragam TSM </v>
      </c>
      <c r="F27" s="69">
        <f>IFERROR(__xludf.DUMMYFUNCTION("""COMPUTED_VALUE"""),2.0)</f>
        <v>2</v>
      </c>
      <c r="G27" s="67">
        <f>IFERROR(__xludf.DUMMYFUNCTION("""COMPUTED_VALUE"""),210000.0)</f>
        <v>210000</v>
      </c>
      <c r="H27" s="67">
        <f>IFERROR(__xludf.DUMMYFUNCTION("""COMPUTED_VALUE"""),420000.0)</f>
        <v>420000</v>
      </c>
      <c r="I27" s="67"/>
      <c r="J27" s="70"/>
      <c r="K27" s="67"/>
      <c r="L27" s="63" t="s">
        <v>100</v>
      </c>
      <c r="M27" s="67">
        <f t="shared" si="1"/>
        <v>0</v>
      </c>
      <c r="N27" s="67"/>
      <c r="O27" s="67"/>
      <c r="P27" s="67"/>
    </row>
    <row r="28" ht="22.5" customHeight="1">
      <c r="A28" s="61"/>
      <c r="B28" s="66"/>
      <c r="C28" s="67" t="str">
        <f>IFERROR(__xludf.DUMMYFUNCTION("""COMPUTED_VALUE"""),"Pak Dwi ")</f>
        <v>Pak Dwi </v>
      </c>
      <c r="D28" s="68">
        <f>IFERROR(__xludf.DUMMYFUNCTION("""COMPUTED_VALUE"""),46128.0)</f>
        <v>46128</v>
      </c>
      <c r="E28" s="67" t="str">
        <f>IFERROR(__xludf.DUMMYFUNCTION("""COMPUTED_VALUE"""),"Seragam TSM ")</f>
        <v>Seragam TSM </v>
      </c>
      <c r="F28" s="69">
        <f>IFERROR(__xludf.DUMMYFUNCTION("""COMPUTED_VALUE"""),1.0)</f>
        <v>1</v>
      </c>
      <c r="G28" s="67">
        <f>IFERROR(__xludf.DUMMYFUNCTION("""COMPUTED_VALUE"""),240000.0)</f>
        <v>240000</v>
      </c>
      <c r="H28" s="67">
        <f>IFERROR(__xludf.DUMMYFUNCTION("""COMPUTED_VALUE"""),240000.0)</f>
        <v>240000</v>
      </c>
      <c r="I28" s="67"/>
      <c r="J28" s="70"/>
      <c r="K28" s="67"/>
      <c r="L28" s="67" t="s">
        <v>101</v>
      </c>
      <c r="M28" s="67">
        <f t="shared" si="1"/>
        <v>7800000</v>
      </c>
      <c r="N28" s="67"/>
      <c r="O28" s="67"/>
      <c r="P28" s="67"/>
    </row>
    <row r="29" ht="22.5" customHeight="1">
      <c r="A29" s="61"/>
      <c r="B29" s="66"/>
      <c r="C29" s="67" t="str">
        <f>IFERROR(__xludf.DUMMYFUNCTION("""COMPUTED_VALUE""")," PT Anugerah Kasih Putera (ASP)")</f>
        <v> PT Anugerah Kasih Putera (ASP)</v>
      </c>
      <c r="D29" s="68">
        <f>IFERROR(__xludf.DUMMYFUNCTION("""COMPUTED_VALUE"""),46129.0)</f>
        <v>46129</v>
      </c>
      <c r="E29" s="67" t="str">
        <f>IFERROR(__xludf.DUMMYFUNCTION("""COMPUTED_VALUE"""),"Seragam Honda (Teknisi)")</f>
        <v>Seragam Honda (Teknisi)</v>
      </c>
      <c r="F29" s="69">
        <f>IFERROR(__xludf.DUMMYFUNCTION("""COMPUTED_VALUE"""),27.0)</f>
        <v>27</v>
      </c>
      <c r="G29" s="67">
        <f>IFERROR(__xludf.DUMMYFUNCTION("""COMPUTED_VALUE"""),110000.0)</f>
        <v>110000</v>
      </c>
      <c r="H29" s="67">
        <f>IFERROR(__xludf.DUMMYFUNCTION("""COMPUTED_VALUE"""),2970000.0)</f>
        <v>2970000</v>
      </c>
      <c r="I29" s="67">
        <f>IFERROR(__xludf.DUMMYFUNCTION("""COMPUTED_VALUE"""),3580000.0)</f>
        <v>3580000</v>
      </c>
      <c r="J29" s="70"/>
      <c r="K29" s="67"/>
      <c r="L29" s="67" t="s">
        <v>102</v>
      </c>
      <c r="M29" s="67">
        <f t="shared" si="1"/>
        <v>0</v>
      </c>
      <c r="N29" s="67"/>
      <c r="O29" s="67"/>
      <c r="P29" s="67"/>
    </row>
    <row r="30" ht="22.5" customHeight="1">
      <c r="A30" s="61"/>
      <c r="B30" s="61"/>
      <c r="C30" s="67" t="str">
        <f>IFERROR(__xludf.DUMMYFUNCTION("""COMPUTED_VALUE""")," PT Anugerah Kasih Putera (ASP)")</f>
        <v> PT Anugerah Kasih Putera (ASP)</v>
      </c>
      <c r="D30" s="68">
        <f>IFERROR(__xludf.DUMMYFUNCTION("""COMPUTED_VALUE"""),46129.0)</f>
        <v>46129</v>
      </c>
      <c r="E30" s="67" t="str">
        <f>IFERROR(__xludf.DUMMYFUNCTION("""COMPUTED_VALUE"""),"Seragam Honda (Teknisi)")</f>
        <v>Seragam Honda (Teknisi)</v>
      </c>
      <c r="F30" s="69">
        <f>IFERROR(__xludf.DUMMYFUNCTION("""COMPUTED_VALUE"""),4.0)</f>
        <v>4</v>
      </c>
      <c r="G30" s="67">
        <f>IFERROR(__xludf.DUMMYFUNCTION("""COMPUTED_VALUE"""),120000.0)</f>
        <v>120000</v>
      </c>
      <c r="H30" s="67">
        <f>IFERROR(__xludf.DUMMYFUNCTION("""COMPUTED_VALUE"""),480000.0)</f>
        <v>480000</v>
      </c>
      <c r="I30" s="67"/>
      <c r="J30" s="70"/>
      <c r="K30" s="67"/>
      <c r="L30" s="67" t="s">
        <v>103</v>
      </c>
      <c r="M30" s="67">
        <f t="shared" si="1"/>
        <v>0</v>
      </c>
      <c r="N30" s="67"/>
      <c r="O30" s="67"/>
      <c r="P30" s="67"/>
    </row>
    <row r="31" ht="22.5" customHeight="1">
      <c r="A31" s="61"/>
      <c r="B31" s="66"/>
      <c r="C31" s="63" t="str">
        <f>IFERROR(__xludf.DUMMYFUNCTION("""COMPUTED_VALUE""")," PT Anugerah Kasih Putera (ASP)")</f>
        <v> PT Anugerah Kasih Putera (ASP)</v>
      </c>
      <c r="D31" s="68">
        <f>IFERROR(__xludf.DUMMYFUNCTION("""COMPUTED_VALUE"""),46129.0)</f>
        <v>46129</v>
      </c>
      <c r="E31" s="63" t="str">
        <f>IFERROR(__xludf.DUMMYFUNCTION("""COMPUTED_VALUE"""),"Seragam Honda (Teknisi)")</f>
        <v>Seragam Honda (Teknisi)</v>
      </c>
      <c r="F31" s="74">
        <f>IFERROR(__xludf.DUMMYFUNCTION("""COMPUTED_VALUE"""),1.0)</f>
        <v>1</v>
      </c>
      <c r="G31" s="67">
        <f>IFERROR(__xludf.DUMMYFUNCTION("""COMPUTED_VALUE"""),130000.0)</f>
        <v>130000</v>
      </c>
      <c r="H31" s="67">
        <f>IFERROR(__xludf.DUMMYFUNCTION("""COMPUTED_VALUE"""),130000.0)</f>
        <v>130000</v>
      </c>
      <c r="I31" s="67"/>
      <c r="J31" s="67"/>
      <c r="K31" s="63"/>
      <c r="L31" s="67" t="s">
        <v>104</v>
      </c>
      <c r="M31" s="67">
        <f t="shared" si="1"/>
        <v>0</v>
      </c>
      <c r="N31" s="65"/>
      <c r="O31" s="63"/>
      <c r="P31" s="63"/>
    </row>
    <row r="32" ht="22.5" customHeight="1">
      <c r="A32" s="61"/>
      <c r="B32" s="66"/>
      <c r="C32" s="67" t="str">
        <f>IFERROR(__xludf.DUMMYFUNCTION("""COMPUTED_VALUE"""),"Pradika Hermawan")</f>
        <v>Pradika Hermawan</v>
      </c>
      <c r="D32" s="68">
        <f>IFERROR(__xludf.DUMMYFUNCTION("""COMPUTED_VALUE"""),46132.0)</f>
        <v>46132</v>
      </c>
      <c r="E32" s="67" t="str">
        <f>IFERROR(__xludf.DUMMYFUNCTION("""COMPUTED_VALUE"""),"Kaos")</f>
        <v>Kaos</v>
      </c>
      <c r="F32" s="69">
        <f>IFERROR(__xludf.DUMMYFUNCTION("""COMPUTED_VALUE"""),13.0)</f>
        <v>13</v>
      </c>
      <c r="G32" s="67">
        <f>IFERROR(__xludf.DUMMYFUNCTION("""COMPUTED_VALUE"""),85000.0)</f>
        <v>85000</v>
      </c>
      <c r="H32" s="67">
        <f>IFERROR(__xludf.DUMMYFUNCTION("""COMPUTED_VALUE"""),1105000.0)</f>
        <v>1105000</v>
      </c>
      <c r="I32" s="67">
        <f>IFERROR(__xludf.DUMMYFUNCTION("""COMPUTED_VALUE"""),1895000.0)</f>
        <v>1895000</v>
      </c>
      <c r="J32" s="70"/>
      <c r="K32" s="67"/>
      <c r="L32" s="67" t="s">
        <v>105</v>
      </c>
      <c r="M32" s="67">
        <f t="shared" si="1"/>
        <v>0</v>
      </c>
      <c r="N32" s="67"/>
      <c r="O32" s="67"/>
      <c r="P32" s="67"/>
    </row>
    <row r="33" ht="22.5" customHeight="1">
      <c r="A33" s="61"/>
      <c r="B33" s="66"/>
      <c r="C33" s="67" t="str">
        <f>IFERROR(__xludf.DUMMYFUNCTION("""COMPUTED_VALUE"""),"Pradika Hermawan")</f>
        <v>Pradika Hermawan</v>
      </c>
      <c r="D33" s="68">
        <f>IFERROR(__xludf.DUMMYFUNCTION("""COMPUTED_VALUE"""),46132.0)</f>
        <v>46132</v>
      </c>
      <c r="E33" s="67" t="str">
        <f>IFERROR(__xludf.DUMMYFUNCTION("""COMPUTED_VALUE"""),"Kaos")</f>
        <v>Kaos</v>
      </c>
      <c r="F33" s="69">
        <f>IFERROR(__xludf.DUMMYFUNCTION("""COMPUTED_VALUE"""),5.0)</f>
        <v>5</v>
      </c>
      <c r="G33" s="67">
        <f>IFERROR(__xludf.DUMMYFUNCTION("""COMPUTED_VALUE"""),95000.0)</f>
        <v>95000</v>
      </c>
      <c r="H33" s="67">
        <f>IFERROR(__xludf.DUMMYFUNCTION("""COMPUTED_VALUE"""),475000.0)</f>
        <v>475000</v>
      </c>
      <c r="I33" s="67"/>
      <c r="J33" s="70"/>
      <c r="K33" s="67"/>
      <c r="L33" s="67" t="s">
        <v>106</v>
      </c>
      <c r="M33" s="67">
        <f t="shared" si="1"/>
        <v>0</v>
      </c>
      <c r="N33" s="67"/>
      <c r="O33" s="67"/>
      <c r="P33" s="67"/>
    </row>
    <row r="34" ht="22.5" customHeight="1">
      <c r="A34" s="61"/>
      <c r="B34" s="61"/>
      <c r="C34" s="67" t="str">
        <f>IFERROR(__xludf.DUMMYFUNCTION("""COMPUTED_VALUE"""),"Pradika Hermawan")</f>
        <v>Pradika Hermawan</v>
      </c>
      <c r="D34" s="68">
        <f>IFERROR(__xludf.DUMMYFUNCTION("""COMPUTED_VALUE"""),46132.0)</f>
        <v>46132</v>
      </c>
      <c r="E34" s="67" t="str">
        <f>IFERROR(__xludf.DUMMYFUNCTION("""COMPUTED_VALUE"""),"Kaos")</f>
        <v>Kaos</v>
      </c>
      <c r="F34" s="69">
        <f>IFERROR(__xludf.DUMMYFUNCTION("""COMPUTED_VALUE"""),3.0)</f>
        <v>3</v>
      </c>
      <c r="G34" s="67">
        <f>IFERROR(__xludf.DUMMYFUNCTION("""COMPUTED_VALUE"""),105000.0)</f>
        <v>105000</v>
      </c>
      <c r="H34" s="67">
        <f>IFERROR(__xludf.DUMMYFUNCTION("""COMPUTED_VALUE"""),315000.0)</f>
        <v>315000</v>
      </c>
      <c r="I34" s="67"/>
      <c r="J34" s="70"/>
      <c r="K34" s="67"/>
      <c r="L34" s="67" t="s">
        <v>107</v>
      </c>
      <c r="M34" s="67">
        <f t="shared" si="1"/>
        <v>0</v>
      </c>
      <c r="N34" s="67"/>
      <c r="O34" s="67"/>
      <c r="P34" s="67"/>
    </row>
    <row r="35" ht="22.5" customHeight="1">
      <c r="A35" s="61"/>
      <c r="B35" s="66"/>
      <c r="C35" s="67" t="str">
        <f>IFERROR(__xludf.DUMMYFUNCTION("""COMPUTED_VALUE"""),"PT Anugerah Kasih Putera (Body and Paint)")</f>
        <v>PT Anugerah Kasih Putera (Body and Paint)</v>
      </c>
      <c r="D35" s="68">
        <f>IFERROR(__xludf.DUMMYFUNCTION("""COMPUTED_VALUE"""),46133.0)</f>
        <v>46133</v>
      </c>
      <c r="E35" s="67" t="str">
        <f>IFERROR(__xludf.DUMMYFUNCTION("""COMPUTED_VALUE"""),"Seragam Honda (Teknisi)")</f>
        <v>Seragam Honda (Teknisi)</v>
      </c>
      <c r="F35" s="69">
        <f>IFERROR(__xludf.DUMMYFUNCTION("""COMPUTED_VALUE"""),34.0)</f>
        <v>34</v>
      </c>
      <c r="G35" s="67">
        <f>IFERROR(__xludf.DUMMYFUNCTION("""COMPUTED_VALUE"""),110000.0)</f>
        <v>110000</v>
      </c>
      <c r="H35" s="67">
        <f>IFERROR(__xludf.DUMMYFUNCTION("""COMPUTED_VALUE"""),3740000.0)</f>
        <v>3740000</v>
      </c>
      <c r="I35" s="67">
        <f>IFERROR(__xludf.DUMMYFUNCTION("""COMPUTED_VALUE"""),4700000.0)</f>
        <v>4700000</v>
      </c>
      <c r="J35" s="70"/>
      <c r="K35" s="67"/>
      <c r="L35" s="67" t="s">
        <v>108</v>
      </c>
      <c r="M35" s="67">
        <f t="shared" si="1"/>
        <v>0</v>
      </c>
      <c r="N35" s="67"/>
      <c r="O35" s="67"/>
      <c r="P35" s="67"/>
    </row>
    <row r="36" ht="22.5" customHeight="1">
      <c r="A36" s="61"/>
      <c r="B36" s="66"/>
      <c r="C36" s="67" t="str">
        <f>IFERROR(__xludf.DUMMYFUNCTION("""COMPUTED_VALUE"""),"PT Anugerah Kasih Putera (Body and Paint)")</f>
        <v>PT Anugerah Kasih Putera (Body and Paint)</v>
      </c>
      <c r="D36" s="68">
        <f>IFERROR(__xludf.DUMMYFUNCTION("""COMPUTED_VALUE"""),46133.0)</f>
        <v>46133</v>
      </c>
      <c r="E36" s="67" t="str">
        <f>IFERROR(__xludf.DUMMYFUNCTION("""COMPUTED_VALUE"""),"Seragam Honda (Teknisi)")</f>
        <v>Seragam Honda (Teknisi)</v>
      </c>
      <c r="F36" s="69">
        <f>IFERROR(__xludf.DUMMYFUNCTION("""COMPUTED_VALUE"""),1.0)</f>
        <v>1</v>
      </c>
      <c r="G36" s="67">
        <f>IFERROR(__xludf.DUMMYFUNCTION("""COMPUTED_VALUE"""),120000.0)</f>
        <v>120000</v>
      </c>
      <c r="H36" s="67">
        <f>IFERROR(__xludf.DUMMYFUNCTION("""COMPUTED_VALUE"""),120000.0)</f>
        <v>120000</v>
      </c>
      <c r="I36" s="67"/>
      <c r="J36" s="70"/>
      <c r="K36" s="67"/>
      <c r="L36" s="67" t="s">
        <v>109</v>
      </c>
      <c r="M36" s="67">
        <f t="shared" si="1"/>
        <v>0</v>
      </c>
      <c r="N36" s="67"/>
      <c r="O36" s="67"/>
      <c r="P36" s="67"/>
    </row>
    <row r="37" ht="22.5" customHeight="1">
      <c r="A37" s="61"/>
      <c r="B37" s="66"/>
      <c r="C37" s="67" t="str">
        <f>IFERROR(__xludf.DUMMYFUNCTION("""COMPUTED_VALUE"""),"PT Anugerah Kasih Putera (Body and Paint)")</f>
        <v>PT Anugerah Kasih Putera (Body and Paint)</v>
      </c>
      <c r="D37" s="68">
        <f>IFERROR(__xludf.DUMMYFUNCTION("""COMPUTED_VALUE"""),46133.0)</f>
        <v>46133</v>
      </c>
      <c r="E37" s="67" t="str">
        <f>IFERROR(__xludf.DUMMYFUNCTION("""COMPUTED_VALUE"""),"Seragam Honda (Teknisi)")</f>
        <v>Seragam Honda (Teknisi)</v>
      </c>
      <c r="F37" s="69">
        <f>IFERROR(__xludf.DUMMYFUNCTION("""COMPUTED_VALUE"""),1.0)</f>
        <v>1</v>
      </c>
      <c r="G37" s="67">
        <f>IFERROR(__xludf.DUMMYFUNCTION("""COMPUTED_VALUE"""),130000.0)</f>
        <v>130000</v>
      </c>
      <c r="H37" s="67">
        <f>IFERROR(__xludf.DUMMYFUNCTION("""COMPUTED_VALUE"""),130000.0)</f>
        <v>130000</v>
      </c>
      <c r="I37" s="67"/>
      <c r="J37" s="70"/>
      <c r="K37" s="67"/>
      <c r="L37" s="67"/>
      <c r="M37" s="67"/>
      <c r="N37" s="67"/>
      <c r="O37" s="67"/>
      <c r="P37" s="67"/>
    </row>
    <row r="38" ht="22.5" customHeight="1">
      <c r="A38" s="61"/>
      <c r="B38" s="66"/>
      <c r="C38" s="67" t="str">
        <f>IFERROR(__xludf.DUMMYFUNCTION("""COMPUTED_VALUE"""),"PT Anugerah Kasih Putera (Body and Paint)")</f>
        <v>PT Anugerah Kasih Putera (Body and Paint)</v>
      </c>
      <c r="D38" s="68">
        <f>IFERROR(__xludf.DUMMYFUNCTION("""COMPUTED_VALUE"""),46133.0)</f>
        <v>46133</v>
      </c>
      <c r="E38" s="67" t="str">
        <f>IFERROR(__xludf.DUMMYFUNCTION("""COMPUTED_VALUE"""),"Seragam Honda (Teknisi)")</f>
        <v>Seragam Honda (Teknisi)</v>
      </c>
      <c r="F38" s="69">
        <f>IFERROR(__xludf.DUMMYFUNCTION("""COMPUTED_VALUE"""),1.0)</f>
        <v>1</v>
      </c>
      <c r="G38" s="67">
        <f>IFERROR(__xludf.DUMMYFUNCTION("""COMPUTED_VALUE"""),150000.0)</f>
        <v>150000</v>
      </c>
      <c r="H38" s="67">
        <f>IFERROR(__xludf.DUMMYFUNCTION("""COMPUTED_VALUE"""),150000.0)</f>
        <v>150000</v>
      </c>
      <c r="I38" s="67"/>
      <c r="J38" s="70"/>
      <c r="K38" s="67"/>
      <c r="L38" s="67"/>
      <c r="M38" s="67"/>
      <c r="N38" s="67"/>
      <c r="O38" s="67"/>
      <c r="P38" s="67"/>
    </row>
    <row r="39" ht="22.5" customHeight="1">
      <c r="A39" s="61"/>
      <c r="B39" s="66"/>
      <c r="C39" s="67" t="str">
        <f>IFERROR(__xludf.DUMMYFUNCTION("""COMPUTED_VALUE"""),"Ibu Chacha")</f>
        <v>Ibu Chacha</v>
      </c>
      <c r="D39" s="68">
        <f>IFERROR(__xludf.DUMMYFUNCTION("""COMPUTED_VALUE"""),46133.0)</f>
        <v>46133</v>
      </c>
      <c r="E39" s="67" t="str">
        <f>IFERROR(__xludf.DUMMYFUNCTION("""COMPUTED_VALUE"""),"Seragam Honda (Teknisi)")</f>
        <v>Seragam Honda (Teknisi)</v>
      </c>
      <c r="F39" s="69">
        <f>IFERROR(__xludf.DUMMYFUNCTION("""COMPUTED_VALUE"""),1.0)</f>
        <v>1</v>
      </c>
      <c r="G39" s="67">
        <f>IFERROR(__xludf.DUMMYFUNCTION("""COMPUTED_VALUE"""),110000.0)</f>
        <v>110000</v>
      </c>
      <c r="H39" s="67">
        <f>IFERROR(__xludf.DUMMYFUNCTION("""COMPUTED_VALUE"""),110000.0)</f>
        <v>110000</v>
      </c>
      <c r="I39" s="67"/>
      <c r="J39" s="70"/>
      <c r="K39" s="65" t="s">
        <v>77</v>
      </c>
      <c r="L39" s="67"/>
      <c r="M39" s="70"/>
      <c r="N39" s="67"/>
      <c r="O39" s="67"/>
      <c r="P39" s="67"/>
    </row>
    <row r="40" ht="22.5" customHeight="1">
      <c r="A40" s="61"/>
      <c r="B40" s="66"/>
      <c r="C40" s="67" t="str">
        <f>IFERROR(__xludf.DUMMYFUNCTION("""COMPUTED_VALUE"""),"Ibu Chacha")</f>
        <v>Ibu Chacha</v>
      </c>
      <c r="D40" s="68">
        <f>IFERROR(__xludf.DUMMYFUNCTION("""COMPUTED_VALUE"""),46133.0)</f>
        <v>46133</v>
      </c>
      <c r="E40" s="67" t="str">
        <f>IFERROR(__xludf.DUMMYFUNCTION("""COMPUTED_VALUE"""),"Seragam Honda (Teknisi)")</f>
        <v>Seragam Honda (Teknisi)</v>
      </c>
      <c r="F40" s="69">
        <f>IFERROR(__xludf.DUMMYFUNCTION("""COMPUTED_VALUE"""),1.0)</f>
        <v>1</v>
      </c>
      <c r="G40" s="67">
        <f>IFERROR(__xludf.DUMMYFUNCTION("""COMPUTED_VALUE"""),150000.0)</f>
        <v>150000</v>
      </c>
      <c r="H40" s="67">
        <f>IFERROR(__xludf.DUMMYFUNCTION("""COMPUTED_VALUE"""),150000.0)</f>
        <v>150000</v>
      </c>
      <c r="I40" s="67"/>
      <c r="J40" s="67"/>
      <c r="K40" s="63" t="s">
        <v>80</v>
      </c>
      <c r="L40" s="67">
        <f t="shared" ref="L40:L71" si="2">SUMIFS(G2:G45,E2:E45,K40)</f>
        <v>0</v>
      </c>
      <c r="M40" s="70"/>
      <c r="N40" s="65"/>
      <c r="O40" s="67"/>
      <c r="P40" s="67"/>
    </row>
    <row r="41" ht="22.5" customHeight="1">
      <c r="A41" s="61"/>
      <c r="B41" s="66"/>
      <c r="C41" s="67"/>
      <c r="D41" s="68">
        <f>IFERROR(__xludf.DUMMYFUNCTION("""COMPUTED_VALUE"""),46133.0)</f>
        <v>46133</v>
      </c>
      <c r="E41" s="67" t="str">
        <f>IFERROR(__xludf.DUMMYFUNCTION("""COMPUTED_VALUE"""),"Topi ")</f>
        <v>Topi </v>
      </c>
      <c r="F41" s="69">
        <f>IFERROR(__xludf.DUMMYFUNCTION("""COMPUTED_VALUE"""),10.0)</f>
        <v>10</v>
      </c>
      <c r="G41" s="67">
        <f>IFERROR(__xludf.DUMMYFUNCTION("""COMPUTED_VALUE"""),30000.0)</f>
        <v>30000</v>
      </c>
      <c r="H41" s="67">
        <f>IFERROR(__xludf.DUMMYFUNCTION("""COMPUTED_VALUE"""),300000.0)</f>
        <v>300000</v>
      </c>
      <c r="I41" s="67"/>
      <c r="J41" s="70"/>
      <c r="K41" s="67" t="s">
        <v>81</v>
      </c>
      <c r="L41" s="67">
        <f t="shared" si="2"/>
        <v>0</v>
      </c>
      <c r="M41" s="67"/>
      <c r="N41" s="67"/>
      <c r="O41" s="67"/>
      <c r="P41" s="67"/>
    </row>
    <row r="42" ht="22.5" customHeight="1">
      <c r="A42" s="61"/>
      <c r="B42" s="66"/>
      <c r="C42" s="67" t="str">
        <f>IFERROR(__xludf.DUMMYFUNCTION("""COMPUTED_VALUE"""),"Pak Septian Budi Candra")</f>
        <v>Pak Septian Budi Candra</v>
      </c>
      <c r="D42" s="68">
        <f>IFERROR(__xludf.DUMMYFUNCTION("""COMPUTED_VALUE"""),46136.0)</f>
        <v>46136</v>
      </c>
      <c r="E42" s="67" t="str">
        <f>IFERROR(__xludf.DUMMYFUNCTION("""COMPUTED_VALUE"""),"Wearpack Mitsubitshi")</f>
        <v>Wearpack Mitsubitshi</v>
      </c>
      <c r="F42" s="69">
        <f>IFERROR(__xludf.DUMMYFUNCTION("""COMPUTED_VALUE"""),30.0)</f>
        <v>30</v>
      </c>
      <c r="G42" s="67">
        <f>IFERROR(__xludf.DUMMYFUNCTION("""COMPUTED_VALUE"""),215000.0)</f>
        <v>215000</v>
      </c>
      <c r="H42" s="67">
        <f>IFERROR(__xludf.DUMMYFUNCTION("""COMPUTED_VALUE"""),6450000.0)</f>
        <v>6450000</v>
      </c>
      <c r="I42" s="67">
        <f>IFERROR(__xludf.DUMMYFUNCTION("""COMPUTED_VALUE"""),8370000.0)</f>
        <v>8370000</v>
      </c>
      <c r="J42" s="70"/>
      <c r="K42" s="67" t="s">
        <v>82</v>
      </c>
      <c r="L42" s="67">
        <f t="shared" si="2"/>
        <v>0</v>
      </c>
      <c r="M42" s="67"/>
      <c r="N42" s="67"/>
      <c r="O42" s="67"/>
      <c r="P42" s="67"/>
    </row>
    <row r="43" ht="22.5" customHeight="1">
      <c r="A43" s="61"/>
      <c r="B43" s="66"/>
      <c r="C43" s="67" t="str">
        <f>IFERROR(__xludf.DUMMYFUNCTION("""COMPUTED_VALUE"""),"Pak Septian Budi Candra")</f>
        <v>Pak Septian Budi Candra</v>
      </c>
      <c r="D43" s="68">
        <f>IFERROR(__xludf.DUMMYFUNCTION("""COMPUTED_VALUE"""),46136.0)</f>
        <v>46136</v>
      </c>
      <c r="E43" s="67" t="str">
        <f>IFERROR(__xludf.DUMMYFUNCTION("""COMPUTED_VALUE"""),"Wearpack Mitsubitshi")</f>
        <v>Wearpack Mitsubitshi</v>
      </c>
      <c r="F43" s="69">
        <f>IFERROR(__xludf.DUMMYFUNCTION("""COMPUTED_VALUE"""),6.0)</f>
        <v>6</v>
      </c>
      <c r="G43" s="67">
        <f>IFERROR(__xludf.DUMMYFUNCTION("""COMPUTED_VALUE"""),225000.0)</f>
        <v>225000</v>
      </c>
      <c r="H43" s="67">
        <f>IFERROR(__xludf.DUMMYFUNCTION("""COMPUTED_VALUE"""),1350000.0)</f>
        <v>1350000</v>
      </c>
      <c r="I43" s="67"/>
      <c r="J43" s="70"/>
      <c r="K43" s="67" t="s">
        <v>83</v>
      </c>
      <c r="L43" s="67">
        <f t="shared" si="2"/>
        <v>0</v>
      </c>
      <c r="M43" s="67"/>
      <c r="N43" s="67"/>
      <c r="O43" s="67"/>
      <c r="P43" s="67"/>
    </row>
    <row r="44" ht="22.5" customHeight="1">
      <c r="A44" s="61"/>
      <c r="B44" s="66"/>
      <c r="C44" s="67" t="str">
        <f>IFERROR(__xludf.DUMMYFUNCTION("""COMPUTED_VALUE"""),"Pak Windarto")</f>
        <v>Pak Windarto</v>
      </c>
      <c r="D44" s="68">
        <f>IFERROR(__xludf.DUMMYFUNCTION("""COMPUTED_VALUE"""),46136.0)</f>
        <v>46136</v>
      </c>
      <c r="E44" s="67" t="str">
        <f>IFERROR(__xludf.DUMMYFUNCTION("""COMPUTED_VALUE"""),"wearpack Toyota tanpa bordir belakang")</f>
        <v>wearpack Toyota tanpa bordir belakang</v>
      </c>
      <c r="F44" s="69">
        <f>IFERROR(__xludf.DUMMYFUNCTION("""COMPUTED_VALUE"""),3.0)</f>
        <v>3</v>
      </c>
      <c r="G44" s="67">
        <f>IFERROR(__xludf.DUMMYFUNCTION("""COMPUTED_VALUE"""),190000.0)</f>
        <v>190000</v>
      </c>
      <c r="H44" s="67">
        <f>IFERROR(__xludf.DUMMYFUNCTION("""COMPUTED_VALUE"""),570000.0)</f>
        <v>570000</v>
      </c>
      <c r="I44" s="67"/>
      <c r="J44" s="70"/>
      <c r="K44" s="67" t="s">
        <v>84</v>
      </c>
      <c r="L44" s="67">
        <f t="shared" si="2"/>
        <v>0</v>
      </c>
      <c r="M44" s="67"/>
      <c r="N44" s="67"/>
      <c r="O44" s="67"/>
      <c r="P44" s="67"/>
    </row>
    <row r="45" ht="22.5" customHeight="1">
      <c r="A45" s="61"/>
      <c r="B45" s="66"/>
      <c r="C45" s="67" t="str">
        <f>IFERROR(__xludf.DUMMYFUNCTION("""COMPUTED_VALUE"""),"Pak Supoyo")</f>
        <v>Pak Supoyo</v>
      </c>
      <c r="D45" s="68">
        <f>IFERROR(__xludf.DUMMYFUNCTION("""COMPUTED_VALUE"""),46140.0)</f>
        <v>46140</v>
      </c>
      <c r="E45" s="67" t="str">
        <f>IFERROR(__xludf.DUMMYFUNCTION("""COMPUTED_VALUE"""),"Seragam Mekanik Honda")</f>
        <v>Seragam Mekanik Honda</v>
      </c>
      <c r="F45" s="69">
        <f>IFERROR(__xludf.DUMMYFUNCTION("""COMPUTED_VALUE"""),1.0)</f>
        <v>1</v>
      </c>
      <c r="G45" s="67">
        <f>IFERROR(__xludf.DUMMYFUNCTION("""COMPUTED_VALUE"""),250000.0)</f>
        <v>250000</v>
      </c>
      <c r="H45" s="67">
        <f>IFERROR(__xludf.DUMMYFUNCTION("""COMPUTED_VALUE"""),250000.0)</f>
        <v>250000</v>
      </c>
      <c r="I45" s="67"/>
      <c r="J45" s="70"/>
      <c r="K45" s="67" t="s">
        <v>85</v>
      </c>
      <c r="L45" s="67">
        <f t="shared" si="2"/>
        <v>0</v>
      </c>
      <c r="M45" s="67"/>
      <c r="N45" s="67"/>
      <c r="O45" s="67"/>
      <c r="P45" s="67"/>
    </row>
    <row r="46" ht="22.5" customHeight="1">
      <c r="A46" s="61"/>
      <c r="B46" s="66"/>
      <c r="C46" s="67" t="str">
        <f>IFERROR(__xludf.DUMMYFUNCTION("""COMPUTED_VALUE"""),"Pak Supoyo")</f>
        <v>Pak Supoyo</v>
      </c>
      <c r="D46" s="68">
        <f>IFERROR(__xludf.DUMMYFUNCTION("""COMPUTED_VALUE"""),46140.0)</f>
        <v>46140</v>
      </c>
      <c r="E46" s="67" t="str">
        <f>IFERROR(__xludf.DUMMYFUNCTION("""COMPUTED_VALUE"""),"Seragam Mekanik Honda")</f>
        <v>Seragam Mekanik Honda</v>
      </c>
      <c r="F46" s="69">
        <f>IFERROR(__xludf.DUMMYFUNCTION("""COMPUTED_VALUE"""),1.0)</f>
        <v>1</v>
      </c>
      <c r="G46" s="67">
        <f>IFERROR(__xludf.DUMMYFUNCTION("""COMPUTED_VALUE"""),200000.0)</f>
        <v>200000</v>
      </c>
      <c r="H46" s="67">
        <f>IFERROR(__xludf.DUMMYFUNCTION("""COMPUTED_VALUE"""),200000.0)</f>
        <v>200000</v>
      </c>
      <c r="I46" s="67"/>
      <c r="J46" s="70"/>
      <c r="K46" s="67" t="s">
        <v>86</v>
      </c>
      <c r="L46" s="67">
        <f t="shared" si="2"/>
        <v>0</v>
      </c>
      <c r="M46" s="67"/>
      <c r="N46" s="67"/>
      <c r="O46" s="67"/>
      <c r="P46" s="67"/>
    </row>
    <row r="47" ht="22.5" customHeight="1">
      <c r="B47" s="66"/>
      <c r="C47" s="67"/>
      <c r="D47" s="69"/>
      <c r="E47" s="67"/>
      <c r="F47" s="69"/>
      <c r="G47" s="67"/>
      <c r="H47" s="67"/>
      <c r="I47" s="67"/>
      <c r="J47" s="70"/>
      <c r="K47" s="67" t="s">
        <v>87</v>
      </c>
      <c r="L47" s="67">
        <f t="shared" si="2"/>
        <v>0</v>
      </c>
      <c r="M47" s="67"/>
      <c r="N47" s="67"/>
      <c r="O47" s="67"/>
      <c r="P47" s="67"/>
    </row>
    <row r="48" ht="22.5" customHeight="1">
      <c r="C48" s="67"/>
      <c r="D48" s="69"/>
      <c r="E48" s="67"/>
      <c r="F48" s="69"/>
      <c r="G48" s="67"/>
      <c r="H48" s="67"/>
      <c r="I48" s="67"/>
      <c r="J48" s="70"/>
      <c r="K48" s="67" t="s">
        <v>88</v>
      </c>
      <c r="L48" s="67">
        <f t="shared" si="2"/>
        <v>0</v>
      </c>
      <c r="M48" s="67"/>
      <c r="N48" s="67"/>
      <c r="O48" s="67"/>
      <c r="P48" s="67"/>
    </row>
    <row r="49" ht="22.5" customHeight="1">
      <c r="C49" s="67"/>
      <c r="D49" s="69"/>
      <c r="E49" s="67"/>
      <c r="F49" s="69"/>
      <c r="G49" s="67"/>
      <c r="H49" s="67"/>
      <c r="I49" s="67"/>
      <c r="J49" s="70"/>
      <c r="K49" s="67" t="s">
        <v>89</v>
      </c>
      <c r="L49" s="67">
        <f t="shared" si="2"/>
        <v>0</v>
      </c>
      <c r="M49" s="67"/>
      <c r="N49" s="67"/>
      <c r="O49" s="67"/>
      <c r="P49" s="67"/>
    </row>
    <row r="50" ht="22.5" customHeight="1">
      <c r="C50" s="67"/>
      <c r="D50" s="69"/>
      <c r="E50" s="67"/>
      <c r="F50" s="69"/>
      <c r="G50" s="67"/>
      <c r="H50" s="67"/>
      <c r="I50" s="67"/>
      <c r="J50" s="70"/>
      <c r="K50" s="67" t="s">
        <v>90</v>
      </c>
      <c r="L50" s="67">
        <f t="shared" si="2"/>
        <v>0</v>
      </c>
      <c r="M50" s="67"/>
      <c r="N50" s="67"/>
      <c r="O50" s="67"/>
      <c r="P50" s="67"/>
    </row>
    <row r="51" ht="22.5" customHeight="1">
      <c r="C51" s="67"/>
      <c r="D51" s="69"/>
      <c r="E51" s="67"/>
      <c r="F51" s="69"/>
      <c r="G51" s="67"/>
      <c r="H51" s="67"/>
      <c r="I51" s="67"/>
      <c r="J51" s="70"/>
      <c r="K51" s="67" t="s">
        <v>91</v>
      </c>
      <c r="L51" s="67">
        <f t="shared" si="2"/>
        <v>0</v>
      </c>
      <c r="M51" s="67"/>
      <c r="N51" s="67"/>
      <c r="O51" s="67"/>
      <c r="P51" s="67"/>
    </row>
    <row r="52" ht="22.5" customHeight="1">
      <c r="C52" s="67"/>
      <c r="D52" s="69"/>
      <c r="E52" s="67"/>
      <c r="F52" s="69"/>
      <c r="G52" s="67"/>
      <c r="H52" s="67"/>
      <c r="I52" s="67"/>
      <c r="J52" s="70"/>
      <c r="K52" s="67" t="s">
        <v>80</v>
      </c>
      <c r="L52" s="67">
        <f t="shared" si="2"/>
        <v>0</v>
      </c>
      <c r="M52" s="67"/>
      <c r="N52" s="67"/>
      <c r="O52" s="67"/>
      <c r="P52" s="67"/>
    </row>
    <row r="53" ht="22.5" customHeight="1">
      <c r="C53" s="67"/>
      <c r="D53" s="69"/>
      <c r="E53" s="67"/>
      <c r="F53" s="69"/>
      <c r="G53" s="67"/>
      <c r="H53" s="67"/>
      <c r="I53" s="67"/>
      <c r="J53" s="70"/>
      <c r="K53" s="67" t="s">
        <v>85</v>
      </c>
      <c r="L53" s="67">
        <f t="shared" si="2"/>
        <v>0</v>
      </c>
      <c r="M53" s="67"/>
      <c r="N53" s="67"/>
      <c r="O53" s="67"/>
      <c r="P53" s="67"/>
    </row>
    <row r="54" ht="22.5" customHeight="1">
      <c r="C54" s="67"/>
      <c r="D54" s="69"/>
      <c r="E54" s="67"/>
      <c r="F54" s="69"/>
      <c r="G54" s="67"/>
      <c r="H54" s="67"/>
      <c r="I54" s="67"/>
      <c r="J54" s="70"/>
      <c r="K54" s="67" t="s">
        <v>92</v>
      </c>
      <c r="L54" s="67">
        <f t="shared" si="2"/>
        <v>0</v>
      </c>
      <c r="M54" s="67"/>
      <c r="N54" s="67"/>
      <c r="O54" s="67"/>
      <c r="P54" s="67"/>
    </row>
    <row r="55" ht="22.5" customHeight="1">
      <c r="C55" s="67"/>
      <c r="D55" s="69"/>
      <c r="E55" s="67"/>
      <c r="F55" s="69"/>
      <c r="G55" s="67"/>
      <c r="H55" s="67"/>
      <c r="I55" s="67"/>
      <c r="J55" s="70"/>
      <c r="K55" s="67" t="s">
        <v>93</v>
      </c>
      <c r="L55" s="67">
        <f t="shared" si="2"/>
        <v>0</v>
      </c>
      <c r="M55" s="67"/>
      <c r="N55" s="67"/>
      <c r="O55" s="67"/>
      <c r="P55" s="67"/>
    </row>
    <row r="56" ht="22.5" customHeight="1">
      <c r="C56" s="67"/>
      <c r="D56" s="69"/>
      <c r="E56" s="67"/>
      <c r="F56" s="69"/>
      <c r="G56" s="67"/>
      <c r="H56" s="67"/>
      <c r="I56" s="67"/>
      <c r="J56" s="70"/>
      <c r="K56" s="67" t="s">
        <v>94</v>
      </c>
      <c r="L56" s="67">
        <f t="shared" si="2"/>
        <v>0</v>
      </c>
      <c r="M56" s="67"/>
      <c r="N56" s="67"/>
      <c r="O56" s="67"/>
      <c r="P56" s="67"/>
    </row>
    <row r="57" ht="22.5" customHeight="1">
      <c r="C57" s="67"/>
      <c r="D57" s="69"/>
      <c r="E57" s="67"/>
      <c r="F57" s="69"/>
      <c r="G57" s="67"/>
      <c r="H57" s="67"/>
      <c r="I57" s="67"/>
      <c r="J57" s="70"/>
      <c r="K57" s="67" t="s">
        <v>95</v>
      </c>
      <c r="L57" s="67">
        <f t="shared" si="2"/>
        <v>0</v>
      </c>
      <c r="M57" s="67"/>
      <c r="N57" s="67"/>
      <c r="O57" s="67"/>
      <c r="P57" s="67"/>
    </row>
    <row r="58" ht="22.5" customHeight="1">
      <c r="C58" s="67"/>
      <c r="D58" s="69"/>
      <c r="E58" s="67"/>
      <c r="F58" s="69"/>
      <c r="G58" s="67"/>
      <c r="H58" s="67"/>
      <c r="I58" s="67"/>
      <c r="J58" s="70"/>
      <c r="K58" s="67" t="s">
        <v>96</v>
      </c>
      <c r="L58" s="67">
        <f t="shared" si="2"/>
        <v>0</v>
      </c>
      <c r="M58" s="67"/>
      <c r="N58" s="67"/>
      <c r="O58" s="67"/>
      <c r="P58" s="67"/>
    </row>
    <row r="59" ht="22.5" customHeight="1">
      <c r="C59" s="67"/>
      <c r="D59" s="69"/>
      <c r="E59" s="67"/>
      <c r="F59" s="69"/>
      <c r="G59" s="67"/>
      <c r="H59" s="67"/>
      <c r="I59" s="67"/>
      <c r="J59" s="70"/>
      <c r="K59" s="67" t="s">
        <v>97</v>
      </c>
      <c r="L59" s="67">
        <f t="shared" si="2"/>
        <v>0</v>
      </c>
      <c r="M59" s="67"/>
      <c r="N59" s="67"/>
      <c r="O59" s="67"/>
      <c r="P59" s="67"/>
    </row>
    <row r="60" ht="22.5" customHeight="1">
      <c r="C60" s="67"/>
      <c r="D60" s="69"/>
      <c r="E60" s="67"/>
      <c r="F60" s="69"/>
      <c r="G60" s="67"/>
      <c r="H60" s="67"/>
      <c r="I60" s="67"/>
      <c r="J60" s="70"/>
      <c r="K60" s="67" t="s">
        <v>98</v>
      </c>
      <c r="L60" s="67">
        <f t="shared" si="2"/>
        <v>450000</v>
      </c>
      <c r="M60" s="67"/>
      <c r="N60" s="67"/>
      <c r="O60" s="67"/>
      <c r="P60" s="67"/>
    </row>
    <row r="61" ht="22.5" customHeight="1">
      <c r="C61" s="67"/>
      <c r="D61" s="69"/>
      <c r="E61" s="67"/>
      <c r="F61" s="69"/>
      <c r="G61" s="67"/>
      <c r="H61" s="67"/>
      <c r="I61" s="67"/>
      <c r="J61" s="70"/>
      <c r="K61" s="67" t="s">
        <v>99</v>
      </c>
      <c r="L61" s="67">
        <f t="shared" si="2"/>
        <v>0</v>
      </c>
      <c r="M61" s="67"/>
      <c r="N61" s="67"/>
      <c r="O61" s="67"/>
      <c r="P61" s="67"/>
    </row>
    <row r="62" ht="22.5" customHeight="1">
      <c r="C62" s="67"/>
      <c r="D62" s="69"/>
      <c r="E62" s="67"/>
      <c r="F62" s="69"/>
      <c r="G62" s="67"/>
      <c r="H62" s="67"/>
      <c r="I62" s="67"/>
      <c r="J62" s="70"/>
      <c r="K62" s="63" t="s">
        <v>100</v>
      </c>
      <c r="L62" s="67">
        <f t="shared" si="2"/>
        <v>0</v>
      </c>
      <c r="M62" s="67"/>
      <c r="N62" s="67"/>
      <c r="O62" s="67"/>
      <c r="P62" s="67"/>
    </row>
    <row r="63" ht="22.5" customHeight="1">
      <c r="C63" s="67"/>
      <c r="D63" s="69"/>
      <c r="E63" s="67"/>
      <c r="F63" s="69"/>
      <c r="G63" s="67"/>
      <c r="H63" s="67"/>
      <c r="I63" s="67"/>
      <c r="J63" s="70"/>
      <c r="K63" s="67" t="s">
        <v>101</v>
      </c>
      <c r="L63" s="67">
        <f t="shared" si="2"/>
        <v>440000</v>
      </c>
      <c r="M63" s="67"/>
      <c r="N63" s="67"/>
      <c r="O63" s="67"/>
      <c r="P63" s="67"/>
    </row>
    <row r="64" ht="22.5" customHeight="1">
      <c r="C64" s="67"/>
      <c r="D64" s="69"/>
      <c r="E64" s="67"/>
      <c r="F64" s="69"/>
      <c r="G64" s="67"/>
      <c r="H64" s="67"/>
      <c r="I64" s="67"/>
      <c r="J64" s="70"/>
      <c r="K64" s="67" t="s">
        <v>102</v>
      </c>
      <c r="L64" s="67">
        <f t="shared" si="2"/>
        <v>0</v>
      </c>
      <c r="M64" s="67"/>
      <c r="N64" s="67"/>
      <c r="O64" s="67"/>
      <c r="P64" s="67"/>
    </row>
    <row r="65" ht="22.5" customHeight="1">
      <c r="C65" s="67"/>
      <c r="D65" s="69"/>
      <c r="E65" s="67"/>
      <c r="F65" s="69"/>
      <c r="G65" s="67"/>
      <c r="H65" s="67"/>
      <c r="I65" s="67"/>
      <c r="J65" s="70"/>
      <c r="K65" s="67" t="s">
        <v>103</v>
      </c>
      <c r="L65" s="67">
        <f t="shared" si="2"/>
        <v>0</v>
      </c>
      <c r="M65" s="67"/>
      <c r="N65" s="67"/>
      <c r="O65" s="67"/>
      <c r="P65" s="67"/>
    </row>
    <row r="66" ht="22.5" customHeight="1">
      <c r="C66" s="67"/>
      <c r="D66" s="69"/>
      <c r="E66" s="67"/>
      <c r="F66" s="69"/>
      <c r="G66" s="67"/>
      <c r="H66" s="67"/>
      <c r="I66" s="67"/>
      <c r="J66" s="70"/>
      <c r="K66" s="67" t="s">
        <v>104</v>
      </c>
      <c r="L66" s="67">
        <f t="shared" si="2"/>
        <v>0</v>
      </c>
      <c r="M66" s="67"/>
      <c r="N66" s="67"/>
      <c r="O66" s="67"/>
      <c r="P66" s="67"/>
    </row>
    <row r="67" ht="22.5" customHeight="1">
      <c r="C67" s="67"/>
      <c r="D67" s="69"/>
      <c r="E67" s="67"/>
      <c r="F67" s="69"/>
      <c r="G67" s="67"/>
      <c r="H67" s="67"/>
      <c r="I67" s="67"/>
      <c r="J67" s="70"/>
      <c r="K67" s="67" t="s">
        <v>105</v>
      </c>
      <c r="L67" s="67">
        <f t="shared" si="2"/>
        <v>0</v>
      </c>
      <c r="M67" s="67"/>
      <c r="N67" s="67"/>
      <c r="O67" s="67"/>
      <c r="P67" s="67"/>
    </row>
    <row r="68" ht="22.5" customHeight="1">
      <c r="C68" s="67"/>
      <c r="D68" s="69"/>
      <c r="E68" s="67"/>
      <c r="F68" s="69"/>
      <c r="G68" s="67"/>
      <c r="H68" s="67"/>
      <c r="I68" s="67"/>
      <c r="J68" s="70"/>
      <c r="K68" s="67" t="s">
        <v>106</v>
      </c>
      <c r="L68" s="67">
        <f t="shared" si="2"/>
        <v>0</v>
      </c>
      <c r="M68" s="67"/>
      <c r="N68" s="67"/>
      <c r="O68" s="67"/>
      <c r="P68" s="67"/>
    </row>
    <row r="69" ht="22.5" customHeight="1">
      <c r="C69" s="67"/>
      <c r="D69" s="69"/>
      <c r="E69" s="67"/>
      <c r="F69" s="69"/>
      <c r="G69" s="67"/>
      <c r="H69" s="67"/>
      <c r="I69" s="67"/>
      <c r="J69" s="70"/>
      <c r="K69" s="67" t="s">
        <v>107</v>
      </c>
      <c r="L69" s="67">
        <f t="shared" si="2"/>
        <v>0</v>
      </c>
      <c r="M69" s="67"/>
      <c r="N69" s="67"/>
      <c r="O69" s="67"/>
      <c r="P69" s="67"/>
    </row>
    <row r="70" ht="22.5" customHeight="1">
      <c r="C70" s="67"/>
      <c r="D70" s="69"/>
      <c r="E70" s="67"/>
      <c r="F70" s="69"/>
      <c r="G70" s="67"/>
      <c r="H70" s="67"/>
      <c r="I70" s="67"/>
      <c r="J70" s="70"/>
      <c r="K70" s="67" t="s">
        <v>108</v>
      </c>
      <c r="L70" s="67">
        <f t="shared" si="2"/>
        <v>0</v>
      </c>
      <c r="M70" s="67"/>
      <c r="N70" s="67"/>
      <c r="O70" s="67"/>
      <c r="P70" s="67"/>
    </row>
    <row r="71" ht="22.5" customHeight="1">
      <c r="C71" s="67"/>
      <c r="D71" s="69"/>
      <c r="E71" s="67"/>
      <c r="F71" s="69"/>
      <c r="G71" s="67"/>
      <c r="H71" s="67"/>
      <c r="I71" s="67"/>
      <c r="J71" s="70"/>
      <c r="K71" s="67" t="s">
        <v>109</v>
      </c>
      <c r="L71" s="67">
        <f t="shared" si="2"/>
        <v>0</v>
      </c>
      <c r="M71" s="67"/>
      <c r="N71" s="67"/>
      <c r="O71" s="67"/>
      <c r="P71" s="67"/>
    </row>
    <row r="72" ht="22.5" customHeight="1">
      <c r="C72" s="67"/>
      <c r="D72" s="69"/>
      <c r="E72" s="67"/>
      <c r="F72" s="69"/>
      <c r="G72" s="67"/>
      <c r="H72" s="67"/>
      <c r="I72" s="67"/>
      <c r="J72" s="70"/>
      <c r="K72" s="67"/>
      <c r="L72" s="67"/>
      <c r="M72" s="67"/>
      <c r="N72" s="67"/>
      <c r="O72" s="67"/>
      <c r="P72" s="67"/>
    </row>
    <row r="73" ht="22.5" customHeight="1">
      <c r="C73" s="67"/>
      <c r="D73" s="69"/>
      <c r="E73" s="67"/>
      <c r="F73" s="69"/>
      <c r="G73" s="67"/>
      <c r="H73" s="67"/>
      <c r="I73" s="67"/>
      <c r="J73" s="70"/>
      <c r="K73" s="67"/>
      <c r="L73" s="67"/>
      <c r="M73" s="67"/>
      <c r="N73" s="67"/>
      <c r="O73" s="67"/>
      <c r="P73" s="67"/>
    </row>
    <row r="74" ht="22.5" customHeight="1">
      <c r="C74" s="67"/>
      <c r="D74" s="69"/>
      <c r="E74" s="67"/>
      <c r="F74" s="69"/>
      <c r="G74" s="67"/>
      <c r="H74" s="67"/>
      <c r="I74" s="67"/>
      <c r="J74" s="70"/>
      <c r="K74" s="67"/>
      <c r="L74" s="67"/>
      <c r="M74" s="67"/>
      <c r="N74" s="67"/>
      <c r="O74" s="67"/>
      <c r="P74" s="67"/>
    </row>
    <row r="75" ht="22.5" customHeight="1">
      <c r="C75" s="67"/>
      <c r="D75" s="69"/>
      <c r="E75" s="67"/>
      <c r="F75" s="69"/>
      <c r="G75" s="67"/>
      <c r="H75" s="67"/>
      <c r="I75" s="67"/>
      <c r="J75" s="70"/>
      <c r="K75" s="67"/>
      <c r="L75" s="67"/>
      <c r="M75" s="67"/>
      <c r="N75" s="67"/>
      <c r="O75" s="67"/>
      <c r="P75" s="67"/>
    </row>
    <row r="76" ht="22.5" customHeight="1">
      <c r="C76" s="67"/>
      <c r="D76" s="69"/>
      <c r="E76" s="67"/>
      <c r="F76" s="69"/>
      <c r="G76" s="67"/>
      <c r="H76" s="67"/>
      <c r="I76" s="67"/>
      <c r="J76" s="70"/>
      <c r="K76" s="67"/>
      <c r="L76" s="67"/>
      <c r="M76" s="67"/>
      <c r="N76" s="67"/>
      <c r="O76" s="67"/>
      <c r="P76" s="67"/>
    </row>
    <row r="77" ht="22.5" customHeight="1">
      <c r="C77" s="67"/>
      <c r="D77" s="69"/>
      <c r="E77" s="67"/>
      <c r="F77" s="69"/>
      <c r="G77" s="67"/>
      <c r="H77" s="67"/>
      <c r="I77" s="67"/>
      <c r="J77" s="70"/>
      <c r="K77" s="67"/>
      <c r="L77" s="67"/>
      <c r="M77" s="67"/>
      <c r="N77" s="67"/>
      <c r="O77" s="67"/>
      <c r="P77" s="67"/>
    </row>
    <row r="78" ht="22.5" customHeight="1">
      <c r="C78" s="67"/>
      <c r="D78" s="69"/>
      <c r="E78" s="67"/>
      <c r="F78" s="69"/>
      <c r="G78" s="67"/>
      <c r="H78" s="67"/>
      <c r="I78" s="67"/>
      <c r="J78" s="70"/>
      <c r="K78" s="67"/>
      <c r="L78" s="67"/>
      <c r="M78" s="67"/>
      <c r="N78" s="67"/>
      <c r="O78" s="67"/>
      <c r="P78" s="67"/>
    </row>
    <row r="79" ht="22.5" customHeight="1">
      <c r="C79" s="67"/>
      <c r="D79" s="69"/>
      <c r="E79" s="67"/>
      <c r="F79" s="69"/>
      <c r="G79" s="67"/>
      <c r="H79" s="67"/>
      <c r="I79" s="67"/>
      <c r="J79" s="70"/>
      <c r="K79" s="67"/>
      <c r="L79" s="67"/>
      <c r="M79" s="67"/>
      <c r="N79" s="67"/>
      <c r="O79" s="67"/>
      <c r="P79" s="67"/>
    </row>
    <row r="80" ht="22.5" customHeight="1">
      <c r="C80" s="67"/>
      <c r="D80" s="69"/>
      <c r="E80" s="67"/>
      <c r="F80" s="69"/>
      <c r="G80" s="67"/>
      <c r="H80" s="67"/>
      <c r="I80" s="67"/>
      <c r="J80" s="70"/>
      <c r="K80" s="67"/>
      <c r="L80" s="67"/>
      <c r="M80" s="67"/>
      <c r="N80" s="67"/>
      <c r="O80" s="67"/>
      <c r="P80" s="67"/>
    </row>
    <row r="81" ht="22.5" customHeight="1">
      <c r="C81" s="67"/>
      <c r="D81" s="69"/>
      <c r="E81" s="67"/>
      <c r="F81" s="69"/>
      <c r="G81" s="67"/>
      <c r="H81" s="67"/>
      <c r="I81" s="67"/>
      <c r="J81" s="70"/>
      <c r="K81" s="67"/>
      <c r="L81" s="67"/>
      <c r="M81" s="67"/>
      <c r="N81" s="67"/>
      <c r="O81" s="67"/>
      <c r="P81" s="67"/>
    </row>
    <row r="82" ht="22.5" customHeight="1">
      <c r="C82" s="67"/>
      <c r="D82" s="69"/>
      <c r="E82" s="67"/>
      <c r="F82" s="69"/>
      <c r="G82" s="67"/>
      <c r="H82" s="67"/>
      <c r="I82" s="67"/>
      <c r="J82" s="70"/>
      <c r="K82" s="67"/>
      <c r="L82" s="67"/>
      <c r="M82" s="67"/>
      <c r="N82" s="67"/>
      <c r="O82" s="67"/>
      <c r="P82" s="67"/>
    </row>
    <row r="83" ht="22.5" customHeight="1">
      <c r="C83" s="67"/>
      <c r="D83" s="69"/>
      <c r="E83" s="67"/>
      <c r="F83" s="69"/>
      <c r="G83" s="67"/>
      <c r="H83" s="67"/>
      <c r="I83" s="67"/>
      <c r="J83" s="70"/>
      <c r="K83" s="67"/>
      <c r="L83" s="67"/>
      <c r="M83" s="67"/>
      <c r="N83" s="67"/>
      <c r="O83" s="67"/>
      <c r="P83" s="67"/>
    </row>
    <row r="84" ht="22.5" customHeight="1">
      <c r="C84" s="67"/>
      <c r="D84" s="69"/>
      <c r="E84" s="67"/>
      <c r="F84" s="69"/>
      <c r="G84" s="67"/>
      <c r="H84" s="67"/>
      <c r="I84" s="67"/>
      <c r="J84" s="70"/>
      <c r="K84" s="67"/>
      <c r="L84" s="67"/>
      <c r="M84" s="67"/>
      <c r="N84" s="67"/>
      <c r="O84" s="67"/>
      <c r="P84" s="67"/>
    </row>
    <row r="85" ht="22.5" customHeight="1">
      <c r="C85" s="67"/>
      <c r="D85" s="69"/>
      <c r="E85" s="67"/>
      <c r="F85" s="69"/>
      <c r="G85" s="67"/>
      <c r="H85" s="67"/>
      <c r="I85" s="67"/>
      <c r="J85" s="70"/>
      <c r="K85" s="67"/>
      <c r="L85" s="67"/>
      <c r="M85" s="67"/>
      <c r="N85" s="67"/>
      <c r="O85" s="67"/>
      <c r="P85" s="67"/>
    </row>
    <row r="86" ht="22.5" customHeight="1">
      <c r="C86" s="67"/>
      <c r="D86" s="69"/>
      <c r="E86" s="67"/>
      <c r="F86" s="69"/>
      <c r="G86" s="67"/>
      <c r="H86" s="67"/>
      <c r="I86" s="67"/>
      <c r="J86" s="70"/>
      <c r="K86" s="67"/>
      <c r="L86" s="67"/>
      <c r="M86" s="67"/>
      <c r="N86" s="67"/>
      <c r="O86" s="67"/>
      <c r="P86" s="67"/>
    </row>
    <row r="87" ht="22.5" customHeight="1">
      <c r="C87" s="67"/>
      <c r="D87" s="69"/>
      <c r="E87" s="67"/>
      <c r="F87" s="69"/>
      <c r="G87" s="67"/>
      <c r="H87" s="67"/>
      <c r="I87" s="67"/>
      <c r="J87" s="70"/>
      <c r="K87" s="67"/>
      <c r="L87" s="67"/>
      <c r="M87" s="67"/>
      <c r="N87" s="67"/>
      <c r="O87" s="67"/>
      <c r="P87" s="67"/>
    </row>
    <row r="88" ht="22.5" customHeight="1">
      <c r="C88" s="67"/>
      <c r="D88" s="69"/>
      <c r="E88" s="67"/>
      <c r="F88" s="69"/>
      <c r="G88" s="67"/>
      <c r="H88" s="67"/>
      <c r="I88" s="67"/>
      <c r="J88" s="70"/>
      <c r="K88" s="67"/>
      <c r="L88" s="67"/>
      <c r="M88" s="67"/>
      <c r="N88" s="67"/>
      <c r="O88" s="67"/>
      <c r="P88" s="67"/>
    </row>
    <row r="89" ht="22.5" customHeight="1">
      <c r="C89" s="67"/>
      <c r="D89" s="69"/>
      <c r="E89" s="67"/>
      <c r="F89" s="69"/>
      <c r="G89" s="67"/>
      <c r="H89" s="67"/>
      <c r="I89" s="67"/>
      <c r="J89" s="70"/>
      <c r="K89" s="67"/>
      <c r="L89" s="67"/>
      <c r="M89" s="67"/>
      <c r="N89" s="67"/>
      <c r="O89" s="67"/>
      <c r="P89" s="67"/>
    </row>
    <row r="90" ht="22.5" customHeight="1">
      <c r="C90" s="67"/>
      <c r="D90" s="69"/>
      <c r="E90" s="67"/>
      <c r="F90" s="69"/>
      <c r="G90" s="67"/>
      <c r="H90" s="67"/>
      <c r="I90" s="67"/>
      <c r="J90" s="70"/>
      <c r="K90" s="67"/>
      <c r="L90" s="67"/>
      <c r="M90" s="67"/>
      <c r="N90" s="67"/>
      <c r="O90" s="67"/>
      <c r="P90" s="67"/>
    </row>
    <row r="91" ht="22.5" customHeight="1">
      <c r="C91" s="67"/>
      <c r="D91" s="69"/>
      <c r="E91" s="67"/>
      <c r="F91" s="69"/>
      <c r="G91" s="67"/>
      <c r="H91" s="67"/>
      <c r="I91" s="67"/>
      <c r="J91" s="70"/>
      <c r="K91" s="67"/>
      <c r="L91" s="67"/>
      <c r="M91" s="67"/>
      <c r="N91" s="67"/>
      <c r="O91" s="67"/>
      <c r="P91" s="67"/>
    </row>
    <row r="92" ht="22.5" customHeight="1">
      <c r="C92" s="67"/>
      <c r="D92" s="69"/>
      <c r="E92" s="67"/>
      <c r="F92" s="69"/>
      <c r="G92" s="67"/>
      <c r="H92" s="67"/>
      <c r="I92" s="67"/>
      <c r="J92" s="70"/>
      <c r="K92" s="67"/>
      <c r="L92" s="67"/>
      <c r="M92" s="67"/>
      <c r="N92" s="67"/>
      <c r="O92" s="67"/>
      <c r="P92" s="67"/>
    </row>
    <row r="93" ht="22.5" customHeight="1">
      <c r="C93" s="67"/>
      <c r="D93" s="69"/>
      <c r="E93" s="67"/>
      <c r="F93" s="69"/>
      <c r="G93" s="67"/>
      <c r="H93" s="67"/>
      <c r="I93" s="67"/>
      <c r="J93" s="70"/>
      <c r="K93" s="67"/>
      <c r="L93" s="67"/>
      <c r="M93" s="67"/>
      <c r="N93" s="67"/>
      <c r="O93" s="67"/>
      <c r="P93" s="67"/>
    </row>
    <row r="94" ht="22.5" customHeight="1">
      <c r="C94" s="67"/>
      <c r="D94" s="69"/>
      <c r="E94" s="67"/>
      <c r="F94" s="69"/>
      <c r="G94" s="67"/>
      <c r="H94" s="67"/>
      <c r="I94" s="67"/>
      <c r="J94" s="70"/>
      <c r="K94" s="67"/>
      <c r="L94" s="67"/>
      <c r="M94" s="67"/>
      <c r="N94" s="67"/>
      <c r="O94" s="67"/>
      <c r="P94" s="67"/>
    </row>
    <row r="95" ht="22.5" customHeight="1">
      <c r="C95" s="67"/>
      <c r="D95" s="69"/>
      <c r="E95" s="67"/>
      <c r="F95" s="69"/>
      <c r="G95" s="67"/>
      <c r="H95" s="67"/>
      <c r="I95" s="67"/>
      <c r="J95" s="70"/>
      <c r="K95" s="67"/>
      <c r="L95" s="67"/>
      <c r="M95" s="67"/>
      <c r="N95" s="67"/>
      <c r="O95" s="67"/>
      <c r="P95" s="67"/>
    </row>
    <row r="96" ht="22.5" customHeight="1">
      <c r="C96" s="67"/>
      <c r="D96" s="69"/>
      <c r="E96" s="67"/>
      <c r="F96" s="69"/>
      <c r="G96" s="67"/>
      <c r="H96" s="67"/>
      <c r="I96" s="67"/>
      <c r="J96" s="70"/>
      <c r="K96" s="67"/>
      <c r="L96" s="67"/>
      <c r="M96" s="67"/>
      <c r="N96" s="67"/>
      <c r="O96" s="67"/>
      <c r="P96" s="67"/>
    </row>
    <row r="97" ht="22.5" customHeight="1">
      <c r="C97" s="67"/>
      <c r="D97" s="69"/>
      <c r="E97" s="67"/>
      <c r="F97" s="69"/>
      <c r="G97" s="67"/>
      <c r="H97" s="67"/>
      <c r="I97" s="67"/>
      <c r="J97" s="70"/>
      <c r="K97" s="67"/>
      <c r="L97" s="67"/>
      <c r="M97" s="67"/>
      <c r="N97" s="67"/>
      <c r="O97" s="67"/>
      <c r="P97" s="67"/>
    </row>
    <row r="98" ht="22.5" customHeight="1">
      <c r="C98" s="67"/>
      <c r="D98" s="69"/>
      <c r="E98" s="67"/>
      <c r="F98" s="69"/>
      <c r="G98" s="67"/>
      <c r="H98" s="67"/>
      <c r="I98" s="67"/>
      <c r="J98" s="70"/>
      <c r="K98" s="67"/>
      <c r="L98" s="67"/>
      <c r="M98" s="67"/>
      <c r="N98" s="67"/>
      <c r="O98" s="67"/>
      <c r="P98" s="67"/>
    </row>
    <row r="99" ht="22.5" customHeight="1">
      <c r="C99" s="67"/>
      <c r="D99" s="69"/>
      <c r="E99" s="67"/>
      <c r="F99" s="69"/>
      <c r="G99" s="67"/>
      <c r="H99" s="67"/>
      <c r="I99" s="67"/>
      <c r="J99" s="70"/>
      <c r="K99" s="67"/>
      <c r="L99" s="67"/>
      <c r="M99" s="67"/>
      <c r="N99" s="67"/>
      <c r="O99" s="67"/>
      <c r="P99" s="67"/>
    </row>
    <row r="100" ht="22.5" customHeight="1">
      <c r="C100" s="67"/>
      <c r="D100" s="69"/>
      <c r="E100" s="67"/>
      <c r="F100" s="69"/>
      <c r="G100" s="67"/>
      <c r="H100" s="67"/>
      <c r="I100" s="67"/>
      <c r="J100" s="70"/>
      <c r="K100" s="67"/>
      <c r="L100" s="67"/>
      <c r="M100" s="67"/>
      <c r="N100" s="67"/>
      <c r="O100" s="67"/>
      <c r="P100" s="67"/>
    </row>
    <row r="101" ht="22.5" customHeight="1">
      <c r="C101" s="67"/>
      <c r="D101" s="69"/>
      <c r="E101" s="67"/>
      <c r="F101" s="69"/>
      <c r="G101" s="67"/>
      <c r="H101" s="67"/>
      <c r="I101" s="67"/>
      <c r="J101" s="70"/>
      <c r="K101" s="67"/>
      <c r="L101" s="67"/>
      <c r="M101" s="67"/>
      <c r="N101" s="67"/>
      <c r="O101" s="67"/>
      <c r="P101" s="67"/>
    </row>
    <row r="102" ht="22.5" customHeight="1">
      <c r="C102" s="67"/>
      <c r="D102" s="69"/>
      <c r="E102" s="67"/>
      <c r="F102" s="69"/>
      <c r="G102" s="67"/>
      <c r="H102" s="67"/>
      <c r="I102" s="67"/>
      <c r="J102" s="70"/>
      <c r="K102" s="67"/>
      <c r="L102" s="67"/>
      <c r="M102" s="67"/>
      <c r="N102" s="67"/>
      <c r="O102" s="67"/>
      <c r="P102" s="67"/>
    </row>
    <row r="103" ht="22.5" customHeight="1">
      <c r="C103" s="67"/>
      <c r="D103" s="69"/>
      <c r="E103" s="67"/>
      <c r="F103" s="69"/>
      <c r="G103" s="67"/>
      <c r="H103" s="67"/>
      <c r="I103" s="67"/>
      <c r="J103" s="70"/>
      <c r="K103" s="67"/>
      <c r="L103" s="67"/>
      <c r="M103" s="67"/>
      <c r="N103" s="67"/>
      <c r="O103" s="67"/>
      <c r="P103" s="67"/>
    </row>
    <row r="104" ht="22.5" customHeight="1">
      <c r="C104" s="67"/>
      <c r="D104" s="69"/>
      <c r="E104" s="67"/>
      <c r="F104" s="69"/>
      <c r="G104" s="67"/>
      <c r="H104" s="67"/>
      <c r="I104" s="67"/>
      <c r="J104" s="70"/>
      <c r="K104" s="67"/>
      <c r="L104" s="67"/>
      <c r="M104" s="67"/>
      <c r="N104" s="67"/>
      <c r="O104" s="67"/>
      <c r="P104" s="67"/>
    </row>
    <row r="105" ht="22.5" customHeight="1">
      <c r="C105" s="67"/>
      <c r="D105" s="69"/>
      <c r="E105" s="67"/>
      <c r="F105" s="69"/>
      <c r="G105" s="67"/>
      <c r="H105" s="67"/>
      <c r="I105" s="67"/>
      <c r="J105" s="70"/>
      <c r="K105" s="67"/>
      <c r="L105" s="67"/>
      <c r="M105" s="67"/>
      <c r="N105" s="67"/>
      <c r="O105" s="67"/>
      <c r="P105" s="67"/>
    </row>
    <row r="106" ht="22.5" customHeight="1">
      <c r="C106" s="67"/>
      <c r="D106" s="69"/>
      <c r="E106" s="67"/>
      <c r="F106" s="69"/>
      <c r="G106" s="67"/>
      <c r="H106" s="67"/>
      <c r="I106" s="67"/>
      <c r="J106" s="70"/>
      <c r="K106" s="67"/>
      <c r="L106" s="67"/>
      <c r="M106" s="67"/>
      <c r="N106" s="67"/>
      <c r="O106" s="67"/>
      <c r="P106" s="67"/>
    </row>
    <row r="107" ht="22.5" customHeight="1">
      <c r="C107" s="67"/>
      <c r="D107" s="69"/>
      <c r="E107" s="67"/>
      <c r="F107" s="69"/>
      <c r="G107" s="67"/>
      <c r="H107" s="67"/>
      <c r="I107" s="67"/>
      <c r="J107" s="70"/>
      <c r="K107" s="67"/>
      <c r="L107" s="67"/>
      <c r="M107" s="67"/>
      <c r="N107" s="67"/>
      <c r="O107" s="67"/>
      <c r="P107" s="67"/>
    </row>
    <row r="108" ht="22.5" customHeight="1">
      <c r="C108" s="67"/>
      <c r="D108" s="69"/>
      <c r="E108" s="67"/>
      <c r="F108" s="69"/>
      <c r="G108" s="67"/>
      <c r="H108" s="67"/>
      <c r="I108" s="67"/>
      <c r="J108" s="70"/>
      <c r="K108" s="67"/>
      <c r="L108" s="67"/>
      <c r="M108" s="67"/>
      <c r="N108" s="67"/>
      <c r="O108" s="67"/>
      <c r="P108" s="67"/>
    </row>
    <row r="109" ht="22.5" customHeight="1">
      <c r="C109" s="67"/>
      <c r="D109" s="69"/>
      <c r="E109" s="67"/>
      <c r="F109" s="69"/>
      <c r="G109" s="67"/>
      <c r="H109" s="67"/>
      <c r="I109" s="67"/>
      <c r="J109" s="70"/>
      <c r="K109" s="67"/>
      <c r="L109" s="67"/>
      <c r="M109" s="67"/>
      <c r="N109" s="67"/>
      <c r="O109" s="67"/>
      <c r="P109" s="67"/>
    </row>
    <row r="110" ht="22.5" customHeight="1">
      <c r="C110" s="67"/>
      <c r="D110" s="69"/>
      <c r="E110" s="67"/>
      <c r="F110" s="69"/>
      <c r="G110" s="67"/>
      <c r="H110" s="67"/>
      <c r="I110" s="67"/>
      <c r="J110" s="70"/>
      <c r="K110" s="67"/>
      <c r="L110" s="67"/>
      <c r="M110" s="67"/>
      <c r="N110" s="67"/>
      <c r="O110" s="67"/>
      <c r="P110" s="67"/>
    </row>
    <row r="111" ht="22.5" customHeight="1">
      <c r="C111" s="67"/>
      <c r="D111" s="69"/>
      <c r="E111" s="67"/>
      <c r="F111" s="69"/>
      <c r="G111" s="67"/>
      <c r="H111" s="67"/>
      <c r="I111" s="67"/>
      <c r="J111" s="70"/>
      <c r="K111" s="67"/>
      <c r="L111" s="67"/>
      <c r="M111" s="67"/>
      <c r="N111" s="67"/>
      <c r="O111" s="67"/>
      <c r="P111" s="67"/>
    </row>
    <row r="112" ht="22.5" customHeight="1">
      <c r="C112" s="67"/>
      <c r="D112" s="69"/>
      <c r="E112" s="67"/>
      <c r="F112" s="69"/>
      <c r="G112" s="67"/>
      <c r="H112" s="67"/>
      <c r="I112" s="67"/>
      <c r="J112" s="70"/>
      <c r="K112" s="67"/>
      <c r="L112" s="67"/>
      <c r="M112" s="67"/>
      <c r="N112" s="67"/>
      <c r="O112" s="67"/>
      <c r="P112" s="67"/>
    </row>
    <row r="113" ht="22.5" customHeight="1">
      <c r="C113" s="67"/>
      <c r="D113" s="69"/>
      <c r="E113" s="67"/>
      <c r="F113" s="69"/>
      <c r="G113" s="67"/>
      <c r="H113" s="67"/>
      <c r="I113" s="67"/>
      <c r="J113" s="70"/>
      <c r="K113" s="67"/>
      <c r="L113" s="67"/>
      <c r="M113" s="67"/>
      <c r="N113" s="67"/>
      <c r="O113" s="67"/>
      <c r="P113" s="67"/>
    </row>
    <row r="114" ht="22.5" customHeight="1">
      <c r="C114" s="67"/>
      <c r="D114" s="69"/>
      <c r="E114" s="67"/>
      <c r="F114" s="69"/>
      <c r="G114" s="67"/>
      <c r="H114" s="67"/>
      <c r="I114" s="67"/>
      <c r="J114" s="70"/>
      <c r="K114" s="67"/>
      <c r="L114" s="67"/>
      <c r="M114" s="67"/>
      <c r="N114" s="67"/>
      <c r="O114" s="67"/>
      <c r="P114" s="67"/>
    </row>
    <row r="115" ht="22.5" customHeight="1">
      <c r="C115" s="67"/>
      <c r="D115" s="69"/>
      <c r="E115" s="67"/>
      <c r="F115" s="69"/>
      <c r="G115" s="67"/>
      <c r="H115" s="67"/>
      <c r="I115" s="67"/>
      <c r="J115" s="70"/>
      <c r="K115" s="67"/>
      <c r="L115" s="67"/>
      <c r="M115" s="67"/>
      <c r="N115" s="67"/>
      <c r="O115" s="67"/>
      <c r="P115" s="67"/>
    </row>
    <row r="116" ht="22.5" customHeight="1">
      <c r="C116" s="67"/>
      <c r="D116" s="69"/>
      <c r="E116" s="67"/>
      <c r="F116" s="69"/>
      <c r="G116" s="67"/>
      <c r="H116" s="67"/>
      <c r="I116" s="67"/>
      <c r="J116" s="70"/>
      <c r="K116" s="67"/>
      <c r="L116" s="67"/>
      <c r="M116" s="67"/>
      <c r="N116" s="67"/>
      <c r="O116" s="67"/>
      <c r="P116" s="67"/>
    </row>
    <row r="117" ht="22.5" customHeight="1">
      <c r="C117" s="67"/>
      <c r="D117" s="69"/>
      <c r="E117" s="67"/>
      <c r="F117" s="69"/>
      <c r="G117" s="67"/>
      <c r="H117" s="67"/>
      <c r="I117" s="67"/>
      <c r="J117" s="70"/>
      <c r="K117" s="67"/>
      <c r="L117" s="67"/>
      <c r="M117" s="67"/>
      <c r="N117" s="67"/>
      <c r="O117" s="67"/>
      <c r="P117" s="67"/>
    </row>
    <row r="118" ht="22.5" customHeight="1">
      <c r="C118" s="67"/>
      <c r="D118" s="69"/>
      <c r="E118" s="67"/>
      <c r="F118" s="69"/>
      <c r="G118" s="67"/>
      <c r="H118" s="67"/>
      <c r="I118" s="67"/>
      <c r="J118" s="70"/>
      <c r="K118" s="67"/>
      <c r="L118" s="67"/>
      <c r="M118" s="67"/>
      <c r="N118" s="67"/>
      <c r="O118" s="67"/>
      <c r="P118" s="67"/>
    </row>
    <row r="119" ht="22.5" customHeight="1">
      <c r="C119" s="67"/>
      <c r="D119" s="69"/>
      <c r="E119" s="67"/>
      <c r="F119" s="69"/>
      <c r="G119" s="67"/>
      <c r="H119" s="67"/>
      <c r="I119" s="67"/>
      <c r="J119" s="70"/>
      <c r="K119" s="67"/>
      <c r="L119" s="67"/>
      <c r="M119" s="67"/>
      <c r="N119" s="67"/>
      <c r="O119" s="67"/>
      <c r="P119" s="67"/>
    </row>
    <row r="120" ht="22.5" customHeight="1">
      <c r="C120" s="67"/>
      <c r="D120" s="69"/>
      <c r="E120" s="67"/>
      <c r="F120" s="69"/>
      <c r="G120" s="67"/>
      <c r="H120" s="67"/>
      <c r="I120" s="67"/>
      <c r="J120" s="70"/>
      <c r="K120" s="67"/>
      <c r="L120" s="67"/>
      <c r="M120" s="67"/>
      <c r="N120" s="67"/>
      <c r="O120" s="67"/>
      <c r="P120" s="67"/>
    </row>
    <row r="121" ht="22.5" customHeight="1">
      <c r="C121" s="67"/>
      <c r="D121" s="69"/>
      <c r="E121" s="67"/>
      <c r="F121" s="69"/>
      <c r="G121" s="67"/>
      <c r="H121" s="67"/>
      <c r="I121" s="67"/>
      <c r="J121" s="70"/>
      <c r="K121" s="67"/>
      <c r="L121" s="67"/>
      <c r="M121" s="67"/>
      <c r="N121" s="67"/>
      <c r="O121" s="67"/>
      <c r="P121" s="67"/>
    </row>
    <row r="122" ht="22.5" customHeight="1">
      <c r="C122" s="67"/>
      <c r="D122" s="69"/>
      <c r="E122" s="67"/>
      <c r="F122" s="69"/>
      <c r="G122" s="67"/>
      <c r="H122" s="67"/>
      <c r="I122" s="67"/>
      <c r="J122" s="70"/>
      <c r="K122" s="67"/>
      <c r="L122" s="67"/>
      <c r="M122" s="67"/>
      <c r="N122" s="67"/>
      <c r="O122" s="67"/>
      <c r="P122" s="67"/>
    </row>
    <row r="123" ht="22.5" customHeight="1">
      <c r="C123" s="67"/>
      <c r="D123" s="69"/>
      <c r="E123" s="67"/>
      <c r="F123" s="69"/>
      <c r="G123" s="67"/>
      <c r="H123" s="67"/>
      <c r="I123" s="67"/>
      <c r="J123" s="70"/>
      <c r="K123" s="67"/>
      <c r="L123" s="67"/>
      <c r="M123" s="67"/>
      <c r="N123" s="67"/>
      <c r="O123" s="67"/>
      <c r="P123" s="67"/>
    </row>
    <row r="124" ht="22.5" customHeight="1">
      <c r="C124" s="67"/>
      <c r="D124" s="69"/>
      <c r="E124" s="67"/>
      <c r="F124" s="69"/>
      <c r="G124" s="67"/>
      <c r="H124" s="67"/>
      <c r="I124" s="67"/>
      <c r="J124" s="70"/>
      <c r="K124" s="67"/>
      <c r="L124" s="67"/>
      <c r="M124" s="67"/>
      <c r="N124" s="67"/>
      <c r="O124" s="67"/>
      <c r="P124" s="67"/>
    </row>
    <row r="125" ht="22.5" customHeight="1">
      <c r="C125" s="67"/>
      <c r="D125" s="69"/>
      <c r="E125" s="67"/>
      <c r="F125" s="69"/>
      <c r="G125" s="67"/>
      <c r="H125" s="67"/>
      <c r="I125" s="67"/>
      <c r="J125" s="70"/>
      <c r="K125" s="67"/>
      <c r="L125" s="67"/>
      <c r="M125" s="67"/>
      <c r="N125" s="67"/>
      <c r="O125" s="67"/>
      <c r="P125" s="67"/>
    </row>
    <row r="126" ht="22.5" customHeight="1">
      <c r="C126" s="67"/>
      <c r="D126" s="69"/>
      <c r="E126" s="67"/>
      <c r="F126" s="69"/>
      <c r="G126" s="67"/>
      <c r="H126" s="67"/>
      <c r="I126" s="67"/>
      <c r="J126" s="70"/>
      <c r="K126" s="67"/>
      <c r="L126" s="67"/>
      <c r="M126" s="67"/>
      <c r="N126" s="67"/>
      <c r="O126" s="67"/>
      <c r="P126" s="67"/>
    </row>
    <row r="127" ht="22.5" customHeight="1">
      <c r="C127" s="67"/>
      <c r="D127" s="69"/>
      <c r="E127" s="67"/>
      <c r="F127" s="69"/>
      <c r="G127" s="67"/>
      <c r="H127" s="67"/>
      <c r="I127" s="67"/>
      <c r="J127" s="70"/>
      <c r="K127" s="67"/>
      <c r="L127" s="67"/>
      <c r="M127" s="67"/>
      <c r="N127" s="67"/>
      <c r="O127" s="67"/>
      <c r="P127" s="67"/>
    </row>
    <row r="128" ht="22.5" customHeight="1">
      <c r="C128" s="67"/>
      <c r="D128" s="69"/>
      <c r="E128" s="67"/>
      <c r="F128" s="69"/>
      <c r="G128" s="67"/>
      <c r="H128" s="67"/>
      <c r="I128" s="67"/>
      <c r="J128" s="70"/>
      <c r="K128" s="67"/>
      <c r="L128" s="67"/>
      <c r="M128" s="67"/>
      <c r="N128" s="67"/>
      <c r="O128" s="67"/>
      <c r="P128" s="67"/>
    </row>
    <row r="129" ht="22.5" customHeight="1">
      <c r="C129" s="67"/>
      <c r="D129" s="69"/>
      <c r="E129" s="67"/>
      <c r="F129" s="69"/>
      <c r="G129" s="67"/>
      <c r="H129" s="67"/>
      <c r="I129" s="67"/>
      <c r="J129" s="70"/>
      <c r="K129" s="67"/>
      <c r="L129" s="67"/>
      <c r="M129" s="67"/>
      <c r="N129" s="67"/>
      <c r="O129" s="67"/>
      <c r="P129" s="67"/>
    </row>
    <row r="130" ht="22.5" customHeight="1">
      <c r="C130" s="67"/>
      <c r="D130" s="69"/>
      <c r="E130" s="67"/>
      <c r="F130" s="69"/>
      <c r="G130" s="67"/>
      <c r="H130" s="67"/>
      <c r="I130" s="67"/>
      <c r="J130" s="70"/>
      <c r="K130" s="67"/>
      <c r="L130" s="67"/>
      <c r="M130" s="67"/>
      <c r="N130" s="67"/>
      <c r="O130" s="67"/>
      <c r="P130" s="67"/>
    </row>
    <row r="131" ht="22.5" customHeight="1">
      <c r="C131" s="67"/>
      <c r="D131" s="69"/>
      <c r="E131" s="67"/>
      <c r="F131" s="69"/>
      <c r="G131" s="67"/>
      <c r="H131" s="67"/>
      <c r="I131" s="67"/>
      <c r="J131" s="70"/>
      <c r="K131" s="67"/>
      <c r="L131" s="67"/>
      <c r="M131" s="67"/>
      <c r="N131" s="67"/>
      <c r="O131" s="67"/>
      <c r="P131" s="67"/>
    </row>
    <row r="132" ht="22.5" customHeight="1">
      <c r="C132" s="67"/>
      <c r="D132" s="69"/>
      <c r="E132" s="67"/>
      <c r="F132" s="69"/>
      <c r="G132" s="67"/>
      <c r="H132" s="67"/>
      <c r="I132" s="67"/>
      <c r="J132" s="70"/>
      <c r="K132" s="67"/>
      <c r="L132" s="67"/>
      <c r="M132" s="67"/>
      <c r="N132" s="67"/>
      <c r="O132" s="67"/>
      <c r="P132" s="67"/>
    </row>
    <row r="133" ht="22.5" customHeight="1">
      <c r="C133" s="67"/>
      <c r="D133" s="69"/>
      <c r="E133" s="67"/>
      <c r="F133" s="69"/>
      <c r="G133" s="67"/>
      <c r="H133" s="67"/>
      <c r="I133" s="67"/>
      <c r="J133" s="70"/>
      <c r="K133" s="67"/>
      <c r="L133" s="67"/>
      <c r="M133" s="67"/>
      <c r="N133" s="67"/>
      <c r="O133" s="67"/>
      <c r="P133" s="67"/>
    </row>
    <row r="134" ht="22.5" customHeight="1">
      <c r="C134" s="67"/>
      <c r="D134" s="69"/>
      <c r="E134" s="67"/>
      <c r="F134" s="69"/>
      <c r="G134" s="67"/>
      <c r="H134" s="67"/>
      <c r="I134" s="67"/>
      <c r="J134" s="70"/>
      <c r="K134" s="67"/>
      <c r="L134" s="67"/>
      <c r="M134" s="67"/>
      <c r="N134" s="67"/>
      <c r="O134" s="67"/>
      <c r="P134" s="67"/>
    </row>
    <row r="135" ht="22.5" customHeight="1">
      <c r="C135" s="67"/>
      <c r="D135" s="69"/>
      <c r="E135" s="67"/>
      <c r="F135" s="69"/>
      <c r="G135" s="67"/>
      <c r="H135" s="67"/>
      <c r="I135" s="67"/>
      <c r="J135" s="70"/>
      <c r="K135" s="67"/>
      <c r="L135" s="67"/>
      <c r="M135" s="67"/>
      <c r="N135" s="67"/>
      <c r="O135" s="67"/>
      <c r="P135" s="67"/>
    </row>
    <row r="136" ht="22.5" customHeight="1">
      <c r="C136" s="67"/>
      <c r="D136" s="69"/>
      <c r="E136" s="67"/>
      <c r="F136" s="69"/>
      <c r="G136" s="67"/>
      <c r="H136" s="67"/>
      <c r="I136" s="67"/>
      <c r="J136" s="70"/>
      <c r="K136" s="67"/>
      <c r="L136" s="67"/>
      <c r="M136" s="67"/>
      <c r="N136" s="67"/>
      <c r="O136" s="67"/>
      <c r="P136" s="67"/>
    </row>
    <row r="137" ht="22.5" customHeight="1">
      <c r="C137" s="67"/>
      <c r="D137" s="69"/>
      <c r="E137" s="67"/>
      <c r="F137" s="69"/>
      <c r="G137" s="67"/>
      <c r="H137" s="67"/>
      <c r="I137" s="67"/>
      <c r="J137" s="70"/>
      <c r="K137" s="67"/>
      <c r="L137" s="67"/>
      <c r="M137" s="67"/>
      <c r="N137" s="67"/>
      <c r="O137" s="67"/>
      <c r="P137" s="67"/>
    </row>
    <row r="138" ht="22.5" customHeight="1">
      <c r="C138" s="67"/>
      <c r="D138" s="69"/>
      <c r="E138" s="67"/>
      <c r="F138" s="69"/>
      <c r="G138" s="67"/>
      <c r="H138" s="67"/>
      <c r="I138" s="67"/>
      <c r="J138" s="70"/>
      <c r="K138" s="67"/>
      <c r="L138" s="67"/>
      <c r="M138" s="67"/>
      <c r="N138" s="67"/>
      <c r="O138" s="67"/>
      <c r="P138" s="67"/>
    </row>
    <row r="139" ht="22.5" customHeight="1">
      <c r="C139" s="67"/>
      <c r="D139" s="69"/>
      <c r="E139" s="67"/>
      <c r="F139" s="69"/>
      <c r="G139" s="67"/>
      <c r="H139" s="67"/>
      <c r="I139" s="67"/>
      <c r="J139" s="70"/>
      <c r="K139" s="67"/>
      <c r="L139" s="67"/>
      <c r="M139" s="67"/>
      <c r="N139" s="67"/>
      <c r="O139" s="67"/>
      <c r="P139" s="67"/>
    </row>
    <row r="140" ht="22.5" customHeight="1">
      <c r="C140" s="67"/>
      <c r="D140" s="69"/>
      <c r="E140" s="67"/>
      <c r="F140" s="69"/>
      <c r="G140" s="67"/>
      <c r="H140" s="67"/>
      <c r="I140" s="67"/>
      <c r="J140" s="70"/>
      <c r="K140" s="67"/>
      <c r="L140" s="67"/>
      <c r="M140" s="67"/>
      <c r="N140" s="67"/>
      <c r="O140" s="67"/>
      <c r="P140" s="67"/>
    </row>
    <row r="141" ht="22.5" customHeight="1">
      <c r="C141" s="67"/>
      <c r="D141" s="69"/>
      <c r="E141" s="67"/>
      <c r="F141" s="69"/>
      <c r="G141" s="67"/>
      <c r="H141" s="67"/>
      <c r="I141" s="67"/>
      <c r="J141" s="70"/>
      <c r="K141" s="67"/>
      <c r="L141" s="67"/>
      <c r="M141" s="67"/>
      <c r="N141" s="67"/>
      <c r="O141" s="67"/>
      <c r="P141" s="67"/>
    </row>
    <row r="142" ht="22.5" customHeight="1">
      <c r="C142" s="67"/>
      <c r="D142" s="69"/>
      <c r="E142" s="67"/>
      <c r="F142" s="69"/>
      <c r="G142" s="67"/>
      <c r="H142" s="67"/>
      <c r="I142" s="67"/>
      <c r="J142" s="70"/>
      <c r="K142" s="67"/>
      <c r="L142" s="67"/>
      <c r="M142" s="67"/>
      <c r="N142" s="67"/>
      <c r="O142" s="67"/>
      <c r="P142" s="67"/>
    </row>
    <row r="143" ht="22.5" customHeight="1">
      <c r="C143" s="67"/>
      <c r="D143" s="69"/>
      <c r="E143" s="67"/>
      <c r="F143" s="69"/>
      <c r="G143" s="67"/>
      <c r="H143" s="67"/>
      <c r="I143" s="67"/>
      <c r="J143" s="70"/>
      <c r="K143" s="67"/>
      <c r="L143" s="67"/>
      <c r="M143" s="67"/>
      <c r="N143" s="67"/>
      <c r="O143" s="67"/>
      <c r="P143" s="67"/>
    </row>
    <row r="144" ht="22.5" customHeight="1">
      <c r="C144" s="67"/>
      <c r="D144" s="69"/>
      <c r="E144" s="67"/>
      <c r="F144" s="69"/>
      <c r="G144" s="67"/>
      <c r="H144" s="67"/>
      <c r="I144" s="67"/>
      <c r="J144" s="70"/>
      <c r="K144" s="67"/>
      <c r="L144" s="67"/>
      <c r="M144" s="67"/>
      <c r="N144" s="67"/>
      <c r="O144" s="67"/>
      <c r="P144" s="67"/>
    </row>
    <row r="145" ht="22.5" customHeight="1">
      <c r="C145" s="67"/>
      <c r="D145" s="69"/>
      <c r="E145" s="67"/>
      <c r="F145" s="69"/>
      <c r="G145" s="67"/>
      <c r="H145" s="67"/>
      <c r="I145" s="67"/>
      <c r="J145" s="70"/>
      <c r="K145" s="67"/>
      <c r="L145" s="67"/>
      <c r="M145" s="67"/>
      <c r="N145" s="67"/>
      <c r="O145" s="67"/>
      <c r="P145" s="67"/>
    </row>
    <row r="146" ht="22.5" customHeight="1">
      <c r="C146" s="67"/>
      <c r="D146" s="69"/>
      <c r="E146" s="67"/>
      <c r="F146" s="69"/>
      <c r="G146" s="67"/>
      <c r="H146" s="67"/>
      <c r="I146" s="67"/>
      <c r="J146" s="70"/>
      <c r="K146" s="67"/>
      <c r="L146" s="67"/>
      <c r="M146" s="67"/>
      <c r="N146" s="67"/>
      <c r="O146" s="67"/>
      <c r="P146" s="67"/>
    </row>
    <row r="147" ht="22.5" customHeight="1">
      <c r="C147" s="67"/>
      <c r="D147" s="69"/>
      <c r="E147" s="67"/>
      <c r="F147" s="69"/>
      <c r="G147" s="67"/>
      <c r="H147" s="67"/>
      <c r="I147" s="67"/>
      <c r="J147" s="70"/>
      <c r="K147" s="67"/>
      <c r="L147" s="67"/>
      <c r="M147" s="67"/>
      <c r="N147" s="67"/>
      <c r="O147" s="67"/>
      <c r="P147" s="67"/>
    </row>
    <row r="148" ht="22.5" customHeight="1">
      <c r="C148" s="67"/>
      <c r="D148" s="69"/>
      <c r="E148" s="67"/>
      <c r="F148" s="69"/>
      <c r="G148" s="67"/>
      <c r="H148" s="67"/>
      <c r="I148" s="67"/>
      <c r="J148" s="70"/>
      <c r="K148" s="67"/>
      <c r="L148" s="67"/>
      <c r="M148" s="67"/>
      <c r="N148" s="67"/>
      <c r="O148" s="67"/>
      <c r="P148" s="67"/>
    </row>
    <row r="149" ht="22.5" customHeight="1">
      <c r="C149" s="67"/>
      <c r="D149" s="69"/>
      <c r="E149" s="67"/>
      <c r="F149" s="69"/>
      <c r="G149" s="67"/>
      <c r="H149" s="67"/>
      <c r="I149" s="67"/>
      <c r="J149" s="70"/>
      <c r="K149" s="67"/>
      <c r="L149" s="67"/>
      <c r="M149" s="67"/>
      <c r="N149" s="67"/>
      <c r="O149" s="67"/>
      <c r="P149" s="67"/>
    </row>
    <row r="150" ht="22.5" customHeight="1">
      <c r="C150" s="67"/>
      <c r="D150" s="69"/>
      <c r="E150" s="67"/>
      <c r="F150" s="69"/>
      <c r="G150" s="67"/>
      <c r="H150" s="67"/>
      <c r="I150" s="67"/>
      <c r="J150" s="70"/>
      <c r="K150" s="67"/>
      <c r="L150" s="67"/>
      <c r="M150" s="67"/>
      <c r="N150" s="67"/>
      <c r="O150" s="67"/>
      <c r="P150" s="67"/>
    </row>
    <row r="151" ht="22.5" customHeight="1">
      <c r="C151" s="67"/>
      <c r="D151" s="69"/>
      <c r="E151" s="67"/>
      <c r="F151" s="69"/>
      <c r="G151" s="67"/>
      <c r="H151" s="67"/>
      <c r="I151" s="67"/>
      <c r="J151" s="70"/>
      <c r="K151" s="67"/>
      <c r="L151" s="67"/>
      <c r="M151" s="67"/>
      <c r="N151" s="67"/>
      <c r="O151" s="67"/>
      <c r="P151" s="67"/>
    </row>
    <row r="152" ht="22.5" customHeight="1">
      <c r="C152" s="67"/>
      <c r="D152" s="69"/>
      <c r="E152" s="67"/>
      <c r="F152" s="69"/>
      <c r="G152" s="67"/>
      <c r="H152" s="67"/>
      <c r="I152" s="67"/>
      <c r="J152" s="70"/>
      <c r="K152" s="67"/>
      <c r="L152" s="67"/>
      <c r="M152" s="67"/>
      <c r="N152" s="67"/>
      <c r="O152" s="67"/>
      <c r="P152" s="67"/>
    </row>
    <row r="153" ht="22.5" customHeight="1">
      <c r="C153" s="67"/>
      <c r="D153" s="69"/>
      <c r="E153" s="67"/>
      <c r="F153" s="69"/>
      <c r="G153" s="67"/>
      <c r="H153" s="67"/>
      <c r="I153" s="67"/>
      <c r="J153" s="70"/>
      <c r="K153" s="67"/>
      <c r="L153" s="67"/>
      <c r="M153" s="67"/>
      <c r="N153" s="67"/>
      <c r="O153" s="67"/>
      <c r="P153" s="67"/>
    </row>
    <row r="154" ht="22.5" customHeight="1">
      <c r="C154" s="67"/>
      <c r="D154" s="69"/>
      <c r="E154" s="67"/>
      <c r="F154" s="69"/>
      <c r="G154" s="67"/>
      <c r="H154" s="67"/>
      <c r="I154" s="67"/>
      <c r="J154" s="70"/>
      <c r="K154" s="67"/>
      <c r="L154" s="67"/>
      <c r="M154" s="67"/>
      <c r="N154" s="67"/>
      <c r="O154" s="67"/>
      <c r="P154" s="67"/>
    </row>
    <row r="155" ht="22.5" customHeight="1">
      <c r="C155" s="67"/>
      <c r="D155" s="69"/>
      <c r="E155" s="67"/>
      <c r="F155" s="69"/>
      <c r="G155" s="67"/>
      <c r="H155" s="67"/>
      <c r="I155" s="67"/>
      <c r="J155" s="70"/>
      <c r="K155" s="67"/>
      <c r="L155" s="67"/>
      <c r="M155" s="67"/>
      <c r="N155" s="67"/>
      <c r="O155" s="67"/>
      <c r="P155" s="67"/>
    </row>
    <row r="156" ht="22.5" customHeight="1">
      <c r="C156" s="67"/>
      <c r="D156" s="69"/>
      <c r="E156" s="67"/>
      <c r="F156" s="69"/>
      <c r="G156" s="67"/>
      <c r="H156" s="67"/>
      <c r="I156" s="67"/>
      <c r="J156" s="70"/>
      <c r="K156" s="67"/>
      <c r="L156" s="67"/>
      <c r="M156" s="67"/>
      <c r="N156" s="67"/>
      <c r="O156" s="67"/>
      <c r="P156" s="67"/>
    </row>
    <row r="157" ht="22.5" customHeight="1">
      <c r="C157" s="67"/>
      <c r="D157" s="69"/>
      <c r="E157" s="67"/>
      <c r="F157" s="69"/>
      <c r="G157" s="67"/>
      <c r="H157" s="67"/>
      <c r="I157" s="67"/>
      <c r="J157" s="70"/>
      <c r="K157" s="67"/>
      <c r="L157" s="67"/>
      <c r="M157" s="67"/>
      <c r="N157" s="67"/>
      <c r="O157" s="67"/>
      <c r="P157" s="67"/>
    </row>
    <row r="158" ht="22.5" customHeight="1">
      <c r="C158" s="67"/>
      <c r="D158" s="69"/>
      <c r="E158" s="67"/>
      <c r="F158" s="69"/>
      <c r="G158" s="67"/>
      <c r="H158" s="67"/>
      <c r="I158" s="67"/>
      <c r="J158" s="70"/>
      <c r="K158" s="67"/>
      <c r="L158" s="67"/>
      <c r="M158" s="67"/>
      <c r="N158" s="67"/>
      <c r="O158" s="67"/>
      <c r="P158" s="67"/>
    </row>
    <row r="159" ht="22.5" customHeight="1">
      <c r="C159" s="67"/>
      <c r="D159" s="69"/>
      <c r="E159" s="67"/>
      <c r="F159" s="69"/>
      <c r="G159" s="67"/>
      <c r="H159" s="67"/>
      <c r="I159" s="67"/>
      <c r="J159" s="70"/>
      <c r="K159" s="67"/>
      <c r="L159" s="67"/>
      <c r="M159" s="67"/>
      <c r="N159" s="67"/>
      <c r="O159" s="67"/>
      <c r="P159" s="67"/>
    </row>
    <row r="160" ht="22.5" customHeight="1">
      <c r="C160" s="67"/>
      <c r="D160" s="69"/>
      <c r="E160" s="67"/>
      <c r="F160" s="69"/>
      <c r="G160" s="67"/>
      <c r="H160" s="67"/>
      <c r="I160" s="67"/>
      <c r="J160" s="70"/>
      <c r="K160" s="67"/>
      <c r="L160" s="67"/>
      <c r="M160" s="67"/>
      <c r="N160" s="67"/>
      <c r="O160" s="67"/>
      <c r="P160" s="67"/>
    </row>
    <row r="161" ht="22.5" customHeight="1">
      <c r="C161" s="67"/>
      <c r="D161" s="69"/>
      <c r="E161" s="67"/>
      <c r="F161" s="69"/>
      <c r="G161" s="67"/>
      <c r="H161" s="67"/>
      <c r="I161" s="67"/>
      <c r="J161" s="70"/>
      <c r="K161" s="67"/>
      <c r="L161" s="67"/>
      <c r="M161" s="67"/>
      <c r="N161" s="67"/>
      <c r="O161" s="67"/>
      <c r="P161" s="67"/>
    </row>
    <row r="162" ht="22.5" customHeight="1">
      <c r="C162" s="67"/>
      <c r="D162" s="69"/>
      <c r="E162" s="67"/>
      <c r="F162" s="69"/>
      <c r="G162" s="67"/>
      <c r="H162" s="67"/>
      <c r="I162" s="67"/>
      <c r="J162" s="70"/>
      <c r="K162" s="67"/>
      <c r="L162" s="67"/>
      <c r="M162" s="67"/>
      <c r="N162" s="67"/>
      <c r="O162" s="67"/>
      <c r="P162" s="67"/>
    </row>
    <row r="163" ht="22.5" customHeight="1">
      <c r="C163" s="67"/>
      <c r="D163" s="69"/>
      <c r="E163" s="67"/>
      <c r="F163" s="69"/>
      <c r="G163" s="67"/>
      <c r="H163" s="67"/>
      <c r="I163" s="67"/>
      <c r="J163" s="70"/>
      <c r="K163" s="67"/>
      <c r="L163" s="67"/>
      <c r="M163" s="67"/>
      <c r="N163" s="67"/>
      <c r="O163" s="67"/>
      <c r="P163" s="67"/>
    </row>
    <row r="164" ht="22.5" customHeight="1">
      <c r="C164" s="67"/>
      <c r="D164" s="69"/>
      <c r="E164" s="67"/>
      <c r="F164" s="69"/>
      <c r="G164" s="67"/>
      <c r="H164" s="67"/>
      <c r="I164" s="67"/>
      <c r="J164" s="70"/>
      <c r="K164" s="67"/>
      <c r="L164" s="67"/>
      <c r="M164" s="67"/>
      <c r="N164" s="67"/>
      <c r="O164" s="67"/>
      <c r="P164" s="67"/>
    </row>
    <row r="165" ht="22.5" customHeight="1">
      <c r="C165" s="67"/>
      <c r="D165" s="69"/>
      <c r="E165" s="67"/>
      <c r="F165" s="69"/>
      <c r="G165" s="67"/>
      <c r="H165" s="67"/>
      <c r="I165" s="67"/>
      <c r="J165" s="70"/>
      <c r="K165" s="67"/>
      <c r="L165" s="67"/>
      <c r="M165" s="67"/>
      <c r="N165" s="67"/>
      <c r="O165" s="67"/>
      <c r="P165" s="67"/>
    </row>
    <row r="166" ht="22.5" customHeight="1">
      <c r="C166" s="67"/>
      <c r="D166" s="69"/>
      <c r="E166" s="67"/>
      <c r="F166" s="69"/>
      <c r="G166" s="67"/>
      <c r="H166" s="67"/>
      <c r="I166" s="67"/>
      <c r="J166" s="70"/>
      <c r="K166" s="67"/>
      <c r="L166" s="67"/>
      <c r="M166" s="67"/>
      <c r="N166" s="67"/>
      <c r="O166" s="67"/>
      <c r="P166" s="67"/>
    </row>
    <row r="167" ht="22.5" customHeight="1">
      <c r="C167" s="67"/>
      <c r="D167" s="69"/>
      <c r="E167" s="67"/>
      <c r="F167" s="69"/>
      <c r="G167" s="67"/>
      <c r="H167" s="67"/>
      <c r="I167" s="67"/>
      <c r="J167" s="70"/>
      <c r="K167" s="67"/>
      <c r="L167" s="67"/>
      <c r="M167" s="67"/>
      <c r="N167" s="67"/>
      <c r="O167" s="67"/>
      <c r="P167" s="67"/>
    </row>
    <row r="168" ht="22.5" customHeight="1">
      <c r="C168" s="67"/>
      <c r="D168" s="69"/>
      <c r="E168" s="67"/>
      <c r="F168" s="69"/>
      <c r="G168" s="67"/>
      <c r="H168" s="67"/>
      <c r="I168" s="67"/>
      <c r="J168" s="70"/>
      <c r="K168" s="67"/>
      <c r="L168" s="67"/>
      <c r="M168" s="67"/>
      <c r="N168" s="67"/>
      <c r="O168" s="67"/>
      <c r="P168" s="67"/>
    </row>
    <row r="169" ht="22.5" customHeight="1">
      <c r="C169" s="67"/>
      <c r="D169" s="69"/>
      <c r="E169" s="67"/>
      <c r="F169" s="69"/>
      <c r="G169" s="67"/>
      <c r="H169" s="67"/>
      <c r="I169" s="67"/>
      <c r="J169" s="70"/>
      <c r="K169" s="67"/>
      <c r="L169" s="67"/>
      <c r="M169" s="67"/>
      <c r="N169" s="67"/>
      <c r="O169" s="67"/>
      <c r="P169" s="67"/>
    </row>
    <row r="170" ht="22.5" customHeight="1">
      <c r="C170" s="67"/>
      <c r="D170" s="69"/>
      <c r="E170" s="67"/>
      <c r="F170" s="69"/>
      <c r="G170" s="67"/>
      <c r="H170" s="67"/>
      <c r="I170" s="67"/>
      <c r="J170" s="70"/>
      <c r="K170" s="67"/>
      <c r="L170" s="67"/>
      <c r="M170" s="67"/>
      <c r="N170" s="67"/>
      <c r="O170" s="67"/>
      <c r="P170" s="67"/>
    </row>
    <row r="171" ht="22.5" customHeight="1">
      <c r="C171" s="67"/>
      <c r="D171" s="69"/>
      <c r="E171" s="67"/>
      <c r="F171" s="69"/>
      <c r="G171" s="67"/>
      <c r="H171" s="67"/>
      <c r="I171" s="67"/>
      <c r="J171" s="70"/>
      <c r="K171" s="67"/>
      <c r="L171" s="67"/>
      <c r="M171" s="67"/>
      <c r="N171" s="67"/>
      <c r="O171" s="67"/>
      <c r="P171" s="67"/>
    </row>
    <row r="172" ht="22.5" customHeight="1">
      <c r="C172" s="67"/>
      <c r="D172" s="69"/>
      <c r="E172" s="67"/>
      <c r="F172" s="69"/>
      <c r="G172" s="67"/>
      <c r="H172" s="67"/>
      <c r="I172" s="67"/>
      <c r="J172" s="70"/>
      <c r="K172" s="67"/>
      <c r="L172" s="67"/>
      <c r="M172" s="67"/>
      <c r="N172" s="67"/>
      <c r="O172" s="67"/>
      <c r="P172" s="67"/>
    </row>
    <row r="173" ht="22.5" customHeight="1">
      <c r="C173" s="67"/>
      <c r="D173" s="69"/>
      <c r="E173" s="67"/>
      <c r="F173" s="69"/>
      <c r="G173" s="67"/>
      <c r="H173" s="67"/>
      <c r="I173" s="67"/>
      <c r="J173" s="70"/>
      <c r="K173" s="67"/>
      <c r="L173" s="67"/>
      <c r="M173" s="67"/>
      <c r="N173" s="67"/>
      <c r="O173" s="67"/>
      <c r="P173" s="67"/>
    </row>
    <row r="174" ht="22.5" customHeight="1">
      <c r="C174" s="67"/>
      <c r="D174" s="69"/>
      <c r="E174" s="67"/>
      <c r="F174" s="69"/>
      <c r="G174" s="67"/>
      <c r="H174" s="67"/>
      <c r="I174" s="67"/>
      <c r="J174" s="70"/>
      <c r="K174" s="67"/>
      <c r="L174" s="67"/>
      <c r="M174" s="67"/>
      <c r="N174" s="67"/>
      <c r="O174" s="67"/>
      <c r="P174" s="67"/>
    </row>
    <row r="175" ht="22.5" customHeight="1">
      <c r="C175" s="67"/>
      <c r="D175" s="69"/>
      <c r="E175" s="67"/>
      <c r="F175" s="69"/>
      <c r="G175" s="67"/>
      <c r="H175" s="67"/>
      <c r="I175" s="67"/>
      <c r="J175" s="70"/>
      <c r="K175" s="67"/>
      <c r="L175" s="67"/>
      <c r="M175" s="67"/>
      <c r="N175" s="67"/>
      <c r="O175" s="67"/>
      <c r="P175" s="67"/>
    </row>
    <row r="176" ht="22.5" customHeight="1">
      <c r="C176" s="67"/>
      <c r="D176" s="69"/>
      <c r="E176" s="67"/>
      <c r="F176" s="69"/>
      <c r="G176" s="67"/>
      <c r="H176" s="67"/>
      <c r="I176" s="67"/>
      <c r="J176" s="70"/>
      <c r="K176" s="67"/>
      <c r="L176" s="67"/>
      <c r="M176" s="67"/>
      <c r="N176" s="67"/>
      <c r="O176" s="67"/>
      <c r="P176" s="67"/>
    </row>
    <row r="177" ht="22.5" customHeight="1">
      <c r="C177" s="67"/>
      <c r="D177" s="69"/>
      <c r="E177" s="67"/>
      <c r="F177" s="69"/>
      <c r="G177" s="67"/>
      <c r="H177" s="67"/>
      <c r="I177" s="67"/>
      <c r="J177" s="70"/>
      <c r="K177" s="67"/>
      <c r="L177" s="67"/>
      <c r="M177" s="67"/>
      <c r="N177" s="67"/>
      <c r="O177" s="67"/>
      <c r="P177" s="67"/>
    </row>
    <row r="178" ht="22.5" customHeight="1">
      <c r="C178" s="67"/>
      <c r="D178" s="69"/>
      <c r="E178" s="67"/>
      <c r="F178" s="69"/>
      <c r="G178" s="67"/>
      <c r="H178" s="67"/>
      <c r="I178" s="67"/>
      <c r="J178" s="70"/>
      <c r="K178" s="67"/>
      <c r="L178" s="67"/>
      <c r="M178" s="67"/>
      <c r="N178" s="67"/>
      <c r="O178" s="67"/>
      <c r="P178" s="67"/>
    </row>
    <row r="179" ht="22.5" customHeight="1">
      <c r="C179" s="67"/>
      <c r="D179" s="69"/>
      <c r="E179" s="67"/>
      <c r="F179" s="69"/>
      <c r="G179" s="67"/>
      <c r="H179" s="67"/>
      <c r="I179" s="67"/>
      <c r="J179" s="70"/>
      <c r="K179" s="67"/>
      <c r="L179" s="67"/>
      <c r="M179" s="67"/>
      <c r="N179" s="67"/>
      <c r="O179" s="67"/>
      <c r="P179" s="67"/>
    </row>
    <row r="180" ht="22.5" customHeight="1">
      <c r="C180" s="67"/>
      <c r="D180" s="69"/>
      <c r="E180" s="67"/>
      <c r="F180" s="69"/>
      <c r="G180" s="67"/>
      <c r="H180" s="67"/>
      <c r="I180" s="67"/>
      <c r="J180" s="70"/>
      <c r="K180" s="67"/>
      <c r="L180" s="67"/>
      <c r="M180" s="67"/>
      <c r="N180" s="67"/>
      <c r="O180" s="67"/>
      <c r="P180" s="67"/>
    </row>
    <row r="181" ht="22.5" customHeight="1">
      <c r="C181" s="67"/>
      <c r="D181" s="69"/>
      <c r="E181" s="67"/>
      <c r="F181" s="69"/>
      <c r="G181" s="67"/>
      <c r="H181" s="67"/>
      <c r="I181" s="67"/>
      <c r="J181" s="70"/>
      <c r="K181" s="67"/>
      <c r="L181" s="67"/>
      <c r="M181" s="67"/>
      <c r="N181" s="67"/>
      <c r="O181" s="67"/>
      <c r="P181" s="67"/>
    </row>
    <row r="182" ht="22.5" customHeight="1">
      <c r="C182" s="67"/>
      <c r="D182" s="69"/>
      <c r="E182" s="67"/>
      <c r="F182" s="69"/>
      <c r="G182" s="67"/>
      <c r="H182" s="67"/>
      <c r="I182" s="67"/>
      <c r="J182" s="70"/>
      <c r="K182" s="67"/>
      <c r="L182" s="67"/>
      <c r="M182" s="67"/>
      <c r="N182" s="67"/>
      <c r="O182" s="67"/>
      <c r="P182" s="67"/>
    </row>
    <row r="183" ht="22.5" customHeight="1">
      <c r="C183" s="67"/>
      <c r="D183" s="69"/>
      <c r="E183" s="67"/>
      <c r="F183" s="69"/>
      <c r="G183" s="67"/>
      <c r="H183" s="67"/>
      <c r="I183" s="67"/>
      <c r="J183" s="70"/>
      <c r="K183" s="67"/>
      <c r="L183" s="67"/>
      <c r="M183" s="67"/>
      <c r="N183" s="67"/>
      <c r="O183" s="67"/>
      <c r="P183" s="67"/>
    </row>
    <row r="184" ht="22.5" customHeight="1">
      <c r="C184" s="67"/>
      <c r="D184" s="69"/>
      <c r="E184" s="67"/>
      <c r="F184" s="69"/>
      <c r="G184" s="67"/>
      <c r="H184" s="67"/>
      <c r="I184" s="67"/>
      <c r="J184" s="70"/>
      <c r="K184" s="67"/>
      <c r="L184" s="67"/>
      <c r="M184" s="67"/>
      <c r="N184" s="67"/>
      <c r="O184" s="67"/>
      <c r="P184" s="67"/>
    </row>
    <row r="185" ht="22.5" customHeight="1">
      <c r="C185" s="67"/>
      <c r="D185" s="69"/>
      <c r="E185" s="67"/>
      <c r="F185" s="69"/>
      <c r="G185" s="67"/>
      <c r="H185" s="67"/>
      <c r="I185" s="67"/>
      <c r="J185" s="70"/>
      <c r="K185" s="67"/>
      <c r="L185" s="67"/>
      <c r="M185" s="67"/>
      <c r="N185" s="67"/>
      <c r="O185" s="67"/>
      <c r="P185" s="67"/>
    </row>
    <row r="186" ht="22.5" customHeight="1">
      <c r="C186" s="67"/>
      <c r="D186" s="69"/>
      <c r="E186" s="67"/>
      <c r="F186" s="69"/>
      <c r="G186" s="67"/>
      <c r="H186" s="67"/>
      <c r="I186" s="67"/>
      <c r="J186" s="70"/>
      <c r="K186" s="67"/>
      <c r="L186" s="67"/>
      <c r="M186" s="67"/>
      <c r="N186" s="67"/>
      <c r="O186" s="67"/>
      <c r="P186" s="67"/>
    </row>
    <row r="187" ht="22.5" customHeight="1">
      <c r="C187" s="67"/>
      <c r="D187" s="69"/>
      <c r="E187" s="67"/>
      <c r="F187" s="69"/>
      <c r="G187" s="67"/>
      <c r="H187" s="67"/>
      <c r="I187" s="67"/>
      <c r="J187" s="70"/>
      <c r="K187" s="67"/>
      <c r="L187" s="67"/>
      <c r="M187" s="67"/>
      <c r="N187" s="67"/>
      <c r="O187" s="67"/>
      <c r="P187" s="67"/>
    </row>
    <row r="188" ht="22.5" customHeight="1">
      <c r="C188" s="67"/>
      <c r="D188" s="69"/>
      <c r="E188" s="67"/>
      <c r="F188" s="69"/>
      <c r="G188" s="67"/>
      <c r="H188" s="67"/>
      <c r="I188" s="67"/>
      <c r="J188" s="70"/>
      <c r="K188" s="67"/>
      <c r="L188" s="67"/>
      <c r="M188" s="67"/>
      <c r="N188" s="67"/>
      <c r="O188" s="67"/>
      <c r="P188" s="67"/>
    </row>
    <row r="189" ht="22.5" customHeight="1">
      <c r="C189" s="67"/>
      <c r="D189" s="69"/>
      <c r="E189" s="67"/>
      <c r="F189" s="69"/>
      <c r="G189" s="67"/>
      <c r="H189" s="67"/>
      <c r="I189" s="67"/>
      <c r="J189" s="70"/>
      <c r="K189" s="67"/>
      <c r="L189" s="67"/>
      <c r="M189" s="67"/>
      <c r="N189" s="67"/>
      <c r="O189" s="67"/>
      <c r="P189" s="67"/>
    </row>
    <row r="190" ht="22.5" customHeight="1">
      <c r="C190" s="67"/>
      <c r="D190" s="69"/>
      <c r="E190" s="67"/>
      <c r="F190" s="69"/>
      <c r="G190" s="67"/>
      <c r="H190" s="67"/>
      <c r="I190" s="67"/>
      <c r="J190" s="70"/>
      <c r="K190" s="67"/>
      <c r="L190" s="67"/>
      <c r="M190" s="67"/>
      <c r="N190" s="67"/>
      <c r="O190" s="67"/>
      <c r="P190" s="67"/>
    </row>
    <row r="191" ht="22.5" customHeight="1">
      <c r="C191" s="67"/>
      <c r="D191" s="69"/>
      <c r="E191" s="67"/>
      <c r="F191" s="69"/>
      <c r="G191" s="67"/>
      <c r="H191" s="67"/>
      <c r="I191" s="67"/>
      <c r="J191" s="70"/>
      <c r="K191" s="67"/>
      <c r="L191" s="67"/>
      <c r="M191" s="67"/>
      <c r="N191" s="67"/>
      <c r="O191" s="67"/>
      <c r="P191" s="67"/>
    </row>
    <row r="192" ht="22.5" customHeight="1">
      <c r="C192" s="67"/>
      <c r="D192" s="69"/>
      <c r="E192" s="67"/>
      <c r="F192" s="69"/>
      <c r="G192" s="67"/>
      <c r="H192" s="67"/>
      <c r="I192" s="67"/>
      <c r="J192" s="70"/>
      <c r="K192" s="67"/>
      <c r="L192" s="67"/>
      <c r="M192" s="67"/>
      <c r="N192" s="67"/>
      <c r="O192" s="67"/>
      <c r="P192" s="67"/>
    </row>
    <row r="193" ht="22.5" customHeight="1">
      <c r="C193" s="67"/>
      <c r="D193" s="69"/>
      <c r="E193" s="67"/>
      <c r="F193" s="69"/>
      <c r="G193" s="67"/>
      <c r="H193" s="67"/>
      <c r="I193" s="67"/>
      <c r="J193" s="70"/>
      <c r="K193" s="67"/>
      <c r="L193" s="67"/>
      <c r="M193" s="67"/>
      <c r="N193" s="67"/>
      <c r="O193" s="67"/>
      <c r="P193" s="67"/>
    </row>
    <row r="194" ht="22.5" customHeight="1">
      <c r="C194" s="67"/>
      <c r="D194" s="69"/>
      <c r="E194" s="67"/>
      <c r="F194" s="69"/>
      <c r="G194" s="67"/>
      <c r="H194" s="67"/>
      <c r="I194" s="67"/>
      <c r="J194" s="70"/>
      <c r="K194" s="67"/>
      <c r="L194" s="67"/>
      <c r="M194" s="67"/>
      <c r="N194" s="67"/>
      <c r="O194" s="67"/>
      <c r="P194" s="67"/>
    </row>
    <row r="195" ht="22.5" customHeight="1">
      <c r="C195" s="67"/>
      <c r="D195" s="69"/>
      <c r="E195" s="67"/>
      <c r="F195" s="69"/>
      <c r="G195" s="67"/>
      <c r="H195" s="67"/>
      <c r="I195" s="67"/>
      <c r="J195" s="70"/>
      <c r="K195" s="67"/>
      <c r="L195" s="67"/>
      <c r="M195" s="67"/>
      <c r="N195" s="67"/>
      <c r="O195" s="67"/>
      <c r="P195" s="67"/>
    </row>
    <row r="196" ht="22.5" customHeight="1">
      <c r="C196" s="67"/>
      <c r="D196" s="69"/>
      <c r="E196" s="67"/>
      <c r="F196" s="69"/>
      <c r="G196" s="67"/>
      <c r="H196" s="67"/>
      <c r="I196" s="67"/>
      <c r="J196" s="70"/>
      <c r="K196" s="67"/>
      <c r="L196" s="67"/>
      <c r="M196" s="67"/>
      <c r="N196" s="67"/>
      <c r="O196" s="67"/>
      <c r="P196" s="67"/>
    </row>
    <row r="197" ht="22.5" customHeight="1">
      <c r="C197" s="67"/>
      <c r="D197" s="69"/>
      <c r="E197" s="67"/>
      <c r="F197" s="69"/>
      <c r="G197" s="67"/>
      <c r="H197" s="67"/>
      <c r="I197" s="67"/>
      <c r="J197" s="70"/>
      <c r="K197" s="67"/>
      <c r="L197" s="67"/>
      <c r="M197" s="67"/>
      <c r="N197" s="67"/>
      <c r="O197" s="67"/>
      <c r="P197" s="67"/>
    </row>
    <row r="198" ht="22.5" customHeight="1">
      <c r="C198" s="67"/>
      <c r="D198" s="69"/>
      <c r="E198" s="67"/>
      <c r="F198" s="69"/>
      <c r="G198" s="67"/>
      <c r="H198" s="67"/>
      <c r="I198" s="67"/>
      <c r="J198" s="70"/>
      <c r="K198" s="67"/>
      <c r="L198" s="67"/>
      <c r="M198" s="67"/>
      <c r="N198" s="67"/>
      <c r="O198" s="67"/>
      <c r="P198" s="67"/>
    </row>
    <row r="199" ht="22.5" customHeight="1">
      <c r="C199" s="67"/>
      <c r="D199" s="69"/>
      <c r="E199" s="67"/>
      <c r="F199" s="69"/>
      <c r="G199" s="67"/>
      <c r="H199" s="67"/>
      <c r="I199" s="67"/>
      <c r="J199" s="70"/>
      <c r="K199" s="67"/>
      <c r="L199" s="67"/>
      <c r="M199" s="67"/>
      <c r="N199" s="67"/>
      <c r="O199" s="67"/>
      <c r="P199" s="67"/>
    </row>
    <row r="200" ht="22.5" customHeight="1">
      <c r="C200" s="67"/>
      <c r="D200" s="69"/>
      <c r="E200" s="67"/>
      <c r="F200" s="69"/>
      <c r="G200" s="67"/>
      <c r="H200" s="67"/>
      <c r="I200" s="67"/>
      <c r="J200" s="70"/>
      <c r="K200" s="67"/>
      <c r="L200" s="67"/>
      <c r="M200" s="67"/>
      <c r="N200" s="67"/>
      <c r="O200" s="67"/>
      <c r="P200" s="67"/>
    </row>
    <row r="201" ht="22.5" customHeight="1">
      <c r="C201" s="67"/>
      <c r="D201" s="69"/>
      <c r="E201" s="67"/>
      <c r="F201" s="69"/>
      <c r="G201" s="67"/>
      <c r="H201" s="67"/>
      <c r="I201" s="67"/>
      <c r="J201" s="70"/>
      <c r="K201" s="67"/>
      <c r="L201" s="67"/>
      <c r="M201" s="67"/>
      <c r="N201" s="67"/>
      <c r="O201" s="67"/>
      <c r="P201" s="67"/>
    </row>
    <row r="202" ht="22.5" customHeight="1">
      <c r="C202" s="67"/>
      <c r="D202" s="69"/>
      <c r="E202" s="67"/>
      <c r="F202" s="69"/>
      <c r="G202" s="67"/>
      <c r="H202" s="67"/>
      <c r="I202" s="67"/>
      <c r="J202" s="70"/>
      <c r="K202" s="67"/>
      <c r="L202" s="67"/>
      <c r="M202" s="67"/>
      <c r="N202" s="67"/>
      <c r="O202" s="67"/>
      <c r="P202" s="67"/>
    </row>
    <row r="203" ht="22.5" customHeight="1">
      <c r="C203" s="67"/>
      <c r="D203" s="69"/>
      <c r="E203" s="67"/>
      <c r="F203" s="69"/>
      <c r="G203" s="67"/>
      <c r="H203" s="67"/>
      <c r="I203" s="67"/>
      <c r="J203" s="70"/>
      <c r="K203" s="67"/>
      <c r="L203" s="67"/>
      <c r="M203" s="67"/>
      <c r="N203" s="67"/>
      <c r="O203" s="67"/>
      <c r="P203" s="67"/>
    </row>
    <row r="204" ht="22.5" customHeight="1">
      <c r="C204" s="67"/>
      <c r="D204" s="69"/>
      <c r="E204" s="67"/>
      <c r="F204" s="69"/>
      <c r="G204" s="67"/>
      <c r="H204" s="67"/>
      <c r="I204" s="67"/>
      <c r="J204" s="70"/>
      <c r="K204" s="67"/>
      <c r="L204" s="67"/>
      <c r="M204" s="67"/>
      <c r="N204" s="67"/>
      <c r="O204" s="67"/>
      <c r="P204" s="67"/>
    </row>
    <row r="205" ht="22.5" customHeight="1">
      <c r="C205" s="67"/>
      <c r="D205" s="69"/>
      <c r="E205" s="67"/>
      <c r="F205" s="69"/>
      <c r="G205" s="67"/>
      <c r="H205" s="67"/>
      <c r="I205" s="67"/>
      <c r="J205" s="70"/>
      <c r="K205" s="67"/>
      <c r="L205" s="67"/>
      <c r="M205" s="67"/>
      <c r="N205" s="67"/>
      <c r="O205" s="67"/>
      <c r="P205" s="67"/>
    </row>
    <row r="206" ht="22.5" customHeight="1">
      <c r="C206" s="67"/>
      <c r="D206" s="69"/>
      <c r="E206" s="67"/>
      <c r="F206" s="69"/>
      <c r="G206" s="67"/>
      <c r="H206" s="67"/>
      <c r="I206" s="67"/>
      <c r="J206" s="70"/>
      <c r="K206" s="67"/>
      <c r="L206" s="67"/>
      <c r="M206" s="67"/>
      <c r="N206" s="67"/>
      <c r="O206" s="67"/>
      <c r="P206" s="67"/>
    </row>
    <row r="207" ht="22.5" customHeight="1">
      <c r="C207" s="67"/>
      <c r="D207" s="69"/>
      <c r="E207" s="67"/>
      <c r="F207" s="69"/>
      <c r="G207" s="67"/>
      <c r="H207" s="67"/>
      <c r="I207" s="67"/>
      <c r="J207" s="70"/>
      <c r="K207" s="67"/>
      <c r="L207" s="67"/>
      <c r="M207" s="67"/>
      <c r="N207" s="67"/>
      <c r="O207" s="67"/>
      <c r="P207" s="67"/>
    </row>
    <row r="208" ht="22.5" customHeight="1">
      <c r="C208" s="67"/>
      <c r="D208" s="69"/>
      <c r="E208" s="67"/>
      <c r="F208" s="69"/>
      <c r="G208" s="67"/>
      <c r="H208" s="67"/>
      <c r="I208" s="67"/>
      <c r="J208" s="70"/>
      <c r="K208" s="67"/>
      <c r="L208" s="67"/>
      <c r="M208" s="67"/>
      <c r="N208" s="67"/>
      <c r="O208" s="67"/>
      <c r="P208" s="67"/>
    </row>
    <row r="209" ht="22.5" customHeight="1">
      <c r="C209" s="67"/>
      <c r="D209" s="69"/>
      <c r="E209" s="67"/>
      <c r="F209" s="69"/>
      <c r="G209" s="67"/>
      <c r="H209" s="67"/>
      <c r="I209" s="67"/>
      <c r="J209" s="70"/>
      <c r="K209" s="67"/>
      <c r="L209" s="67"/>
      <c r="M209" s="67"/>
      <c r="N209" s="67"/>
      <c r="O209" s="67"/>
      <c r="P209" s="67"/>
    </row>
    <row r="210" ht="22.5" customHeight="1">
      <c r="C210" s="67"/>
      <c r="D210" s="69"/>
      <c r="E210" s="67"/>
      <c r="F210" s="69"/>
      <c r="G210" s="67"/>
      <c r="H210" s="67"/>
      <c r="I210" s="67"/>
      <c r="J210" s="70"/>
      <c r="K210" s="67"/>
      <c r="L210" s="67"/>
      <c r="M210" s="67"/>
      <c r="N210" s="67"/>
      <c r="O210" s="67"/>
      <c r="P210" s="67"/>
    </row>
    <row r="211" ht="22.5" customHeight="1">
      <c r="C211" s="67"/>
      <c r="D211" s="69"/>
      <c r="E211" s="67"/>
      <c r="F211" s="69"/>
      <c r="G211" s="67"/>
      <c r="H211" s="67"/>
      <c r="I211" s="67"/>
      <c r="J211" s="70"/>
      <c r="K211" s="67"/>
      <c r="L211" s="67"/>
      <c r="M211" s="67"/>
      <c r="N211" s="67"/>
      <c r="O211" s="67"/>
      <c r="P211" s="67"/>
    </row>
    <row r="212" ht="22.5" customHeight="1">
      <c r="C212" s="67"/>
      <c r="D212" s="69"/>
      <c r="E212" s="67"/>
      <c r="F212" s="69"/>
      <c r="G212" s="67"/>
      <c r="H212" s="67"/>
      <c r="I212" s="67"/>
      <c r="J212" s="70"/>
      <c r="K212" s="67"/>
      <c r="L212" s="67"/>
      <c r="M212" s="67"/>
      <c r="N212" s="67"/>
      <c r="O212" s="67"/>
      <c r="P212" s="67"/>
    </row>
    <row r="213" ht="22.5" customHeight="1">
      <c r="C213" s="67"/>
      <c r="D213" s="69"/>
      <c r="E213" s="67"/>
      <c r="F213" s="69"/>
      <c r="G213" s="67"/>
      <c r="H213" s="67"/>
      <c r="I213" s="67"/>
      <c r="J213" s="70"/>
      <c r="K213" s="67"/>
      <c r="L213" s="67"/>
      <c r="M213" s="67"/>
      <c r="N213" s="67"/>
      <c r="O213" s="67"/>
      <c r="P213" s="67"/>
    </row>
    <row r="214" ht="22.5" customHeight="1">
      <c r="C214" s="67"/>
      <c r="D214" s="69"/>
      <c r="E214" s="67"/>
      <c r="F214" s="69"/>
      <c r="G214" s="67"/>
      <c r="H214" s="67"/>
      <c r="I214" s="67"/>
      <c r="J214" s="70"/>
      <c r="K214" s="67"/>
      <c r="L214" s="67"/>
      <c r="M214" s="67"/>
      <c r="N214" s="67"/>
      <c r="O214" s="67"/>
      <c r="P214" s="67"/>
    </row>
    <row r="215" ht="22.5" customHeight="1">
      <c r="C215" s="67"/>
      <c r="D215" s="69"/>
      <c r="E215" s="67"/>
      <c r="F215" s="69"/>
      <c r="G215" s="67"/>
      <c r="H215" s="67"/>
      <c r="I215" s="67"/>
      <c r="J215" s="70"/>
      <c r="K215" s="67"/>
      <c r="L215" s="67"/>
      <c r="M215" s="67"/>
      <c r="N215" s="67"/>
      <c r="O215" s="67"/>
      <c r="P215" s="67"/>
    </row>
    <row r="216" ht="22.5" customHeight="1">
      <c r="C216" s="67"/>
      <c r="D216" s="69"/>
      <c r="E216" s="67"/>
      <c r="F216" s="69"/>
      <c r="G216" s="67"/>
      <c r="H216" s="67"/>
      <c r="I216" s="67"/>
      <c r="J216" s="70"/>
      <c r="K216" s="67"/>
      <c r="L216" s="67"/>
      <c r="M216" s="67"/>
      <c r="N216" s="67"/>
      <c r="O216" s="67"/>
      <c r="P216" s="67"/>
    </row>
    <row r="217" ht="22.5" customHeight="1">
      <c r="C217" s="67"/>
      <c r="D217" s="69"/>
      <c r="E217" s="67"/>
      <c r="F217" s="69"/>
      <c r="G217" s="67"/>
      <c r="H217" s="67"/>
      <c r="I217" s="67"/>
      <c r="J217" s="70"/>
      <c r="K217" s="67"/>
      <c r="L217" s="67"/>
      <c r="M217" s="67"/>
      <c r="N217" s="67"/>
      <c r="O217" s="67"/>
      <c r="P217" s="67"/>
    </row>
    <row r="218" ht="22.5" customHeight="1">
      <c r="C218" s="67"/>
      <c r="D218" s="69"/>
      <c r="E218" s="67"/>
      <c r="F218" s="69"/>
      <c r="G218" s="67"/>
      <c r="H218" s="67"/>
      <c r="I218" s="67"/>
      <c r="J218" s="70"/>
      <c r="K218" s="67"/>
      <c r="L218" s="67"/>
      <c r="M218" s="67"/>
      <c r="N218" s="67"/>
      <c r="O218" s="67"/>
      <c r="P218" s="67"/>
    </row>
    <row r="219" ht="22.5" customHeight="1">
      <c r="C219" s="67"/>
      <c r="D219" s="69"/>
      <c r="E219" s="67"/>
      <c r="F219" s="69"/>
      <c r="G219" s="67"/>
      <c r="H219" s="67"/>
      <c r="I219" s="67"/>
      <c r="J219" s="70"/>
      <c r="K219" s="67"/>
      <c r="L219" s="67"/>
      <c r="M219" s="67"/>
      <c r="N219" s="67"/>
      <c r="O219" s="67"/>
      <c r="P219" s="67"/>
    </row>
    <row r="220" ht="22.5" customHeight="1">
      <c r="C220" s="67"/>
      <c r="D220" s="69"/>
      <c r="E220" s="67"/>
      <c r="F220" s="69"/>
      <c r="G220" s="67"/>
      <c r="H220" s="67"/>
      <c r="I220" s="67"/>
      <c r="J220" s="70"/>
      <c r="K220" s="67"/>
      <c r="L220" s="67"/>
      <c r="M220" s="67"/>
      <c r="N220" s="67"/>
      <c r="O220" s="67"/>
      <c r="P220" s="67"/>
    </row>
    <row r="221" ht="22.5" customHeight="1">
      <c r="C221" s="67"/>
      <c r="D221" s="69"/>
      <c r="E221" s="67"/>
      <c r="F221" s="69"/>
      <c r="G221" s="67"/>
      <c r="H221" s="67"/>
      <c r="I221" s="67"/>
      <c r="J221" s="70"/>
      <c r="K221" s="67"/>
      <c r="L221" s="67"/>
      <c r="M221" s="67"/>
      <c r="N221" s="67"/>
      <c r="O221" s="67"/>
      <c r="P221" s="67"/>
    </row>
    <row r="222" ht="22.5" customHeight="1">
      <c r="C222" s="67"/>
      <c r="D222" s="69"/>
      <c r="E222" s="67"/>
      <c r="F222" s="69"/>
      <c r="G222" s="67"/>
      <c r="H222" s="67"/>
      <c r="I222" s="67"/>
      <c r="J222" s="70"/>
      <c r="K222" s="67"/>
      <c r="L222" s="67"/>
      <c r="M222" s="67"/>
      <c r="N222" s="67"/>
      <c r="O222" s="67"/>
      <c r="P222" s="67"/>
    </row>
    <row r="223" ht="22.5" customHeight="1">
      <c r="C223" s="67"/>
      <c r="D223" s="69"/>
      <c r="E223" s="67"/>
      <c r="F223" s="69"/>
      <c r="G223" s="67"/>
      <c r="H223" s="67"/>
      <c r="I223" s="67"/>
      <c r="J223" s="70"/>
      <c r="K223" s="67"/>
      <c r="L223" s="67"/>
      <c r="M223" s="67"/>
      <c r="N223" s="67"/>
      <c r="O223" s="67"/>
      <c r="P223" s="67"/>
    </row>
    <row r="224" ht="22.5" customHeight="1">
      <c r="C224" s="67"/>
      <c r="D224" s="69"/>
      <c r="E224" s="67"/>
      <c r="F224" s="69"/>
      <c r="G224" s="67"/>
      <c r="H224" s="67"/>
      <c r="I224" s="67"/>
      <c r="J224" s="70"/>
      <c r="K224" s="67"/>
      <c r="L224" s="67"/>
      <c r="M224" s="67"/>
      <c r="N224" s="67"/>
      <c r="O224" s="67"/>
      <c r="P224" s="67"/>
    </row>
    <row r="225" ht="22.5" customHeight="1">
      <c r="C225" s="67"/>
      <c r="D225" s="69"/>
      <c r="E225" s="67"/>
      <c r="F225" s="69"/>
      <c r="G225" s="67"/>
      <c r="H225" s="67"/>
      <c r="I225" s="67"/>
      <c r="J225" s="70"/>
      <c r="K225" s="67"/>
      <c r="L225" s="67"/>
      <c r="M225" s="67"/>
      <c r="N225" s="67"/>
      <c r="O225" s="67"/>
      <c r="P225" s="67"/>
    </row>
    <row r="226" ht="22.5" customHeight="1">
      <c r="C226" s="67"/>
      <c r="D226" s="69"/>
      <c r="E226" s="67"/>
      <c r="F226" s="69"/>
      <c r="G226" s="67"/>
      <c r="H226" s="67"/>
      <c r="I226" s="67"/>
      <c r="J226" s="70"/>
      <c r="K226" s="67"/>
      <c r="L226" s="67"/>
      <c r="M226" s="67"/>
      <c r="N226" s="67"/>
      <c r="O226" s="67"/>
      <c r="P226" s="67"/>
    </row>
    <row r="227" ht="22.5" customHeight="1">
      <c r="C227" s="67"/>
      <c r="D227" s="69"/>
      <c r="E227" s="67"/>
      <c r="F227" s="69"/>
      <c r="G227" s="67"/>
      <c r="H227" s="67"/>
      <c r="I227" s="67"/>
      <c r="J227" s="70"/>
      <c r="K227" s="67"/>
      <c r="L227" s="67"/>
      <c r="M227" s="67"/>
      <c r="N227" s="67"/>
      <c r="O227" s="67"/>
      <c r="P227" s="67"/>
    </row>
    <row r="228" ht="22.5" customHeight="1">
      <c r="C228" s="67"/>
      <c r="D228" s="69"/>
      <c r="E228" s="67"/>
      <c r="F228" s="69"/>
      <c r="G228" s="67"/>
      <c r="H228" s="67"/>
      <c r="I228" s="67"/>
      <c r="J228" s="70"/>
      <c r="K228" s="67"/>
      <c r="L228" s="67"/>
      <c r="M228" s="67"/>
      <c r="N228" s="67"/>
      <c r="O228" s="67"/>
      <c r="P228" s="67"/>
    </row>
    <row r="229" ht="22.5" customHeight="1">
      <c r="C229" s="67"/>
      <c r="D229" s="69"/>
      <c r="E229" s="67"/>
      <c r="F229" s="69"/>
      <c r="G229" s="67"/>
      <c r="H229" s="67"/>
      <c r="I229" s="67"/>
      <c r="J229" s="70"/>
      <c r="K229" s="67"/>
      <c r="L229" s="67"/>
      <c r="M229" s="67"/>
      <c r="N229" s="67"/>
      <c r="O229" s="67"/>
      <c r="P229" s="67"/>
    </row>
    <row r="230" ht="22.5" customHeight="1">
      <c r="C230" s="67"/>
      <c r="D230" s="69"/>
      <c r="E230" s="67"/>
      <c r="F230" s="69"/>
      <c r="G230" s="67"/>
      <c r="H230" s="67"/>
      <c r="I230" s="67"/>
      <c r="J230" s="70"/>
      <c r="K230" s="67"/>
      <c r="L230" s="67"/>
      <c r="M230" s="67"/>
      <c r="N230" s="67"/>
      <c r="O230" s="67"/>
      <c r="P230" s="67"/>
    </row>
    <row r="231" ht="22.5" customHeight="1">
      <c r="C231" s="67"/>
      <c r="D231" s="69"/>
      <c r="E231" s="67"/>
      <c r="F231" s="69"/>
      <c r="G231" s="67"/>
      <c r="H231" s="67"/>
      <c r="I231" s="67"/>
      <c r="J231" s="70"/>
      <c r="K231" s="67"/>
      <c r="L231" s="67"/>
      <c r="M231" s="67"/>
      <c r="N231" s="67"/>
      <c r="O231" s="67"/>
      <c r="P231" s="67"/>
    </row>
    <row r="232" ht="22.5" customHeight="1">
      <c r="C232" s="67"/>
      <c r="D232" s="69"/>
      <c r="E232" s="67"/>
      <c r="F232" s="69"/>
      <c r="G232" s="67"/>
      <c r="H232" s="67"/>
      <c r="I232" s="67"/>
      <c r="J232" s="70"/>
      <c r="K232" s="67"/>
      <c r="L232" s="67"/>
      <c r="M232" s="67"/>
      <c r="N232" s="67"/>
      <c r="O232" s="67"/>
      <c r="P232" s="67"/>
    </row>
    <row r="233" ht="22.5" customHeight="1">
      <c r="C233" s="67"/>
      <c r="D233" s="69"/>
      <c r="E233" s="67"/>
      <c r="F233" s="69"/>
      <c r="G233" s="67"/>
      <c r="H233" s="67"/>
      <c r="I233" s="67"/>
      <c r="J233" s="70"/>
      <c r="K233" s="67"/>
      <c r="L233" s="67"/>
      <c r="M233" s="67"/>
      <c r="N233" s="67"/>
      <c r="O233" s="67"/>
      <c r="P233" s="67"/>
    </row>
    <row r="234" ht="22.5" customHeight="1">
      <c r="C234" s="67"/>
      <c r="D234" s="69"/>
      <c r="E234" s="67"/>
      <c r="F234" s="69"/>
      <c r="G234" s="67"/>
      <c r="H234" s="67"/>
      <c r="I234" s="67"/>
      <c r="J234" s="70"/>
      <c r="K234" s="67"/>
      <c r="L234" s="67"/>
      <c r="M234" s="67"/>
      <c r="N234" s="67"/>
      <c r="O234" s="67"/>
      <c r="P234" s="67"/>
    </row>
    <row r="235" ht="22.5" customHeight="1">
      <c r="C235" s="67"/>
      <c r="D235" s="69"/>
      <c r="E235" s="67"/>
      <c r="F235" s="69"/>
      <c r="G235" s="67"/>
      <c r="H235" s="67"/>
      <c r="I235" s="67"/>
      <c r="J235" s="70"/>
      <c r="K235" s="67"/>
      <c r="L235" s="67"/>
      <c r="M235" s="67"/>
      <c r="N235" s="67"/>
      <c r="O235" s="67"/>
      <c r="P235" s="67"/>
    </row>
    <row r="236" ht="22.5" customHeight="1">
      <c r="C236" s="67"/>
      <c r="D236" s="69"/>
      <c r="E236" s="67"/>
      <c r="F236" s="69"/>
      <c r="G236" s="67"/>
      <c r="H236" s="67"/>
      <c r="I236" s="67"/>
      <c r="J236" s="70"/>
      <c r="K236" s="67"/>
      <c r="L236" s="67"/>
      <c r="M236" s="67"/>
      <c r="N236" s="67"/>
      <c r="O236" s="67"/>
      <c r="P236" s="67"/>
    </row>
    <row r="237" ht="22.5" customHeight="1">
      <c r="C237" s="67"/>
      <c r="D237" s="69"/>
      <c r="E237" s="67"/>
      <c r="F237" s="69"/>
      <c r="G237" s="67"/>
      <c r="H237" s="67"/>
      <c r="I237" s="67"/>
      <c r="J237" s="70"/>
      <c r="K237" s="67"/>
      <c r="L237" s="67"/>
      <c r="M237" s="67"/>
      <c r="N237" s="67"/>
      <c r="O237" s="67"/>
      <c r="P237" s="67"/>
    </row>
    <row r="238" ht="22.5" customHeight="1">
      <c r="C238" s="67"/>
      <c r="D238" s="69"/>
      <c r="E238" s="67"/>
      <c r="F238" s="69"/>
      <c r="G238" s="67"/>
      <c r="H238" s="67"/>
      <c r="I238" s="67"/>
      <c r="J238" s="70"/>
      <c r="K238" s="67"/>
      <c r="L238" s="67"/>
      <c r="M238" s="67"/>
      <c r="N238" s="67"/>
      <c r="O238" s="67"/>
      <c r="P238" s="67"/>
    </row>
    <row r="239" ht="22.5" customHeight="1">
      <c r="C239" s="67"/>
      <c r="D239" s="69"/>
      <c r="E239" s="67"/>
      <c r="F239" s="69"/>
      <c r="G239" s="67"/>
      <c r="H239" s="67"/>
      <c r="I239" s="67"/>
      <c r="J239" s="70"/>
      <c r="K239" s="67"/>
      <c r="L239" s="67"/>
      <c r="M239" s="67"/>
      <c r="N239" s="67"/>
      <c r="O239" s="67"/>
      <c r="P239" s="67"/>
    </row>
    <row r="240" ht="22.5" customHeight="1">
      <c r="C240" s="67"/>
      <c r="D240" s="69"/>
      <c r="E240" s="67"/>
      <c r="F240" s="69"/>
      <c r="G240" s="67"/>
      <c r="H240" s="67"/>
      <c r="I240" s="67"/>
      <c r="J240" s="70"/>
      <c r="K240" s="67"/>
      <c r="L240" s="67"/>
      <c r="M240" s="67"/>
      <c r="N240" s="67"/>
      <c r="O240" s="67"/>
      <c r="P240" s="67"/>
    </row>
    <row r="241" ht="22.5" customHeight="1">
      <c r="C241" s="67"/>
      <c r="D241" s="69"/>
      <c r="E241" s="67"/>
      <c r="F241" s="69"/>
      <c r="G241" s="67"/>
      <c r="H241" s="67"/>
      <c r="I241" s="67"/>
      <c r="J241" s="70"/>
      <c r="K241" s="67"/>
      <c r="L241" s="67"/>
      <c r="M241" s="67"/>
      <c r="N241" s="67"/>
      <c r="O241" s="67"/>
      <c r="P241" s="67"/>
    </row>
    <row r="242" ht="22.5" customHeight="1">
      <c r="C242" s="67"/>
      <c r="D242" s="69"/>
      <c r="E242" s="67"/>
      <c r="F242" s="69"/>
      <c r="G242" s="67"/>
      <c r="H242" s="67"/>
      <c r="I242" s="67"/>
      <c r="J242" s="70"/>
      <c r="K242" s="67"/>
      <c r="L242" s="67"/>
      <c r="M242" s="67"/>
      <c r="N242" s="67"/>
      <c r="O242" s="67"/>
      <c r="P242" s="67"/>
    </row>
    <row r="243" ht="22.5" customHeight="1">
      <c r="C243" s="67"/>
      <c r="D243" s="69"/>
      <c r="E243" s="67"/>
      <c r="F243" s="69"/>
      <c r="G243" s="67"/>
      <c r="H243" s="67"/>
      <c r="I243" s="67"/>
      <c r="J243" s="70"/>
      <c r="K243" s="67"/>
      <c r="L243" s="67"/>
      <c r="M243" s="67"/>
      <c r="N243" s="67"/>
      <c r="O243" s="67"/>
      <c r="P243" s="67"/>
    </row>
    <row r="244" ht="22.5" customHeight="1">
      <c r="C244" s="67"/>
      <c r="D244" s="69"/>
      <c r="E244" s="67"/>
      <c r="F244" s="69"/>
      <c r="G244" s="67"/>
      <c r="H244" s="67"/>
      <c r="I244" s="67"/>
      <c r="J244" s="70"/>
      <c r="K244" s="67"/>
      <c r="L244" s="67"/>
      <c r="M244" s="67"/>
      <c r="N244" s="67"/>
      <c r="O244" s="67"/>
      <c r="P244" s="67"/>
    </row>
    <row r="245" ht="22.5" customHeight="1">
      <c r="C245" s="67"/>
      <c r="D245" s="69"/>
      <c r="E245" s="67"/>
      <c r="F245" s="69"/>
      <c r="G245" s="67"/>
      <c r="H245" s="67"/>
      <c r="I245" s="67"/>
      <c r="J245" s="70"/>
      <c r="K245" s="67"/>
      <c r="L245" s="67"/>
      <c r="M245" s="67"/>
      <c r="N245" s="67"/>
      <c r="O245" s="67"/>
      <c r="P245" s="67"/>
    </row>
    <row r="246" ht="22.5" customHeight="1">
      <c r="C246" s="67"/>
      <c r="D246" s="69"/>
      <c r="E246" s="67"/>
      <c r="F246" s="69"/>
      <c r="G246" s="67"/>
      <c r="H246" s="67"/>
      <c r="I246" s="67"/>
      <c r="J246" s="70"/>
      <c r="K246" s="67"/>
      <c r="L246" s="67"/>
      <c r="M246" s="67"/>
      <c r="N246" s="67"/>
      <c r="O246" s="67"/>
      <c r="P246" s="67"/>
    </row>
    <row r="247" ht="22.5" customHeight="1">
      <c r="C247" s="67"/>
      <c r="D247" s="69"/>
      <c r="E247" s="67"/>
      <c r="F247" s="69"/>
      <c r="G247" s="67"/>
      <c r="H247" s="67"/>
      <c r="I247" s="67"/>
      <c r="J247" s="70"/>
      <c r="K247" s="67"/>
      <c r="L247" s="67"/>
      <c r="M247" s="67"/>
      <c r="N247" s="67"/>
      <c r="O247" s="67"/>
      <c r="P247" s="67"/>
    </row>
    <row r="248" ht="22.5" customHeight="1">
      <c r="C248" s="67"/>
      <c r="D248" s="69"/>
      <c r="E248" s="67"/>
      <c r="F248" s="69"/>
      <c r="G248" s="67"/>
      <c r="H248" s="67"/>
      <c r="I248" s="67"/>
      <c r="J248" s="70"/>
      <c r="K248" s="67"/>
      <c r="L248" s="67"/>
      <c r="M248" s="67"/>
      <c r="N248" s="67"/>
      <c r="O248" s="67"/>
      <c r="P248" s="67"/>
    </row>
    <row r="249" ht="22.5" customHeight="1">
      <c r="C249" s="67"/>
      <c r="D249" s="69"/>
      <c r="E249" s="67"/>
      <c r="F249" s="69"/>
      <c r="G249" s="67"/>
      <c r="H249" s="67"/>
      <c r="I249" s="67"/>
      <c r="J249" s="70"/>
      <c r="K249" s="67"/>
      <c r="L249" s="67"/>
      <c r="M249" s="67"/>
      <c r="N249" s="67"/>
      <c r="O249" s="67"/>
      <c r="P249" s="67"/>
    </row>
    <row r="250" ht="22.5" customHeight="1">
      <c r="C250" s="67"/>
      <c r="D250" s="69"/>
      <c r="E250" s="67"/>
      <c r="F250" s="69"/>
      <c r="G250" s="67"/>
      <c r="H250" s="67"/>
      <c r="I250" s="67"/>
      <c r="J250" s="70"/>
      <c r="K250" s="67"/>
      <c r="L250" s="67"/>
      <c r="M250" s="67"/>
      <c r="N250" s="67"/>
      <c r="O250" s="67"/>
      <c r="P250" s="67"/>
    </row>
    <row r="251" ht="22.5" customHeight="1">
      <c r="C251" s="67"/>
      <c r="D251" s="69"/>
      <c r="E251" s="67"/>
      <c r="F251" s="69"/>
      <c r="G251" s="67"/>
      <c r="H251" s="67"/>
      <c r="I251" s="67"/>
      <c r="J251" s="70"/>
      <c r="K251" s="67"/>
      <c r="L251" s="67"/>
      <c r="M251" s="67"/>
      <c r="N251" s="67"/>
      <c r="O251" s="67"/>
      <c r="P251" s="67"/>
    </row>
    <row r="252" ht="22.5" customHeight="1">
      <c r="C252" s="67"/>
      <c r="D252" s="69"/>
      <c r="E252" s="67"/>
      <c r="F252" s="69"/>
      <c r="G252" s="67"/>
      <c r="H252" s="67"/>
      <c r="I252" s="67"/>
      <c r="J252" s="70"/>
      <c r="K252" s="67"/>
      <c r="L252" s="67"/>
      <c r="M252" s="67"/>
      <c r="N252" s="67"/>
      <c r="O252" s="67"/>
      <c r="P252" s="67"/>
    </row>
    <row r="253" ht="22.5" customHeight="1">
      <c r="C253" s="67"/>
      <c r="D253" s="69"/>
      <c r="E253" s="67"/>
      <c r="F253" s="69"/>
      <c r="G253" s="67"/>
      <c r="H253" s="67"/>
      <c r="I253" s="67"/>
      <c r="J253" s="70"/>
      <c r="K253" s="67"/>
      <c r="L253" s="67"/>
      <c r="M253" s="67"/>
      <c r="N253" s="67"/>
      <c r="O253" s="67"/>
      <c r="P253" s="67"/>
    </row>
    <row r="254" ht="22.5" customHeight="1">
      <c r="C254" s="67"/>
      <c r="D254" s="69"/>
      <c r="E254" s="67"/>
      <c r="F254" s="69"/>
      <c r="G254" s="67"/>
      <c r="H254" s="67"/>
      <c r="I254" s="67"/>
      <c r="J254" s="70"/>
      <c r="K254" s="67"/>
      <c r="L254" s="67"/>
      <c r="M254" s="67"/>
      <c r="N254" s="67"/>
      <c r="O254" s="67"/>
      <c r="P254" s="67"/>
    </row>
    <row r="255" ht="22.5" customHeight="1">
      <c r="C255" s="67"/>
      <c r="D255" s="69"/>
      <c r="E255" s="67"/>
      <c r="F255" s="69"/>
      <c r="G255" s="67"/>
      <c r="H255" s="67"/>
      <c r="I255" s="67"/>
      <c r="J255" s="70"/>
      <c r="K255" s="67"/>
      <c r="L255" s="67"/>
      <c r="M255" s="67"/>
      <c r="N255" s="67"/>
      <c r="O255" s="67"/>
      <c r="P255" s="67"/>
    </row>
    <row r="256" ht="22.5" customHeight="1">
      <c r="C256" s="67"/>
      <c r="D256" s="69"/>
      <c r="E256" s="67"/>
      <c r="F256" s="69"/>
      <c r="G256" s="67"/>
      <c r="H256" s="67"/>
      <c r="I256" s="67"/>
      <c r="J256" s="70"/>
      <c r="K256" s="67"/>
      <c r="L256" s="67"/>
      <c r="M256" s="67"/>
      <c r="N256" s="67"/>
      <c r="O256" s="67"/>
      <c r="P256" s="67"/>
    </row>
    <row r="257" ht="22.5" customHeight="1">
      <c r="C257" s="67"/>
      <c r="D257" s="69"/>
      <c r="E257" s="67"/>
      <c r="F257" s="69"/>
      <c r="G257" s="67"/>
      <c r="H257" s="67"/>
      <c r="I257" s="67"/>
      <c r="J257" s="70"/>
      <c r="K257" s="67"/>
      <c r="L257" s="67"/>
      <c r="M257" s="67"/>
      <c r="N257" s="67"/>
      <c r="O257" s="67"/>
      <c r="P257" s="67"/>
    </row>
    <row r="258" ht="22.5" customHeight="1">
      <c r="C258" s="67"/>
      <c r="D258" s="69"/>
      <c r="E258" s="67"/>
      <c r="F258" s="69"/>
      <c r="G258" s="67"/>
      <c r="H258" s="67"/>
      <c r="I258" s="67"/>
      <c r="J258" s="70"/>
      <c r="K258" s="67"/>
      <c r="L258" s="67"/>
      <c r="M258" s="67"/>
      <c r="N258" s="67"/>
      <c r="O258" s="67"/>
      <c r="P258" s="67"/>
    </row>
    <row r="259" ht="22.5" customHeight="1">
      <c r="C259" s="67"/>
      <c r="D259" s="69"/>
      <c r="E259" s="67"/>
      <c r="F259" s="69"/>
      <c r="G259" s="67"/>
      <c r="H259" s="67"/>
      <c r="I259" s="67"/>
      <c r="J259" s="70"/>
      <c r="K259" s="67"/>
      <c r="L259" s="67"/>
      <c r="M259" s="67"/>
      <c r="N259" s="67"/>
      <c r="O259" s="67"/>
      <c r="P259" s="67"/>
    </row>
    <row r="260" ht="22.5" customHeight="1">
      <c r="C260" s="67"/>
      <c r="D260" s="69"/>
      <c r="E260" s="67"/>
      <c r="F260" s="69"/>
      <c r="G260" s="67"/>
      <c r="H260" s="67"/>
      <c r="I260" s="67"/>
      <c r="J260" s="70"/>
      <c r="K260" s="67"/>
      <c r="L260" s="67"/>
      <c r="M260" s="67"/>
      <c r="N260" s="67"/>
      <c r="O260" s="67"/>
      <c r="P260" s="67"/>
    </row>
    <row r="261" ht="22.5" customHeight="1">
      <c r="C261" s="67"/>
      <c r="D261" s="69"/>
      <c r="E261" s="67"/>
      <c r="F261" s="69"/>
      <c r="G261" s="67"/>
      <c r="H261" s="67"/>
      <c r="I261" s="67"/>
      <c r="J261" s="70"/>
      <c r="K261" s="67"/>
      <c r="L261" s="67"/>
      <c r="M261" s="67"/>
      <c r="N261" s="67"/>
      <c r="O261" s="67"/>
      <c r="P261" s="67"/>
    </row>
    <row r="262" ht="22.5" customHeight="1">
      <c r="C262" s="67"/>
      <c r="D262" s="69"/>
      <c r="E262" s="67"/>
      <c r="F262" s="69"/>
      <c r="G262" s="67"/>
      <c r="H262" s="67"/>
      <c r="I262" s="67"/>
      <c r="J262" s="70"/>
      <c r="K262" s="67"/>
      <c r="L262" s="67"/>
      <c r="M262" s="67"/>
      <c r="N262" s="67"/>
      <c r="O262" s="67"/>
      <c r="P262" s="67"/>
    </row>
    <row r="263" ht="22.5" customHeight="1">
      <c r="C263" s="67"/>
      <c r="D263" s="69"/>
      <c r="E263" s="67"/>
      <c r="F263" s="69"/>
      <c r="G263" s="67"/>
      <c r="H263" s="67"/>
      <c r="I263" s="67"/>
      <c r="J263" s="70"/>
      <c r="K263" s="67"/>
      <c r="L263" s="67"/>
      <c r="M263" s="67"/>
      <c r="N263" s="67"/>
      <c r="O263" s="67"/>
      <c r="P263" s="67"/>
    </row>
    <row r="264" ht="22.5" customHeight="1">
      <c r="C264" s="67"/>
      <c r="D264" s="69"/>
      <c r="E264" s="67"/>
      <c r="F264" s="69"/>
      <c r="G264" s="67"/>
      <c r="H264" s="67"/>
      <c r="I264" s="67"/>
      <c r="J264" s="70"/>
      <c r="K264" s="67"/>
      <c r="L264" s="67"/>
      <c r="M264" s="67"/>
      <c r="N264" s="67"/>
      <c r="O264" s="67"/>
      <c r="P264" s="67"/>
    </row>
    <row r="265" ht="22.5" customHeight="1">
      <c r="C265" s="67"/>
      <c r="D265" s="69"/>
      <c r="E265" s="67"/>
      <c r="F265" s="69"/>
      <c r="G265" s="67"/>
      <c r="H265" s="67"/>
      <c r="I265" s="67"/>
      <c r="J265" s="70"/>
      <c r="K265" s="67"/>
      <c r="L265" s="67"/>
      <c r="M265" s="67"/>
      <c r="N265" s="67"/>
      <c r="O265" s="67"/>
      <c r="P265" s="67"/>
    </row>
    <row r="266" ht="22.5" customHeight="1">
      <c r="C266" s="67"/>
      <c r="D266" s="69"/>
      <c r="E266" s="67"/>
      <c r="F266" s="69"/>
      <c r="G266" s="67"/>
      <c r="H266" s="67"/>
      <c r="I266" s="67"/>
      <c r="J266" s="70"/>
      <c r="K266" s="67"/>
      <c r="L266" s="67"/>
      <c r="M266" s="67"/>
      <c r="N266" s="67"/>
      <c r="O266" s="67"/>
      <c r="P266" s="67"/>
    </row>
    <row r="267" ht="22.5" customHeight="1">
      <c r="C267" s="67"/>
      <c r="D267" s="69"/>
      <c r="E267" s="67"/>
      <c r="F267" s="69"/>
      <c r="G267" s="67"/>
      <c r="H267" s="67"/>
      <c r="I267" s="67"/>
      <c r="J267" s="70"/>
      <c r="K267" s="67"/>
      <c r="L267" s="67"/>
      <c r="M267" s="67"/>
      <c r="N267" s="67"/>
      <c r="O267" s="67"/>
      <c r="P267" s="67"/>
    </row>
    <row r="268" ht="22.5" customHeight="1">
      <c r="C268" s="67"/>
      <c r="D268" s="69"/>
      <c r="E268" s="67"/>
      <c r="F268" s="69"/>
      <c r="G268" s="67"/>
      <c r="H268" s="67"/>
      <c r="I268" s="67"/>
      <c r="J268" s="70"/>
      <c r="K268" s="67"/>
      <c r="L268" s="67"/>
      <c r="M268" s="67"/>
      <c r="N268" s="67"/>
      <c r="O268" s="67"/>
      <c r="P268" s="67"/>
    </row>
    <row r="269" ht="22.5" customHeight="1">
      <c r="C269" s="67"/>
      <c r="D269" s="69"/>
      <c r="E269" s="67"/>
      <c r="F269" s="69"/>
      <c r="G269" s="67"/>
      <c r="H269" s="67"/>
      <c r="I269" s="67"/>
      <c r="J269" s="70"/>
      <c r="K269" s="67"/>
      <c r="L269" s="67"/>
      <c r="M269" s="67"/>
      <c r="N269" s="67"/>
      <c r="O269" s="67"/>
      <c r="P269" s="67"/>
    </row>
    <row r="270" ht="22.5" customHeight="1">
      <c r="C270" s="67"/>
      <c r="D270" s="69"/>
      <c r="E270" s="67"/>
      <c r="F270" s="69"/>
      <c r="G270" s="67"/>
      <c r="H270" s="67"/>
      <c r="I270" s="67"/>
      <c r="J270" s="70"/>
      <c r="K270" s="67"/>
      <c r="L270" s="67"/>
      <c r="M270" s="67"/>
      <c r="N270" s="67"/>
      <c r="O270" s="67"/>
      <c r="P270" s="67"/>
    </row>
    <row r="271" ht="22.5" customHeight="1">
      <c r="C271" s="67"/>
      <c r="D271" s="69"/>
      <c r="E271" s="67"/>
      <c r="F271" s="69"/>
      <c r="G271" s="67"/>
      <c r="H271" s="67"/>
      <c r="I271" s="67"/>
      <c r="J271" s="70"/>
      <c r="K271" s="67"/>
      <c r="L271" s="67"/>
      <c r="M271" s="67"/>
      <c r="N271" s="67"/>
      <c r="O271" s="67"/>
      <c r="P271" s="67"/>
    </row>
    <row r="272" ht="22.5" customHeight="1">
      <c r="C272" s="67"/>
      <c r="D272" s="69"/>
      <c r="E272" s="67"/>
      <c r="F272" s="69"/>
      <c r="G272" s="67"/>
      <c r="H272" s="67"/>
      <c r="I272" s="67"/>
      <c r="J272" s="70"/>
      <c r="K272" s="67"/>
      <c r="L272" s="67"/>
      <c r="M272" s="67"/>
      <c r="N272" s="67"/>
      <c r="O272" s="67"/>
      <c r="P272" s="67"/>
    </row>
    <row r="273" ht="22.5" customHeight="1">
      <c r="C273" s="67"/>
      <c r="D273" s="69"/>
      <c r="E273" s="67"/>
      <c r="F273" s="69"/>
      <c r="G273" s="67"/>
      <c r="H273" s="67"/>
      <c r="I273" s="67"/>
      <c r="J273" s="70"/>
      <c r="K273" s="67"/>
      <c r="L273" s="67"/>
      <c r="M273" s="67"/>
      <c r="N273" s="67"/>
      <c r="O273" s="67"/>
      <c r="P273" s="67"/>
    </row>
    <row r="274" ht="22.5" customHeight="1">
      <c r="C274" s="67"/>
      <c r="D274" s="69"/>
      <c r="E274" s="67"/>
      <c r="F274" s="69"/>
      <c r="G274" s="67"/>
      <c r="H274" s="67"/>
      <c r="I274" s="67"/>
      <c r="J274" s="70"/>
      <c r="K274" s="67"/>
      <c r="L274" s="67"/>
      <c r="M274" s="67"/>
      <c r="N274" s="67"/>
      <c r="O274" s="67"/>
      <c r="P274" s="67"/>
    </row>
    <row r="275" ht="22.5" customHeight="1">
      <c r="C275" s="67"/>
      <c r="D275" s="69"/>
      <c r="E275" s="67"/>
      <c r="F275" s="69"/>
      <c r="G275" s="67"/>
      <c r="H275" s="67"/>
      <c r="I275" s="67"/>
      <c r="J275" s="70"/>
      <c r="K275" s="67"/>
      <c r="L275" s="67"/>
      <c r="M275" s="67"/>
      <c r="N275" s="67"/>
      <c r="O275" s="67"/>
      <c r="P275" s="67"/>
    </row>
    <row r="276" ht="22.5" customHeight="1">
      <c r="C276" s="67"/>
      <c r="D276" s="69"/>
      <c r="E276" s="67"/>
      <c r="F276" s="69"/>
      <c r="G276" s="67"/>
      <c r="H276" s="67"/>
      <c r="I276" s="67"/>
      <c r="J276" s="70"/>
      <c r="K276" s="67"/>
      <c r="L276" s="67"/>
      <c r="M276" s="67"/>
      <c r="N276" s="67"/>
      <c r="O276" s="67"/>
      <c r="P276" s="67"/>
    </row>
    <row r="277" ht="22.5" customHeight="1">
      <c r="C277" s="67"/>
      <c r="D277" s="69"/>
      <c r="E277" s="67"/>
      <c r="F277" s="69"/>
      <c r="G277" s="67"/>
      <c r="H277" s="67"/>
      <c r="I277" s="67"/>
      <c r="J277" s="70"/>
      <c r="K277" s="67"/>
      <c r="L277" s="67"/>
      <c r="M277" s="67"/>
      <c r="N277" s="67"/>
      <c r="O277" s="67"/>
      <c r="P277" s="67"/>
    </row>
    <row r="278" ht="22.5" customHeight="1">
      <c r="C278" s="67"/>
      <c r="D278" s="69"/>
      <c r="E278" s="67"/>
      <c r="F278" s="69"/>
      <c r="G278" s="67"/>
      <c r="H278" s="67"/>
      <c r="I278" s="67"/>
      <c r="J278" s="70"/>
      <c r="K278" s="67"/>
      <c r="L278" s="67"/>
      <c r="M278" s="67"/>
      <c r="N278" s="67"/>
      <c r="O278" s="67"/>
      <c r="P278" s="67"/>
    </row>
    <row r="279" ht="22.5" customHeight="1">
      <c r="C279" s="67"/>
      <c r="D279" s="69"/>
      <c r="E279" s="67"/>
      <c r="F279" s="69"/>
      <c r="G279" s="67"/>
      <c r="H279" s="67"/>
      <c r="I279" s="67"/>
      <c r="J279" s="70"/>
      <c r="K279" s="67"/>
      <c r="L279" s="67"/>
      <c r="M279" s="67"/>
      <c r="N279" s="67"/>
      <c r="O279" s="67"/>
      <c r="P279" s="67"/>
    </row>
    <row r="280" ht="22.5" customHeight="1">
      <c r="C280" s="67"/>
      <c r="D280" s="69"/>
      <c r="E280" s="67"/>
      <c r="F280" s="69"/>
      <c r="G280" s="67"/>
      <c r="H280" s="67"/>
      <c r="I280" s="67"/>
      <c r="J280" s="70"/>
      <c r="K280" s="67"/>
      <c r="L280" s="67"/>
      <c r="M280" s="67"/>
      <c r="N280" s="67"/>
      <c r="O280" s="67"/>
      <c r="P280" s="67"/>
    </row>
    <row r="281" ht="22.5" customHeight="1">
      <c r="C281" s="67"/>
      <c r="D281" s="69"/>
      <c r="E281" s="67"/>
      <c r="F281" s="69"/>
      <c r="G281" s="67"/>
      <c r="H281" s="67"/>
      <c r="I281" s="67"/>
      <c r="J281" s="70"/>
      <c r="K281" s="67"/>
      <c r="L281" s="67"/>
      <c r="M281" s="67"/>
      <c r="N281" s="67"/>
      <c r="O281" s="67"/>
      <c r="P281" s="67"/>
    </row>
    <row r="282" ht="22.5" customHeight="1">
      <c r="C282" s="67"/>
      <c r="D282" s="69"/>
      <c r="E282" s="67"/>
      <c r="F282" s="69"/>
      <c r="G282" s="67"/>
      <c r="H282" s="67"/>
      <c r="I282" s="67"/>
      <c r="J282" s="70"/>
      <c r="K282" s="67"/>
      <c r="L282" s="67"/>
      <c r="M282" s="67"/>
      <c r="N282" s="67"/>
      <c r="O282" s="67"/>
      <c r="P282" s="67"/>
    </row>
    <row r="283" ht="22.5" customHeight="1">
      <c r="C283" s="67"/>
      <c r="D283" s="69"/>
      <c r="E283" s="67"/>
      <c r="F283" s="69"/>
      <c r="G283" s="67"/>
      <c r="H283" s="67"/>
      <c r="I283" s="67"/>
      <c r="J283" s="70"/>
      <c r="K283" s="67"/>
      <c r="L283" s="67"/>
      <c r="M283" s="67"/>
      <c r="N283" s="67"/>
      <c r="O283" s="67"/>
      <c r="P283" s="67"/>
    </row>
    <row r="284" ht="22.5" customHeight="1">
      <c r="C284" s="67"/>
      <c r="D284" s="69"/>
      <c r="E284" s="67"/>
      <c r="F284" s="69"/>
      <c r="G284" s="67"/>
      <c r="H284" s="67"/>
      <c r="I284" s="67"/>
      <c r="J284" s="70"/>
      <c r="K284" s="67"/>
      <c r="L284" s="67"/>
      <c r="M284" s="67"/>
      <c r="N284" s="67"/>
      <c r="O284" s="67"/>
      <c r="P284" s="67"/>
    </row>
    <row r="285" ht="22.5" customHeight="1">
      <c r="C285" s="67"/>
      <c r="D285" s="69"/>
      <c r="E285" s="67"/>
      <c r="F285" s="69"/>
      <c r="G285" s="67"/>
      <c r="H285" s="67"/>
      <c r="I285" s="67"/>
      <c r="J285" s="70"/>
      <c r="K285" s="67"/>
      <c r="L285" s="67"/>
      <c r="M285" s="67"/>
      <c r="N285" s="67"/>
      <c r="O285" s="67"/>
      <c r="P285" s="67"/>
    </row>
    <row r="286" ht="22.5" customHeight="1">
      <c r="C286" s="67"/>
      <c r="D286" s="69"/>
      <c r="E286" s="67"/>
      <c r="F286" s="69"/>
      <c r="G286" s="67"/>
      <c r="H286" s="67"/>
      <c r="I286" s="67"/>
      <c r="J286" s="70"/>
      <c r="K286" s="67"/>
      <c r="L286" s="67"/>
      <c r="M286" s="67"/>
      <c r="N286" s="67"/>
      <c r="O286" s="67"/>
      <c r="P286" s="67"/>
    </row>
    <row r="287" ht="22.5" customHeight="1">
      <c r="C287" s="67"/>
      <c r="D287" s="69"/>
      <c r="E287" s="67"/>
      <c r="F287" s="69"/>
      <c r="G287" s="67"/>
      <c r="H287" s="67"/>
      <c r="I287" s="67"/>
      <c r="J287" s="70"/>
      <c r="K287" s="67"/>
      <c r="L287" s="67"/>
      <c r="M287" s="67"/>
      <c r="N287" s="67"/>
      <c r="O287" s="67"/>
      <c r="P287" s="67"/>
    </row>
    <row r="288" ht="22.5" customHeight="1">
      <c r="C288" s="67"/>
      <c r="D288" s="69"/>
      <c r="E288" s="67"/>
      <c r="F288" s="69"/>
      <c r="G288" s="67"/>
      <c r="H288" s="67"/>
      <c r="I288" s="67"/>
      <c r="J288" s="70"/>
      <c r="K288" s="67"/>
      <c r="L288" s="67"/>
      <c r="M288" s="67"/>
      <c r="N288" s="67"/>
      <c r="O288" s="67"/>
      <c r="P288" s="67"/>
    </row>
    <row r="289" ht="22.5" customHeight="1">
      <c r="C289" s="67"/>
      <c r="D289" s="69"/>
      <c r="E289" s="67"/>
      <c r="F289" s="69"/>
      <c r="G289" s="67"/>
      <c r="H289" s="67"/>
      <c r="I289" s="67"/>
      <c r="J289" s="70"/>
      <c r="K289" s="67"/>
      <c r="L289" s="67"/>
      <c r="M289" s="67"/>
      <c r="N289" s="67"/>
      <c r="O289" s="67"/>
      <c r="P289" s="67"/>
    </row>
    <row r="290" ht="22.5" customHeight="1">
      <c r="C290" s="67"/>
      <c r="D290" s="69"/>
      <c r="E290" s="67"/>
      <c r="F290" s="69"/>
      <c r="G290" s="67"/>
      <c r="H290" s="67"/>
      <c r="I290" s="67"/>
      <c r="J290" s="70"/>
      <c r="K290" s="67"/>
      <c r="L290" s="67"/>
      <c r="M290" s="67"/>
      <c r="N290" s="67"/>
      <c r="O290" s="67"/>
      <c r="P290" s="67"/>
    </row>
    <row r="291" ht="22.5" customHeight="1">
      <c r="C291" s="67"/>
      <c r="D291" s="69"/>
      <c r="E291" s="67"/>
      <c r="F291" s="69"/>
      <c r="G291" s="67"/>
      <c r="H291" s="67"/>
      <c r="I291" s="67"/>
      <c r="J291" s="70"/>
      <c r="K291" s="67"/>
      <c r="L291" s="67"/>
      <c r="M291" s="67"/>
      <c r="N291" s="67"/>
      <c r="O291" s="67"/>
      <c r="P291" s="67"/>
    </row>
    <row r="292" ht="22.5" customHeight="1">
      <c r="C292" s="67"/>
      <c r="D292" s="69"/>
      <c r="E292" s="67"/>
      <c r="F292" s="69"/>
      <c r="G292" s="67"/>
      <c r="H292" s="67"/>
      <c r="I292" s="67"/>
      <c r="J292" s="70"/>
      <c r="K292" s="67"/>
      <c r="L292" s="67"/>
      <c r="M292" s="67"/>
      <c r="N292" s="67"/>
      <c r="O292" s="67"/>
      <c r="P292" s="67"/>
    </row>
    <row r="293" ht="22.5" customHeight="1">
      <c r="C293" s="67"/>
      <c r="D293" s="69"/>
      <c r="E293" s="67"/>
      <c r="F293" s="69"/>
      <c r="G293" s="67"/>
      <c r="H293" s="67"/>
      <c r="I293" s="67"/>
      <c r="J293" s="70"/>
      <c r="K293" s="67"/>
      <c r="L293" s="67"/>
      <c r="M293" s="67"/>
      <c r="N293" s="67"/>
      <c r="O293" s="67"/>
      <c r="P293" s="67"/>
    </row>
    <row r="294" ht="22.5" customHeight="1">
      <c r="C294" s="67"/>
      <c r="D294" s="69"/>
      <c r="E294" s="67"/>
      <c r="F294" s="69"/>
      <c r="G294" s="67"/>
      <c r="H294" s="67"/>
      <c r="I294" s="67"/>
      <c r="J294" s="70"/>
      <c r="K294" s="67"/>
      <c r="L294" s="67"/>
      <c r="M294" s="67"/>
      <c r="N294" s="67"/>
      <c r="O294" s="67"/>
      <c r="P294" s="67"/>
    </row>
    <row r="295" ht="22.5" customHeight="1">
      <c r="C295" s="67"/>
      <c r="D295" s="69"/>
      <c r="E295" s="67"/>
      <c r="F295" s="69"/>
      <c r="G295" s="67"/>
      <c r="H295" s="67"/>
      <c r="I295" s="67"/>
      <c r="J295" s="70"/>
      <c r="K295" s="67"/>
      <c r="L295" s="67"/>
      <c r="M295" s="67"/>
      <c r="N295" s="67"/>
      <c r="O295" s="67"/>
      <c r="P295" s="67"/>
    </row>
    <row r="296" ht="22.5" customHeight="1">
      <c r="C296" s="67"/>
      <c r="D296" s="69"/>
      <c r="E296" s="67"/>
      <c r="F296" s="69"/>
      <c r="G296" s="67"/>
      <c r="H296" s="67"/>
      <c r="I296" s="67"/>
      <c r="J296" s="70"/>
      <c r="K296" s="67"/>
      <c r="L296" s="67"/>
      <c r="M296" s="67"/>
      <c r="N296" s="67"/>
      <c r="O296" s="67"/>
      <c r="P296" s="67"/>
    </row>
    <row r="297" ht="22.5" customHeight="1">
      <c r="C297" s="67"/>
      <c r="D297" s="69"/>
      <c r="E297" s="67"/>
      <c r="F297" s="69"/>
      <c r="G297" s="67"/>
      <c r="H297" s="67"/>
      <c r="I297" s="67"/>
      <c r="J297" s="70"/>
      <c r="K297" s="67"/>
      <c r="L297" s="67"/>
      <c r="M297" s="67"/>
      <c r="N297" s="67"/>
      <c r="O297" s="67"/>
      <c r="P297" s="67"/>
    </row>
    <row r="298" ht="22.5" customHeight="1">
      <c r="C298" s="67"/>
      <c r="D298" s="69"/>
      <c r="E298" s="67"/>
      <c r="F298" s="69"/>
      <c r="G298" s="67"/>
      <c r="H298" s="67"/>
      <c r="I298" s="67"/>
      <c r="J298" s="70"/>
      <c r="K298" s="67"/>
      <c r="L298" s="67"/>
      <c r="M298" s="67"/>
      <c r="N298" s="67"/>
      <c r="O298" s="67"/>
      <c r="P298" s="67"/>
    </row>
    <row r="299" ht="22.5" customHeight="1">
      <c r="C299" s="67"/>
      <c r="D299" s="69"/>
      <c r="E299" s="67"/>
      <c r="F299" s="69"/>
      <c r="G299" s="67"/>
      <c r="H299" s="67"/>
      <c r="I299" s="67"/>
      <c r="J299" s="70"/>
      <c r="K299" s="67"/>
      <c r="L299" s="67"/>
      <c r="M299" s="67"/>
      <c r="N299" s="67"/>
      <c r="O299" s="67"/>
      <c r="P299" s="67"/>
    </row>
    <row r="300" ht="22.5" customHeight="1">
      <c r="C300" s="67"/>
      <c r="D300" s="69"/>
      <c r="E300" s="67"/>
      <c r="F300" s="69"/>
      <c r="G300" s="67"/>
      <c r="H300" s="67"/>
      <c r="I300" s="67"/>
      <c r="J300" s="70"/>
      <c r="K300" s="67"/>
      <c r="L300" s="67"/>
      <c r="M300" s="67"/>
      <c r="N300" s="67"/>
      <c r="O300" s="67"/>
      <c r="P300" s="67"/>
    </row>
    <row r="301" ht="22.5" customHeight="1">
      <c r="C301" s="67"/>
      <c r="D301" s="69"/>
      <c r="E301" s="67"/>
      <c r="F301" s="69"/>
      <c r="G301" s="67"/>
      <c r="H301" s="67"/>
      <c r="I301" s="67"/>
      <c r="J301" s="70"/>
      <c r="K301" s="67"/>
      <c r="L301" s="67"/>
      <c r="M301" s="67"/>
      <c r="N301" s="67"/>
      <c r="O301" s="67"/>
      <c r="P301" s="67"/>
    </row>
    <row r="302" ht="22.5" customHeight="1">
      <c r="C302" s="67"/>
      <c r="D302" s="69"/>
      <c r="E302" s="67"/>
      <c r="F302" s="69"/>
      <c r="G302" s="67"/>
      <c r="H302" s="67"/>
      <c r="I302" s="67"/>
      <c r="J302" s="70"/>
      <c r="K302" s="67"/>
      <c r="L302" s="67"/>
      <c r="M302" s="67"/>
      <c r="N302" s="67"/>
      <c r="O302" s="67"/>
      <c r="P302" s="67"/>
    </row>
    <row r="303" ht="22.5" customHeight="1">
      <c r="C303" s="67"/>
      <c r="D303" s="69"/>
      <c r="E303" s="67"/>
      <c r="F303" s="69"/>
      <c r="G303" s="67"/>
      <c r="H303" s="67"/>
      <c r="I303" s="67"/>
      <c r="J303" s="70"/>
      <c r="K303" s="67"/>
      <c r="L303" s="67"/>
      <c r="M303" s="67"/>
      <c r="N303" s="67"/>
      <c r="O303" s="67"/>
      <c r="P303" s="67"/>
    </row>
    <row r="304" ht="22.5" customHeight="1">
      <c r="C304" s="67"/>
      <c r="D304" s="69"/>
      <c r="E304" s="67"/>
      <c r="F304" s="69"/>
      <c r="G304" s="67"/>
      <c r="H304" s="67"/>
      <c r="I304" s="67"/>
      <c r="J304" s="70"/>
      <c r="K304" s="67"/>
      <c r="L304" s="67"/>
      <c r="M304" s="67"/>
      <c r="N304" s="67"/>
      <c r="O304" s="67"/>
      <c r="P304" s="67"/>
    </row>
    <row r="305" ht="22.5" customHeight="1">
      <c r="C305" s="67"/>
      <c r="D305" s="69"/>
      <c r="E305" s="67"/>
      <c r="F305" s="69"/>
      <c r="G305" s="67"/>
      <c r="H305" s="67"/>
      <c r="I305" s="67"/>
      <c r="J305" s="70"/>
      <c r="K305" s="67"/>
      <c r="L305" s="67"/>
      <c r="M305" s="67"/>
      <c r="N305" s="67"/>
      <c r="O305" s="67"/>
      <c r="P305" s="67"/>
    </row>
    <row r="306" ht="22.5" customHeight="1">
      <c r="C306" s="67"/>
      <c r="D306" s="69"/>
      <c r="E306" s="67"/>
      <c r="F306" s="69"/>
      <c r="G306" s="67"/>
      <c r="H306" s="67"/>
      <c r="I306" s="67"/>
      <c r="J306" s="70"/>
      <c r="K306" s="67"/>
      <c r="L306" s="67"/>
      <c r="M306" s="67"/>
      <c r="N306" s="67"/>
      <c r="O306" s="67"/>
      <c r="P306" s="67"/>
    </row>
    <row r="307" ht="22.5" customHeight="1">
      <c r="C307" s="67"/>
      <c r="D307" s="69"/>
      <c r="E307" s="67"/>
      <c r="F307" s="69"/>
      <c r="G307" s="67"/>
      <c r="H307" s="67"/>
      <c r="I307" s="67"/>
      <c r="J307" s="70"/>
      <c r="K307" s="67"/>
      <c r="L307" s="67"/>
      <c r="M307" s="67"/>
      <c r="N307" s="67"/>
      <c r="O307" s="67"/>
      <c r="P307" s="67"/>
    </row>
    <row r="308" ht="22.5" customHeight="1">
      <c r="C308" s="67"/>
      <c r="D308" s="69"/>
      <c r="E308" s="67"/>
      <c r="F308" s="69"/>
      <c r="G308" s="67"/>
      <c r="H308" s="67"/>
      <c r="I308" s="67"/>
      <c r="J308" s="70"/>
      <c r="K308" s="67"/>
      <c r="L308" s="67"/>
      <c r="M308" s="67"/>
      <c r="N308" s="67"/>
      <c r="O308" s="67"/>
      <c r="P308" s="67"/>
    </row>
    <row r="309" ht="22.5" customHeight="1">
      <c r="C309" s="67"/>
      <c r="D309" s="69"/>
      <c r="E309" s="67"/>
      <c r="F309" s="69"/>
      <c r="G309" s="67"/>
      <c r="H309" s="67"/>
      <c r="I309" s="67"/>
      <c r="J309" s="70"/>
      <c r="K309" s="67"/>
      <c r="L309" s="67"/>
      <c r="M309" s="67"/>
      <c r="N309" s="67"/>
      <c r="O309" s="67"/>
      <c r="P309" s="67"/>
    </row>
    <row r="310" ht="22.5" customHeight="1">
      <c r="C310" s="67"/>
      <c r="D310" s="69"/>
      <c r="E310" s="67"/>
      <c r="F310" s="69"/>
      <c r="G310" s="67"/>
      <c r="H310" s="67"/>
      <c r="I310" s="67"/>
      <c r="J310" s="70"/>
      <c r="K310" s="67"/>
      <c r="L310" s="67"/>
      <c r="M310" s="67"/>
      <c r="N310" s="67"/>
      <c r="O310" s="67"/>
      <c r="P310" s="67"/>
    </row>
    <row r="311" ht="22.5" customHeight="1">
      <c r="C311" s="67"/>
      <c r="D311" s="69"/>
      <c r="E311" s="67"/>
      <c r="F311" s="69"/>
      <c r="G311" s="67"/>
      <c r="H311" s="67"/>
      <c r="I311" s="67"/>
      <c r="J311" s="70"/>
      <c r="K311" s="67"/>
      <c r="L311" s="67"/>
      <c r="M311" s="67"/>
      <c r="N311" s="67"/>
      <c r="O311" s="67"/>
      <c r="P311" s="67"/>
    </row>
    <row r="312" ht="22.5" customHeight="1">
      <c r="C312" s="67"/>
      <c r="D312" s="69"/>
      <c r="E312" s="67"/>
      <c r="F312" s="69"/>
      <c r="G312" s="67"/>
      <c r="H312" s="67"/>
      <c r="I312" s="67"/>
      <c r="J312" s="70"/>
      <c r="K312" s="67"/>
      <c r="L312" s="67"/>
      <c r="M312" s="67"/>
      <c r="N312" s="67"/>
      <c r="O312" s="67"/>
      <c r="P312" s="67"/>
    </row>
    <row r="313" ht="22.5" customHeight="1">
      <c r="C313" s="67"/>
      <c r="D313" s="69"/>
      <c r="E313" s="67"/>
      <c r="F313" s="69"/>
      <c r="G313" s="67"/>
      <c r="H313" s="67"/>
      <c r="I313" s="67"/>
      <c r="J313" s="70"/>
      <c r="K313" s="67"/>
      <c r="L313" s="67"/>
      <c r="M313" s="67"/>
      <c r="N313" s="67"/>
      <c r="O313" s="67"/>
      <c r="P313" s="67"/>
    </row>
    <row r="314" ht="22.5" customHeight="1">
      <c r="C314" s="67"/>
      <c r="D314" s="69"/>
      <c r="E314" s="67"/>
      <c r="F314" s="69"/>
      <c r="G314" s="67"/>
      <c r="H314" s="67"/>
      <c r="I314" s="67"/>
      <c r="J314" s="70"/>
      <c r="K314" s="67"/>
      <c r="L314" s="67"/>
      <c r="M314" s="67"/>
      <c r="N314" s="67"/>
      <c r="O314" s="67"/>
      <c r="P314" s="67"/>
    </row>
    <row r="315" ht="22.5" customHeight="1">
      <c r="C315" s="67"/>
      <c r="D315" s="69"/>
      <c r="E315" s="67"/>
      <c r="F315" s="69"/>
      <c r="G315" s="67"/>
      <c r="H315" s="67"/>
      <c r="I315" s="67"/>
      <c r="J315" s="70"/>
      <c r="K315" s="67"/>
      <c r="L315" s="67"/>
      <c r="M315" s="67"/>
      <c r="N315" s="67"/>
      <c r="O315" s="67"/>
      <c r="P315" s="67"/>
    </row>
    <row r="316" ht="22.5" customHeight="1">
      <c r="C316" s="67"/>
      <c r="D316" s="69"/>
      <c r="E316" s="67"/>
      <c r="F316" s="69"/>
      <c r="G316" s="67"/>
      <c r="H316" s="67"/>
      <c r="I316" s="67"/>
      <c r="J316" s="70"/>
      <c r="K316" s="67"/>
      <c r="L316" s="67"/>
      <c r="M316" s="67"/>
      <c r="N316" s="67"/>
      <c r="O316" s="67"/>
      <c r="P316" s="67"/>
    </row>
    <row r="317" ht="22.5" customHeight="1">
      <c r="C317" s="67"/>
      <c r="D317" s="69"/>
      <c r="E317" s="67"/>
      <c r="F317" s="69"/>
      <c r="G317" s="67"/>
      <c r="H317" s="67"/>
      <c r="I317" s="67"/>
      <c r="J317" s="70"/>
      <c r="K317" s="67"/>
      <c r="L317" s="67"/>
      <c r="M317" s="67"/>
      <c r="N317" s="67"/>
      <c r="O317" s="67"/>
      <c r="P317" s="67"/>
    </row>
    <row r="318" ht="22.5" customHeight="1">
      <c r="C318" s="67"/>
      <c r="D318" s="69"/>
      <c r="E318" s="67"/>
      <c r="F318" s="69"/>
      <c r="G318" s="67"/>
      <c r="H318" s="67"/>
      <c r="I318" s="67"/>
      <c r="J318" s="70"/>
      <c r="K318" s="67"/>
      <c r="L318" s="67"/>
      <c r="M318" s="67"/>
      <c r="N318" s="67"/>
      <c r="O318" s="67"/>
      <c r="P318" s="67"/>
    </row>
    <row r="319" ht="22.5" customHeight="1">
      <c r="C319" s="67"/>
      <c r="D319" s="69"/>
      <c r="E319" s="67"/>
      <c r="F319" s="69"/>
      <c r="G319" s="67"/>
      <c r="H319" s="67"/>
      <c r="I319" s="67"/>
      <c r="J319" s="70"/>
      <c r="K319" s="67"/>
      <c r="L319" s="67"/>
      <c r="M319" s="67"/>
      <c r="N319" s="67"/>
      <c r="O319" s="67"/>
      <c r="P319" s="67"/>
    </row>
    <row r="320" ht="22.5" customHeight="1">
      <c r="C320" s="67"/>
      <c r="D320" s="69"/>
      <c r="E320" s="67"/>
      <c r="F320" s="69"/>
      <c r="G320" s="67"/>
      <c r="H320" s="67"/>
      <c r="I320" s="67"/>
      <c r="J320" s="70"/>
      <c r="K320" s="67"/>
      <c r="L320" s="67"/>
      <c r="M320" s="67"/>
      <c r="N320" s="67"/>
      <c r="O320" s="67"/>
      <c r="P320" s="67"/>
    </row>
    <row r="321" ht="22.5" customHeight="1">
      <c r="C321" s="67"/>
      <c r="D321" s="69"/>
      <c r="E321" s="67"/>
      <c r="F321" s="69"/>
      <c r="G321" s="67"/>
      <c r="H321" s="67"/>
      <c r="I321" s="67"/>
      <c r="J321" s="70"/>
      <c r="K321" s="67"/>
      <c r="L321" s="67"/>
      <c r="M321" s="67"/>
      <c r="N321" s="67"/>
      <c r="O321" s="67"/>
      <c r="P321" s="67"/>
    </row>
    <row r="322" ht="22.5" customHeight="1">
      <c r="C322" s="67"/>
      <c r="D322" s="69"/>
      <c r="E322" s="67"/>
      <c r="F322" s="69"/>
      <c r="G322" s="67"/>
      <c r="H322" s="67"/>
      <c r="I322" s="67"/>
      <c r="J322" s="70"/>
      <c r="K322" s="67"/>
      <c r="L322" s="67"/>
      <c r="M322" s="67"/>
      <c r="N322" s="67"/>
      <c r="O322" s="67"/>
      <c r="P322" s="67"/>
    </row>
    <row r="323" ht="22.5" customHeight="1">
      <c r="C323" s="67"/>
      <c r="D323" s="69"/>
      <c r="E323" s="67"/>
      <c r="F323" s="69"/>
      <c r="G323" s="67"/>
      <c r="H323" s="67"/>
      <c r="I323" s="67"/>
      <c r="J323" s="70"/>
      <c r="K323" s="67"/>
      <c r="L323" s="67"/>
      <c r="M323" s="67"/>
      <c r="N323" s="67"/>
      <c r="O323" s="67"/>
      <c r="P323" s="67"/>
    </row>
    <row r="324" ht="22.5" customHeight="1">
      <c r="C324" s="67"/>
      <c r="D324" s="69"/>
      <c r="E324" s="67"/>
      <c r="F324" s="69"/>
      <c r="G324" s="67"/>
      <c r="H324" s="67"/>
      <c r="I324" s="67"/>
      <c r="J324" s="70"/>
      <c r="K324" s="67"/>
      <c r="L324" s="67"/>
      <c r="M324" s="67"/>
      <c r="N324" s="67"/>
      <c r="O324" s="67"/>
      <c r="P324" s="67"/>
    </row>
    <row r="325" ht="22.5" customHeight="1">
      <c r="C325" s="67"/>
      <c r="D325" s="69"/>
      <c r="E325" s="67"/>
      <c r="F325" s="69"/>
      <c r="G325" s="67"/>
      <c r="H325" s="67"/>
      <c r="I325" s="67"/>
      <c r="J325" s="70"/>
      <c r="K325" s="67"/>
      <c r="L325" s="67"/>
      <c r="M325" s="67"/>
      <c r="N325" s="67"/>
      <c r="O325" s="67"/>
      <c r="P325" s="67"/>
    </row>
    <row r="326" ht="22.5" customHeight="1">
      <c r="C326" s="67"/>
      <c r="D326" s="69"/>
      <c r="E326" s="67"/>
      <c r="F326" s="69"/>
      <c r="G326" s="67"/>
      <c r="H326" s="67"/>
      <c r="I326" s="67"/>
      <c r="J326" s="70"/>
      <c r="K326" s="67"/>
      <c r="L326" s="67"/>
      <c r="M326" s="67"/>
      <c r="N326" s="67"/>
      <c r="O326" s="67"/>
      <c r="P326" s="67"/>
    </row>
    <row r="327" ht="22.5" customHeight="1">
      <c r="C327" s="67"/>
      <c r="D327" s="69"/>
      <c r="E327" s="67"/>
      <c r="F327" s="69"/>
      <c r="G327" s="67"/>
      <c r="H327" s="67"/>
      <c r="I327" s="67"/>
      <c r="J327" s="70"/>
      <c r="K327" s="67"/>
      <c r="L327" s="67"/>
      <c r="M327" s="67"/>
      <c r="N327" s="67"/>
      <c r="O327" s="67"/>
      <c r="P327" s="67"/>
    </row>
    <row r="328" ht="22.5" customHeight="1">
      <c r="C328" s="67"/>
      <c r="D328" s="69"/>
      <c r="E328" s="67"/>
      <c r="F328" s="69"/>
      <c r="G328" s="67"/>
      <c r="H328" s="67"/>
      <c r="I328" s="67"/>
      <c r="J328" s="70"/>
      <c r="K328" s="67"/>
      <c r="L328" s="67"/>
      <c r="M328" s="67"/>
      <c r="N328" s="67"/>
      <c r="O328" s="67"/>
      <c r="P328" s="67"/>
    </row>
    <row r="329" ht="22.5" customHeight="1">
      <c r="C329" s="67"/>
      <c r="D329" s="69"/>
      <c r="E329" s="67"/>
      <c r="F329" s="69"/>
      <c r="G329" s="67"/>
      <c r="H329" s="67"/>
      <c r="I329" s="67"/>
      <c r="J329" s="70"/>
      <c r="K329" s="67"/>
      <c r="L329" s="67"/>
      <c r="M329" s="67"/>
      <c r="N329" s="67"/>
      <c r="O329" s="67"/>
      <c r="P329" s="67"/>
    </row>
    <row r="330" ht="22.5" customHeight="1">
      <c r="C330" s="67"/>
      <c r="D330" s="69"/>
      <c r="E330" s="67"/>
      <c r="F330" s="69"/>
      <c r="G330" s="67"/>
      <c r="H330" s="67"/>
      <c r="I330" s="67"/>
      <c r="J330" s="70"/>
      <c r="K330" s="67"/>
      <c r="L330" s="67"/>
      <c r="M330" s="67"/>
      <c r="N330" s="67"/>
      <c r="O330" s="67"/>
      <c r="P330" s="67"/>
    </row>
    <row r="331" ht="22.5" customHeight="1">
      <c r="C331" s="67"/>
      <c r="D331" s="69"/>
      <c r="E331" s="67"/>
      <c r="F331" s="69"/>
      <c r="G331" s="67"/>
      <c r="H331" s="67"/>
      <c r="I331" s="67"/>
      <c r="J331" s="70"/>
      <c r="K331" s="67"/>
      <c r="L331" s="67"/>
      <c r="M331" s="67"/>
      <c r="N331" s="67"/>
      <c r="O331" s="67"/>
      <c r="P331" s="67"/>
    </row>
    <row r="332" ht="22.5" customHeight="1">
      <c r="C332" s="67"/>
      <c r="D332" s="69"/>
      <c r="E332" s="67"/>
      <c r="F332" s="69"/>
      <c r="G332" s="67"/>
      <c r="H332" s="67"/>
      <c r="I332" s="67"/>
      <c r="J332" s="70"/>
      <c r="K332" s="67"/>
      <c r="L332" s="67"/>
      <c r="M332" s="67"/>
      <c r="N332" s="67"/>
      <c r="O332" s="67"/>
      <c r="P332" s="67"/>
    </row>
    <row r="333" ht="22.5" customHeight="1">
      <c r="C333" s="67"/>
      <c r="D333" s="69"/>
      <c r="E333" s="67"/>
      <c r="F333" s="69"/>
      <c r="G333" s="67"/>
      <c r="H333" s="67"/>
      <c r="I333" s="67"/>
      <c r="J333" s="70"/>
      <c r="K333" s="67"/>
      <c r="L333" s="67"/>
      <c r="M333" s="67"/>
      <c r="N333" s="67"/>
      <c r="O333" s="67"/>
      <c r="P333" s="67"/>
    </row>
    <row r="334" ht="22.5" customHeight="1">
      <c r="C334" s="67"/>
      <c r="D334" s="69"/>
      <c r="E334" s="67"/>
      <c r="F334" s="69"/>
      <c r="G334" s="67"/>
      <c r="H334" s="67"/>
      <c r="I334" s="67"/>
      <c r="J334" s="70"/>
      <c r="K334" s="67"/>
      <c r="L334" s="67"/>
      <c r="M334" s="67"/>
      <c r="N334" s="67"/>
      <c r="O334" s="67"/>
      <c r="P334" s="67"/>
    </row>
    <row r="335" ht="22.5" customHeight="1">
      <c r="C335" s="67"/>
      <c r="D335" s="69"/>
      <c r="E335" s="67"/>
      <c r="F335" s="69"/>
      <c r="G335" s="67"/>
      <c r="H335" s="67"/>
      <c r="I335" s="67"/>
      <c r="J335" s="70"/>
      <c r="K335" s="67"/>
      <c r="L335" s="67"/>
      <c r="M335" s="67"/>
      <c r="N335" s="67"/>
      <c r="O335" s="67"/>
      <c r="P335" s="67"/>
    </row>
    <row r="336" ht="22.5" customHeight="1">
      <c r="C336" s="67"/>
      <c r="D336" s="69"/>
      <c r="E336" s="67"/>
      <c r="F336" s="69"/>
      <c r="G336" s="67"/>
      <c r="H336" s="67"/>
      <c r="I336" s="67"/>
      <c r="J336" s="70"/>
      <c r="K336" s="67"/>
      <c r="L336" s="67"/>
      <c r="M336" s="67"/>
      <c r="N336" s="67"/>
      <c r="O336" s="67"/>
      <c r="P336" s="67"/>
    </row>
    <row r="337" ht="22.5" customHeight="1">
      <c r="C337" s="67"/>
      <c r="D337" s="69"/>
      <c r="E337" s="67"/>
      <c r="F337" s="69"/>
      <c r="G337" s="67"/>
      <c r="H337" s="67"/>
      <c r="I337" s="67"/>
      <c r="J337" s="70"/>
      <c r="K337" s="67"/>
      <c r="L337" s="67"/>
      <c r="M337" s="67"/>
      <c r="N337" s="67"/>
      <c r="O337" s="67"/>
      <c r="P337" s="67"/>
    </row>
    <row r="338" ht="22.5" customHeight="1">
      <c r="C338" s="67"/>
      <c r="D338" s="69"/>
      <c r="E338" s="67"/>
      <c r="F338" s="69"/>
      <c r="G338" s="67"/>
      <c r="H338" s="67"/>
      <c r="I338" s="67"/>
      <c r="J338" s="70"/>
      <c r="K338" s="67"/>
      <c r="L338" s="67"/>
      <c r="M338" s="67"/>
      <c r="N338" s="67"/>
      <c r="O338" s="67"/>
      <c r="P338" s="67"/>
    </row>
    <row r="339" ht="22.5" customHeight="1">
      <c r="C339" s="67"/>
      <c r="D339" s="69"/>
      <c r="E339" s="67"/>
      <c r="F339" s="69"/>
      <c r="G339" s="67"/>
      <c r="H339" s="67"/>
      <c r="I339" s="67"/>
      <c r="J339" s="70"/>
      <c r="K339" s="67"/>
      <c r="L339" s="67"/>
      <c r="M339" s="67"/>
      <c r="N339" s="67"/>
      <c r="O339" s="67"/>
      <c r="P339" s="67"/>
    </row>
    <row r="340" ht="22.5" customHeight="1">
      <c r="C340" s="67"/>
      <c r="D340" s="69"/>
      <c r="E340" s="67"/>
      <c r="F340" s="69"/>
      <c r="G340" s="67"/>
      <c r="H340" s="67"/>
      <c r="I340" s="67"/>
      <c r="J340" s="70"/>
      <c r="K340" s="67"/>
      <c r="L340" s="67"/>
      <c r="M340" s="67"/>
      <c r="N340" s="67"/>
      <c r="O340" s="67"/>
      <c r="P340" s="67"/>
    </row>
    <row r="341" ht="22.5" customHeight="1">
      <c r="C341" s="67"/>
      <c r="D341" s="69"/>
      <c r="E341" s="67"/>
      <c r="F341" s="69"/>
      <c r="G341" s="67"/>
      <c r="H341" s="67"/>
      <c r="I341" s="67"/>
      <c r="J341" s="70"/>
      <c r="K341" s="67"/>
      <c r="L341" s="67"/>
      <c r="M341" s="67"/>
      <c r="N341" s="67"/>
      <c r="O341" s="67"/>
      <c r="P341" s="67"/>
    </row>
    <row r="342" ht="22.5" customHeight="1">
      <c r="C342" s="67"/>
      <c r="D342" s="69"/>
      <c r="E342" s="67"/>
      <c r="F342" s="69"/>
      <c r="G342" s="67"/>
      <c r="H342" s="67"/>
      <c r="I342" s="67"/>
      <c r="J342" s="70"/>
      <c r="K342" s="67"/>
      <c r="L342" s="67"/>
      <c r="M342" s="67"/>
      <c r="N342" s="67"/>
      <c r="O342" s="67"/>
      <c r="P342" s="67"/>
    </row>
    <row r="343" ht="22.5" customHeight="1">
      <c r="C343" s="67"/>
      <c r="D343" s="69"/>
      <c r="E343" s="67"/>
      <c r="F343" s="69"/>
      <c r="G343" s="67"/>
      <c r="H343" s="67"/>
      <c r="I343" s="67"/>
      <c r="J343" s="70"/>
      <c r="K343" s="67"/>
      <c r="L343" s="67"/>
      <c r="M343" s="67"/>
      <c r="N343" s="67"/>
      <c r="O343" s="67"/>
      <c r="P343" s="67"/>
    </row>
    <row r="344" ht="22.5" customHeight="1">
      <c r="C344" s="67"/>
      <c r="D344" s="69"/>
      <c r="E344" s="67"/>
      <c r="F344" s="69"/>
      <c r="G344" s="67"/>
      <c r="H344" s="67"/>
      <c r="I344" s="67"/>
      <c r="J344" s="70"/>
      <c r="K344" s="67"/>
      <c r="L344" s="67"/>
      <c r="M344" s="67"/>
      <c r="N344" s="67"/>
      <c r="O344" s="67"/>
      <c r="P344" s="67"/>
    </row>
    <row r="345" ht="22.5" customHeight="1">
      <c r="C345" s="67"/>
      <c r="D345" s="69"/>
      <c r="E345" s="67"/>
      <c r="F345" s="69"/>
      <c r="G345" s="67"/>
      <c r="H345" s="67"/>
      <c r="I345" s="67"/>
      <c r="J345" s="70"/>
      <c r="K345" s="67"/>
      <c r="L345" s="67"/>
      <c r="M345" s="67"/>
      <c r="N345" s="67"/>
      <c r="O345" s="67"/>
      <c r="P345" s="67"/>
    </row>
    <row r="346" ht="22.5" customHeight="1">
      <c r="C346" s="67"/>
      <c r="D346" s="69"/>
      <c r="E346" s="67"/>
      <c r="F346" s="69"/>
      <c r="G346" s="67"/>
      <c r="H346" s="67"/>
      <c r="I346" s="67"/>
      <c r="J346" s="70"/>
      <c r="K346" s="67"/>
      <c r="L346" s="67"/>
      <c r="M346" s="67"/>
      <c r="N346" s="67"/>
      <c r="O346" s="67"/>
      <c r="P346" s="67"/>
    </row>
    <row r="347" ht="22.5" customHeight="1">
      <c r="C347" s="67"/>
      <c r="D347" s="69"/>
      <c r="E347" s="67"/>
      <c r="F347" s="69"/>
      <c r="G347" s="67"/>
      <c r="H347" s="67"/>
      <c r="I347" s="67"/>
      <c r="J347" s="70"/>
      <c r="K347" s="67"/>
      <c r="L347" s="67"/>
      <c r="M347" s="67"/>
      <c r="N347" s="67"/>
      <c r="O347" s="67"/>
      <c r="P347" s="67"/>
    </row>
    <row r="348" ht="22.5" customHeight="1">
      <c r="C348" s="67"/>
      <c r="D348" s="69"/>
      <c r="E348" s="67"/>
      <c r="F348" s="69"/>
      <c r="G348" s="67"/>
      <c r="H348" s="67"/>
      <c r="I348" s="67"/>
      <c r="J348" s="70"/>
      <c r="K348" s="67"/>
      <c r="L348" s="67"/>
      <c r="M348" s="67"/>
      <c r="N348" s="67"/>
      <c r="O348" s="67"/>
      <c r="P348" s="67"/>
    </row>
    <row r="349" ht="22.5" customHeight="1">
      <c r="C349" s="67"/>
      <c r="D349" s="69"/>
      <c r="E349" s="67"/>
      <c r="F349" s="69"/>
      <c r="G349" s="67"/>
      <c r="H349" s="67"/>
      <c r="I349" s="67"/>
      <c r="J349" s="70"/>
      <c r="K349" s="67"/>
      <c r="L349" s="67"/>
      <c r="M349" s="67"/>
      <c r="N349" s="67"/>
      <c r="O349" s="67"/>
      <c r="P349" s="67"/>
    </row>
    <row r="350" ht="22.5" customHeight="1">
      <c r="C350" s="67"/>
      <c r="D350" s="69"/>
      <c r="E350" s="67"/>
      <c r="F350" s="69"/>
      <c r="G350" s="67"/>
      <c r="H350" s="67"/>
      <c r="I350" s="67"/>
      <c r="J350" s="70"/>
      <c r="K350" s="67"/>
      <c r="L350" s="67"/>
      <c r="M350" s="67"/>
      <c r="N350" s="67"/>
      <c r="O350" s="67"/>
      <c r="P350" s="67"/>
    </row>
    <row r="351" ht="22.5" customHeight="1">
      <c r="C351" s="67"/>
      <c r="D351" s="69"/>
      <c r="E351" s="67"/>
      <c r="F351" s="69"/>
      <c r="G351" s="67"/>
      <c r="H351" s="67"/>
      <c r="I351" s="67"/>
      <c r="J351" s="70"/>
      <c r="K351" s="67"/>
      <c r="L351" s="67"/>
      <c r="M351" s="67"/>
      <c r="N351" s="67"/>
      <c r="O351" s="67"/>
      <c r="P351" s="67"/>
    </row>
    <row r="352" ht="22.5" customHeight="1">
      <c r="C352" s="67"/>
      <c r="D352" s="69"/>
      <c r="E352" s="67"/>
      <c r="F352" s="69"/>
      <c r="G352" s="67"/>
      <c r="H352" s="67"/>
      <c r="I352" s="67"/>
      <c r="J352" s="70"/>
      <c r="K352" s="67"/>
      <c r="L352" s="67"/>
      <c r="M352" s="67"/>
      <c r="N352" s="67"/>
      <c r="O352" s="67"/>
      <c r="P352" s="67"/>
    </row>
    <row r="353" ht="22.5" customHeight="1">
      <c r="C353" s="67"/>
      <c r="D353" s="69"/>
      <c r="E353" s="67"/>
      <c r="F353" s="69"/>
      <c r="G353" s="67"/>
      <c r="H353" s="67"/>
      <c r="I353" s="67"/>
      <c r="J353" s="70"/>
      <c r="K353" s="67"/>
      <c r="L353" s="67"/>
      <c r="M353" s="67"/>
      <c r="N353" s="67"/>
      <c r="O353" s="67"/>
      <c r="P353" s="67"/>
    </row>
    <row r="354" ht="22.5" customHeight="1">
      <c r="C354" s="67"/>
      <c r="D354" s="69"/>
      <c r="E354" s="67"/>
      <c r="F354" s="69"/>
      <c r="G354" s="67"/>
      <c r="H354" s="67"/>
      <c r="I354" s="67"/>
      <c r="J354" s="70"/>
      <c r="K354" s="67"/>
      <c r="L354" s="67"/>
      <c r="M354" s="67"/>
      <c r="N354" s="67"/>
      <c r="O354" s="67"/>
      <c r="P354" s="67"/>
    </row>
    <row r="355" ht="22.5" customHeight="1">
      <c r="C355" s="67"/>
      <c r="D355" s="69"/>
      <c r="E355" s="67"/>
      <c r="F355" s="69"/>
      <c r="G355" s="67"/>
      <c r="H355" s="67"/>
      <c r="I355" s="67"/>
      <c r="J355" s="70"/>
      <c r="K355" s="67"/>
      <c r="L355" s="67"/>
      <c r="M355" s="67"/>
      <c r="N355" s="67"/>
      <c r="O355" s="67"/>
      <c r="P355" s="67"/>
    </row>
    <row r="356" ht="22.5" customHeight="1">
      <c r="C356" s="67"/>
      <c r="D356" s="69"/>
      <c r="E356" s="67"/>
      <c r="F356" s="69"/>
      <c r="G356" s="67"/>
      <c r="H356" s="67"/>
      <c r="I356" s="67"/>
      <c r="J356" s="70"/>
      <c r="K356" s="67"/>
      <c r="L356" s="67"/>
      <c r="M356" s="67"/>
      <c r="N356" s="67"/>
      <c r="O356" s="67"/>
      <c r="P356" s="67"/>
    </row>
    <row r="357" ht="22.5" customHeight="1">
      <c r="C357" s="67"/>
      <c r="D357" s="69"/>
      <c r="E357" s="67"/>
      <c r="F357" s="69"/>
      <c r="G357" s="67"/>
      <c r="H357" s="67"/>
      <c r="I357" s="67"/>
      <c r="J357" s="70"/>
      <c r="K357" s="67"/>
      <c r="L357" s="67"/>
      <c r="M357" s="67"/>
      <c r="N357" s="67"/>
      <c r="O357" s="67"/>
      <c r="P357" s="67"/>
    </row>
    <row r="358" ht="22.5" customHeight="1">
      <c r="C358" s="67"/>
      <c r="D358" s="69"/>
      <c r="E358" s="67"/>
      <c r="F358" s="69"/>
      <c r="G358" s="67"/>
      <c r="H358" s="67"/>
      <c r="I358" s="67"/>
      <c r="J358" s="70"/>
      <c r="K358" s="67"/>
      <c r="L358" s="67"/>
      <c r="M358" s="67"/>
      <c r="N358" s="67"/>
      <c r="O358" s="67"/>
      <c r="P358" s="67"/>
    </row>
    <row r="359" ht="22.5" customHeight="1">
      <c r="C359" s="67"/>
      <c r="D359" s="69"/>
      <c r="E359" s="67"/>
      <c r="F359" s="69"/>
      <c r="G359" s="67"/>
      <c r="H359" s="67"/>
      <c r="I359" s="67"/>
      <c r="J359" s="70"/>
      <c r="K359" s="67"/>
      <c r="L359" s="67"/>
      <c r="M359" s="67"/>
      <c r="N359" s="67"/>
      <c r="O359" s="67"/>
      <c r="P359" s="67"/>
    </row>
    <row r="360" ht="22.5" customHeight="1">
      <c r="C360" s="67"/>
      <c r="D360" s="69"/>
      <c r="E360" s="67"/>
      <c r="F360" s="69"/>
      <c r="G360" s="67"/>
      <c r="H360" s="67"/>
      <c r="I360" s="67"/>
      <c r="J360" s="70"/>
      <c r="K360" s="67"/>
      <c r="L360" s="67"/>
      <c r="M360" s="67"/>
      <c r="N360" s="67"/>
      <c r="O360" s="67"/>
      <c r="P360" s="67"/>
    </row>
    <row r="361" ht="22.5" customHeight="1">
      <c r="C361" s="67"/>
      <c r="D361" s="69"/>
      <c r="E361" s="67"/>
      <c r="F361" s="69"/>
      <c r="G361" s="67"/>
      <c r="H361" s="67"/>
      <c r="I361" s="67"/>
      <c r="J361" s="70"/>
      <c r="K361" s="67"/>
      <c r="L361" s="67"/>
      <c r="M361" s="67"/>
      <c r="N361" s="67"/>
      <c r="O361" s="67"/>
      <c r="P361" s="67"/>
    </row>
    <row r="362" ht="22.5" customHeight="1">
      <c r="C362" s="67"/>
      <c r="D362" s="69"/>
      <c r="E362" s="67"/>
      <c r="F362" s="69"/>
      <c r="G362" s="67"/>
      <c r="H362" s="67"/>
      <c r="I362" s="67"/>
      <c r="J362" s="70"/>
      <c r="K362" s="67"/>
      <c r="L362" s="67"/>
      <c r="M362" s="67"/>
      <c r="N362" s="67"/>
      <c r="O362" s="67"/>
      <c r="P362" s="67"/>
    </row>
    <row r="363" ht="22.5" customHeight="1">
      <c r="C363" s="67"/>
      <c r="D363" s="69"/>
      <c r="E363" s="67"/>
      <c r="F363" s="69"/>
      <c r="G363" s="67"/>
      <c r="H363" s="67"/>
      <c r="I363" s="67"/>
      <c r="J363" s="70"/>
      <c r="K363" s="67"/>
      <c r="L363" s="67"/>
      <c r="M363" s="67"/>
      <c r="N363" s="67"/>
      <c r="O363" s="67"/>
      <c r="P363" s="67"/>
    </row>
    <row r="364" ht="22.5" customHeight="1">
      <c r="C364" s="67"/>
      <c r="D364" s="69"/>
      <c r="E364" s="67"/>
      <c r="F364" s="69"/>
      <c r="G364" s="67"/>
      <c r="H364" s="67"/>
      <c r="I364" s="67"/>
      <c r="J364" s="70"/>
      <c r="K364" s="67"/>
      <c r="L364" s="67"/>
      <c r="M364" s="67"/>
      <c r="N364" s="67"/>
      <c r="O364" s="67"/>
      <c r="P364" s="67"/>
    </row>
    <row r="365" ht="22.5" customHeight="1">
      <c r="C365" s="67"/>
      <c r="D365" s="69"/>
      <c r="E365" s="67"/>
      <c r="F365" s="69"/>
      <c r="G365" s="67"/>
      <c r="H365" s="67"/>
      <c r="I365" s="67"/>
      <c r="J365" s="70"/>
      <c r="K365" s="67"/>
      <c r="L365" s="67"/>
      <c r="M365" s="67"/>
      <c r="N365" s="67"/>
      <c r="O365" s="67"/>
      <c r="P365" s="67"/>
    </row>
    <row r="366" ht="22.5" customHeight="1">
      <c r="C366" s="67"/>
      <c r="D366" s="69"/>
      <c r="E366" s="67"/>
      <c r="F366" s="69"/>
      <c r="G366" s="67"/>
      <c r="H366" s="67"/>
      <c r="I366" s="67"/>
      <c r="J366" s="70"/>
      <c r="K366" s="67"/>
      <c r="L366" s="67"/>
      <c r="M366" s="67"/>
      <c r="N366" s="67"/>
      <c r="O366" s="67"/>
      <c r="P366" s="67"/>
    </row>
    <row r="367" ht="22.5" customHeight="1">
      <c r="C367" s="67"/>
      <c r="D367" s="69"/>
      <c r="E367" s="67"/>
      <c r="F367" s="69"/>
      <c r="G367" s="67"/>
      <c r="H367" s="67"/>
      <c r="I367" s="67"/>
      <c r="J367" s="70"/>
      <c r="K367" s="67"/>
      <c r="L367" s="67"/>
      <c r="M367" s="67"/>
      <c r="N367" s="67"/>
      <c r="O367" s="67"/>
      <c r="P367" s="67"/>
    </row>
    <row r="368" ht="22.5" customHeight="1">
      <c r="C368" s="67"/>
      <c r="D368" s="69"/>
      <c r="E368" s="67"/>
      <c r="F368" s="69"/>
      <c r="G368" s="67"/>
      <c r="H368" s="67"/>
      <c r="I368" s="67"/>
      <c r="J368" s="70"/>
      <c r="K368" s="67"/>
      <c r="L368" s="67"/>
      <c r="M368" s="67"/>
      <c r="N368" s="67"/>
      <c r="O368" s="67"/>
      <c r="P368" s="67"/>
    </row>
    <row r="369" ht="22.5" customHeight="1">
      <c r="C369" s="67"/>
      <c r="D369" s="69"/>
      <c r="E369" s="67"/>
      <c r="F369" s="69"/>
      <c r="G369" s="67"/>
      <c r="H369" s="67"/>
      <c r="I369" s="67"/>
      <c r="J369" s="70"/>
      <c r="K369" s="67"/>
      <c r="L369" s="67"/>
      <c r="M369" s="67"/>
      <c r="N369" s="67"/>
      <c r="O369" s="67"/>
      <c r="P369" s="67"/>
    </row>
    <row r="370" ht="22.5" customHeight="1">
      <c r="C370" s="67"/>
      <c r="D370" s="69"/>
      <c r="E370" s="67"/>
      <c r="F370" s="69"/>
      <c r="G370" s="67"/>
      <c r="H370" s="67"/>
      <c r="I370" s="67"/>
      <c r="J370" s="70"/>
      <c r="K370" s="67"/>
      <c r="L370" s="67"/>
      <c r="M370" s="67"/>
      <c r="N370" s="67"/>
      <c r="O370" s="67"/>
      <c r="P370" s="67"/>
    </row>
    <row r="371" ht="22.5" customHeight="1">
      <c r="C371" s="67"/>
      <c r="D371" s="69"/>
      <c r="E371" s="67"/>
      <c r="F371" s="69"/>
      <c r="G371" s="67"/>
      <c r="H371" s="67"/>
      <c r="I371" s="67"/>
      <c r="J371" s="70"/>
      <c r="K371" s="67"/>
      <c r="L371" s="67"/>
      <c r="M371" s="67"/>
      <c r="N371" s="67"/>
      <c r="O371" s="67"/>
      <c r="P371" s="67"/>
    </row>
    <row r="372" ht="22.5" customHeight="1">
      <c r="C372" s="67"/>
      <c r="D372" s="69"/>
      <c r="E372" s="67"/>
      <c r="F372" s="69"/>
      <c r="G372" s="67"/>
      <c r="H372" s="67"/>
      <c r="I372" s="67"/>
      <c r="J372" s="70"/>
      <c r="K372" s="67"/>
      <c r="L372" s="67"/>
      <c r="M372" s="67"/>
      <c r="N372" s="67"/>
      <c r="O372" s="67"/>
      <c r="P372" s="67"/>
    </row>
    <row r="373" ht="22.5" customHeight="1">
      <c r="C373" s="67"/>
      <c r="D373" s="69"/>
      <c r="E373" s="67"/>
      <c r="F373" s="69"/>
      <c r="G373" s="67"/>
      <c r="H373" s="67"/>
      <c r="I373" s="67"/>
      <c r="J373" s="70"/>
      <c r="K373" s="67"/>
      <c r="L373" s="67"/>
      <c r="M373" s="67"/>
      <c r="N373" s="67"/>
      <c r="O373" s="67"/>
      <c r="P373" s="67"/>
    </row>
    <row r="374" ht="22.5" customHeight="1">
      <c r="C374" s="67"/>
      <c r="D374" s="69"/>
      <c r="E374" s="67"/>
      <c r="F374" s="69"/>
      <c r="G374" s="67"/>
      <c r="H374" s="67"/>
      <c r="I374" s="67"/>
      <c r="J374" s="70"/>
      <c r="K374" s="67"/>
      <c r="L374" s="67"/>
      <c r="M374" s="67"/>
      <c r="N374" s="67"/>
      <c r="O374" s="67"/>
      <c r="P374" s="67"/>
    </row>
    <row r="375" ht="22.5" customHeight="1">
      <c r="C375" s="67"/>
      <c r="D375" s="69"/>
      <c r="E375" s="67"/>
      <c r="F375" s="69"/>
      <c r="G375" s="67"/>
      <c r="H375" s="67"/>
      <c r="I375" s="67"/>
      <c r="J375" s="70"/>
      <c r="K375" s="67"/>
      <c r="L375" s="67"/>
      <c r="M375" s="67"/>
      <c r="N375" s="67"/>
      <c r="O375" s="67"/>
      <c r="P375" s="67"/>
    </row>
    <row r="376" ht="22.5" customHeight="1">
      <c r="C376" s="67"/>
      <c r="D376" s="69"/>
      <c r="E376" s="67"/>
      <c r="F376" s="69"/>
      <c r="G376" s="67"/>
      <c r="H376" s="67"/>
      <c r="I376" s="67"/>
      <c r="J376" s="70"/>
      <c r="K376" s="67"/>
      <c r="L376" s="67"/>
      <c r="M376" s="67"/>
      <c r="N376" s="67"/>
      <c r="O376" s="67"/>
      <c r="P376" s="67"/>
    </row>
    <row r="377" ht="22.5" customHeight="1">
      <c r="C377" s="67"/>
      <c r="D377" s="69"/>
      <c r="E377" s="67"/>
      <c r="F377" s="69"/>
      <c r="G377" s="67"/>
      <c r="H377" s="67"/>
      <c r="I377" s="67"/>
      <c r="J377" s="70"/>
      <c r="K377" s="67"/>
      <c r="L377" s="67"/>
      <c r="M377" s="67"/>
      <c r="N377" s="67"/>
      <c r="O377" s="67"/>
      <c r="P377" s="67"/>
    </row>
    <row r="378" ht="22.5" customHeight="1">
      <c r="C378" s="67"/>
      <c r="D378" s="69"/>
      <c r="E378" s="67"/>
      <c r="F378" s="69"/>
      <c r="G378" s="67"/>
      <c r="H378" s="67"/>
      <c r="I378" s="67"/>
      <c r="J378" s="70"/>
      <c r="K378" s="67"/>
      <c r="L378" s="67"/>
      <c r="M378" s="67"/>
      <c r="N378" s="67"/>
      <c r="O378" s="67"/>
      <c r="P378" s="67"/>
    </row>
    <row r="379" ht="22.5" customHeight="1">
      <c r="C379" s="67"/>
      <c r="D379" s="69"/>
      <c r="E379" s="67"/>
      <c r="F379" s="69"/>
      <c r="G379" s="67"/>
      <c r="H379" s="67"/>
      <c r="I379" s="67"/>
      <c r="J379" s="70"/>
      <c r="K379" s="67"/>
      <c r="L379" s="67"/>
      <c r="M379" s="67"/>
      <c r="N379" s="67"/>
      <c r="O379" s="67"/>
      <c r="P379" s="67"/>
    </row>
    <row r="380" ht="22.5" customHeight="1">
      <c r="C380" s="67"/>
      <c r="D380" s="69"/>
      <c r="E380" s="67"/>
      <c r="F380" s="69"/>
      <c r="G380" s="67"/>
      <c r="H380" s="67"/>
      <c r="I380" s="67"/>
      <c r="J380" s="70"/>
      <c r="K380" s="67"/>
      <c r="L380" s="67"/>
      <c r="M380" s="67"/>
      <c r="N380" s="67"/>
      <c r="O380" s="67"/>
      <c r="P380" s="67"/>
    </row>
    <row r="381" ht="22.5" customHeight="1">
      <c r="C381" s="67"/>
      <c r="D381" s="69"/>
      <c r="E381" s="67"/>
      <c r="F381" s="69"/>
      <c r="G381" s="67"/>
      <c r="H381" s="67"/>
      <c r="I381" s="67"/>
      <c r="J381" s="70"/>
      <c r="K381" s="67"/>
      <c r="L381" s="67"/>
      <c r="M381" s="67"/>
      <c r="N381" s="67"/>
      <c r="O381" s="67"/>
      <c r="P381" s="67"/>
    </row>
    <row r="382" ht="22.5" customHeight="1">
      <c r="C382" s="67"/>
      <c r="D382" s="69"/>
      <c r="E382" s="67"/>
      <c r="F382" s="69"/>
      <c r="G382" s="67"/>
      <c r="H382" s="67"/>
      <c r="I382" s="67"/>
      <c r="J382" s="70"/>
      <c r="K382" s="67"/>
      <c r="L382" s="67"/>
      <c r="M382" s="67"/>
      <c r="N382" s="67"/>
      <c r="O382" s="67"/>
      <c r="P382" s="67"/>
    </row>
    <row r="383" ht="22.5" customHeight="1">
      <c r="C383" s="67"/>
      <c r="D383" s="69"/>
      <c r="E383" s="67"/>
      <c r="F383" s="69"/>
      <c r="G383" s="67"/>
      <c r="H383" s="67"/>
      <c r="I383" s="67"/>
      <c r="J383" s="70"/>
      <c r="K383" s="67"/>
      <c r="L383" s="67"/>
      <c r="M383" s="67"/>
      <c r="N383" s="67"/>
      <c r="O383" s="67"/>
      <c r="P383" s="67"/>
    </row>
    <row r="384" ht="22.5" customHeight="1">
      <c r="C384" s="67"/>
      <c r="D384" s="69"/>
      <c r="E384" s="67"/>
      <c r="F384" s="69"/>
      <c r="G384" s="67"/>
      <c r="H384" s="67"/>
      <c r="I384" s="67"/>
      <c r="J384" s="70"/>
      <c r="K384" s="67"/>
      <c r="L384" s="67"/>
      <c r="M384" s="67"/>
      <c r="N384" s="67"/>
      <c r="O384" s="67"/>
      <c r="P384" s="67"/>
    </row>
    <row r="385" ht="22.5" customHeight="1">
      <c r="C385" s="67"/>
      <c r="D385" s="69"/>
      <c r="E385" s="67"/>
      <c r="F385" s="69"/>
      <c r="G385" s="67"/>
      <c r="H385" s="67"/>
      <c r="I385" s="67"/>
      <c r="J385" s="70"/>
      <c r="K385" s="67"/>
      <c r="L385" s="67"/>
      <c r="M385" s="67"/>
      <c r="N385" s="67"/>
      <c r="O385" s="67"/>
      <c r="P385" s="67"/>
    </row>
    <row r="386" ht="22.5" customHeight="1">
      <c r="C386" s="67"/>
      <c r="D386" s="69"/>
      <c r="E386" s="67"/>
      <c r="F386" s="69"/>
      <c r="G386" s="67"/>
      <c r="H386" s="67"/>
      <c r="I386" s="67"/>
      <c r="J386" s="70"/>
      <c r="K386" s="67"/>
      <c r="L386" s="67"/>
      <c r="M386" s="67"/>
      <c r="N386" s="67"/>
      <c r="O386" s="67"/>
      <c r="P386" s="67"/>
    </row>
    <row r="387" ht="22.5" customHeight="1">
      <c r="C387" s="67"/>
      <c r="D387" s="69"/>
      <c r="E387" s="67"/>
      <c r="F387" s="69"/>
      <c r="G387" s="67"/>
      <c r="H387" s="67"/>
      <c r="I387" s="67"/>
      <c r="J387" s="70"/>
      <c r="K387" s="67"/>
      <c r="L387" s="67"/>
      <c r="M387" s="67"/>
      <c r="N387" s="67"/>
      <c r="O387" s="67"/>
      <c r="P387" s="67"/>
    </row>
    <row r="388" ht="22.5" customHeight="1">
      <c r="C388" s="67"/>
      <c r="D388" s="69"/>
      <c r="E388" s="67"/>
      <c r="F388" s="69"/>
      <c r="G388" s="67"/>
      <c r="H388" s="67"/>
      <c r="I388" s="67"/>
      <c r="J388" s="70"/>
      <c r="K388" s="67"/>
      <c r="L388" s="67"/>
      <c r="M388" s="67"/>
      <c r="N388" s="67"/>
      <c r="O388" s="67"/>
      <c r="P388" s="67"/>
    </row>
    <row r="389" ht="22.5" customHeight="1">
      <c r="C389" s="67"/>
      <c r="D389" s="69"/>
      <c r="E389" s="67"/>
      <c r="F389" s="69"/>
      <c r="G389" s="67"/>
      <c r="H389" s="67"/>
      <c r="I389" s="67"/>
      <c r="J389" s="70"/>
      <c r="K389" s="67"/>
      <c r="L389" s="67"/>
      <c r="M389" s="67"/>
      <c r="N389" s="67"/>
      <c r="O389" s="67"/>
      <c r="P389" s="67"/>
    </row>
    <row r="390" ht="22.5" customHeight="1">
      <c r="C390" s="67"/>
      <c r="D390" s="69"/>
      <c r="E390" s="67"/>
      <c r="F390" s="69"/>
      <c r="G390" s="67"/>
      <c r="H390" s="67"/>
      <c r="I390" s="67"/>
      <c r="J390" s="70"/>
      <c r="K390" s="67"/>
      <c r="L390" s="67"/>
      <c r="M390" s="67"/>
      <c r="N390" s="67"/>
      <c r="O390" s="67"/>
      <c r="P390" s="67"/>
    </row>
    <row r="391" ht="22.5" customHeight="1">
      <c r="C391" s="67"/>
      <c r="D391" s="69"/>
      <c r="E391" s="67"/>
      <c r="F391" s="69"/>
      <c r="G391" s="67"/>
      <c r="H391" s="67"/>
      <c r="I391" s="67"/>
      <c r="J391" s="70"/>
      <c r="K391" s="67"/>
      <c r="L391" s="67"/>
      <c r="M391" s="67"/>
      <c r="N391" s="67"/>
      <c r="O391" s="67"/>
      <c r="P391" s="67"/>
    </row>
    <row r="392" ht="22.5" customHeight="1">
      <c r="C392" s="67"/>
      <c r="D392" s="69"/>
      <c r="E392" s="67"/>
      <c r="F392" s="69"/>
      <c r="G392" s="67"/>
      <c r="H392" s="67"/>
      <c r="I392" s="67"/>
      <c r="J392" s="70"/>
      <c r="K392" s="67"/>
      <c r="L392" s="67"/>
      <c r="M392" s="67"/>
      <c r="N392" s="67"/>
      <c r="O392" s="67"/>
      <c r="P392" s="67"/>
    </row>
    <row r="393" ht="22.5" customHeight="1">
      <c r="C393" s="67"/>
      <c r="D393" s="69"/>
      <c r="E393" s="67"/>
      <c r="F393" s="69"/>
      <c r="G393" s="67"/>
      <c r="H393" s="67"/>
      <c r="I393" s="67"/>
      <c r="J393" s="70"/>
      <c r="K393" s="67"/>
      <c r="L393" s="67"/>
      <c r="M393" s="67"/>
      <c r="N393" s="67"/>
      <c r="O393" s="67"/>
      <c r="P393" s="67"/>
    </row>
    <row r="394" ht="22.5" customHeight="1">
      <c r="C394" s="67"/>
      <c r="D394" s="69"/>
      <c r="E394" s="67"/>
      <c r="F394" s="69"/>
      <c r="G394" s="67"/>
      <c r="H394" s="67"/>
      <c r="I394" s="67"/>
      <c r="J394" s="70"/>
      <c r="K394" s="67"/>
      <c r="L394" s="67"/>
      <c r="M394" s="67"/>
      <c r="N394" s="67"/>
      <c r="O394" s="67"/>
      <c r="P394" s="67"/>
    </row>
    <row r="395" ht="22.5" customHeight="1">
      <c r="C395" s="67"/>
      <c r="D395" s="69"/>
      <c r="E395" s="67"/>
      <c r="F395" s="69"/>
      <c r="G395" s="67"/>
      <c r="H395" s="67"/>
      <c r="I395" s="67"/>
      <c r="J395" s="70"/>
      <c r="K395" s="67"/>
      <c r="L395" s="67"/>
      <c r="M395" s="67"/>
      <c r="N395" s="67"/>
      <c r="O395" s="67"/>
      <c r="P395" s="67"/>
    </row>
    <row r="396" ht="22.5" customHeight="1">
      <c r="C396" s="67"/>
      <c r="D396" s="69"/>
      <c r="E396" s="67"/>
      <c r="F396" s="69"/>
      <c r="G396" s="67"/>
      <c r="H396" s="67"/>
      <c r="I396" s="67"/>
      <c r="J396" s="70"/>
      <c r="K396" s="67"/>
      <c r="L396" s="67"/>
      <c r="M396" s="67"/>
      <c r="N396" s="67"/>
      <c r="O396" s="67"/>
      <c r="P396" s="67"/>
    </row>
    <row r="397" ht="22.5" customHeight="1">
      <c r="C397" s="67"/>
      <c r="D397" s="69"/>
      <c r="E397" s="67"/>
      <c r="F397" s="69"/>
      <c r="G397" s="67"/>
      <c r="H397" s="67"/>
      <c r="I397" s="67"/>
      <c r="J397" s="70"/>
      <c r="K397" s="67"/>
      <c r="L397" s="67"/>
      <c r="M397" s="67"/>
      <c r="N397" s="67"/>
      <c r="O397" s="67"/>
      <c r="P397" s="67"/>
    </row>
    <row r="398" ht="22.5" customHeight="1">
      <c r="C398" s="67"/>
      <c r="D398" s="69"/>
      <c r="E398" s="67"/>
      <c r="F398" s="69"/>
      <c r="G398" s="67"/>
      <c r="H398" s="67"/>
      <c r="I398" s="67"/>
      <c r="J398" s="70"/>
      <c r="K398" s="67"/>
      <c r="L398" s="67"/>
      <c r="M398" s="67"/>
      <c r="N398" s="67"/>
      <c r="O398" s="67"/>
      <c r="P398" s="67"/>
    </row>
    <row r="399" ht="22.5" customHeight="1">
      <c r="C399" s="67"/>
      <c r="D399" s="69"/>
      <c r="E399" s="67"/>
      <c r="F399" s="69"/>
      <c r="G399" s="67"/>
      <c r="H399" s="67"/>
      <c r="I399" s="67"/>
      <c r="J399" s="70"/>
      <c r="K399" s="67"/>
      <c r="L399" s="67"/>
      <c r="M399" s="67"/>
      <c r="N399" s="67"/>
      <c r="O399" s="67"/>
      <c r="P399" s="67"/>
    </row>
    <row r="400" ht="22.5" customHeight="1">
      <c r="C400" s="67"/>
      <c r="D400" s="69"/>
      <c r="E400" s="67"/>
      <c r="F400" s="69"/>
      <c r="G400" s="67"/>
      <c r="H400" s="67"/>
      <c r="I400" s="67"/>
      <c r="J400" s="70"/>
      <c r="K400" s="67"/>
      <c r="L400" s="67"/>
      <c r="M400" s="67"/>
      <c r="N400" s="67"/>
      <c r="O400" s="67"/>
      <c r="P400" s="67"/>
    </row>
    <row r="401" ht="22.5" customHeight="1">
      <c r="C401" s="67"/>
      <c r="D401" s="69"/>
      <c r="E401" s="67"/>
      <c r="F401" s="69"/>
      <c r="G401" s="67"/>
      <c r="H401" s="67"/>
      <c r="I401" s="67"/>
      <c r="J401" s="70"/>
      <c r="K401" s="67"/>
      <c r="L401" s="67"/>
      <c r="M401" s="67"/>
      <c r="N401" s="67"/>
      <c r="O401" s="67"/>
      <c r="P401" s="67"/>
    </row>
    <row r="402" ht="22.5" customHeight="1">
      <c r="C402" s="67"/>
      <c r="D402" s="69"/>
      <c r="E402" s="67"/>
      <c r="F402" s="69"/>
      <c r="G402" s="67"/>
      <c r="H402" s="67"/>
      <c r="I402" s="67"/>
      <c r="J402" s="70"/>
      <c r="K402" s="67"/>
      <c r="L402" s="67"/>
      <c r="M402" s="67"/>
      <c r="N402" s="67"/>
      <c r="O402" s="67"/>
      <c r="P402" s="67"/>
    </row>
    <row r="403" ht="22.5" customHeight="1">
      <c r="C403" s="67"/>
      <c r="D403" s="69"/>
      <c r="E403" s="67"/>
      <c r="F403" s="69"/>
      <c r="G403" s="67"/>
      <c r="H403" s="67"/>
      <c r="I403" s="67"/>
      <c r="J403" s="70"/>
      <c r="K403" s="67"/>
      <c r="L403" s="67"/>
      <c r="M403" s="67"/>
      <c r="N403" s="67"/>
      <c r="O403" s="67"/>
      <c r="P403" s="67"/>
    </row>
    <row r="404" ht="22.5" customHeight="1">
      <c r="C404" s="67"/>
      <c r="D404" s="69"/>
      <c r="E404" s="67"/>
      <c r="F404" s="69"/>
      <c r="G404" s="67"/>
      <c r="H404" s="67"/>
      <c r="I404" s="67"/>
      <c r="J404" s="70"/>
      <c r="K404" s="67"/>
      <c r="L404" s="67"/>
      <c r="M404" s="67"/>
      <c r="N404" s="67"/>
      <c r="O404" s="67"/>
      <c r="P404" s="67"/>
    </row>
    <row r="405" ht="22.5" customHeight="1">
      <c r="C405" s="67"/>
      <c r="D405" s="69"/>
      <c r="E405" s="67"/>
      <c r="F405" s="69"/>
      <c r="G405" s="67"/>
      <c r="H405" s="67"/>
      <c r="I405" s="67"/>
      <c r="J405" s="70"/>
      <c r="K405" s="67"/>
      <c r="L405" s="67"/>
      <c r="M405" s="67"/>
      <c r="N405" s="67"/>
      <c r="O405" s="67"/>
      <c r="P405" s="67"/>
    </row>
    <row r="406" ht="22.5" customHeight="1">
      <c r="C406" s="67"/>
      <c r="D406" s="69"/>
      <c r="E406" s="67"/>
      <c r="F406" s="69"/>
      <c r="G406" s="67"/>
      <c r="H406" s="67"/>
      <c r="I406" s="67"/>
      <c r="J406" s="70"/>
      <c r="K406" s="67"/>
      <c r="L406" s="67"/>
      <c r="M406" s="67"/>
      <c r="N406" s="67"/>
      <c r="O406" s="67"/>
      <c r="P406" s="67"/>
    </row>
    <row r="407" ht="22.5" customHeight="1">
      <c r="C407" s="67"/>
      <c r="D407" s="69"/>
      <c r="E407" s="67"/>
      <c r="F407" s="69"/>
      <c r="G407" s="67"/>
      <c r="H407" s="67"/>
      <c r="I407" s="67"/>
      <c r="J407" s="70"/>
      <c r="K407" s="67"/>
      <c r="L407" s="67"/>
      <c r="M407" s="67"/>
      <c r="N407" s="67"/>
      <c r="O407" s="67"/>
      <c r="P407" s="67"/>
    </row>
    <row r="408" ht="22.5" customHeight="1">
      <c r="C408" s="67"/>
      <c r="D408" s="69"/>
      <c r="E408" s="67"/>
      <c r="F408" s="69"/>
      <c r="G408" s="67"/>
      <c r="H408" s="67"/>
      <c r="I408" s="67"/>
      <c r="J408" s="70"/>
      <c r="K408" s="67"/>
      <c r="L408" s="67"/>
      <c r="M408" s="67"/>
      <c r="N408" s="67"/>
      <c r="O408" s="67"/>
      <c r="P408" s="67"/>
    </row>
    <row r="409" ht="22.5" customHeight="1">
      <c r="C409" s="67"/>
      <c r="D409" s="69"/>
      <c r="E409" s="67"/>
      <c r="F409" s="69"/>
      <c r="G409" s="67"/>
      <c r="H409" s="67"/>
      <c r="I409" s="67"/>
      <c r="J409" s="70"/>
      <c r="K409" s="67"/>
      <c r="L409" s="67"/>
      <c r="M409" s="67"/>
      <c r="N409" s="67"/>
      <c r="O409" s="67"/>
      <c r="P409" s="67"/>
    </row>
    <row r="410" ht="22.5" customHeight="1">
      <c r="C410" s="67"/>
      <c r="D410" s="69"/>
      <c r="E410" s="67"/>
      <c r="F410" s="69"/>
      <c r="G410" s="67"/>
      <c r="H410" s="67"/>
      <c r="I410" s="67"/>
      <c r="J410" s="70"/>
      <c r="K410" s="67"/>
      <c r="L410" s="67"/>
      <c r="M410" s="67"/>
      <c r="N410" s="67"/>
      <c r="O410" s="67"/>
      <c r="P410" s="67"/>
    </row>
    <row r="411" ht="22.5" customHeight="1">
      <c r="C411" s="67"/>
      <c r="D411" s="69"/>
      <c r="E411" s="67"/>
      <c r="F411" s="69"/>
      <c r="G411" s="67"/>
      <c r="H411" s="67"/>
      <c r="I411" s="67"/>
      <c r="J411" s="70"/>
      <c r="K411" s="67"/>
      <c r="L411" s="67"/>
      <c r="M411" s="67"/>
      <c r="N411" s="67"/>
      <c r="O411" s="67"/>
      <c r="P411" s="67"/>
    </row>
    <row r="412" ht="22.5" customHeight="1">
      <c r="C412" s="67"/>
      <c r="D412" s="69"/>
      <c r="E412" s="67"/>
      <c r="F412" s="69"/>
      <c r="G412" s="67"/>
      <c r="H412" s="67"/>
      <c r="I412" s="67"/>
      <c r="J412" s="70"/>
      <c r="K412" s="67"/>
      <c r="L412" s="67"/>
      <c r="M412" s="67"/>
      <c r="N412" s="67"/>
      <c r="O412" s="67"/>
      <c r="P412" s="67"/>
    </row>
    <row r="413" ht="22.5" customHeight="1">
      <c r="C413" s="67"/>
      <c r="D413" s="69"/>
      <c r="E413" s="67"/>
      <c r="F413" s="69"/>
      <c r="G413" s="67"/>
      <c r="H413" s="67"/>
      <c r="I413" s="67"/>
      <c r="J413" s="70"/>
      <c r="K413" s="67"/>
      <c r="L413" s="67"/>
      <c r="M413" s="67"/>
      <c r="N413" s="67"/>
      <c r="O413" s="67"/>
      <c r="P413" s="67"/>
    </row>
    <row r="414" ht="22.5" customHeight="1">
      <c r="C414" s="67"/>
      <c r="D414" s="69"/>
      <c r="E414" s="67"/>
      <c r="F414" s="69"/>
      <c r="G414" s="67"/>
      <c r="H414" s="67"/>
      <c r="I414" s="67"/>
      <c r="J414" s="70"/>
      <c r="K414" s="67"/>
      <c r="L414" s="67"/>
      <c r="M414" s="67"/>
      <c r="N414" s="67"/>
      <c r="O414" s="67"/>
      <c r="P414" s="67"/>
    </row>
    <row r="415" ht="22.5" customHeight="1">
      <c r="C415" s="67"/>
      <c r="D415" s="69"/>
      <c r="E415" s="67"/>
      <c r="F415" s="69"/>
      <c r="G415" s="67"/>
      <c r="H415" s="67"/>
      <c r="I415" s="67"/>
      <c r="J415" s="70"/>
      <c r="K415" s="67"/>
      <c r="L415" s="67"/>
      <c r="M415" s="67"/>
      <c r="N415" s="67"/>
      <c r="O415" s="67"/>
      <c r="P415" s="67"/>
    </row>
    <row r="416" ht="22.5" customHeight="1">
      <c r="C416" s="67"/>
      <c r="D416" s="69"/>
      <c r="E416" s="67"/>
      <c r="F416" s="69"/>
      <c r="G416" s="67"/>
      <c r="H416" s="67"/>
      <c r="I416" s="67"/>
      <c r="J416" s="70"/>
      <c r="K416" s="67"/>
      <c r="L416" s="67"/>
      <c r="M416" s="67"/>
      <c r="N416" s="67"/>
      <c r="O416" s="67"/>
      <c r="P416" s="67"/>
    </row>
    <row r="417" ht="22.5" customHeight="1">
      <c r="C417" s="67"/>
      <c r="D417" s="69"/>
      <c r="E417" s="67"/>
      <c r="F417" s="69"/>
      <c r="G417" s="67"/>
      <c r="H417" s="67"/>
      <c r="I417" s="67"/>
      <c r="J417" s="70"/>
      <c r="K417" s="67"/>
      <c r="L417" s="67"/>
      <c r="M417" s="67"/>
      <c r="N417" s="67"/>
      <c r="O417" s="67"/>
      <c r="P417" s="67"/>
    </row>
    <row r="418" ht="22.5" customHeight="1">
      <c r="C418" s="67"/>
      <c r="D418" s="69"/>
      <c r="E418" s="67"/>
      <c r="F418" s="69"/>
      <c r="G418" s="67"/>
      <c r="H418" s="67"/>
      <c r="I418" s="67"/>
      <c r="J418" s="70"/>
      <c r="K418" s="67"/>
      <c r="L418" s="67"/>
      <c r="M418" s="67"/>
      <c r="N418" s="67"/>
      <c r="O418" s="67"/>
      <c r="P418" s="67"/>
    </row>
    <row r="419" ht="22.5" customHeight="1">
      <c r="C419" s="67"/>
      <c r="D419" s="69"/>
      <c r="E419" s="67"/>
      <c r="F419" s="69"/>
      <c r="G419" s="67"/>
      <c r="H419" s="67"/>
      <c r="I419" s="67"/>
      <c r="J419" s="70"/>
      <c r="K419" s="67"/>
      <c r="L419" s="67"/>
      <c r="M419" s="67"/>
      <c r="N419" s="67"/>
      <c r="O419" s="67"/>
      <c r="P419" s="67"/>
    </row>
    <row r="420" ht="22.5" customHeight="1">
      <c r="C420" s="67"/>
      <c r="D420" s="69"/>
      <c r="E420" s="67"/>
      <c r="F420" s="69"/>
      <c r="G420" s="67"/>
      <c r="H420" s="67"/>
      <c r="I420" s="67"/>
      <c r="J420" s="70"/>
      <c r="K420" s="67"/>
      <c r="L420" s="67"/>
      <c r="M420" s="67"/>
      <c r="N420" s="67"/>
      <c r="O420" s="67"/>
      <c r="P420" s="67"/>
    </row>
    <row r="421" ht="22.5" customHeight="1">
      <c r="C421" s="67"/>
      <c r="D421" s="69"/>
      <c r="E421" s="67"/>
      <c r="F421" s="69"/>
      <c r="G421" s="67"/>
      <c r="H421" s="67"/>
      <c r="I421" s="67"/>
      <c r="J421" s="70"/>
      <c r="K421" s="67"/>
      <c r="L421" s="67"/>
      <c r="M421" s="67"/>
      <c r="N421" s="67"/>
      <c r="O421" s="67"/>
      <c r="P421" s="67"/>
    </row>
    <row r="422" ht="22.5" customHeight="1">
      <c r="C422" s="67"/>
      <c r="D422" s="69"/>
      <c r="E422" s="67"/>
      <c r="F422" s="69"/>
      <c r="G422" s="67"/>
      <c r="H422" s="67"/>
      <c r="I422" s="67"/>
      <c r="J422" s="70"/>
      <c r="K422" s="67"/>
      <c r="L422" s="67"/>
      <c r="M422" s="67"/>
      <c r="N422" s="67"/>
      <c r="O422" s="67"/>
      <c r="P422" s="67"/>
    </row>
    <row r="423" ht="22.5" customHeight="1">
      <c r="C423" s="67"/>
      <c r="D423" s="69"/>
      <c r="E423" s="67"/>
      <c r="F423" s="69"/>
      <c r="G423" s="67"/>
      <c r="H423" s="67"/>
      <c r="I423" s="67"/>
      <c r="J423" s="70"/>
      <c r="K423" s="67"/>
      <c r="L423" s="67"/>
      <c r="M423" s="67"/>
      <c r="N423" s="67"/>
      <c r="O423" s="67"/>
      <c r="P423" s="67"/>
    </row>
    <row r="424" ht="22.5" customHeight="1">
      <c r="C424" s="67"/>
      <c r="D424" s="69"/>
      <c r="E424" s="67"/>
      <c r="F424" s="69"/>
      <c r="G424" s="67"/>
      <c r="H424" s="67"/>
      <c r="I424" s="67"/>
      <c r="J424" s="70"/>
      <c r="K424" s="67"/>
      <c r="L424" s="67"/>
      <c r="M424" s="67"/>
      <c r="N424" s="67"/>
      <c r="O424" s="67"/>
      <c r="P424" s="67"/>
    </row>
    <row r="425" ht="22.5" customHeight="1">
      <c r="C425" s="67"/>
      <c r="D425" s="69"/>
      <c r="E425" s="67"/>
      <c r="F425" s="69"/>
      <c r="G425" s="67"/>
      <c r="H425" s="67"/>
      <c r="I425" s="67"/>
      <c r="J425" s="70"/>
      <c r="K425" s="67"/>
      <c r="L425" s="67"/>
      <c r="M425" s="67"/>
      <c r="N425" s="67"/>
      <c r="O425" s="67"/>
      <c r="P425" s="67"/>
    </row>
    <row r="426" ht="22.5" customHeight="1">
      <c r="C426" s="67"/>
      <c r="D426" s="69"/>
      <c r="E426" s="67"/>
      <c r="F426" s="69"/>
      <c r="G426" s="67"/>
      <c r="H426" s="67"/>
      <c r="I426" s="67"/>
      <c r="J426" s="70"/>
      <c r="K426" s="67"/>
      <c r="L426" s="67"/>
      <c r="M426" s="67"/>
      <c r="N426" s="67"/>
      <c r="O426" s="67"/>
      <c r="P426" s="67"/>
    </row>
    <row r="427" ht="22.5" customHeight="1">
      <c r="C427" s="67"/>
      <c r="D427" s="69"/>
      <c r="E427" s="67"/>
      <c r="F427" s="69"/>
      <c r="G427" s="67"/>
      <c r="H427" s="67"/>
      <c r="I427" s="67"/>
      <c r="J427" s="70"/>
      <c r="K427" s="67"/>
      <c r="L427" s="67"/>
      <c r="M427" s="67"/>
      <c r="N427" s="67"/>
      <c r="O427" s="67"/>
      <c r="P427" s="67"/>
    </row>
    <row r="428" ht="22.5" customHeight="1">
      <c r="C428" s="67"/>
      <c r="D428" s="69"/>
      <c r="E428" s="67"/>
      <c r="F428" s="69"/>
      <c r="G428" s="67"/>
      <c r="H428" s="67"/>
      <c r="I428" s="67"/>
      <c r="J428" s="70"/>
      <c r="K428" s="67"/>
      <c r="L428" s="67"/>
      <c r="M428" s="67"/>
      <c r="N428" s="67"/>
      <c r="O428" s="67"/>
      <c r="P428" s="67"/>
    </row>
    <row r="429" ht="22.5" customHeight="1">
      <c r="C429" s="67"/>
      <c r="D429" s="69"/>
      <c r="E429" s="67"/>
      <c r="F429" s="69"/>
      <c r="G429" s="67"/>
      <c r="H429" s="67"/>
      <c r="I429" s="67"/>
      <c r="J429" s="70"/>
      <c r="K429" s="67"/>
      <c r="L429" s="67"/>
      <c r="M429" s="67"/>
      <c r="N429" s="67"/>
      <c r="O429" s="67"/>
      <c r="P429" s="67"/>
    </row>
    <row r="430" ht="22.5" customHeight="1">
      <c r="C430" s="67"/>
      <c r="D430" s="69"/>
      <c r="E430" s="67"/>
      <c r="F430" s="69"/>
      <c r="G430" s="67"/>
      <c r="H430" s="67"/>
      <c r="I430" s="67"/>
      <c r="J430" s="70"/>
      <c r="K430" s="67"/>
      <c r="L430" s="67"/>
      <c r="M430" s="67"/>
      <c r="N430" s="67"/>
      <c r="O430" s="67"/>
      <c r="P430" s="67"/>
    </row>
    <row r="431" ht="22.5" customHeight="1">
      <c r="C431" s="67"/>
      <c r="D431" s="69"/>
      <c r="E431" s="67"/>
      <c r="F431" s="69"/>
      <c r="G431" s="67"/>
      <c r="H431" s="67"/>
      <c r="I431" s="67"/>
      <c r="J431" s="70"/>
      <c r="K431" s="67"/>
      <c r="L431" s="67"/>
      <c r="M431" s="67"/>
      <c r="N431" s="67"/>
      <c r="O431" s="67"/>
      <c r="P431" s="67"/>
    </row>
    <row r="432" ht="22.5" customHeight="1">
      <c r="C432" s="67"/>
      <c r="D432" s="69"/>
      <c r="E432" s="67"/>
      <c r="F432" s="69"/>
      <c r="G432" s="67"/>
      <c r="H432" s="67"/>
      <c r="I432" s="67"/>
      <c r="J432" s="70"/>
      <c r="K432" s="67"/>
      <c r="L432" s="67"/>
      <c r="M432" s="67"/>
      <c r="N432" s="67"/>
      <c r="O432" s="67"/>
      <c r="P432" s="67"/>
    </row>
    <row r="433" ht="22.5" customHeight="1">
      <c r="C433" s="67"/>
      <c r="D433" s="69"/>
      <c r="E433" s="67"/>
      <c r="F433" s="69"/>
      <c r="G433" s="67"/>
      <c r="H433" s="67"/>
      <c r="I433" s="67"/>
      <c r="J433" s="70"/>
      <c r="K433" s="67"/>
      <c r="L433" s="67"/>
      <c r="M433" s="67"/>
      <c r="N433" s="67"/>
      <c r="O433" s="67"/>
      <c r="P433" s="67"/>
    </row>
    <row r="434" ht="22.5" customHeight="1">
      <c r="C434" s="67"/>
      <c r="D434" s="69"/>
      <c r="E434" s="67"/>
      <c r="F434" s="69"/>
      <c r="G434" s="67"/>
      <c r="H434" s="67"/>
      <c r="I434" s="67"/>
      <c r="J434" s="70"/>
      <c r="K434" s="67"/>
      <c r="L434" s="67"/>
      <c r="M434" s="67"/>
      <c r="N434" s="67"/>
      <c r="O434" s="67"/>
      <c r="P434" s="67"/>
    </row>
    <row r="435" ht="22.5" customHeight="1">
      <c r="C435" s="67"/>
      <c r="D435" s="69"/>
      <c r="E435" s="67"/>
      <c r="F435" s="69"/>
      <c r="G435" s="67"/>
      <c r="H435" s="67"/>
      <c r="I435" s="67"/>
      <c r="J435" s="70"/>
      <c r="K435" s="67"/>
      <c r="L435" s="67"/>
      <c r="M435" s="67"/>
      <c r="N435" s="67"/>
      <c r="O435" s="67"/>
      <c r="P435" s="67"/>
    </row>
    <row r="436" ht="22.5" customHeight="1">
      <c r="C436" s="67"/>
      <c r="D436" s="69"/>
      <c r="E436" s="67"/>
      <c r="F436" s="69"/>
      <c r="G436" s="67"/>
      <c r="H436" s="67"/>
      <c r="I436" s="67"/>
      <c r="J436" s="70"/>
      <c r="K436" s="67"/>
      <c r="L436" s="67"/>
      <c r="M436" s="67"/>
      <c r="N436" s="67"/>
      <c r="O436" s="67"/>
      <c r="P436" s="67"/>
    </row>
    <row r="437" ht="22.5" customHeight="1">
      <c r="C437" s="67"/>
      <c r="D437" s="69"/>
      <c r="E437" s="67"/>
      <c r="F437" s="69"/>
      <c r="G437" s="67"/>
      <c r="H437" s="67"/>
      <c r="I437" s="67"/>
      <c r="J437" s="70"/>
      <c r="K437" s="67"/>
      <c r="L437" s="67"/>
      <c r="M437" s="67"/>
      <c r="N437" s="67"/>
      <c r="O437" s="67"/>
      <c r="P437" s="67"/>
    </row>
    <row r="438" ht="22.5" customHeight="1">
      <c r="C438" s="67"/>
      <c r="D438" s="69"/>
      <c r="E438" s="67"/>
      <c r="F438" s="69"/>
      <c r="G438" s="67"/>
      <c r="H438" s="67"/>
      <c r="I438" s="67"/>
      <c r="J438" s="70"/>
      <c r="K438" s="67"/>
      <c r="L438" s="67"/>
      <c r="M438" s="67"/>
      <c r="N438" s="67"/>
      <c r="O438" s="67"/>
      <c r="P438" s="67"/>
    </row>
    <row r="439" ht="22.5" customHeight="1">
      <c r="C439" s="67"/>
      <c r="D439" s="69"/>
      <c r="E439" s="67"/>
      <c r="F439" s="69"/>
      <c r="G439" s="67"/>
      <c r="H439" s="67"/>
      <c r="I439" s="67"/>
      <c r="J439" s="70"/>
      <c r="K439" s="67"/>
      <c r="L439" s="67"/>
      <c r="M439" s="67"/>
      <c r="N439" s="67"/>
      <c r="O439" s="67"/>
      <c r="P439" s="67"/>
    </row>
    <row r="440" ht="22.5" customHeight="1">
      <c r="C440" s="67"/>
      <c r="D440" s="69"/>
      <c r="E440" s="67"/>
      <c r="F440" s="69"/>
      <c r="G440" s="67"/>
      <c r="H440" s="67"/>
      <c r="I440" s="67"/>
      <c r="J440" s="70"/>
      <c r="K440" s="67"/>
      <c r="L440" s="67"/>
      <c r="M440" s="67"/>
      <c r="N440" s="67"/>
      <c r="O440" s="67"/>
      <c r="P440" s="67"/>
    </row>
    <row r="441" ht="22.5" customHeight="1">
      <c r="C441" s="67"/>
      <c r="D441" s="69"/>
      <c r="E441" s="67"/>
      <c r="F441" s="69"/>
      <c r="G441" s="67"/>
      <c r="H441" s="67"/>
      <c r="I441" s="67"/>
      <c r="J441" s="70"/>
      <c r="K441" s="67"/>
      <c r="L441" s="67"/>
      <c r="M441" s="67"/>
      <c r="N441" s="67"/>
      <c r="O441" s="67"/>
      <c r="P441" s="67"/>
    </row>
    <row r="442" ht="22.5" customHeight="1">
      <c r="C442" s="67"/>
      <c r="D442" s="69"/>
      <c r="E442" s="67"/>
      <c r="F442" s="69"/>
      <c r="G442" s="67"/>
      <c r="H442" s="67"/>
      <c r="I442" s="67"/>
      <c r="J442" s="70"/>
      <c r="K442" s="67"/>
      <c r="L442" s="67"/>
      <c r="M442" s="67"/>
      <c r="N442" s="67"/>
      <c r="O442" s="67"/>
      <c r="P442" s="67"/>
    </row>
    <row r="443" ht="22.5" customHeight="1">
      <c r="C443" s="67"/>
      <c r="D443" s="69"/>
      <c r="E443" s="67"/>
      <c r="F443" s="69"/>
      <c r="G443" s="67"/>
      <c r="H443" s="67"/>
      <c r="I443" s="67"/>
      <c r="J443" s="70"/>
      <c r="K443" s="67"/>
      <c r="L443" s="67"/>
      <c r="M443" s="67"/>
      <c r="N443" s="67"/>
      <c r="O443" s="67"/>
      <c r="P443" s="67"/>
    </row>
    <row r="444" ht="22.5" customHeight="1">
      <c r="C444" s="67"/>
      <c r="D444" s="69"/>
      <c r="E444" s="67"/>
      <c r="F444" s="69"/>
      <c r="G444" s="67"/>
      <c r="H444" s="67"/>
      <c r="I444" s="67"/>
      <c r="J444" s="70"/>
      <c r="K444" s="67"/>
      <c r="L444" s="67"/>
      <c r="M444" s="67"/>
      <c r="N444" s="67"/>
      <c r="O444" s="67"/>
      <c r="P444" s="67"/>
    </row>
    <row r="445" ht="22.5" customHeight="1">
      <c r="C445" s="67"/>
      <c r="D445" s="69"/>
      <c r="E445" s="67"/>
      <c r="F445" s="69"/>
      <c r="G445" s="67"/>
      <c r="H445" s="67"/>
      <c r="I445" s="67"/>
      <c r="J445" s="70"/>
      <c r="K445" s="67"/>
      <c r="L445" s="67"/>
      <c r="M445" s="67"/>
      <c r="N445" s="67"/>
      <c r="O445" s="67"/>
      <c r="P445" s="67"/>
    </row>
    <row r="446" ht="22.5" customHeight="1">
      <c r="C446" s="67"/>
      <c r="D446" s="69"/>
      <c r="E446" s="67"/>
      <c r="F446" s="69"/>
      <c r="G446" s="67"/>
      <c r="H446" s="67"/>
      <c r="I446" s="67"/>
      <c r="J446" s="70"/>
      <c r="K446" s="67"/>
      <c r="L446" s="67"/>
      <c r="M446" s="67"/>
      <c r="N446" s="67"/>
      <c r="O446" s="67"/>
      <c r="P446" s="67"/>
    </row>
    <row r="447" ht="22.5" customHeight="1">
      <c r="C447" s="67"/>
      <c r="D447" s="69"/>
      <c r="E447" s="67"/>
      <c r="F447" s="69"/>
      <c r="G447" s="67"/>
      <c r="H447" s="67"/>
      <c r="I447" s="67"/>
      <c r="J447" s="70"/>
      <c r="K447" s="67"/>
      <c r="L447" s="67"/>
      <c r="M447" s="67"/>
      <c r="N447" s="67"/>
      <c r="O447" s="67"/>
      <c r="P447" s="67"/>
    </row>
    <row r="448" ht="22.5" customHeight="1">
      <c r="C448" s="67"/>
      <c r="D448" s="69"/>
      <c r="E448" s="67"/>
      <c r="F448" s="69"/>
      <c r="G448" s="67"/>
      <c r="H448" s="67"/>
      <c r="I448" s="67"/>
      <c r="J448" s="70"/>
      <c r="K448" s="67"/>
      <c r="L448" s="67"/>
      <c r="M448" s="67"/>
      <c r="N448" s="67"/>
      <c r="O448" s="67"/>
      <c r="P448" s="67"/>
    </row>
    <row r="449" ht="22.5" customHeight="1">
      <c r="C449" s="67"/>
      <c r="D449" s="69"/>
      <c r="E449" s="67"/>
      <c r="F449" s="69"/>
      <c r="G449" s="67"/>
      <c r="H449" s="67"/>
      <c r="I449" s="67"/>
      <c r="J449" s="70"/>
      <c r="K449" s="67"/>
      <c r="L449" s="67"/>
      <c r="M449" s="67"/>
      <c r="N449" s="67"/>
      <c r="O449" s="67"/>
      <c r="P449" s="67"/>
    </row>
    <row r="450" ht="22.5" customHeight="1">
      <c r="C450" s="67"/>
      <c r="D450" s="69"/>
      <c r="E450" s="67"/>
      <c r="F450" s="69"/>
      <c r="G450" s="67"/>
      <c r="H450" s="67"/>
      <c r="I450" s="67"/>
      <c r="J450" s="70"/>
      <c r="K450" s="67"/>
      <c r="L450" s="67"/>
      <c r="M450" s="67"/>
      <c r="N450" s="67"/>
      <c r="O450" s="67"/>
      <c r="P450" s="67"/>
    </row>
    <row r="451" ht="22.5" customHeight="1">
      <c r="C451" s="67"/>
      <c r="D451" s="69"/>
      <c r="E451" s="67"/>
      <c r="F451" s="69"/>
      <c r="G451" s="67"/>
      <c r="H451" s="67"/>
      <c r="I451" s="67"/>
      <c r="J451" s="70"/>
      <c r="K451" s="67"/>
      <c r="L451" s="67"/>
      <c r="M451" s="67"/>
      <c r="N451" s="67"/>
      <c r="O451" s="67"/>
      <c r="P451" s="67"/>
    </row>
    <row r="452" ht="22.5" customHeight="1">
      <c r="C452" s="67"/>
      <c r="D452" s="69"/>
      <c r="E452" s="67"/>
      <c r="F452" s="69"/>
      <c r="G452" s="67"/>
      <c r="H452" s="67"/>
      <c r="I452" s="67"/>
      <c r="J452" s="70"/>
      <c r="K452" s="67"/>
      <c r="L452" s="67"/>
      <c r="M452" s="67"/>
      <c r="N452" s="67"/>
      <c r="O452" s="67"/>
      <c r="P452" s="67"/>
    </row>
    <row r="453" ht="22.5" customHeight="1">
      <c r="C453" s="67"/>
      <c r="D453" s="69"/>
      <c r="E453" s="67"/>
      <c r="F453" s="69"/>
      <c r="G453" s="67"/>
      <c r="H453" s="67"/>
      <c r="I453" s="67"/>
      <c r="J453" s="70"/>
      <c r="K453" s="67"/>
      <c r="L453" s="67"/>
      <c r="M453" s="67"/>
      <c r="N453" s="67"/>
      <c r="O453" s="67"/>
      <c r="P453" s="67"/>
    </row>
    <row r="454" ht="22.5" customHeight="1">
      <c r="C454" s="67"/>
      <c r="D454" s="69"/>
      <c r="E454" s="67"/>
      <c r="F454" s="69"/>
      <c r="G454" s="67"/>
      <c r="H454" s="67"/>
      <c r="I454" s="67"/>
      <c r="J454" s="70"/>
      <c r="K454" s="67"/>
      <c r="L454" s="67"/>
      <c r="M454" s="67"/>
      <c r="N454" s="67"/>
      <c r="O454" s="67"/>
      <c r="P454" s="67"/>
    </row>
    <row r="455" ht="22.5" customHeight="1">
      <c r="C455" s="67"/>
      <c r="D455" s="69"/>
      <c r="E455" s="67"/>
      <c r="F455" s="69"/>
      <c r="G455" s="67"/>
      <c r="H455" s="67"/>
      <c r="I455" s="67"/>
      <c r="J455" s="70"/>
      <c r="K455" s="67"/>
      <c r="L455" s="67"/>
      <c r="M455" s="67"/>
      <c r="N455" s="67"/>
      <c r="O455" s="67"/>
      <c r="P455" s="67"/>
    </row>
    <row r="456" ht="22.5" customHeight="1">
      <c r="C456" s="67"/>
      <c r="D456" s="69"/>
      <c r="E456" s="67"/>
      <c r="F456" s="69"/>
      <c r="G456" s="67"/>
      <c r="H456" s="67"/>
      <c r="I456" s="67"/>
      <c r="J456" s="70"/>
      <c r="K456" s="67"/>
      <c r="L456" s="67"/>
      <c r="M456" s="67"/>
      <c r="N456" s="67"/>
      <c r="O456" s="67"/>
      <c r="P456" s="67"/>
    </row>
    <row r="457" ht="22.5" customHeight="1">
      <c r="C457" s="67"/>
      <c r="D457" s="69"/>
      <c r="E457" s="67"/>
      <c r="F457" s="69"/>
      <c r="G457" s="67"/>
      <c r="H457" s="67"/>
      <c r="I457" s="67"/>
      <c r="J457" s="70"/>
      <c r="K457" s="67"/>
      <c r="L457" s="67"/>
      <c r="M457" s="67"/>
      <c r="N457" s="67"/>
      <c r="O457" s="67"/>
      <c r="P457" s="67"/>
    </row>
    <row r="458" ht="22.5" customHeight="1">
      <c r="C458" s="67"/>
      <c r="D458" s="69"/>
      <c r="E458" s="67"/>
      <c r="F458" s="69"/>
      <c r="G458" s="67"/>
      <c r="H458" s="67"/>
      <c r="I458" s="67"/>
      <c r="J458" s="70"/>
      <c r="K458" s="67"/>
      <c r="L458" s="67"/>
      <c r="M458" s="67"/>
      <c r="N458" s="67"/>
      <c r="O458" s="67"/>
      <c r="P458" s="67"/>
    </row>
    <row r="459" ht="22.5" customHeight="1">
      <c r="C459" s="67"/>
      <c r="D459" s="69"/>
      <c r="E459" s="67"/>
      <c r="F459" s="69"/>
      <c r="G459" s="67"/>
      <c r="H459" s="67"/>
      <c r="I459" s="67"/>
      <c r="J459" s="70"/>
      <c r="K459" s="67"/>
      <c r="L459" s="67"/>
      <c r="M459" s="67"/>
      <c r="N459" s="67"/>
      <c r="O459" s="67"/>
      <c r="P459" s="67"/>
    </row>
    <row r="460" ht="22.5" customHeight="1">
      <c r="C460" s="67"/>
      <c r="D460" s="69"/>
      <c r="E460" s="67"/>
      <c r="F460" s="69"/>
      <c r="G460" s="67"/>
      <c r="H460" s="67"/>
      <c r="I460" s="67"/>
      <c r="J460" s="70"/>
      <c r="K460" s="67"/>
      <c r="L460" s="67"/>
      <c r="M460" s="67"/>
      <c r="N460" s="67"/>
      <c r="O460" s="67"/>
      <c r="P460" s="67"/>
    </row>
    <row r="461" ht="22.5" customHeight="1">
      <c r="C461" s="67"/>
      <c r="D461" s="69"/>
      <c r="E461" s="67"/>
      <c r="F461" s="69"/>
      <c r="G461" s="67"/>
      <c r="H461" s="67"/>
      <c r="I461" s="67"/>
      <c r="J461" s="70"/>
      <c r="K461" s="67"/>
      <c r="L461" s="67"/>
      <c r="M461" s="67"/>
      <c r="N461" s="67"/>
      <c r="O461" s="67"/>
      <c r="P461" s="67"/>
    </row>
    <row r="462" ht="22.5" customHeight="1">
      <c r="C462" s="67"/>
      <c r="D462" s="69"/>
      <c r="E462" s="67"/>
      <c r="F462" s="69"/>
      <c r="G462" s="67"/>
      <c r="H462" s="67"/>
      <c r="I462" s="67"/>
      <c r="J462" s="70"/>
      <c r="K462" s="67"/>
      <c r="L462" s="67"/>
      <c r="M462" s="67"/>
      <c r="N462" s="67"/>
      <c r="O462" s="67"/>
      <c r="P462" s="67"/>
    </row>
    <row r="463" ht="22.5" customHeight="1">
      <c r="C463" s="67"/>
      <c r="D463" s="69"/>
      <c r="E463" s="67"/>
      <c r="F463" s="69"/>
      <c r="G463" s="67"/>
      <c r="H463" s="67"/>
      <c r="I463" s="67"/>
      <c r="J463" s="70"/>
      <c r="K463" s="67"/>
      <c r="L463" s="67"/>
      <c r="M463" s="67"/>
      <c r="N463" s="67"/>
      <c r="O463" s="67"/>
      <c r="P463" s="67"/>
    </row>
    <row r="464" ht="22.5" customHeight="1">
      <c r="C464" s="67"/>
      <c r="D464" s="69"/>
      <c r="E464" s="67"/>
      <c r="F464" s="69"/>
      <c r="G464" s="67"/>
      <c r="H464" s="67"/>
      <c r="I464" s="67"/>
      <c r="J464" s="70"/>
      <c r="K464" s="67"/>
      <c r="L464" s="67"/>
      <c r="M464" s="67"/>
      <c r="N464" s="67"/>
      <c r="O464" s="67"/>
      <c r="P464" s="67"/>
    </row>
    <row r="465" ht="22.5" customHeight="1">
      <c r="C465" s="67"/>
      <c r="D465" s="69"/>
      <c r="E465" s="67"/>
      <c r="F465" s="69"/>
      <c r="G465" s="67"/>
      <c r="H465" s="67"/>
      <c r="I465" s="67"/>
      <c r="J465" s="70"/>
      <c r="K465" s="67"/>
      <c r="L465" s="67"/>
      <c r="M465" s="67"/>
      <c r="N465" s="67"/>
      <c r="O465" s="67"/>
      <c r="P465" s="67"/>
    </row>
    <row r="466" ht="22.5" customHeight="1">
      <c r="C466" s="67"/>
      <c r="D466" s="69"/>
      <c r="E466" s="67"/>
      <c r="F466" s="69"/>
      <c r="G466" s="67"/>
      <c r="H466" s="67"/>
      <c r="I466" s="67"/>
      <c r="J466" s="70"/>
      <c r="K466" s="67"/>
      <c r="L466" s="67"/>
      <c r="M466" s="67"/>
      <c r="N466" s="67"/>
      <c r="O466" s="67"/>
      <c r="P466" s="67"/>
    </row>
    <row r="467" ht="22.5" customHeight="1">
      <c r="C467" s="67"/>
      <c r="D467" s="69"/>
      <c r="E467" s="67"/>
      <c r="F467" s="69"/>
      <c r="G467" s="67"/>
      <c r="H467" s="67"/>
      <c r="I467" s="67"/>
      <c r="J467" s="70"/>
      <c r="K467" s="67"/>
      <c r="L467" s="67"/>
      <c r="M467" s="67"/>
      <c r="N467" s="67"/>
      <c r="O467" s="67"/>
      <c r="P467" s="67"/>
    </row>
    <row r="468" ht="22.5" customHeight="1">
      <c r="C468" s="67"/>
      <c r="D468" s="69"/>
      <c r="E468" s="67"/>
      <c r="F468" s="69"/>
      <c r="G468" s="67"/>
      <c r="H468" s="67"/>
      <c r="I468" s="67"/>
      <c r="J468" s="70"/>
      <c r="K468" s="67"/>
      <c r="L468" s="67"/>
      <c r="M468" s="67"/>
      <c r="N468" s="67"/>
      <c r="O468" s="67"/>
      <c r="P468" s="67"/>
    </row>
    <row r="469" ht="22.5" customHeight="1">
      <c r="C469" s="67"/>
      <c r="D469" s="69"/>
      <c r="E469" s="67"/>
      <c r="F469" s="69"/>
      <c r="G469" s="67"/>
      <c r="H469" s="67"/>
      <c r="I469" s="67"/>
      <c r="J469" s="70"/>
      <c r="K469" s="67"/>
      <c r="L469" s="67"/>
      <c r="M469" s="67"/>
      <c r="N469" s="67"/>
      <c r="O469" s="67"/>
      <c r="P469" s="67"/>
    </row>
    <row r="470" ht="22.5" customHeight="1">
      <c r="C470" s="67"/>
      <c r="D470" s="69"/>
      <c r="E470" s="67"/>
      <c r="F470" s="69"/>
      <c r="G470" s="67"/>
      <c r="H470" s="67"/>
      <c r="I470" s="67"/>
      <c r="J470" s="70"/>
      <c r="K470" s="67"/>
      <c r="L470" s="67"/>
      <c r="M470" s="67"/>
      <c r="N470" s="67"/>
      <c r="O470" s="67"/>
      <c r="P470" s="67"/>
    </row>
    <row r="471" ht="22.5" customHeight="1">
      <c r="C471" s="67"/>
      <c r="D471" s="69"/>
      <c r="E471" s="67"/>
      <c r="F471" s="69"/>
      <c r="G471" s="67"/>
      <c r="H471" s="67"/>
      <c r="I471" s="67"/>
      <c r="J471" s="70"/>
      <c r="K471" s="67"/>
      <c r="L471" s="67"/>
      <c r="M471" s="67"/>
      <c r="N471" s="67"/>
      <c r="O471" s="67"/>
      <c r="P471" s="67"/>
    </row>
    <row r="472" ht="22.5" customHeight="1">
      <c r="C472" s="67"/>
      <c r="D472" s="69"/>
      <c r="E472" s="67"/>
      <c r="F472" s="69"/>
      <c r="G472" s="67"/>
      <c r="H472" s="67"/>
      <c r="I472" s="67"/>
      <c r="J472" s="70"/>
      <c r="K472" s="67"/>
      <c r="L472" s="67"/>
      <c r="M472" s="67"/>
      <c r="N472" s="67"/>
      <c r="O472" s="67"/>
      <c r="P472" s="67"/>
    </row>
    <row r="473" ht="22.5" customHeight="1">
      <c r="C473" s="67"/>
      <c r="D473" s="69"/>
      <c r="E473" s="67"/>
      <c r="F473" s="69"/>
      <c r="G473" s="67"/>
      <c r="H473" s="67"/>
      <c r="I473" s="67"/>
      <c r="J473" s="70"/>
      <c r="K473" s="67"/>
      <c r="L473" s="67"/>
      <c r="M473" s="67"/>
      <c r="N473" s="67"/>
      <c r="O473" s="67"/>
      <c r="P473" s="67"/>
    </row>
    <row r="474" ht="22.5" customHeight="1">
      <c r="C474" s="67"/>
      <c r="D474" s="69"/>
      <c r="E474" s="67"/>
      <c r="F474" s="69"/>
      <c r="G474" s="67"/>
      <c r="H474" s="67"/>
      <c r="I474" s="67"/>
      <c r="J474" s="70"/>
      <c r="K474" s="67"/>
      <c r="L474" s="67"/>
      <c r="M474" s="67"/>
      <c r="N474" s="67"/>
      <c r="O474" s="67"/>
      <c r="P474" s="67"/>
    </row>
    <row r="475" ht="22.5" customHeight="1">
      <c r="C475" s="67"/>
      <c r="D475" s="69"/>
      <c r="E475" s="67"/>
      <c r="F475" s="69"/>
      <c r="G475" s="67"/>
      <c r="H475" s="67"/>
      <c r="I475" s="67"/>
      <c r="J475" s="70"/>
      <c r="K475" s="67"/>
      <c r="L475" s="67"/>
      <c r="M475" s="67"/>
      <c r="N475" s="67"/>
      <c r="O475" s="67"/>
      <c r="P475" s="67"/>
    </row>
    <row r="476" ht="22.5" customHeight="1">
      <c r="C476" s="67"/>
      <c r="D476" s="69"/>
      <c r="E476" s="67"/>
      <c r="F476" s="69"/>
      <c r="G476" s="67"/>
      <c r="H476" s="67"/>
      <c r="I476" s="67"/>
      <c r="J476" s="70"/>
      <c r="K476" s="67"/>
      <c r="L476" s="67"/>
      <c r="M476" s="67"/>
      <c r="N476" s="67"/>
      <c r="O476" s="67"/>
      <c r="P476" s="67"/>
    </row>
    <row r="477" ht="22.5" customHeight="1">
      <c r="C477" s="67"/>
      <c r="D477" s="69"/>
      <c r="E477" s="67"/>
      <c r="F477" s="69"/>
      <c r="G477" s="67"/>
      <c r="H477" s="67"/>
      <c r="I477" s="67"/>
      <c r="J477" s="70"/>
      <c r="K477" s="67"/>
      <c r="L477" s="67"/>
      <c r="M477" s="67"/>
      <c r="N477" s="67"/>
      <c r="O477" s="67"/>
      <c r="P477" s="67"/>
    </row>
    <row r="478" ht="22.5" customHeight="1">
      <c r="C478" s="67"/>
      <c r="D478" s="69"/>
      <c r="E478" s="67"/>
      <c r="F478" s="69"/>
      <c r="G478" s="67"/>
      <c r="H478" s="67"/>
      <c r="I478" s="67"/>
      <c r="J478" s="70"/>
      <c r="K478" s="67"/>
      <c r="L478" s="67"/>
      <c r="M478" s="67"/>
      <c r="N478" s="67"/>
      <c r="O478" s="67"/>
      <c r="P478" s="67"/>
    </row>
    <row r="479" ht="22.5" customHeight="1">
      <c r="C479" s="67"/>
      <c r="D479" s="69"/>
      <c r="E479" s="67"/>
      <c r="F479" s="69"/>
      <c r="G479" s="67"/>
      <c r="H479" s="67"/>
      <c r="I479" s="67"/>
      <c r="J479" s="70"/>
      <c r="K479" s="67"/>
      <c r="L479" s="67"/>
      <c r="M479" s="67"/>
      <c r="N479" s="67"/>
      <c r="O479" s="67"/>
      <c r="P479" s="67"/>
    </row>
    <row r="480" ht="22.5" customHeight="1">
      <c r="C480" s="67"/>
      <c r="D480" s="69"/>
      <c r="E480" s="67"/>
      <c r="F480" s="69"/>
      <c r="G480" s="67"/>
      <c r="H480" s="67"/>
      <c r="I480" s="67"/>
      <c r="J480" s="70"/>
      <c r="K480" s="67"/>
      <c r="L480" s="67"/>
      <c r="M480" s="67"/>
      <c r="N480" s="67"/>
      <c r="O480" s="67"/>
      <c r="P480" s="67"/>
    </row>
    <row r="481" ht="22.5" customHeight="1">
      <c r="C481" s="67"/>
      <c r="D481" s="69"/>
      <c r="E481" s="67"/>
      <c r="F481" s="69"/>
      <c r="G481" s="67"/>
      <c r="H481" s="67"/>
      <c r="I481" s="67"/>
      <c r="J481" s="70"/>
      <c r="K481" s="67"/>
      <c r="L481" s="67"/>
      <c r="M481" s="67"/>
      <c r="N481" s="67"/>
      <c r="O481" s="67"/>
      <c r="P481" s="67"/>
    </row>
    <row r="482" ht="22.5" customHeight="1">
      <c r="C482" s="67"/>
      <c r="D482" s="69"/>
      <c r="E482" s="67"/>
      <c r="F482" s="69"/>
      <c r="G482" s="67"/>
      <c r="H482" s="67"/>
      <c r="I482" s="67"/>
      <c r="J482" s="70"/>
      <c r="K482" s="67"/>
      <c r="L482" s="67"/>
      <c r="M482" s="67"/>
      <c r="N482" s="67"/>
      <c r="O482" s="67"/>
      <c r="P482" s="67"/>
    </row>
    <row r="483" ht="22.5" customHeight="1">
      <c r="C483" s="67"/>
      <c r="D483" s="69"/>
      <c r="E483" s="67"/>
      <c r="F483" s="69"/>
      <c r="G483" s="67"/>
      <c r="H483" s="67"/>
      <c r="I483" s="67"/>
      <c r="J483" s="70"/>
      <c r="K483" s="67"/>
      <c r="L483" s="67"/>
      <c r="M483" s="67"/>
      <c r="N483" s="67"/>
      <c r="O483" s="67"/>
      <c r="P483" s="67"/>
    </row>
    <row r="484" ht="22.5" customHeight="1">
      <c r="C484" s="67"/>
      <c r="D484" s="69"/>
      <c r="E484" s="67"/>
      <c r="F484" s="69"/>
      <c r="G484" s="67"/>
      <c r="H484" s="67"/>
      <c r="I484" s="67"/>
      <c r="J484" s="70"/>
      <c r="K484" s="67"/>
      <c r="L484" s="67"/>
      <c r="M484" s="67"/>
      <c r="N484" s="67"/>
      <c r="O484" s="67"/>
      <c r="P484" s="67"/>
    </row>
    <row r="485" ht="22.5" customHeight="1">
      <c r="C485" s="67"/>
      <c r="D485" s="69"/>
      <c r="E485" s="67"/>
      <c r="F485" s="69"/>
      <c r="G485" s="67"/>
      <c r="H485" s="67"/>
      <c r="I485" s="67"/>
      <c r="J485" s="70"/>
      <c r="K485" s="67"/>
      <c r="L485" s="67"/>
      <c r="M485" s="67"/>
      <c r="N485" s="67"/>
      <c r="O485" s="67"/>
      <c r="P485" s="67"/>
    </row>
    <row r="486" ht="22.5" customHeight="1">
      <c r="C486" s="67"/>
      <c r="D486" s="69"/>
      <c r="E486" s="67"/>
      <c r="F486" s="69"/>
      <c r="G486" s="67"/>
      <c r="H486" s="67"/>
      <c r="I486" s="67"/>
      <c r="J486" s="70"/>
      <c r="K486" s="67"/>
      <c r="L486" s="67"/>
      <c r="M486" s="67"/>
      <c r="N486" s="67"/>
      <c r="O486" s="67"/>
      <c r="P486" s="67"/>
    </row>
    <row r="487" ht="22.5" customHeight="1">
      <c r="C487" s="67"/>
      <c r="D487" s="69"/>
      <c r="E487" s="67"/>
      <c r="F487" s="69"/>
      <c r="G487" s="67"/>
      <c r="H487" s="67"/>
      <c r="I487" s="67"/>
      <c r="J487" s="70"/>
      <c r="K487" s="67"/>
      <c r="L487" s="67"/>
      <c r="M487" s="67"/>
      <c r="N487" s="67"/>
      <c r="O487" s="67"/>
      <c r="P487" s="67"/>
    </row>
    <row r="488" ht="22.5" customHeight="1">
      <c r="C488" s="67"/>
      <c r="D488" s="69"/>
      <c r="E488" s="67"/>
      <c r="F488" s="69"/>
      <c r="G488" s="67"/>
      <c r="H488" s="67"/>
      <c r="I488" s="67"/>
      <c r="J488" s="70"/>
      <c r="K488" s="67"/>
      <c r="L488" s="67"/>
      <c r="M488" s="67"/>
      <c r="N488" s="67"/>
      <c r="O488" s="67"/>
      <c r="P488" s="67"/>
    </row>
    <row r="489" ht="22.5" customHeight="1">
      <c r="C489" s="67"/>
      <c r="D489" s="69"/>
      <c r="E489" s="67"/>
      <c r="F489" s="69"/>
      <c r="G489" s="67"/>
      <c r="H489" s="67"/>
      <c r="I489" s="67"/>
      <c r="J489" s="70"/>
      <c r="K489" s="67"/>
      <c r="L489" s="67"/>
      <c r="M489" s="67"/>
      <c r="N489" s="67"/>
      <c r="O489" s="67"/>
      <c r="P489" s="67"/>
    </row>
    <row r="490" ht="22.5" customHeight="1">
      <c r="C490" s="67"/>
      <c r="D490" s="69"/>
      <c r="E490" s="67"/>
      <c r="F490" s="69"/>
      <c r="G490" s="67"/>
      <c r="H490" s="67"/>
      <c r="I490" s="67"/>
      <c r="J490" s="70"/>
      <c r="K490" s="67"/>
      <c r="L490" s="67"/>
      <c r="M490" s="67"/>
      <c r="N490" s="67"/>
      <c r="O490" s="67"/>
      <c r="P490" s="67"/>
    </row>
    <row r="491" ht="22.5" customHeight="1">
      <c r="C491" s="67"/>
      <c r="D491" s="69"/>
      <c r="E491" s="67"/>
      <c r="F491" s="69"/>
      <c r="G491" s="67"/>
      <c r="H491" s="67"/>
      <c r="I491" s="67"/>
      <c r="J491" s="70"/>
      <c r="K491" s="67"/>
      <c r="L491" s="67"/>
      <c r="M491" s="67"/>
      <c r="N491" s="67"/>
      <c r="O491" s="67"/>
      <c r="P491" s="67"/>
    </row>
    <row r="492" ht="22.5" customHeight="1">
      <c r="C492" s="67"/>
      <c r="D492" s="69"/>
      <c r="E492" s="67"/>
      <c r="F492" s="69"/>
      <c r="G492" s="67"/>
      <c r="H492" s="67"/>
      <c r="I492" s="67"/>
      <c r="J492" s="70"/>
      <c r="K492" s="67"/>
      <c r="L492" s="67"/>
      <c r="M492" s="67"/>
      <c r="N492" s="67"/>
      <c r="O492" s="67"/>
      <c r="P492" s="67"/>
    </row>
    <row r="493" ht="22.5" customHeight="1">
      <c r="C493" s="67"/>
      <c r="D493" s="69"/>
      <c r="E493" s="67"/>
      <c r="F493" s="69"/>
      <c r="G493" s="67"/>
      <c r="H493" s="67"/>
      <c r="I493" s="67"/>
      <c r="J493" s="70"/>
      <c r="K493" s="67"/>
      <c r="L493" s="67"/>
      <c r="M493" s="67"/>
      <c r="N493" s="67"/>
      <c r="O493" s="67"/>
      <c r="P493" s="67"/>
    </row>
    <row r="494" ht="22.5" customHeight="1">
      <c r="C494" s="67"/>
      <c r="D494" s="69"/>
      <c r="E494" s="67"/>
      <c r="F494" s="69"/>
      <c r="G494" s="67"/>
      <c r="H494" s="67"/>
      <c r="I494" s="67"/>
      <c r="J494" s="70"/>
      <c r="K494" s="67"/>
      <c r="L494" s="67"/>
      <c r="M494" s="67"/>
      <c r="N494" s="67"/>
      <c r="O494" s="67"/>
      <c r="P494" s="67"/>
    </row>
    <row r="495" ht="22.5" customHeight="1">
      <c r="C495" s="67"/>
      <c r="D495" s="69"/>
      <c r="E495" s="67"/>
      <c r="F495" s="69"/>
      <c r="G495" s="67"/>
      <c r="H495" s="67"/>
      <c r="I495" s="67"/>
      <c r="J495" s="70"/>
      <c r="K495" s="67"/>
      <c r="L495" s="67"/>
      <c r="M495" s="67"/>
      <c r="N495" s="67"/>
      <c r="O495" s="67"/>
      <c r="P495" s="67"/>
    </row>
    <row r="496" ht="22.5" customHeight="1">
      <c r="C496" s="67"/>
      <c r="D496" s="69"/>
      <c r="E496" s="67"/>
      <c r="F496" s="69"/>
      <c r="G496" s="67"/>
      <c r="H496" s="67"/>
      <c r="I496" s="67"/>
      <c r="J496" s="70"/>
      <c r="K496" s="67"/>
      <c r="L496" s="67"/>
      <c r="M496" s="67"/>
      <c r="N496" s="67"/>
      <c r="O496" s="67"/>
      <c r="P496" s="67"/>
    </row>
    <row r="497" ht="22.5" customHeight="1">
      <c r="C497" s="67"/>
      <c r="D497" s="69"/>
      <c r="E497" s="67"/>
      <c r="F497" s="69"/>
      <c r="G497" s="67"/>
      <c r="H497" s="67"/>
      <c r="I497" s="67"/>
      <c r="J497" s="70"/>
      <c r="K497" s="67"/>
      <c r="L497" s="67"/>
      <c r="M497" s="67"/>
      <c r="N497" s="67"/>
      <c r="O497" s="67"/>
      <c r="P497" s="67"/>
    </row>
    <row r="498" ht="22.5" customHeight="1">
      <c r="C498" s="67"/>
      <c r="D498" s="69"/>
      <c r="E498" s="67"/>
      <c r="F498" s="69"/>
      <c r="G498" s="67"/>
      <c r="H498" s="67"/>
      <c r="I498" s="67"/>
      <c r="J498" s="70"/>
      <c r="K498" s="67"/>
      <c r="L498" s="67"/>
      <c r="M498" s="67"/>
      <c r="N498" s="67"/>
      <c r="O498" s="67"/>
      <c r="P498" s="67"/>
    </row>
    <row r="499" ht="22.5" customHeight="1">
      <c r="C499" s="67"/>
      <c r="D499" s="69"/>
      <c r="E499" s="67"/>
      <c r="F499" s="69"/>
      <c r="G499" s="67"/>
      <c r="H499" s="67"/>
      <c r="I499" s="67"/>
      <c r="J499" s="70"/>
      <c r="K499" s="67"/>
      <c r="L499" s="67"/>
      <c r="M499" s="67"/>
      <c r="N499" s="67"/>
      <c r="O499" s="67"/>
      <c r="P499" s="67"/>
    </row>
    <row r="500" ht="22.5" customHeight="1">
      <c r="C500" s="67"/>
      <c r="D500" s="69"/>
      <c r="E500" s="67"/>
      <c r="F500" s="69"/>
      <c r="G500" s="67"/>
      <c r="H500" s="67"/>
      <c r="I500" s="67"/>
      <c r="J500" s="70"/>
      <c r="K500" s="67"/>
      <c r="L500" s="67"/>
      <c r="M500" s="67"/>
      <c r="N500" s="67"/>
      <c r="O500" s="67"/>
      <c r="P500" s="67"/>
    </row>
    <row r="501" ht="22.5" customHeight="1">
      <c r="C501" s="67"/>
      <c r="D501" s="69"/>
      <c r="E501" s="67"/>
      <c r="F501" s="69"/>
      <c r="G501" s="67"/>
      <c r="H501" s="67"/>
      <c r="I501" s="67"/>
      <c r="J501" s="70"/>
      <c r="K501" s="67"/>
      <c r="L501" s="67"/>
      <c r="M501" s="67"/>
      <c r="N501" s="67"/>
      <c r="O501" s="67"/>
      <c r="P501" s="67"/>
    </row>
    <row r="502" ht="22.5" customHeight="1">
      <c r="C502" s="67"/>
      <c r="D502" s="69"/>
      <c r="E502" s="67"/>
      <c r="F502" s="69"/>
      <c r="G502" s="67"/>
      <c r="H502" s="67"/>
      <c r="I502" s="67"/>
      <c r="J502" s="70"/>
      <c r="K502" s="67"/>
      <c r="L502" s="67"/>
      <c r="M502" s="67"/>
      <c r="N502" s="67"/>
      <c r="O502" s="67"/>
      <c r="P502" s="67"/>
    </row>
    <row r="503" ht="22.5" customHeight="1">
      <c r="C503" s="67"/>
      <c r="D503" s="69"/>
      <c r="E503" s="67"/>
      <c r="F503" s="69"/>
      <c r="G503" s="67"/>
      <c r="H503" s="67"/>
      <c r="I503" s="67"/>
      <c r="J503" s="70"/>
      <c r="K503" s="67"/>
      <c r="L503" s="67"/>
      <c r="M503" s="67"/>
      <c r="N503" s="67"/>
      <c r="O503" s="67"/>
      <c r="P503" s="67"/>
    </row>
    <row r="504" ht="22.5" customHeight="1">
      <c r="C504" s="67"/>
      <c r="D504" s="69"/>
      <c r="E504" s="67"/>
      <c r="F504" s="69"/>
      <c r="G504" s="67"/>
      <c r="H504" s="67"/>
      <c r="I504" s="67"/>
      <c r="J504" s="70"/>
      <c r="K504" s="67"/>
      <c r="L504" s="67"/>
      <c r="M504" s="67"/>
      <c r="N504" s="67"/>
      <c r="O504" s="67"/>
      <c r="P504" s="67"/>
    </row>
    <row r="505" ht="22.5" customHeight="1">
      <c r="C505" s="67"/>
      <c r="D505" s="69"/>
      <c r="E505" s="67"/>
      <c r="F505" s="69"/>
      <c r="G505" s="67"/>
      <c r="H505" s="67"/>
      <c r="I505" s="67"/>
      <c r="J505" s="70"/>
      <c r="K505" s="67"/>
      <c r="L505" s="67"/>
      <c r="M505" s="67"/>
      <c r="N505" s="67"/>
      <c r="O505" s="67"/>
      <c r="P505" s="67"/>
    </row>
    <row r="506" ht="22.5" customHeight="1">
      <c r="C506" s="67"/>
      <c r="D506" s="69"/>
      <c r="E506" s="67"/>
      <c r="F506" s="69"/>
      <c r="G506" s="67"/>
      <c r="H506" s="67"/>
      <c r="I506" s="67"/>
      <c r="J506" s="70"/>
      <c r="K506" s="67"/>
      <c r="L506" s="67"/>
      <c r="M506" s="67"/>
      <c r="N506" s="67"/>
      <c r="O506" s="67"/>
      <c r="P506" s="67"/>
    </row>
    <row r="507" ht="22.5" customHeight="1">
      <c r="C507" s="67"/>
      <c r="D507" s="69"/>
      <c r="E507" s="67"/>
      <c r="F507" s="69"/>
      <c r="G507" s="67"/>
      <c r="H507" s="67"/>
      <c r="I507" s="67"/>
      <c r="J507" s="70"/>
      <c r="K507" s="67"/>
      <c r="L507" s="67"/>
      <c r="M507" s="67"/>
      <c r="N507" s="67"/>
      <c r="O507" s="67"/>
      <c r="P507" s="67"/>
    </row>
    <row r="508" ht="22.5" customHeight="1">
      <c r="C508" s="67"/>
      <c r="D508" s="69"/>
      <c r="E508" s="67"/>
      <c r="F508" s="69"/>
      <c r="G508" s="67"/>
      <c r="H508" s="67"/>
      <c r="I508" s="67"/>
      <c r="J508" s="70"/>
      <c r="K508" s="67"/>
      <c r="L508" s="67"/>
      <c r="M508" s="67"/>
      <c r="N508" s="67"/>
      <c r="O508" s="67"/>
      <c r="P508" s="67"/>
    </row>
    <row r="509" ht="22.5" customHeight="1">
      <c r="C509" s="67"/>
      <c r="D509" s="69"/>
      <c r="E509" s="67"/>
      <c r="F509" s="69"/>
      <c r="G509" s="67"/>
      <c r="H509" s="67"/>
      <c r="I509" s="67"/>
      <c r="J509" s="70"/>
      <c r="K509" s="67"/>
      <c r="L509" s="67"/>
      <c r="M509" s="67"/>
      <c r="N509" s="67"/>
      <c r="O509" s="67"/>
      <c r="P509" s="67"/>
    </row>
    <row r="510" ht="22.5" customHeight="1">
      <c r="C510" s="67"/>
      <c r="D510" s="69"/>
      <c r="E510" s="67"/>
      <c r="F510" s="69"/>
      <c r="G510" s="67"/>
      <c r="H510" s="67"/>
      <c r="I510" s="67"/>
      <c r="J510" s="70"/>
      <c r="K510" s="67"/>
      <c r="L510" s="67"/>
      <c r="M510" s="67"/>
      <c r="N510" s="67"/>
      <c r="O510" s="67"/>
      <c r="P510" s="67"/>
    </row>
    <row r="511" ht="22.5" customHeight="1">
      <c r="C511" s="67"/>
      <c r="D511" s="69"/>
      <c r="E511" s="67"/>
      <c r="F511" s="69"/>
      <c r="G511" s="67"/>
      <c r="H511" s="67"/>
      <c r="I511" s="67"/>
      <c r="J511" s="70"/>
      <c r="K511" s="67"/>
      <c r="L511" s="67"/>
      <c r="M511" s="67"/>
      <c r="N511" s="67"/>
      <c r="O511" s="67"/>
      <c r="P511" s="67"/>
    </row>
    <row r="512" ht="22.5" customHeight="1">
      <c r="C512" s="67"/>
      <c r="D512" s="69"/>
      <c r="E512" s="67"/>
      <c r="F512" s="69"/>
      <c r="G512" s="67"/>
      <c r="H512" s="67"/>
      <c r="I512" s="67"/>
      <c r="J512" s="70"/>
      <c r="K512" s="67"/>
      <c r="L512" s="67"/>
      <c r="M512" s="67"/>
      <c r="N512" s="67"/>
      <c r="O512" s="67"/>
      <c r="P512" s="67"/>
    </row>
    <row r="513" ht="22.5" customHeight="1">
      <c r="C513" s="67"/>
      <c r="D513" s="69"/>
      <c r="E513" s="67"/>
      <c r="F513" s="69"/>
      <c r="G513" s="67"/>
      <c r="H513" s="67"/>
      <c r="I513" s="67"/>
      <c r="J513" s="70"/>
      <c r="K513" s="67"/>
      <c r="L513" s="67"/>
      <c r="M513" s="67"/>
      <c r="N513" s="67"/>
      <c r="O513" s="67"/>
      <c r="P513" s="67"/>
    </row>
    <row r="514" ht="22.5" customHeight="1">
      <c r="C514" s="67"/>
      <c r="D514" s="69"/>
      <c r="E514" s="67"/>
      <c r="F514" s="69"/>
      <c r="G514" s="67"/>
      <c r="H514" s="67"/>
      <c r="I514" s="67"/>
      <c r="J514" s="70"/>
      <c r="K514" s="67"/>
      <c r="L514" s="67"/>
      <c r="M514" s="67"/>
      <c r="N514" s="67"/>
      <c r="O514" s="67"/>
      <c r="P514" s="67"/>
    </row>
    <row r="515" ht="22.5" customHeight="1">
      <c r="C515" s="67"/>
      <c r="D515" s="69"/>
      <c r="E515" s="67"/>
      <c r="F515" s="69"/>
      <c r="G515" s="67"/>
      <c r="H515" s="67"/>
      <c r="I515" s="67"/>
      <c r="J515" s="70"/>
      <c r="K515" s="67"/>
      <c r="L515" s="67"/>
      <c r="M515" s="67"/>
      <c r="N515" s="67"/>
      <c r="O515" s="67"/>
      <c r="P515" s="67"/>
    </row>
    <row r="516" ht="22.5" customHeight="1">
      <c r="C516" s="67"/>
      <c r="D516" s="69"/>
      <c r="E516" s="67"/>
      <c r="F516" s="69"/>
      <c r="G516" s="67"/>
      <c r="H516" s="67"/>
      <c r="I516" s="67"/>
      <c r="J516" s="70"/>
      <c r="K516" s="67"/>
      <c r="L516" s="67"/>
      <c r="M516" s="67"/>
      <c r="N516" s="67"/>
      <c r="O516" s="67"/>
      <c r="P516" s="67"/>
    </row>
    <row r="517" ht="22.5" customHeight="1">
      <c r="C517" s="67"/>
      <c r="D517" s="69"/>
      <c r="E517" s="67"/>
      <c r="F517" s="69"/>
      <c r="G517" s="67"/>
      <c r="H517" s="67"/>
      <c r="I517" s="67"/>
      <c r="J517" s="70"/>
      <c r="K517" s="67"/>
      <c r="L517" s="67"/>
      <c r="M517" s="67"/>
      <c r="N517" s="67"/>
      <c r="O517" s="67"/>
      <c r="P517" s="67"/>
    </row>
    <row r="518" ht="22.5" customHeight="1">
      <c r="C518" s="67"/>
      <c r="D518" s="69"/>
      <c r="E518" s="67"/>
      <c r="F518" s="69"/>
      <c r="G518" s="67"/>
      <c r="H518" s="67"/>
      <c r="I518" s="67"/>
      <c r="J518" s="70"/>
      <c r="K518" s="67"/>
      <c r="L518" s="67"/>
      <c r="M518" s="67"/>
      <c r="N518" s="67"/>
      <c r="O518" s="67"/>
      <c r="P518" s="67"/>
    </row>
    <row r="519" ht="22.5" customHeight="1">
      <c r="C519" s="67"/>
      <c r="D519" s="69"/>
      <c r="E519" s="67"/>
      <c r="F519" s="69"/>
      <c r="G519" s="67"/>
      <c r="H519" s="67"/>
      <c r="I519" s="67"/>
      <c r="J519" s="70"/>
      <c r="K519" s="67"/>
      <c r="L519" s="67"/>
      <c r="M519" s="67"/>
      <c r="N519" s="67"/>
      <c r="O519" s="67"/>
      <c r="P519" s="67"/>
    </row>
    <row r="520" ht="22.5" customHeight="1">
      <c r="C520" s="67"/>
      <c r="D520" s="69"/>
      <c r="E520" s="67"/>
      <c r="F520" s="69"/>
      <c r="G520" s="67"/>
      <c r="H520" s="67"/>
      <c r="I520" s="67"/>
      <c r="J520" s="70"/>
      <c r="K520" s="67"/>
      <c r="L520" s="67"/>
      <c r="M520" s="67"/>
      <c r="N520" s="67"/>
      <c r="O520" s="67"/>
      <c r="P520" s="67"/>
    </row>
    <row r="521" ht="22.5" customHeight="1">
      <c r="C521" s="67"/>
      <c r="D521" s="69"/>
      <c r="E521" s="67"/>
      <c r="F521" s="69"/>
      <c r="G521" s="67"/>
      <c r="H521" s="67"/>
      <c r="I521" s="67"/>
      <c r="J521" s="70"/>
      <c r="K521" s="67"/>
      <c r="L521" s="67"/>
      <c r="M521" s="67"/>
      <c r="N521" s="67"/>
      <c r="O521" s="67"/>
      <c r="P521" s="67"/>
    </row>
    <row r="522" ht="22.5" customHeight="1">
      <c r="C522" s="67"/>
      <c r="D522" s="69"/>
      <c r="E522" s="67"/>
      <c r="F522" s="69"/>
      <c r="G522" s="67"/>
      <c r="H522" s="67"/>
      <c r="I522" s="67"/>
      <c r="J522" s="70"/>
      <c r="K522" s="67"/>
      <c r="L522" s="67"/>
      <c r="M522" s="67"/>
      <c r="N522" s="67"/>
      <c r="O522" s="67"/>
      <c r="P522" s="67"/>
    </row>
    <row r="523" ht="22.5" customHeight="1">
      <c r="C523" s="67"/>
      <c r="D523" s="69"/>
      <c r="E523" s="67"/>
      <c r="F523" s="69"/>
      <c r="G523" s="67"/>
      <c r="H523" s="67"/>
      <c r="I523" s="67"/>
      <c r="J523" s="70"/>
      <c r="K523" s="67"/>
      <c r="L523" s="67"/>
      <c r="M523" s="67"/>
      <c r="N523" s="67"/>
      <c r="O523" s="67"/>
      <c r="P523" s="67"/>
    </row>
    <row r="524" ht="22.5" customHeight="1">
      <c r="C524" s="67"/>
      <c r="D524" s="69"/>
      <c r="E524" s="67"/>
      <c r="F524" s="69"/>
      <c r="G524" s="67"/>
      <c r="H524" s="67"/>
      <c r="I524" s="67"/>
      <c r="J524" s="70"/>
      <c r="K524" s="67"/>
      <c r="L524" s="67"/>
      <c r="M524" s="67"/>
      <c r="N524" s="67"/>
      <c r="O524" s="67"/>
      <c r="P524" s="67"/>
    </row>
    <row r="525" ht="22.5" customHeight="1">
      <c r="C525" s="67"/>
      <c r="D525" s="69"/>
      <c r="E525" s="67"/>
      <c r="F525" s="69"/>
      <c r="G525" s="67"/>
      <c r="H525" s="67"/>
      <c r="I525" s="67"/>
      <c r="J525" s="70"/>
      <c r="K525" s="67"/>
      <c r="L525" s="67"/>
      <c r="M525" s="67"/>
      <c r="N525" s="67"/>
      <c r="O525" s="67"/>
      <c r="P525" s="67"/>
    </row>
    <row r="526" ht="22.5" customHeight="1">
      <c r="C526" s="67"/>
      <c r="D526" s="69"/>
      <c r="E526" s="67"/>
      <c r="F526" s="69"/>
      <c r="G526" s="67"/>
      <c r="H526" s="67"/>
      <c r="I526" s="67"/>
      <c r="J526" s="70"/>
      <c r="K526" s="67"/>
      <c r="L526" s="67"/>
      <c r="M526" s="67"/>
      <c r="N526" s="67"/>
      <c r="O526" s="67"/>
      <c r="P526" s="67"/>
    </row>
    <row r="527" ht="22.5" customHeight="1">
      <c r="C527" s="67"/>
      <c r="D527" s="69"/>
      <c r="E527" s="67"/>
      <c r="F527" s="69"/>
      <c r="G527" s="67"/>
      <c r="H527" s="67"/>
      <c r="I527" s="67"/>
      <c r="J527" s="70"/>
      <c r="K527" s="67"/>
      <c r="L527" s="67"/>
      <c r="M527" s="67"/>
      <c r="N527" s="67"/>
      <c r="O527" s="67"/>
      <c r="P527" s="67"/>
    </row>
    <row r="528" ht="22.5" customHeight="1">
      <c r="C528" s="67"/>
      <c r="D528" s="69"/>
      <c r="E528" s="67"/>
      <c r="F528" s="69"/>
      <c r="G528" s="67"/>
      <c r="H528" s="67"/>
      <c r="I528" s="67"/>
      <c r="J528" s="70"/>
      <c r="K528" s="67"/>
      <c r="L528" s="67"/>
      <c r="M528" s="67"/>
      <c r="N528" s="67"/>
      <c r="O528" s="67"/>
      <c r="P528" s="67"/>
    </row>
    <row r="529" ht="22.5" customHeight="1">
      <c r="C529" s="67"/>
      <c r="D529" s="69"/>
      <c r="E529" s="67"/>
      <c r="F529" s="69"/>
      <c r="G529" s="67"/>
      <c r="H529" s="67"/>
      <c r="I529" s="67"/>
      <c r="J529" s="70"/>
      <c r="K529" s="67"/>
      <c r="L529" s="67"/>
      <c r="M529" s="67"/>
      <c r="N529" s="67"/>
      <c r="O529" s="67"/>
      <c r="P529" s="67"/>
    </row>
    <row r="530" ht="22.5" customHeight="1">
      <c r="C530" s="67"/>
      <c r="D530" s="69"/>
      <c r="E530" s="67"/>
      <c r="F530" s="69"/>
      <c r="G530" s="67"/>
      <c r="H530" s="67"/>
      <c r="I530" s="67"/>
      <c r="J530" s="70"/>
      <c r="K530" s="67"/>
      <c r="L530" s="67"/>
      <c r="M530" s="67"/>
      <c r="N530" s="67"/>
      <c r="O530" s="67"/>
      <c r="P530" s="67"/>
    </row>
    <row r="531" ht="22.5" customHeight="1">
      <c r="C531" s="67"/>
      <c r="D531" s="69"/>
      <c r="E531" s="67"/>
      <c r="F531" s="69"/>
      <c r="G531" s="67"/>
      <c r="H531" s="67"/>
      <c r="I531" s="67"/>
      <c r="J531" s="70"/>
      <c r="K531" s="67"/>
      <c r="L531" s="67"/>
      <c r="M531" s="67"/>
      <c r="N531" s="67"/>
      <c r="O531" s="67"/>
      <c r="P531" s="67"/>
    </row>
    <row r="532" ht="22.5" customHeight="1">
      <c r="C532" s="67"/>
      <c r="D532" s="69"/>
      <c r="E532" s="67"/>
      <c r="F532" s="69"/>
      <c r="G532" s="67"/>
      <c r="H532" s="67"/>
      <c r="I532" s="67"/>
      <c r="J532" s="70"/>
      <c r="K532" s="67"/>
      <c r="L532" s="67"/>
      <c r="M532" s="67"/>
      <c r="N532" s="67"/>
      <c r="O532" s="67"/>
      <c r="P532" s="67"/>
    </row>
    <row r="533" ht="22.5" customHeight="1">
      <c r="C533" s="67"/>
      <c r="D533" s="69"/>
      <c r="E533" s="67"/>
      <c r="F533" s="69"/>
      <c r="G533" s="67"/>
      <c r="H533" s="67"/>
      <c r="I533" s="67"/>
      <c r="J533" s="70"/>
      <c r="K533" s="67"/>
      <c r="L533" s="67"/>
      <c r="M533" s="67"/>
      <c r="N533" s="67"/>
      <c r="O533" s="67"/>
      <c r="P533" s="67"/>
    </row>
    <row r="534" ht="22.5" customHeight="1">
      <c r="C534" s="67"/>
      <c r="D534" s="69"/>
      <c r="E534" s="67"/>
      <c r="F534" s="69"/>
      <c r="G534" s="67"/>
      <c r="H534" s="67"/>
      <c r="I534" s="67"/>
      <c r="J534" s="70"/>
      <c r="K534" s="67"/>
      <c r="L534" s="67"/>
      <c r="M534" s="67"/>
      <c r="N534" s="67"/>
      <c r="O534" s="67"/>
      <c r="P534" s="67"/>
    </row>
    <row r="535" ht="22.5" customHeight="1">
      <c r="C535" s="67"/>
      <c r="D535" s="69"/>
      <c r="E535" s="67"/>
      <c r="F535" s="69"/>
      <c r="G535" s="67"/>
      <c r="H535" s="67"/>
      <c r="I535" s="67"/>
      <c r="J535" s="70"/>
      <c r="K535" s="67"/>
      <c r="L535" s="67"/>
      <c r="M535" s="67"/>
      <c r="N535" s="67"/>
      <c r="O535" s="67"/>
      <c r="P535" s="67"/>
    </row>
    <row r="536" ht="22.5" customHeight="1">
      <c r="C536" s="67"/>
      <c r="D536" s="69"/>
      <c r="E536" s="67"/>
      <c r="F536" s="69"/>
      <c r="G536" s="67"/>
      <c r="H536" s="67"/>
      <c r="I536" s="67"/>
      <c r="J536" s="70"/>
      <c r="K536" s="67"/>
      <c r="L536" s="67"/>
      <c r="M536" s="67"/>
      <c r="N536" s="67"/>
      <c r="O536" s="67"/>
      <c r="P536" s="67"/>
    </row>
    <row r="537" ht="22.5" customHeight="1">
      <c r="C537" s="67"/>
      <c r="D537" s="69"/>
      <c r="E537" s="67"/>
      <c r="F537" s="69"/>
      <c r="G537" s="67"/>
      <c r="H537" s="67"/>
      <c r="I537" s="67"/>
      <c r="J537" s="70"/>
      <c r="K537" s="67"/>
      <c r="L537" s="67"/>
      <c r="M537" s="67"/>
      <c r="N537" s="67"/>
      <c r="O537" s="67"/>
      <c r="P537" s="67"/>
    </row>
    <row r="538" ht="22.5" customHeight="1">
      <c r="C538" s="67"/>
      <c r="D538" s="69"/>
      <c r="E538" s="67"/>
      <c r="F538" s="69"/>
      <c r="G538" s="67"/>
      <c r="H538" s="67"/>
      <c r="I538" s="67"/>
      <c r="J538" s="70"/>
      <c r="K538" s="67"/>
      <c r="L538" s="67"/>
      <c r="M538" s="67"/>
      <c r="N538" s="67"/>
      <c r="O538" s="67"/>
      <c r="P538" s="67"/>
    </row>
    <row r="539" ht="22.5" customHeight="1">
      <c r="C539" s="67"/>
      <c r="D539" s="69"/>
      <c r="E539" s="67"/>
      <c r="F539" s="69"/>
      <c r="G539" s="67"/>
      <c r="H539" s="67"/>
      <c r="I539" s="67"/>
      <c r="J539" s="70"/>
      <c r="K539" s="67"/>
      <c r="L539" s="67"/>
      <c r="M539" s="67"/>
      <c r="N539" s="67"/>
      <c r="O539" s="67"/>
      <c r="P539" s="67"/>
    </row>
    <row r="540" ht="22.5" customHeight="1">
      <c r="C540" s="67"/>
      <c r="D540" s="69"/>
      <c r="E540" s="67"/>
      <c r="F540" s="69"/>
      <c r="G540" s="67"/>
      <c r="H540" s="67"/>
      <c r="I540" s="67"/>
      <c r="J540" s="70"/>
      <c r="K540" s="67"/>
      <c r="L540" s="67"/>
      <c r="M540" s="67"/>
      <c r="N540" s="67"/>
      <c r="O540" s="67"/>
      <c r="P540" s="67"/>
    </row>
    <row r="541" ht="22.5" customHeight="1">
      <c r="C541" s="67"/>
      <c r="D541" s="69"/>
      <c r="E541" s="67"/>
      <c r="F541" s="69"/>
      <c r="G541" s="67"/>
      <c r="H541" s="67"/>
      <c r="I541" s="67"/>
      <c r="J541" s="70"/>
      <c r="K541" s="67"/>
      <c r="L541" s="67"/>
      <c r="M541" s="67"/>
      <c r="N541" s="67"/>
      <c r="O541" s="67"/>
      <c r="P541" s="67"/>
    </row>
    <row r="542" ht="22.5" customHeight="1">
      <c r="C542" s="67"/>
      <c r="D542" s="69"/>
      <c r="E542" s="67"/>
      <c r="F542" s="69"/>
      <c r="G542" s="67"/>
      <c r="H542" s="67"/>
      <c r="I542" s="67"/>
      <c r="J542" s="70"/>
      <c r="K542" s="67"/>
      <c r="L542" s="67"/>
      <c r="M542" s="67"/>
      <c r="N542" s="67"/>
      <c r="O542" s="67"/>
      <c r="P542" s="67"/>
    </row>
    <row r="543" ht="22.5" customHeight="1">
      <c r="C543" s="67"/>
      <c r="D543" s="69"/>
      <c r="E543" s="67"/>
      <c r="F543" s="69"/>
      <c r="G543" s="67"/>
      <c r="H543" s="67"/>
      <c r="I543" s="67"/>
      <c r="J543" s="70"/>
      <c r="K543" s="67"/>
      <c r="L543" s="67"/>
      <c r="M543" s="67"/>
      <c r="N543" s="67"/>
      <c r="O543" s="67"/>
      <c r="P543" s="67"/>
    </row>
    <row r="544" ht="22.5" customHeight="1">
      <c r="C544" s="67"/>
      <c r="D544" s="69"/>
      <c r="E544" s="67"/>
      <c r="F544" s="69"/>
      <c r="G544" s="67"/>
      <c r="H544" s="67"/>
      <c r="I544" s="67"/>
      <c r="J544" s="70"/>
      <c r="K544" s="67"/>
      <c r="L544" s="67"/>
      <c r="M544" s="67"/>
      <c r="N544" s="67"/>
      <c r="O544" s="67"/>
      <c r="P544" s="67"/>
    </row>
    <row r="545" ht="22.5" customHeight="1">
      <c r="C545" s="67"/>
      <c r="D545" s="69"/>
      <c r="E545" s="67"/>
      <c r="F545" s="69"/>
      <c r="G545" s="67"/>
      <c r="H545" s="67"/>
      <c r="I545" s="67"/>
      <c r="J545" s="70"/>
      <c r="K545" s="67"/>
      <c r="L545" s="67"/>
      <c r="M545" s="67"/>
      <c r="N545" s="67"/>
      <c r="O545" s="67"/>
      <c r="P545" s="67"/>
    </row>
    <row r="546" ht="22.5" customHeight="1">
      <c r="C546" s="67"/>
      <c r="D546" s="69"/>
      <c r="E546" s="67"/>
      <c r="F546" s="69"/>
      <c r="G546" s="67"/>
      <c r="H546" s="67"/>
      <c r="I546" s="67"/>
      <c r="J546" s="70"/>
      <c r="K546" s="67"/>
      <c r="L546" s="67"/>
      <c r="M546" s="67"/>
      <c r="N546" s="67"/>
      <c r="O546" s="67"/>
      <c r="P546" s="67"/>
    </row>
    <row r="547" ht="22.5" customHeight="1">
      <c r="C547" s="67"/>
      <c r="D547" s="69"/>
      <c r="E547" s="67"/>
      <c r="F547" s="69"/>
      <c r="G547" s="67"/>
      <c r="H547" s="67"/>
      <c r="I547" s="67"/>
      <c r="J547" s="70"/>
      <c r="K547" s="67"/>
      <c r="L547" s="67"/>
      <c r="M547" s="67"/>
      <c r="N547" s="67"/>
      <c r="O547" s="67"/>
      <c r="P547" s="67"/>
    </row>
    <row r="548" ht="22.5" customHeight="1">
      <c r="C548" s="67"/>
      <c r="D548" s="69"/>
      <c r="E548" s="67"/>
      <c r="F548" s="69"/>
      <c r="G548" s="67"/>
      <c r="H548" s="67"/>
      <c r="I548" s="67"/>
      <c r="J548" s="70"/>
      <c r="K548" s="67"/>
      <c r="L548" s="67"/>
      <c r="M548" s="67"/>
      <c r="N548" s="67"/>
      <c r="O548" s="67"/>
      <c r="P548" s="67"/>
    </row>
    <row r="549" ht="22.5" customHeight="1">
      <c r="C549" s="67"/>
      <c r="D549" s="69"/>
      <c r="E549" s="67"/>
      <c r="F549" s="69"/>
      <c r="G549" s="67"/>
      <c r="H549" s="67"/>
      <c r="I549" s="67"/>
      <c r="J549" s="70"/>
      <c r="K549" s="67"/>
      <c r="L549" s="67"/>
      <c r="M549" s="67"/>
      <c r="N549" s="67"/>
      <c r="O549" s="67"/>
      <c r="P549" s="67"/>
    </row>
    <row r="550" ht="22.5" customHeight="1">
      <c r="C550" s="67"/>
      <c r="D550" s="69"/>
      <c r="E550" s="67"/>
      <c r="F550" s="69"/>
      <c r="G550" s="67"/>
      <c r="H550" s="67"/>
      <c r="I550" s="67"/>
      <c r="J550" s="70"/>
      <c r="K550" s="67"/>
      <c r="L550" s="67"/>
      <c r="M550" s="67"/>
      <c r="N550" s="67"/>
      <c r="O550" s="67"/>
      <c r="P550" s="67"/>
    </row>
    <row r="551" ht="22.5" customHeight="1">
      <c r="C551" s="67"/>
      <c r="D551" s="69"/>
      <c r="E551" s="67"/>
      <c r="F551" s="69"/>
      <c r="G551" s="67"/>
      <c r="H551" s="67"/>
      <c r="I551" s="67"/>
      <c r="J551" s="70"/>
      <c r="K551" s="67"/>
      <c r="L551" s="67"/>
      <c r="M551" s="67"/>
      <c r="N551" s="67"/>
      <c r="O551" s="67"/>
      <c r="P551" s="67"/>
    </row>
    <row r="552" ht="22.5" customHeight="1">
      <c r="C552" s="67"/>
      <c r="D552" s="69"/>
      <c r="E552" s="67"/>
      <c r="F552" s="69"/>
      <c r="G552" s="67"/>
      <c r="H552" s="67"/>
      <c r="I552" s="67"/>
      <c r="J552" s="70"/>
      <c r="K552" s="67"/>
      <c r="L552" s="67"/>
      <c r="M552" s="67"/>
      <c r="N552" s="67"/>
      <c r="O552" s="67"/>
      <c r="P552" s="67"/>
    </row>
    <row r="553" ht="22.5" customHeight="1">
      <c r="C553" s="67"/>
      <c r="D553" s="69"/>
      <c r="E553" s="67"/>
      <c r="F553" s="69"/>
      <c r="G553" s="67"/>
      <c r="H553" s="67"/>
      <c r="I553" s="67"/>
      <c r="J553" s="70"/>
      <c r="K553" s="67"/>
      <c r="L553" s="67"/>
      <c r="M553" s="67"/>
      <c r="N553" s="67"/>
      <c r="O553" s="67"/>
      <c r="P553" s="67"/>
    </row>
    <row r="554" ht="22.5" customHeight="1">
      <c r="C554" s="67"/>
      <c r="D554" s="69"/>
      <c r="E554" s="67"/>
      <c r="F554" s="69"/>
      <c r="G554" s="67"/>
      <c r="H554" s="67"/>
      <c r="I554" s="67"/>
      <c r="J554" s="70"/>
      <c r="K554" s="67"/>
      <c r="L554" s="67"/>
      <c r="M554" s="67"/>
      <c r="N554" s="67"/>
      <c r="O554" s="67"/>
      <c r="P554" s="67"/>
    </row>
    <row r="555" ht="22.5" customHeight="1">
      <c r="C555" s="67"/>
      <c r="D555" s="69"/>
      <c r="E555" s="67"/>
      <c r="F555" s="69"/>
      <c r="G555" s="67"/>
      <c r="H555" s="67"/>
      <c r="I555" s="67"/>
      <c r="J555" s="70"/>
      <c r="K555" s="67"/>
      <c r="L555" s="67"/>
      <c r="M555" s="67"/>
      <c r="N555" s="67"/>
      <c r="O555" s="67"/>
      <c r="P555" s="67"/>
    </row>
    <row r="556" ht="22.5" customHeight="1">
      <c r="C556" s="67"/>
      <c r="D556" s="69"/>
      <c r="E556" s="67"/>
      <c r="F556" s="69"/>
      <c r="G556" s="67"/>
      <c r="H556" s="67"/>
      <c r="I556" s="67"/>
      <c r="J556" s="70"/>
      <c r="K556" s="67"/>
      <c r="L556" s="67"/>
      <c r="M556" s="67"/>
      <c r="N556" s="67"/>
      <c r="O556" s="67"/>
      <c r="P556" s="67"/>
    </row>
    <row r="557" ht="22.5" customHeight="1">
      <c r="C557" s="67"/>
      <c r="D557" s="69"/>
      <c r="E557" s="67"/>
      <c r="F557" s="69"/>
      <c r="G557" s="67"/>
      <c r="H557" s="67"/>
      <c r="I557" s="67"/>
      <c r="J557" s="70"/>
      <c r="K557" s="67"/>
      <c r="L557" s="67"/>
      <c r="M557" s="67"/>
      <c r="N557" s="67"/>
      <c r="O557" s="67"/>
      <c r="P557" s="67"/>
    </row>
    <row r="558" ht="22.5" customHeight="1">
      <c r="C558" s="67"/>
      <c r="D558" s="69"/>
      <c r="E558" s="67"/>
      <c r="F558" s="69"/>
      <c r="G558" s="67"/>
      <c r="H558" s="67"/>
      <c r="I558" s="67"/>
      <c r="J558" s="70"/>
      <c r="K558" s="67"/>
      <c r="L558" s="67"/>
      <c r="M558" s="67"/>
      <c r="N558" s="67"/>
      <c r="O558" s="67"/>
      <c r="P558" s="67"/>
    </row>
    <row r="559" ht="22.5" customHeight="1">
      <c r="C559" s="67"/>
      <c r="D559" s="69"/>
      <c r="E559" s="67"/>
      <c r="F559" s="69"/>
      <c r="G559" s="67"/>
      <c r="H559" s="67"/>
      <c r="I559" s="67"/>
      <c r="J559" s="70"/>
      <c r="K559" s="67"/>
      <c r="L559" s="67"/>
      <c r="M559" s="67"/>
      <c r="N559" s="67"/>
      <c r="O559" s="67"/>
      <c r="P559" s="67"/>
    </row>
    <row r="560" ht="22.5" customHeight="1">
      <c r="C560" s="67"/>
      <c r="D560" s="69"/>
      <c r="E560" s="67"/>
      <c r="F560" s="69"/>
      <c r="G560" s="67"/>
      <c r="H560" s="67"/>
      <c r="I560" s="67"/>
      <c r="J560" s="70"/>
      <c r="K560" s="67"/>
      <c r="L560" s="67"/>
      <c r="M560" s="67"/>
      <c r="N560" s="67"/>
      <c r="O560" s="67"/>
      <c r="P560" s="67"/>
    </row>
    <row r="561" ht="22.5" customHeight="1">
      <c r="C561" s="67"/>
      <c r="D561" s="69"/>
      <c r="E561" s="67"/>
      <c r="F561" s="69"/>
      <c r="G561" s="67"/>
      <c r="H561" s="67"/>
      <c r="I561" s="67"/>
      <c r="J561" s="70"/>
      <c r="K561" s="67"/>
      <c r="L561" s="67"/>
      <c r="M561" s="67"/>
      <c r="N561" s="67"/>
      <c r="O561" s="67"/>
      <c r="P561" s="67"/>
    </row>
    <row r="562" ht="22.5" customHeight="1">
      <c r="C562" s="67"/>
      <c r="D562" s="69"/>
      <c r="E562" s="67"/>
      <c r="F562" s="69"/>
      <c r="G562" s="67"/>
      <c r="H562" s="67"/>
      <c r="I562" s="67"/>
      <c r="J562" s="70"/>
      <c r="K562" s="67"/>
      <c r="L562" s="67"/>
      <c r="M562" s="67"/>
      <c r="N562" s="67"/>
      <c r="O562" s="67"/>
      <c r="P562" s="67"/>
    </row>
    <row r="563" ht="22.5" customHeight="1">
      <c r="C563" s="67"/>
      <c r="D563" s="69"/>
      <c r="E563" s="67"/>
      <c r="F563" s="69"/>
      <c r="G563" s="67"/>
      <c r="H563" s="67"/>
      <c r="I563" s="67"/>
      <c r="J563" s="70"/>
      <c r="K563" s="67"/>
      <c r="L563" s="67"/>
      <c r="M563" s="67"/>
      <c r="N563" s="67"/>
      <c r="O563" s="67"/>
      <c r="P563" s="67"/>
    </row>
    <row r="564" ht="22.5" customHeight="1">
      <c r="C564" s="67"/>
      <c r="D564" s="69"/>
      <c r="E564" s="67"/>
      <c r="F564" s="69"/>
      <c r="G564" s="67"/>
      <c r="H564" s="67"/>
      <c r="I564" s="67"/>
      <c r="J564" s="70"/>
      <c r="K564" s="67"/>
      <c r="L564" s="67"/>
      <c r="M564" s="67"/>
      <c r="N564" s="67"/>
      <c r="O564" s="67"/>
      <c r="P564" s="67"/>
    </row>
    <row r="565" ht="22.5" customHeight="1">
      <c r="C565" s="67"/>
      <c r="D565" s="69"/>
      <c r="E565" s="67"/>
      <c r="F565" s="69"/>
      <c r="G565" s="67"/>
      <c r="H565" s="67"/>
      <c r="I565" s="67"/>
      <c r="J565" s="70"/>
      <c r="K565" s="67"/>
      <c r="L565" s="67"/>
      <c r="M565" s="67"/>
      <c r="N565" s="67"/>
      <c r="O565" s="67"/>
      <c r="P565" s="67"/>
    </row>
    <row r="566" ht="22.5" customHeight="1">
      <c r="C566" s="67"/>
      <c r="D566" s="69"/>
      <c r="E566" s="67"/>
      <c r="F566" s="69"/>
      <c r="G566" s="67"/>
      <c r="H566" s="67"/>
      <c r="I566" s="67"/>
      <c r="J566" s="70"/>
      <c r="K566" s="67"/>
      <c r="L566" s="67"/>
      <c r="M566" s="67"/>
      <c r="N566" s="67"/>
      <c r="O566" s="67"/>
      <c r="P566" s="67"/>
    </row>
    <row r="567" ht="22.5" customHeight="1">
      <c r="C567" s="67"/>
      <c r="D567" s="69"/>
      <c r="E567" s="67"/>
      <c r="F567" s="69"/>
      <c r="G567" s="67"/>
      <c r="H567" s="67"/>
      <c r="I567" s="67"/>
      <c r="J567" s="70"/>
      <c r="K567" s="67"/>
      <c r="L567" s="67"/>
      <c r="M567" s="67"/>
      <c r="N567" s="67"/>
      <c r="O567" s="67"/>
      <c r="P567" s="67"/>
    </row>
    <row r="568" ht="22.5" customHeight="1">
      <c r="C568" s="67"/>
      <c r="D568" s="69"/>
      <c r="E568" s="67"/>
      <c r="F568" s="69"/>
      <c r="G568" s="67"/>
      <c r="H568" s="67"/>
      <c r="I568" s="67"/>
      <c r="J568" s="70"/>
      <c r="K568" s="67"/>
      <c r="L568" s="67"/>
      <c r="M568" s="67"/>
      <c r="N568" s="67"/>
      <c r="O568" s="67"/>
      <c r="P568" s="67"/>
    </row>
    <row r="569" ht="22.5" customHeight="1">
      <c r="C569" s="67"/>
      <c r="D569" s="69"/>
      <c r="E569" s="67"/>
      <c r="F569" s="69"/>
      <c r="G569" s="67"/>
      <c r="H569" s="67"/>
      <c r="I569" s="67"/>
      <c r="J569" s="70"/>
      <c r="K569" s="67"/>
      <c r="L569" s="67"/>
      <c r="M569" s="67"/>
      <c r="N569" s="67"/>
      <c r="O569" s="67"/>
      <c r="P569" s="67"/>
    </row>
    <row r="570" ht="22.5" customHeight="1">
      <c r="C570" s="67"/>
      <c r="D570" s="69"/>
      <c r="E570" s="67"/>
      <c r="F570" s="69"/>
      <c r="G570" s="67"/>
      <c r="H570" s="67"/>
      <c r="I570" s="67"/>
      <c r="J570" s="70"/>
      <c r="K570" s="67"/>
      <c r="L570" s="67"/>
      <c r="M570" s="67"/>
      <c r="N570" s="67"/>
      <c r="O570" s="67"/>
      <c r="P570" s="67"/>
    </row>
    <row r="571" ht="22.5" customHeight="1">
      <c r="C571" s="67"/>
      <c r="D571" s="69"/>
      <c r="E571" s="67"/>
      <c r="F571" s="69"/>
      <c r="G571" s="67"/>
      <c r="H571" s="67"/>
      <c r="I571" s="67"/>
      <c r="J571" s="70"/>
      <c r="K571" s="67"/>
      <c r="L571" s="67"/>
      <c r="M571" s="67"/>
      <c r="N571" s="67"/>
      <c r="O571" s="67"/>
      <c r="P571" s="67"/>
    </row>
    <row r="572" ht="22.5" customHeight="1">
      <c r="C572" s="67"/>
      <c r="D572" s="69"/>
      <c r="E572" s="67"/>
      <c r="F572" s="69"/>
      <c r="G572" s="67"/>
      <c r="H572" s="67"/>
      <c r="I572" s="67"/>
      <c r="J572" s="70"/>
      <c r="K572" s="67"/>
      <c r="L572" s="67"/>
      <c r="M572" s="67"/>
      <c r="N572" s="67"/>
      <c r="O572" s="67"/>
      <c r="P572" s="67"/>
    </row>
    <row r="573" ht="22.5" customHeight="1">
      <c r="C573" s="67"/>
      <c r="D573" s="69"/>
      <c r="E573" s="67"/>
      <c r="F573" s="69"/>
      <c r="G573" s="67"/>
      <c r="H573" s="67"/>
      <c r="I573" s="67"/>
      <c r="J573" s="70"/>
      <c r="K573" s="67"/>
      <c r="L573" s="67"/>
      <c r="M573" s="67"/>
      <c r="N573" s="67"/>
      <c r="O573" s="67"/>
      <c r="P573" s="67"/>
    </row>
    <row r="574" ht="22.5" customHeight="1">
      <c r="C574" s="67"/>
      <c r="D574" s="69"/>
      <c r="E574" s="67"/>
      <c r="F574" s="69"/>
      <c r="G574" s="67"/>
      <c r="H574" s="67"/>
      <c r="I574" s="67"/>
      <c r="J574" s="70"/>
      <c r="K574" s="67"/>
      <c r="L574" s="67"/>
      <c r="M574" s="67"/>
      <c r="N574" s="67"/>
      <c r="O574" s="67"/>
      <c r="P574" s="67"/>
    </row>
    <row r="575" ht="22.5" customHeight="1">
      <c r="C575" s="67"/>
      <c r="D575" s="69"/>
      <c r="E575" s="67"/>
      <c r="F575" s="69"/>
      <c r="G575" s="67"/>
      <c r="H575" s="67"/>
      <c r="I575" s="67"/>
      <c r="J575" s="70"/>
      <c r="K575" s="67"/>
      <c r="L575" s="67"/>
      <c r="M575" s="67"/>
      <c r="N575" s="67"/>
      <c r="O575" s="67"/>
      <c r="P575" s="67"/>
    </row>
    <row r="576" ht="22.5" customHeight="1">
      <c r="C576" s="67"/>
      <c r="D576" s="69"/>
      <c r="E576" s="67"/>
      <c r="F576" s="69"/>
      <c r="G576" s="67"/>
      <c r="H576" s="67"/>
      <c r="I576" s="67"/>
      <c r="J576" s="70"/>
      <c r="K576" s="67"/>
      <c r="L576" s="67"/>
      <c r="M576" s="67"/>
      <c r="N576" s="67"/>
      <c r="O576" s="67"/>
      <c r="P576" s="67"/>
    </row>
    <row r="577" ht="22.5" customHeight="1">
      <c r="C577" s="67"/>
      <c r="D577" s="69"/>
      <c r="E577" s="67"/>
      <c r="F577" s="69"/>
      <c r="G577" s="67"/>
      <c r="H577" s="67"/>
      <c r="I577" s="67"/>
      <c r="J577" s="70"/>
      <c r="K577" s="67"/>
      <c r="L577" s="67"/>
      <c r="M577" s="67"/>
      <c r="N577" s="67"/>
      <c r="O577" s="67"/>
      <c r="P577" s="67"/>
    </row>
    <row r="578" ht="22.5" customHeight="1">
      <c r="C578" s="67"/>
      <c r="D578" s="69"/>
      <c r="E578" s="67"/>
      <c r="F578" s="69"/>
      <c r="G578" s="67"/>
      <c r="H578" s="67"/>
      <c r="I578" s="67"/>
      <c r="J578" s="70"/>
      <c r="K578" s="67"/>
      <c r="L578" s="67"/>
      <c r="M578" s="67"/>
      <c r="N578" s="67"/>
      <c r="O578" s="67"/>
      <c r="P578" s="67"/>
    </row>
    <row r="579" ht="22.5" customHeight="1">
      <c r="C579" s="67"/>
      <c r="D579" s="69"/>
      <c r="E579" s="67"/>
      <c r="F579" s="69"/>
      <c r="G579" s="67"/>
      <c r="H579" s="67"/>
      <c r="I579" s="67"/>
      <c r="J579" s="70"/>
      <c r="K579" s="67"/>
      <c r="L579" s="67"/>
      <c r="M579" s="67"/>
      <c r="N579" s="67"/>
      <c r="O579" s="67"/>
      <c r="P579" s="67"/>
    </row>
    <row r="580" ht="22.5" customHeight="1">
      <c r="C580" s="67"/>
      <c r="D580" s="69"/>
      <c r="E580" s="67"/>
      <c r="F580" s="69"/>
      <c r="G580" s="67"/>
      <c r="H580" s="67"/>
      <c r="I580" s="67"/>
      <c r="J580" s="70"/>
      <c r="K580" s="67"/>
      <c r="L580" s="67"/>
      <c r="M580" s="67"/>
      <c r="N580" s="67"/>
      <c r="O580" s="67"/>
      <c r="P580" s="67"/>
    </row>
    <row r="581" ht="22.5" customHeight="1">
      <c r="C581" s="67"/>
      <c r="D581" s="69"/>
      <c r="E581" s="67"/>
      <c r="F581" s="69"/>
      <c r="G581" s="67"/>
      <c r="H581" s="67"/>
      <c r="I581" s="67"/>
      <c r="J581" s="70"/>
      <c r="K581" s="67"/>
      <c r="L581" s="67"/>
      <c r="M581" s="67"/>
      <c r="N581" s="67"/>
      <c r="O581" s="67"/>
      <c r="P581" s="67"/>
    </row>
    <row r="582" ht="22.5" customHeight="1">
      <c r="C582" s="67"/>
      <c r="D582" s="69"/>
      <c r="E582" s="67"/>
      <c r="F582" s="69"/>
      <c r="G582" s="67"/>
      <c r="H582" s="67"/>
      <c r="I582" s="67"/>
      <c r="J582" s="70"/>
      <c r="K582" s="67"/>
      <c r="L582" s="67"/>
      <c r="M582" s="67"/>
      <c r="N582" s="67"/>
      <c r="O582" s="67"/>
      <c r="P582" s="67"/>
    </row>
    <row r="583" ht="22.5" customHeight="1">
      <c r="C583" s="67"/>
      <c r="D583" s="69"/>
      <c r="E583" s="67"/>
      <c r="F583" s="69"/>
      <c r="G583" s="67"/>
      <c r="H583" s="67"/>
      <c r="I583" s="67"/>
      <c r="J583" s="70"/>
      <c r="K583" s="67"/>
      <c r="L583" s="67"/>
      <c r="M583" s="67"/>
      <c r="N583" s="67"/>
      <c r="O583" s="67"/>
      <c r="P583" s="67"/>
    </row>
    <row r="584" ht="22.5" customHeight="1">
      <c r="C584" s="67"/>
      <c r="D584" s="69"/>
      <c r="E584" s="67"/>
      <c r="F584" s="69"/>
      <c r="G584" s="67"/>
      <c r="H584" s="67"/>
      <c r="I584" s="67"/>
      <c r="J584" s="70"/>
      <c r="K584" s="67"/>
      <c r="L584" s="67"/>
      <c r="M584" s="67"/>
      <c r="N584" s="67"/>
      <c r="O584" s="67"/>
      <c r="P584" s="67"/>
    </row>
    <row r="585" ht="22.5" customHeight="1">
      <c r="C585" s="67"/>
      <c r="D585" s="69"/>
      <c r="E585" s="67"/>
      <c r="F585" s="69"/>
      <c r="G585" s="67"/>
      <c r="H585" s="67"/>
      <c r="I585" s="67"/>
      <c r="J585" s="70"/>
      <c r="K585" s="67"/>
      <c r="L585" s="67"/>
      <c r="M585" s="67"/>
      <c r="N585" s="67"/>
      <c r="O585" s="67"/>
      <c r="P585" s="67"/>
    </row>
    <row r="586" ht="22.5" customHeight="1">
      <c r="C586" s="67"/>
      <c r="D586" s="69"/>
      <c r="E586" s="67"/>
      <c r="F586" s="69"/>
      <c r="G586" s="67"/>
      <c r="H586" s="67"/>
      <c r="I586" s="67"/>
      <c r="J586" s="70"/>
      <c r="K586" s="67"/>
      <c r="L586" s="67"/>
      <c r="M586" s="67"/>
      <c r="N586" s="67"/>
      <c r="O586" s="67"/>
      <c r="P586" s="67"/>
    </row>
    <row r="587" ht="22.5" customHeight="1">
      <c r="C587" s="67"/>
      <c r="D587" s="69"/>
      <c r="E587" s="67"/>
      <c r="F587" s="69"/>
      <c r="G587" s="67"/>
      <c r="H587" s="67"/>
      <c r="I587" s="67"/>
      <c r="J587" s="70"/>
      <c r="K587" s="67"/>
      <c r="L587" s="67"/>
      <c r="M587" s="67"/>
      <c r="N587" s="67"/>
      <c r="O587" s="67"/>
      <c r="P587" s="67"/>
    </row>
    <row r="588" ht="22.5" customHeight="1">
      <c r="C588" s="67"/>
      <c r="D588" s="69"/>
      <c r="E588" s="67"/>
      <c r="F588" s="69"/>
      <c r="G588" s="67"/>
      <c r="H588" s="67"/>
      <c r="I588" s="67"/>
      <c r="J588" s="70"/>
      <c r="K588" s="67"/>
      <c r="L588" s="67"/>
      <c r="M588" s="67"/>
      <c r="N588" s="67"/>
      <c r="O588" s="67"/>
      <c r="P588" s="67"/>
    </row>
    <row r="589" ht="22.5" customHeight="1">
      <c r="C589" s="67"/>
      <c r="D589" s="69"/>
      <c r="E589" s="67"/>
      <c r="F589" s="69"/>
      <c r="G589" s="67"/>
      <c r="H589" s="67"/>
      <c r="I589" s="67"/>
      <c r="J589" s="70"/>
      <c r="K589" s="67"/>
      <c r="L589" s="67"/>
      <c r="M589" s="67"/>
      <c r="N589" s="67"/>
      <c r="O589" s="67"/>
      <c r="P589" s="67"/>
    </row>
    <row r="590" ht="22.5" customHeight="1">
      <c r="C590" s="67"/>
      <c r="D590" s="69"/>
      <c r="E590" s="67"/>
      <c r="F590" s="69"/>
      <c r="G590" s="67"/>
      <c r="H590" s="67"/>
      <c r="I590" s="67"/>
      <c r="J590" s="70"/>
      <c r="K590" s="67"/>
      <c r="L590" s="67"/>
      <c r="M590" s="67"/>
      <c r="N590" s="67"/>
      <c r="O590" s="67"/>
      <c r="P590" s="67"/>
    </row>
    <row r="591" ht="22.5" customHeight="1">
      <c r="C591" s="67"/>
      <c r="D591" s="69"/>
      <c r="E591" s="67"/>
      <c r="F591" s="69"/>
      <c r="G591" s="67"/>
      <c r="H591" s="67"/>
      <c r="I591" s="67"/>
      <c r="J591" s="70"/>
      <c r="K591" s="67"/>
      <c r="L591" s="67"/>
      <c r="M591" s="67"/>
      <c r="N591" s="67"/>
      <c r="O591" s="67"/>
      <c r="P591" s="67"/>
    </row>
    <row r="592" ht="22.5" customHeight="1">
      <c r="C592" s="67"/>
      <c r="D592" s="69"/>
      <c r="E592" s="67"/>
      <c r="F592" s="69"/>
      <c r="G592" s="67"/>
      <c r="H592" s="67"/>
      <c r="I592" s="67"/>
      <c r="J592" s="70"/>
      <c r="K592" s="67"/>
      <c r="L592" s="67"/>
      <c r="M592" s="67"/>
      <c r="N592" s="67"/>
      <c r="O592" s="67"/>
      <c r="P592" s="67"/>
    </row>
    <row r="593" ht="22.5" customHeight="1">
      <c r="C593" s="67"/>
      <c r="D593" s="69"/>
      <c r="E593" s="67"/>
      <c r="F593" s="69"/>
      <c r="G593" s="67"/>
      <c r="H593" s="67"/>
      <c r="I593" s="67"/>
      <c r="J593" s="70"/>
      <c r="K593" s="67"/>
      <c r="L593" s="67"/>
      <c r="M593" s="67"/>
      <c r="N593" s="67"/>
      <c r="O593" s="67"/>
      <c r="P593" s="67"/>
    </row>
    <row r="594" ht="22.5" customHeight="1">
      <c r="C594" s="67"/>
      <c r="D594" s="69"/>
      <c r="E594" s="67"/>
      <c r="F594" s="69"/>
      <c r="G594" s="67"/>
      <c r="H594" s="67"/>
      <c r="I594" s="67"/>
      <c r="J594" s="70"/>
      <c r="K594" s="67"/>
      <c r="L594" s="67"/>
      <c r="M594" s="67"/>
      <c r="N594" s="67"/>
      <c r="O594" s="67"/>
      <c r="P594" s="67"/>
    </row>
    <row r="595" ht="22.5" customHeight="1">
      <c r="C595" s="67"/>
      <c r="D595" s="69"/>
      <c r="E595" s="67"/>
      <c r="F595" s="69"/>
      <c r="G595" s="67"/>
      <c r="H595" s="67"/>
      <c r="I595" s="67"/>
      <c r="J595" s="70"/>
      <c r="K595" s="67"/>
      <c r="L595" s="67"/>
      <c r="M595" s="67"/>
      <c r="N595" s="67"/>
      <c r="O595" s="67"/>
      <c r="P595" s="67"/>
    </row>
    <row r="596" ht="22.5" customHeight="1">
      <c r="C596" s="67"/>
      <c r="D596" s="69"/>
      <c r="E596" s="67"/>
      <c r="F596" s="69"/>
      <c r="G596" s="67"/>
      <c r="H596" s="67"/>
      <c r="I596" s="67"/>
      <c r="J596" s="70"/>
      <c r="K596" s="67"/>
      <c r="L596" s="67"/>
      <c r="M596" s="67"/>
      <c r="N596" s="67"/>
      <c r="O596" s="67"/>
      <c r="P596" s="67"/>
    </row>
    <row r="597" ht="22.5" customHeight="1">
      <c r="C597" s="67"/>
      <c r="D597" s="69"/>
      <c r="E597" s="67"/>
      <c r="F597" s="69"/>
      <c r="G597" s="67"/>
      <c r="H597" s="67"/>
      <c r="I597" s="67"/>
      <c r="J597" s="70"/>
      <c r="K597" s="67"/>
      <c r="L597" s="67"/>
      <c r="M597" s="67"/>
      <c r="N597" s="67"/>
      <c r="O597" s="67"/>
      <c r="P597" s="67"/>
    </row>
    <row r="598" ht="22.5" customHeight="1">
      <c r="C598" s="67"/>
      <c r="D598" s="69"/>
      <c r="E598" s="67"/>
      <c r="F598" s="69"/>
      <c r="G598" s="67"/>
      <c r="H598" s="67"/>
      <c r="I598" s="67"/>
      <c r="J598" s="70"/>
      <c r="K598" s="67"/>
      <c r="L598" s="67"/>
      <c r="M598" s="67"/>
      <c r="N598" s="67"/>
      <c r="O598" s="67"/>
      <c r="P598" s="67"/>
    </row>
    <row r="599" ht="22.5" customHeight="1">
      <c r="C599" s="67"/>
      <c r="D599" s="69"/>
      <c r="E599" s="67"/>
      <c r="F599" s="69"/>
      <c r="G599" s="67"/>
      <c r="H599" s="67"/>
      <c r="I599" s="67"/>
      <c r="J599" s="70"/>
      <c r="K599" s="67"/>
      <c r="L599" s="67"/>
      <c r="M599" s="67"/>
      <c r="N599" s="67"/>
      <c r="O599" s="67"/>
      <c r="P599" s="67"/>
    </row>
    <row r="600" ht="22.5" customHeight="1">
      <c r="C600" s="67"/>
      <c r="D600" s="69"/>
      <c r="E600" s="67"/>
      <c r="F600" s="69"/>
      <c r="G600" s="67"/>
      <c r="H600" s="67"/>
      <c r="I600" s="67"/>
      <c r="J600" s="70"/>
      <c r="K600" s="67"/>
      <c r="L600" s="67"/>
      <c r="M600" s="67"/>
      <c r="N600" s="67"/>
      <c r="O600" s="67"/>
      <c r="P600" s="67"/>
    </row>
    <row r="601" ht="22.5" customHeight="1">
      <c r="C601" s="67"/>
      <c r="D601" s="69"/>
      <c r="E601" s="67"/>
      <c r="F601" s="69"/>
      <c r="G601" s="67"/>
      <c r="H601" s="67"/>
      <c r="I601" s="67"/>
      <c r="J601" s="70"/>
      <c r="K601" s="67"/>
      <c r="L601" s="67"/>
      <c r="M601" s="67"/>
      <c r="N601" s="67"/>
      <c r="O601" s="67"/>
      <c r="P601" s="67"/>
    </row>
    <row r="602" ht="22.5" customHeight="1">
      <c r="C602" s="67"/>
      <c r="D602" s="69"/>
      <c r="E602" s="67"/>
      <c r="F602" s="69"/>
      <c r="G602" s="67"/>
      <c r="H602" s="67"/>
      <c r="I602" s="67"/>
      <c r="J602" s="70"/>
      <c r="K602" s="67"/>
      <c r="L602" s="67"/>
      <c r="M602" s="67"/>
      <c r="N602" s="67"/>
      <c r="O602" s="67"/>
      <c r="P602" s="67"/>
    </row>
    <row r="603" ht="22.5" customHeight="1">
      <c r="C603" s="67"/>
      <c r="D603" s="69"/>
      <c r="E603" s="67"/>
      <c r="F603" s="69"/>
      <c r="G603" s="67"/>
      <c r="H603" s="67"/>
      <c r="I603" s="67"/>
      <c r="J603" s="70"/>
      <c r="K603" s="67"/>
      <c r="L603" s="67"/>
      <c r="M603" s="67"/>
      <c r="N603" s="67"/>
      <c r="O603" s="67"/>
      <c r="P603" s="67"/>
    </row>
    <row r="604" ht="22.5" customHeight="1">
      <c r="C604" s="67"/>
      <c r="D604" s="69"/>
      <c r="E604" s="67"/>
      <c r="F604" s="69"/>
      <c r="G604" s="67"/>
      <c r="H604" s="67"/>
      <c r="I604" s="67"/>
      <c r="J604" s="70"/>
      <c r="K604" s="67"/>
      <c r="L604" s="67"/>
      <c r="M604" s="67"/>
      <c r="N604" s="67"/>
      <c r="O604" s="67"/>
      <c r="P604" s="67"/>
    </row>
    <row r="605" ht="22.5" customHeight="1">
      <c r="C605" s="67"/>
      <c r="D605" s="69"/>
      <c r="E605" s="67"/>
      <c r="F605" s="69"/>
      <c r="G605" s="67"/>
      <c r="H605" s="67"/>
      <c r="I605" s="67"/>
      <c r="J605" s="70"/>
      <c r="K605" s="67"/>
      <c r="L605" s="67"/>
      <c r="M605" s="67"/>
      <c r="N605" s="67"/>
      <c r="O605" s="67"/>
      <c r="P605" s="67"/>
    </row>
    <row r="606" ht="22.5" customHeight="1">
      <c r="C606" s="67"/>
      <c r="D606" s="69"/>
      <c r="E606" s="67"/>
      <c r="F606" s="69"/>
      <c r="G606" s="67"/>
      <c r="H606" s="67"/>
      <c r="I606" s="67"/>
      <c r="J606" s="70"/>
      <c r="K606" s="67"/>
      <c r="L606" s="67"/>
      <c r="M606" s="67"/>
      <c r="N606" s="67"/>
      <c r="O606" s="67"/>
      <c r="P606" s="67"/>
    </row>
    <row r="607" ht="22.5" customHeight="1">
      <c r="C607" s="67"/>
      <c r="D607" s="69"/>
      <c r="E607" s="67"/>
      <c r="F607" s="69"/>
      <c r="G607" s="67"/>
      <c r="H607" s="67"/>
      <c r="I607" s="67"/>
      <c r="J607" s="70"/>
      <c r="K607" s="67"/>
      <c r="L607" s="67"/>
      <c r="M607" s="67"/>
      <c r="N607" s="67"/>
      <c r="O607" s="67"/>
      <c r="P607" s="67"/>
    </row>
    <row r="608" ht="22.5" customHeight="1">
      <c r="C608" s="67"/>
      <c r="D608" s="69"/>
      <c r="E608" s="67"/>
      <c r="F608" s="69"/>
      <c r="G608" s="67"/>
      <c r="H608" s="67"/>
      <c r="I608" s="67"/>
      <c r="J608" s="70"/>
      <c r="K608" s="67"/>
      <c r="L608" s="67"/>
      <c r="M608" s="67"/>
      <c r="N608" s="67"/>
      <c r="O608" s="67"/>
      <c r="P608" s="67"/>
    </row>
    <row r="609" ht="22.5" customHeight="1">
      <c r="C609" s="67"/>
      <c r="D609" s="69"/>
      <c r="E609" s="67"/>
      <c r="F609" s="69"/>
      <c r="G609" s="67"/>
      <c r="H609" s="67"/>
      <c r="I609" s="67"/>
      <c r="J609" s="70"/>
      <c r="K609" s="67"/>
      <c r="L609" s="67"/>
      <c r="M609" s="67"/>
      <c r="N609" s="67"/>
      <c r="O609" s="67"/>
      <c r="P609" s="67"/>
    </row>
    <row r="610" ht="22.5" customHeight="1">
      <c r="C610" s="67"/>
      <c r="D610" s="69"/>
      <c r="E610" s="67"/>
      <c r="F610" s="69"/>
      <c r="G610" s="67"/>
      <c r="H610" s="67"/>
      <c r="I610" s="67"/>
      <c r="J610" s="70"/>
      <c r="K610" s="67"/>
      <c r="L610" s="67"/>
      <c r="M610" s="67"/>
      <c r="N610" s="67"/>
      <c r="O610" s="67"/>
      <c r="P610" s="67"/>
    </row>
    <row r="611" ht="22.5" customHeight="1">
      <c r="C611" s="67"/>
      <c r="D611" s="69"/>
      <c r="E611" s="67"/>
      <c r="F611" s="69"/>
      <c r="G611" s="67"/>
      <c r="H611" s="67"/>
      <c r="I611" s="67"/>
      <c r="J611" s="70"/>
      <c r="K611" s="67"/>
      <c r="L611" s="67"/>
      <c r="M611" s="67"/>
      <c r="N611" s="67"/>
      <c r="O611" s="67"/>
      <c r="P611" s="67"/>
    </row>
    <row r="612" ht="22.5" customHeight="1">
      <c r="C612" s="67"/>
      <c r="D612" s="69"/>
      <c r="E612" s="67"/>
      <c r="F612" s="69"/>
      <c r="G612" s="67"/>
      <c r="H612" s="67"/>
      <c r="I612" s="67"/>
      <c r="J612" s="70"/>
      <c r="K612" s="67"/>
      <c r="L612" s="67"/>
      <c r="M612" s="67"/>
      <c r="N612" s="67"/>
      <c r="O612" s="67"/>
      <c r="P612" s="67"/>
    </row>
    <row r="613" ht="22.5" customHeight="1">
      <c r="C613" s="67"/>
      <c r="D613" s="69"/>
      <c r="E613" s="67"/>
      <c r="F613" s="69"/>
      <c r="G613" s="67"/>
      <c r="H613" s="67"/>
      <c r="I613" s="67"/>
      <c r="J613" s="70"/>
      <c r="K613" s="67"/>
      <c r="L613" s="67"/>
      <c r="M613" s="67"/>
      <c r="N613" s="67"/>
      <c r="O613" s="67"/>
      <c r="P613" s="67"/>
    </row>
    <row r="614" ht="22.5" customHeight="1">
      <c r="C614" s="67"/>
      <c r="D614" s="69"/>
      <c r="E614" s="67"/>
      <c r="F614" s="69"/>
      <c r="G614" s="67"/>
      <c r="H614" s="67"/>
      <c r="I614" s="67"/>
      <c r="J614" s="70"/>
      <c r="K614" s="67"/>
      <c r="L614" s="67"/>
      <c r="M614" s="67"/>
      <c r="N614" s="67"/>
      <c r="O614" s="67"/>
      <c r="P614" s="67"/>
    </row>
    <row r="615" ht="22.5" customHeight="1">
      <c r="C615" s="67"/>
      <c r="D615" s="69"/>
      <c r="E615" s="67"/>
      <c r="F615" s="69"/>
      <c r="G615" s="67"/>
      <c r="H615" s="67"/>
      <c r="I615" s="67"/>
      <c r="J615" s="70"/>
      <c r="K615" s="67"/>
      <c r="L615" s="67"/>
      <c r="M615" s="67"/>
      <c r="N615" s="67"/>
      <c r="O615" s="67"/>
      <c r="P615" s="67"/>
    </row>
    <row r="616" ht="22.5" customHeight="1">
      <c r="C616" s="67"/>
      <c r="D616" s="69"/>
      <c r="E616" s="67"/>
      <c r="F616" s="69"/>
      <c r="G616" s="67"/>
      <c r="H616" s="67"/>
      <c r="I616" s="67"/>
      <c r="J616" s="70"/>
      <c r="K616" s="67"/>
      <c r="L616" s="67"/>
      <c r="M616" s="67"/>
      <c r="N616" s="67"/>
      <c r="O616" s="67"/>
      <c r="P616" s="67"/>
    </row>
    <row r="617" ht="22.5" customHeight="1">
      <c r="C617" s="67"/>
      <c r="D617" s="69"/>
      <c r="E617" s="67"/>
      <c r="F617" s="69"/>
      <c r="G617" s="67"/>
      <c r="H617" s="67"/>
      <c r="I617" s="67"/>
      <c r="J617" s="70"/>
      <c r="K617" s="67"/>
      <c r="L617" s="67"/>
      <c r="M617" s="67"/>
      <c r="N617" s="67"/>
      <c r="O617" s="67"/>
      <c r="P617" s="67"/>
    </row>
    <row r="618" ht="22.5" customHeight="1">
      <c r="C618" s="67"/>
      <c r="D618" s="69"/>
      <c r="E618" s="67"/>
      <c r="F618" s="69"/>
      <c r="G618" s="67"/>
      <c r="H618" s="67"/>
      <c r="I618" s="67"/>
      <c r="J618" s="70"/>
      <c r="K618" s="67"/>
      <c r="L618" s="67"/>
      <c r="M618" s="67"/>
      <c r="N618" s="67"/>
      <c r="O618" s="67"/>
      <c r="P618" s="67"/>
    </row>
    <row r="619" ht="22.5" customHeight="1">
      <c r="C619" s="67"/>
      <c r="D619" s="69"/>
      <c r="E619" s="67"/>
      <c r="F619" s="69"/>
      <c r="G619" s="67"/>
      <c r="H619" s="67"/>
      <c r="I619" s="67"/>
      <c r="J619" s="70"/>
      <c r="K619" s="67"/>
      <c r="L619" s="67"/>
      <c r="M619" s="67"/>
      <c r="N619" s="67"/>
      <c r="O619" s="67"/>
      <c r="P619" s="67"/>
    </row>
    <row r="620" ht="22.5" customHeight="1">
      <c r="C620" s="67"/>
      <c r="D620" s="69"/>
      <c r="E620" s="67"/>
      <c r="F620" s="69"/>
      <c r="G620" s="67"/>
      <c r="H620" s="67"/>
      <c r="I620" s="67"/>
      <c r="J620" s="70"/>
      <c r="K620" s="67"/>
      <c r="L620" s="67"/>
      <c r="M620" s="67"/>
      <c r="N620" s="67"/>
      <c r="O620" s="67"/>
      <c r="P620" s="67"/>
    </row>
    <row r="621" ht="22.5" customHeight="1">
      <c r="C621" s="67"/>
      <c r="D621" s="69"/>
      <c r="E621" s="67"/>
      <c r="F621" s="69"/>
      <c r="G621" s="67"/>
      <c r="H621" s="67"/>
      <c r="I621" s="67"/>
      <c r="J621" s="70"/>
      <c r="K621" s="67"/>
      <c r="L621" s="67"/>
      <c r="M621" s="67"/>
      <c r="N621" s="67"/>
      <c r="O621" s="67"/>
      <c r="P621" s="67"/>
    </row>
    <row r="622" ht="22.5" customHeight="1">
      <c r="C622" s="67"/>
      <c r="D622" s="69"/>
      <c r="E622" s="67"/>
      <c r="F622" s="69"/>
      <c r="G622" s="67"/>
      <c r="H622" s="67"/>
      <c r="I622" s="67"/>
      <c r="J622" s="70"/>
      <c r="K622" s="67"/>
      <c r="L622" s="67"/>
      <c r="M622" s="67"/>
      <c r="N622" s="67"/>
      <c r="O622" s="67"/>
      <c r="P622" s="67"/>
    </row>
    <row r="623" ht="22.5" customHeight="1">
      <c r="C623" s="67"/>
      <c r="D623" s="69"/>
      <c r="E623" s="67"/>
      <c r="F623" s="69"/>
      <c r="G623" s="67"/>
      <c r="H623" s="67"/>
      <c r="I623" s="67"/>
      <c r="J623" s="70"/>
      <c r="K623" s="67"/>
      <c r="L623" s="67"/>
      <c r="M623" s="67"/>
      <c r="N623" s="67"/>
      <c r="O623" s="67"/>
      <c r="P623" s="67"/>
    </row>
    <row r="624" ht="22.5" customHeight="1">
      <c r="C624" s="67"/>
      <c r="D624" s="69"/>
      <c r="E624" s="67"/>
      <c r="F624" s="69"/>
      <c r="G624" s="67"/>
      <c r="H624" s="67"/>
      <c r="I624" s="67"/>
      <c r="J624" s="70"/>
      <c r="K624" s="67"/>
      <c r="L624" s="67"/>
      <c r="M624" s="67"/>
      <c r="N624" s="67"/>
      <c r="O624" s="67"/>
      <c r="P624" s="67"/>
    </row>
    <row r="625" ht="22.5" customHeight="1">
      <c r="C625" s="67"/>
      <c r="D625" s="69"/>
      <c r="E625" s="67"/>
      <c r="F625" s="69"/>
      <c r="G625" s="67"/>
      <c r="H625" s="67"/>
      <c r="I625" s="67"/>
      <c r="J625" s="70"/>
      <c r="K625" s="67"/>
      <c r="L625" s="67"/>
      <c r="M625" s="67"/>
      <c r="N625" s="67"/>
      <c r="O625" s="67"/>
      <c r="P625" s="67"/>
    </row>
    <row r="626" ht="22.5" customHeight="1">
      <c r="C626" s="67"/>
      <c r="D626" s="69"/>
      <c r="E626" s="67"/>
      <c r="F626" s="69"/>
      <c r="G626" s="67"/>
      <c r="H626" s="67"/>
      <c r="I626" s="67"/>
      <c r="J626" s="70"/>
      <c r="K626" s="67"/>
      <c r="L626" s="67"/>
      <c r="M626" s="67"/>
      <c r="N626" s="67"/>
      <c r="O626" s="67"/>
      <c r="P626" s="67"/>
    </row>
    <row r="627" ht="22.5" customHeight="1">
      <c r="C627" s="67"/>
      <c r="D627" s="69"/>
      <c r="E627" s="67"/>
      <c r="F627" s="69"/>
      <c r="G627" s="67"/>
      <c r="H627" s="67"/>
      <c r="I627" s="67"/>
      <c r="J627" s="70"/>
      <c r="K627" s="67"/>
      <c r="L627" s="67"/>
      <c r="M627" s="67"/>
      <c r="N627" s="67"/>
      <c r="O627" s="67"/>
      <c r="P627" s="67"/>
    </row>
    <row r="628" ht="22.5" customHeight="1">
      <c r="C628" s="67"/>
      <c r="D628" s="69"/>
      <c r="E628" s="67"/>
      <c r="F628" s="69"/>
      <c r="G628" s="67"/>
      <c r="H628" s="67"/>
      <c r="I628" s="67"/>
      <c r="J628" s="70"/>
      <c r="K628" s="67"/>
      <c r="L628" s="67"/>
      <c r="M628" s="67"/>
      <c r="N628" s="67"/>
      <c r="O628" s="67"/>
      <c r="P628" s="67"/>
    </row>
    <row r="629" ht="22.5" customHeight="1">
      <c r="C629" s="67"/>
      <c r="D629" s="69"/>
      <c r="E629" s="67"/>
      <c r="F629" s="69"/>
      <c r="G629" s="67"/>
      <c r="H629" s="67"/>
      <c r="I629" s="67"/>
      <c r="J629" s="70"/>
      <c r="K629" s="67"/>
      <c r="L629" s="67"/>
      <c r="M629" s="67"/>
      <c r="N629" s="67"/>
      <c r="O629" s="67"/>
      <c r="P629" s="67"/>
    </row>
    <row r="630" ht="22.5" customHeight="1">
      <c r="C630" s="67"/>
      <c r="D630" s="69"/>
      <c r="E630" s="67"/>
      <c r="F630" s="69"/>
      <c r="G630" s="67"/>
      <c r="H630" s="67"/>
      <c r="I630" s="67"/>
      <c r="J630" s="70"/>
      <c r="K630" s="67"/>
      <c r="L630" s="67"/>
      <c r="M630" s="67"/>
      <c r="N630" s="67"/>
      <c r="O630" s="67"/>
      <c r="P630" s="67"/>
    </row>
    <row r="631" ht="22.5" customHeight="1">
      <c r="C631" s="67"/>
      <c r="D631" s="69"/>
      <c r="E631" s="67"/>
      <c r="F631" s="69"/>
      <c r="G631" s="67"/>
      <c r="H631" s="67"/>
      <c r="I631" s="67"/>
      <c r="J631" s="70"/>
      <c r="K631" s="67"/>
      <c r="L631" s="67"/>
      <c r="M631" s="67"/>
      <c r="N631" s="67"/>
      <c r="O631" s="67"/>
      <c r="P631" s="67"/>
    </row>
    <row r="632" ht="22.5" customHeight="1">
      <c r="C632" s="67"/>
      <c r="D632" s="69"/>
      <c r="E632" s="67"/>
      <c r="F632" s="69"/>
      <c r="G632" s="67"/>
      <c r="H632" s="67"/>
      <c r="I632" s="67"/>
      <c r="J632" s="70"/>
      <c r="K632" s="67"/>
      <c r="L632" s="67"/>
      <c r="M632" s="67"/>
      <c r="N632" s="67"/>
      <c r="O632" s="67"/>
      <c r="P632" s="67"/>
    </row>
    <row r="633" ht="22.5" customHeight="1">
      <c r="C633" s="67"/>
      <c r="D633" s="69"/>
      <c r="E633" s="67"/>
      <c r="F633" s="69"/>
      <c r="G633" s="67"/>
      <c r="H633" s="67"/>
      <c r="I633" s="67"/>
      <c r="J633" s="70"/>
      <c r="K633" s="67"/>
      <c r="L633" s="67"/>
      <c r="M633" s="67"/>
      <c r="N633" s="67"/>
      <c r="O633" s="67"/>
      <c r="P633" s="67"/>
    </row>
    <row r="634" ht="22.5" customHeight="1">
      <c r="C634" s="67"/>
      <c r="D634" s="69"/>
      <c r="E634" s="67"/>
      <c r="F634" s="69"/>
      <c r="G634" s="67"/>
      <c r="H634" s="67"/>
      <c r="I634" s="67"/>
      <c r="J634" s="70"/>
      <c r="K634" s="67"/>
      <c r="L634" s="67"/>
      <c r="M634" s="67"/>
      <c r="N634" s="67"/>
      <c r="O634" s="67"/>
      <c r="P634" s="67"/>
    </row>
    <row r="635" ht="22.5" customHeight="1">
      <c r="C635" s="67"/>
      <c r="D635" s="69"/>
      <c r="E635" s="67"/>
      <c r="F635" s="69"/>
      <c r="G635" s="67"/>
      <c r="H635" s="67"/>
      <c r="I635" s="67"/>
      <c r="J635" s="70"/>
      <c r="K635" s="67"/>
      <c r="L635" s="67"/>
      <c r="M635" s="67"/>
      <c r="N635" s="67"/>
      <c r="O635" s="67"/>
      <c r="P635" s="67"/>
    </row>
    <row r="636" ht="22.5" customHeight="1">
      <c r="C636" s="67"/>
      <c r="D636" s="69"/>
      <c r="E636" s="67"/>
      <c r="F636" s="69"/>
      <c r="G636" s="67"/>
      <c r="H636" s="67"/>
      <c r="I636" s="67"/>
      <c r="J636" s="70"/>
      <c r="K636" s="67"/>
      <c r="L636" s="67"/>
      <c r="M636" s="67"/>
      <c r="N636" s="67"/>
      <c r="O636" s="67"/>
      <c r="P636" s="67"/>
    </row>
    <row r="637" ht="22.5" customHeight="1">
      <c r="C637" s="67"/>
      <c r="D637" s="69"/>
      <c r="E637" s="67"/>
      <c r="F637" s="69"/>
      <c r="G637" s="67"/>
      <c r="H637" s="67"/>
      <c r="I637" s="67"/>
      <c r="J637" s="70"/>
      <c r="K637" s="67"/>
      <c r="L637" s="67"/>
      <c r="M637" s="67"/>
      <c r="N637" s="67"/>
      <c r="O637" s="67"/>
      <c r="P637" s="67"/>
    </row>
    <row r="638" ht="22.5" customHeight="1">
      <c r="C638" s="67"/>
      <c r="D638" s="69"/>
      <c r="E638" s="67"/>
      <c r="F638" s="69"/>
      <c r="G638" s="67"/>
      <c r="H638" s="67"/>
      <c r="I638" s="67"/>
      <c r="J638" s="70"/>
      <c r="K638" s="67"/>
      <c r="L638" s="67"/>
      <c r="M638" s="67"/>
      <c r="N638" s="67"/>
      <c r="O638" s="67"/>
      <c r="P638" s="67"/>
    </row>
    <row r="639" ht="22.5" customHeight="1">
      <c r="C639" s="67"/>
      <c r="D639" s="69"/>
      <c r="E639" s="67"/>
      <c r="F639" s="69"/>
      <c r="G639" s="67"/>
      <c r="H639" s="67"/>
      <c r="I639" s="67"/>
      <c r="J639" s="70"/>
      <c r="K639" s="67"/>
      <c r="L639" s="67"/>
      <c r="M639" s="67"/>
      <c r="N639" s="67"/>
      <c r="O639" s="67"/>
      <c r="P639" s="67"/>
    </row>
    <row r="640" ht="22.5" customHeight="1">
      <c r="C640" s="67"/>
      <c r="D640" s="69"/>
      <c r="E640" s="67"/>
      <c r="F640" s="69"/>
      <c r="G640" s="67"/>
      <c r="H640" s="67"/>
      <c r="I640" s="67"/>
      <c r="J640" s="70"/>
      <c r="K640" s="67"/>
      <c r="L640" s="67"/>
      <c r="M640" s="67"/>
      <c r="N640" s="67"/>
      <c r="O640" s="67"/>
      <c r="P640" s="67"/>
    </row>
    <row r="641" ht="22.5" customHeight="1">
      <c r="C641" s="67"/>
      <c r="D641" s="69"/>
      <c r="E641" s="67"/>
      <c r="F641" s="69"/>
      <c r="G641" s="67"/>
      <c r="H641" s="67"/>
      <c r="I641" s="67"/>
      <c r="J641" s="70"/>
      <c r="K641" s="67"/>
      <c r="L641" s="67"/>
      <c r="M641" s="67"/>
      <c r="N641" s="67"/>
      <c r="O641" s="67"/>
      <c r="P641" s="67"/>
    </row>
    <row r="642" ht="22.5" customHeight="1">
      <c r="C642" s="67"/>
      <c r="D642" s="69"/>
      <c r="E642" s="67"/>
      <c r="F642" s="69"/>
      <c r="G642" s="67"/>
      <c r="H642" s="67"/>
      <c r="I642" s="67"/>
      <c r="J642" s="70"/>
      <c r="K642" s="67"/>
      <c r="L642" s="67"/>
      <c r="M642" s="67"/>
      <c r="N642" s="67"/>
      <c r="O642" s="67"/>
      <c r="P642" s="67"/>
    </row>
    <row r="643" ht="22.5" customHeight="1">
      <c r="C643" s="67"/>
      <c r="D643" s="69"/>
      <c r="E643" s="67"/>
      <c r="F643" s="69"/>
      <c r="G643" s="67"/>
      <c r="H643" s="67"/>
      <c r="I643" s="67"/>
      <c r="J643" s="70"/>
      <c r="K643" s="67"/>
      <c r="L643" s="67"/>
      <c r="M643" s="67"/>
      <c r="N643" s="67"/>
      <c r="O643" s="67"/>
      <c r="P643" s="67"/>
    </row>
    <row r="644" ht="22.5" customHeight="1">
      <c r="C644" s="67"/>
      <c r="D644" s="69"/>
      <c r="E644" s="67"/>
      <c r="F644" s="69"/>
      <c r="G644" s="67"/>
      <c r="H644" s="67"/>
      <c r="I644" s="67"/>
      <c r="J644" s="70"/>
      <c r="K644" s="67"/>
      <c r="L644" s="67"/>
      <c r="M644" s="67"/>
      <c r="N644" s="67"/>
      <c r="O644" s="67"/>
      <c r="P644" s="67"/>
    </row>
    <row r="645" ht="22.5" customHeight="1">
      <c r="C645" s="67"/>
      <c r="D645" s="69"/>
      <c r="E645" s="67"/>
      <c r="F645" s="69"/>
      <c r="G645" s="67"/>
      <c r="H645" s="67"/>
      <c r="I645" s="67"/>
      <c r="J645" s="70"/>
      <c r="K645" s="67"/>
      <c r="L645" s="67"/>
      <c r="M645" s="67"/>
      <c r="N645" s="67"/>
      <c r="O645" s="67"/>
      <c r="P645" s="67"/>
    </row>
    <row r="646" ht="22.5" customHeight="1">
      <c r="C646" s="67"/>
      <c r="D646" s="69"/>
      <c r="E646" s="67"/>
      <c r="F646" s="69"/>
      <c r="G646" s="67"/>
      <c r="H646" s="67"/>
      <c r="I646" s="67"/>
      <c r="J646" s="70"/>
      <c r="K646" s="67"/>
      <c r="L646" s="67"/>
      <c r="M646" s="67"/>
      <c r="N646" s="67"/>
      <c r="O646" s="67"/>
      <c r="P646" s="67"/>
    </row>
    <row r="647" ht="22.5" customHeight="1">
      <c r="C647" s="67"/>
      <c r="D647" s="69"/>
      <c r="E647" s="67"/>
      <c r="F647" s="69"/>
      <c r="G647" s="67"/>
      <c r="H647" s="67"/>
      <c r="I647" s="67"/>
      <c r="J647" s="70"/>
      <c r="K647" s="67"/>
      <c r="L647" s="67"/>
      <c r="M647" s="67"/>
      <c r="N647" s="67"/>
      <c r="O647" s="67"/>
      <c r="P647" s="67"/>
    </row>
    <row r="648" ht="22.5" customHeight="1">
      <c r="C648" s="67"/>
      <c r="D648" s="69"/>
      <c r="E648" s="67"/>
      <c r="F648" s="69"/>
      <c r="G648" s="67"/>
      <c r="H648" s="67"/>
      <c r="I648" s="67"/>
      <c r="J648" s="70"/>
      <c r="K648" s="67"/>
      <c r="L648" s="67"/>
      <c r="M648" s="67"/>
      <c r="N648" s="67"/>
      <c r="O648" s="67"/>
      <c r="P648" s="67"/>
    </row>
    <row r="649" ht="22.5" customHeight="1">
      <c r="C649" s="67"/>
      <c r="D649" s="69"/>
      <c r="E649" s="67"/>
      <c r="F649" s="69"/>
      <c r="G649" s="67"/>
      <c r="H649" s="67"/>
      <c r="I649" s="67"/>
      <c r="J649" s="70"/>
      <c r="K649" s="67"/>
      <c r="L649" s="67"/>
      <c r="M649" s="67"/>
      <c r="N649" s="67"/>
      <c r="O649" s="67"/>
      <c r="P649" s="67"/>
    </row>
    <row r="650" ht="22.5" customHeight="1">
      <c r="C650" s="67"/>
      <c r="D650" s="69"/>
      <c r="E650" s="67"/>
      <c r="F650" s="69"/>
      <c r="G650" s="67"/>
      <c r="H650" s="67"/>
      <c r="I650" s="67"/>
      <c r="J650" s="70"/>
      <c r="K650" s="67"/>
      <c r="L650" s="67"/>
      <c r="M650" s="67"/>
      <c r="N650" s="67"/>
      <c r="O650" s="67"/>
      <c r="P650" s="67"/>
    </row>
    <row r="651" ht="22.5" customHeight="1">
      <c r="C651" s="67"/>
      <c r="D651" s="69"/>
      <c r="E651" s="67"/>
      <c r="F651" s="69"/>
      <c r="G651" s="67"/>
      <c r="H651" s="67"/>
      <c r="I651" s="67"/>
      <c r="J651" s="70"/>
      <c r="K651" s="67"/>
      <c r="L651" s="67"/>
      <c r="M651" s="67"/>
      <c r="N651" s="67"/>
      <c r="O651" s="67"/>
      <c r="P651" s="67"/>
    </row>
    <row r="652" ht="22.5" customHeight="1">
      <c r="C652" s="67"/>
      <c r="D652" s="69"/>
      <c r="E652" s="67"/>
      <c r="F652" s="69"/>
      <c r="G652" s="67"/>
      <c r="H652" s="67"/>
      <c r="I652" s="67"/>
      <c r="J652" s="70"/>
      <c r="K652" s="67"/>
      <c r="L652" s="67"/>
      <c r="M652" s="67"/>
      <c r="N652" s="67"/>
      <c r="O652" s="67"/>
      <c r="P652" s="67"/>
    </row>
    <row r="653" ht="22.5" customHeight="1">
      <c r="C653" s="67"/>
      <c r="D653" s="69"/>
      <c r="E653" s="67"/>
      <c r="F653" s="69"/>
      <c r="G653" s="67"/>
      <c r="H653" s="67"/>
      <c r="I653" s="67"/>
      <c r="J653" s="70"/>
      <c r="K653" s="67"/>
      <c r="L653" s="67"/>
      <c r="M653" s="67"/>
      <c r="N653" s="67"/>
      <c r="O653" s="67"/>
      <c r="P653" s="67"/>
    </row>
    <row r="654" ht="22.5" customHeight="1">
      <c r="C654" s="67"/>
      <c r="D654" s="69"/>
      <c r="E654" s="67"/>
      <c r="F654" s="69"/>
      <c r="G654" s="67"/>
      <c r="H654" s="67"/>
      <c r="I654" s="67"/>
      <c r="J654" s="70"/>
      <c r="K654" s="67"/>
      <c r="L654" s="67"/>
      <c r="M654" s="67"/>
      <c r="N654" s="67"/>
      <c r="O654" s="67"/>
      <c r="P654" s="67"/>
    </row>
    <row r="655" ht="22.5" customHeight="1">
      <c r="C655" s="67"/>
      <c r="D655" s="69"/>
      <c r="E655" s="67"/>
      <c r="F655" s="69"/>
      <c r="G655" s="67"/>
      <c r="H655" s="67"/>
      <c r="I655" s="67"/>
      <c r="J655" s="70"/>
      <c r="K655" s="67"/>
      <c r="L655" s="67"/>
      <c r="M655" s="67"/>
      <c r="N655" s="67"/>
      <c r="O655" s="67"/>
      <c r="P655" s="67"/>
    </row>
    <row r="656" ht="22.5" customHeight="1">
      <c r="C656" s="67"/>
      <c r="D656" s="69"/>
      <c r="E656" s="67"/>
      <c r="F656" s="69"/>
      <c r="G656" s="67"/>
      <c r="H656" s="67"/>
      <c r="I656" s="67"/>
      <c r="J656" s="70"/>
      <c r="K656" s="67"/>
      <c r="L656" s="67"/>
      <c r="M656" s="67"/>
      <c r="N656" s="67"/>
      <c r="O656" s="67"/>
      <c r="P656" s="67"/>
    </row>
    <row r="657" ht="22.5" customHeight="1">
      <c r="C657" s="67"/>
      <c r="D657" s="69"/>
      <c r="E657" s="67"/>
      <c r="F657" s="69"/>
      <c r="G657" s="67"/>
      <c r="H657" s="67"/>
      <c r="I657" s="67"/>
      <c r="J657" s="70"/>
      <c r="K657" s="67"/>
      <c r="L657" s="67"/>
      <c r="M657" s="67"/>
      <c r="N657" s="67"/>
      <c r="O657" s="67"/>
      <c r="P657" s="67"/>
    </row>
    <row r="658" ht="22.5" customHeight="1">
      <c r="C658" s="67"/>
      <c r="D658" s="69"/>
      <c r="E658" s="67"/>
      <c r="F658" s="69"/>
      <c r="G658" s="67"/>
      <c r="H658" s="67"/>
      <c r="I658" s="67"/>
      <c r="J658" s="70"/>
      <c r="K658" s="67"/>
      <c r="L658" s="67"/>
      <c r="M658" s="67"/>
      <c r="N658" s="67"/>
      <c r="O658" s="67"/>
      <c r="P658" s="67"/>
    </row>
    <row r="659" ht="22.5" customHeight="1">
      <c r="C659" s="67"/>
      <c r="D659" s="69"/>
      <c r="E659" s="67"/>
      <c r="F659" s="69"/>
      <c r="G659" s="67"/>
      <c r="H659" s="67"/>
      <c r="I659" s="67"/>
      <c r="J659" s="70"/>
      <c r="K659" s="67"/>
      <c r="L659" s="67"/>
      <c r="M659" s="67"/>
      <c r="N659" s="67"/>
      <c r="O659" s="67"/>
      <c r="P659" s="67"/>
    </row>
    <row r="660" ht="22.5" customHeight="1">
      <c r="C660" s="67"/>
      <c r="D660" s="69"/>
      <c r="E660" s="67"/>
      <c r="F660" s="69"/>
      <c r="G660" s="67"/>
      <c r="H660" s="67"/>
      <c r="I660" s="67"/>
      <c r="J660" s="70"/>
      <c r="K660" s="67"/>
      <c r="L660" s="67"/>
      <c r="M660" s="67"/>
      <c r="N660" s="67"/>
      <c r="O660" s="67"/>
      <c r="P660" s="67"/>
    </row>
    <row r="661" ht="22.5" customHeight="1">
      <c r="C661" s="67"/>
      <c r="D661" s="69"/>
      <c r="E661" s="67"/>
      <c r="F661" s="69"/>
      <c r="G661" s="67"/>
      <c r="H661" s="67"/>
      <c r="I661" s="67"/>
      <c r="J661" s="70"/>
      <c r="K661" s="67"/>
      <c r="L661" s="67"/>
      <c r="M661" s="67"/>
      <c r="N661" s="67"/>
      <c r="O661" s="67"/>
      <c r="P661" s="67"/>
    </row>
    <row r="662" ht="22.5" customHeight="1">
      <c r="C662" s="67"/>
      <c r="D662" s="69"/>
      <c r="E662" s="67"/>
      <c r="F662" s="69"/>
      <c r="G662" s="67"/>
      <c r="H662" s="67"/>
      <c r="I662" s="67"/>
      <c r="J662" s="70"/>
      <c r="K662" s="67"/>
      <c r="L662" s="67"/>
      <c r="M662" s="67"/>
      <c r="N662" s="67"/>
      <c r="O662" s="67"/>
      <c r="P662" s="67"/>
    </row>
    <row r="663" ht="22.5" customHeight="1">
      <c r="C663" s="67"/>
      <c r="D663" s="69"/>
      <c r="E663" s="67"/>
      <c r="F663" s="69"/>
      <c r="G663" s="67"/>
      <c r="H663" s="67"/>
      <c r="I663" s="67"/>
      <c r="J663" s="70"/>
      <c r="K663" s="67"/>
      <c r="L663" s="67"/>
      <c r="M663" s="67"/>
      <c r="N663" s="67"/>
      <c r="O663" s="67"/>
      <c r="P663" s="67"/>
    </row>
    <row r="664" ht="22.5" customHeight="1">
      <c r="C664" s="67"/>
      <c r="D664" s="69"/>
      <c r="E664" s="67"/>
      <c r="F664" s="69"/>
      <c r="G664" s="67"/>
      <c r="H664" s="67"/>
      <c r="I664" s="67"/>
      <c r="J664" s="70"/>
      <c r="K664" s="67"/>
      <c r="L664" s="67"/>
      <c r="M664" s="67"/>
      <c r="N664" s="67"/>
      <c r="O664" s="67"/>
      <c r="P664" s="67"/>
    </row>
    <row r="665" ht="22.5" customHeight="1">
      <c r="C665" s="67"/>
      <c r="D665" s="69"/>
      <c r="E665" s="67"/>
      <c r="F665" s="69"/>
      <c r="G665" s="67"/>
      <c r="H665" s="67"/>
      <c r="I665" s="67"/>
      <c r="J665" s="70"/>
      <c r="K665" s="67"/>
      <c r="L665" s="67"/>
      <c r="M665" s="67"/>
      <c r="N665" s="67"/>
      <c r="O665" s="67"/>
      <c r="P665" s="67"/>
    </row>
    <row r="666" ht="22.5" customHeight="1">
      <c r="C666" s="67"/>
      <c r="D666" s="69"/>
      <c r="E666" s="67"/>
      <c r="F666" s="69"/>
      <c r="G666" s="67"/>
      <c r="H666" s="67"/>
      <c r="I666" s="67"/>
      <c r="J666" s="70"/>
      <c r="K666" s="67"/>
      <c r="L666" s="67"/>
      <c r="M666" s="67"/>
      <c r="N666" s="67"/>
      <c r="O666" s="67"/>
      <c r="P666" s="67"/>
    </row>
    <row r="667" ht="22.5" customHeight="1">
      <c r="C667" s="67"/>
      <c r="D667" s="69"/>
      <c r="E667" s="67"/>
      <c r="F667" s="69"/>
      <c r="G667" s="67"/>
      <c r="H667" s="67"/>
      <c r="I667" s="67"/>
      <c r="J667" s="70"/>
      <c r="K667" s="67"/>
      <c r="L667" s="67"/>
      <c r="M667" s="67"/>
      <c r="N667" s="67"/>
      <c r="O667" s="67"/>
      <c r="P667" s="67"/>
    </row>
    <row r="668" ht="22.5" customHeight="1">
      <c r="C668" s="67"/>
      <c r="D668" s="69"/>
      <c r="E668" s="67"/>
      <c r="F668" s="69"/>
      <c r="G668" s="67"/>
      <c r="H668" s="67"/>
      <c r="I668" s="67"/>
      <c r="J668" s="70"/>
      <c r="K668" s="67"/>
      <c r="L668" s="67"/>
      <c r="M668" s="67"/>
      <c r="N668" s="67"/>
      <c r="O668" s="67"/>
      <c r="P668" s="67"/>
    </row>
    <row r="669" ht="22.5" customHeight="1">
      <c r="C669" s="67"/>
      <c r="D669" s="69"/>
      <c r="E669" s="67"/>
      <c r="F669" s="69"/>
      <c r="G669" s="67"/>
      <c r="H669" s="67"/>
      <c r="I669" s="67"/>
      <c r="J669" s="70"/>
      <c r="K669" s="67"/>
      <c r="L669" s="67"/>
      <c r="M669" s="67"/>
      <c r="N669" s="67"/>
      <c r="O669" s="67"/>
      <c r="P669" s="67"/>
    </row>
    <row r="670" ht="22.5" customHeight="1">
      <c r="C670" s="67"/>
      <c r="D670" s="69"/>
      <c r="E670" s="67"/>
      <c r="F670" s="69"/>
      <c r="G670" s="67"/>
      <c r="H670" s="67"/>
      <c r="I670" s="67"/>
      <c r="J670" s="70"/>
      <c r="K670" s="67"/>
      <c r="L670" s="67"/>
      <c r="M670" s="67"/>
      <c r="N670" s="67"/>
      <c r="O670" s="67"/>
      <c r="P670" s="67"/>
    </row>
    <row r="671" ht="22.5" customHeight="1">
      <c r="C671" s="67"/>
      <c r="D671" s="69"/>
      <c r="E671" s="67"/>
      <c r="F671" s="69"/>
      <c r="G671" s="67"/>
      <c r="H671" s="67"/>
      <c r="I671" s="67"/>
      <c r="J671" s="70"/>
      <c r="K671" s="67"/>
      <c r="L671" s="67"/>
      <c r="M671" s="67"/>
      <c r="N671" s="67"/>
      <c r="O671" s="67"/>
      <c r="P671" s="67"/>
    </row>
    <row r="672" ht="22.5" customHeight="1">
      <c r="C672" s="67"/>
      <c r="D672" s="69"/>
      <c r="E672" s="67"/>
      <c r="F672" s="69"/>
      <c r="G672" s="67"/>
      <c r="H672" s="67"/>
      <c r="I672" s="67"/>
      <c r="J672" s="70"/>
      <c r="K672" s="67"/>
      <c r="L672" s="67"/>
      <c r="M672" s="67"/>
      <c r="N672" s="67"/>
      <c r="O672" s="67"/>
      <c r="P672" s="67"/>
    </row>
    <row r="673" ht="22.5" customHeight="1">
      <c r="C673" s="67"/>
      <c r="D673" s="69"/>
      <c r="E673" s="67"/>
      <c r="F673" s="69"/>
      <c r="G673" s="67"/>
      <c r="H673" s="67"/>
      <c r="I673" s="67"/>
      <c r="J673" s="70"/>
      <c r="K673" s="67"/>
      <c r="L673" s="67"/>
      <c r="M673" s="67"/>
      <c r="N673" s="67"/>
      <c r="O673" s="67"/>
      <c r="P673" s="67"/>
    </row>
    <row r="674" ht="22.5" customHeight="1">
      <c r="C674" s="67"/>
      <c r="D674" s="69"/>
      <c r="E674" s="67"/>
      <c r="F674" s="69"/>
      <c r="G674" s="67"/>
      <c r="H674" s="67"/>
      <c r="I674" s="67"/>
      <c r="J674" s="70"/>
      <c r="K674" s="67"/>
      <c r="L674" s="67"/>
      <c r="M674" s="67"/>
      <c r="N674" s="67"/>
      <c r="O674" s="67"/>
      <c r="P674" s="67"/>
    </row>
    <row r="675" ht="22.5" customHeight="1">
      <c r="C675" s="67"/>
      <c r="D675" s="69"/>
      <c r="E675" s="67"/>
      <c r="F675" s="69"/>
      <c r="G675" s="67"/>
      <c r="H675" s="67"/>
      <c r="I675" s="67"/>
      <c r="J675" s="70"/>
      <c r="K675" s="67"/>
      <c r="L675" s="67"/>
      <c r="M675" s="67"/>
      <c r="N675" s="67"/>
      <c r="O675" s="67"/>
      <c r="P675" s="67"/>
    </row>
    <row r="676" ht="22.5" customHeight="1">
      <c r="C676" s="67"/>
      <c r="D676" s="69"/>
      <c r="E676" s="67"/>
      <c r="F676" s="69"/>
      <c r="G676" s="67"/>
      <c r="H676" s="67"/>
      <c r="I676" s="67"/>
      <c r="J676" s="70"/>
      <c r="K676" s="67"/>
      <c r="L676" s="67"/>
      <c r="M676" s="67"/>
      <c r="N676" s="67"/>
      <c r="O676" s="67"/>
      <c r="P676" s="67"/>
    </row>
    <row r="677" ht="22.5" customHeight="1">
      <c r="C677" s="67"/>
      <c r="D677" s="69"/>
      <c r="E677" s="67"/>
      <c r="F677" s="69"/>
      <c r="G677" s="67"/>
      <c r="H677" s="67"/>
      <c r="I677" s="67"/>
      <c r="J677" s="70"/>
      <c r="K677" s="67"/>
      <c r="L677" s="67"/>
      <c r="M677" s="67"/>
      <c r="N677" s="67"/>
      <c r="O677" s="67"/>
      <c r="P677" s="67"/>
    </row>
    <row r="678" ht="22.5" customHeight="1">
      <c r="C678" s="67"/>
      <c r="D678" s="69"/>
      <c r="E678" s="67"/>
      <c r="F678" s="69"/>
      <c r="G678" s="67"/>
      <c r="H678" s="67"/>
      <c r="I678" s="67"/>
      <c r="J678" s="70"/>
      <c r="K678" s="67"/>
      <c r="L678" s="67"/>
      <c r="M678" s="67"/>
      <c r="N678" s="67"/>
      <c r="O678" s="67"/>
      <c r="P678" s="67"/>
    </row>
    <row r="679" ht="22.5" customHeight="1">
      <c r="C679" s="67"/>
      <c r="D679" s="69"/>
      <c r="E679" s="67"/>
      <c r="F679" s="69"/>
      <c r="G679" s="67"/>
      <c r="H679" s="67"/>
      <c r="I679" s="67"/>
      <c r="J679" s="70"/>
      <c r="K679" s="67"/>
      <c r="L679" s="67"/>
      <c r="M679" s="67"/>
      <c r="N679" s="67"/>
      <c r="O679" s="67"/>
      <c r="P679" s="67"/>
    </row>
    <row r="680" ht="22.5" customHeight="1">
      <c r="C680" s="67"/>
      <c r="D680" s="69"/>
      <c r="E680" s="67"/>
      <c r="F680" s="69"/>
      <c r="G680" s="67"/>
      <c r="H680" s="67"/>
      <c r="I680" s="67"/>
      <c r="J680" s="70"/>
      <c r="K680" s="67"/>
      <c r="L680" s="67"/>
      <c r="M680" s="67"/>
      <c r="N680" s="67"/>
      <c r="O680" s="67"/>
      <c r="P680" s="67"/>
    </row>
    <row r="681" ht="22.5" customHeight="1">
      <c r="C681" s="67"/>
      <c r="D681" s="69"/>
      <c r="E681" s="67"/>
      <c r="F681" s="69"/>
      <c r="G681" s="67"/>
      <c r="H681" s="67"/>
      <c r="I681" s="67"/>
      <c r="J681" s="70"/>
      <c r="K681" s="67"/>
      <c r="L681" s="67"/>
      <c r="M681" s="67"/>
      <c r="N681" s="67"/>
      <c r="O681" s="67"/>
      <c r="P681" s="67"/>
    </row>
    <row r="682" ht="22.5" customHeight="1">
      <c r="C682" s="67"/>
      <c r="D682" s="69"/>
      <c r="E682" s="67"/>
      <c r="F682" s="69"/>
      <c r="G682" s="67"/>
      <c r="H682" s="67"/>
      <c r="I682" s="67"/>
      <c r="J682" s="70"/>
      <c r="K682" s="67"/>
      <c r="L682" s="67"/>
      <c r="M682" s="67"/>
      <c r="N682" s="67"/>
      <c r="O682" s="67"/>
      <c r="P682" s="67"/>
    </row>
    <row r="683" ht="22.5" customHeight="1">
      <c r="C683" s="67"/>
      <c r="D683" s="69"/>
      <c r="E683" s="67"/>
      <c r="F683" s="69"/>
      <c r="G683" s="67"/>
      <c r="H683" s="67"/>
      <c r="I683" s="67"/>
      <c r="J683" s="70"/>
      <c r="K683" s="67"/>
      <c r="L683" s="67"/>
      <c r="M683" s="67"/>
      <c r="N683" s="67"/>
      <c r="O683" s="67"/>
      <c r="P683" s="67"/>
    </row>
    <row r="684" ht="22.5" customHeight="1">
      <c r="C684" s="67"/>
      <c r="D684" s="69"/>
      <c r="E684" s="67"/>
      <c r="F684" s="69"/>
      <c r="G684" s="67"/>
      <c r="H684" s="67"/>
      <c r="I684" s="67"/>
      <c r="J684" s="70"/>
      <c r="K684" s="67"/>
      <c r="L684" s="67"/>
      <c r="M684" s="67"/>
      <c r="N684" s="67"/>
      <c r="O684" s="67"/>
      <c r="P684" s="67"/>
    </row>
    <row r="685" ht="22.5" customHeight="1">
      <c r="C685" s="67"/>
      <c r="D685" s="69"/>
      <c r="E685" s="67"/>
      <c r="F685" s="69"/>
      <c r="G685" s="67"/>
      <c r="H685" s="67"/>
      <c r="I685" s="67"/>
      <c r="J685" s="70"/>
      <c r="K685" s="67"/>
      <c r="L685" s="67"/>
      <c r="M685" s="67"/>
      <c r="N685" s="67"/>
      <c r="O685" s="67"/>
      <c r="P685" s="67"/>
    </row>
    <row r="686" ht="22.5" customHeight="1">
      <c r="C686" s="67"/>
      <c r="D686" s="69"/>
      <c r="E686" s="67"/>
      <c r="F686" s="69"/>
      <c r="G686" s="67"/>
      <c r="H686" s="67"/>
      <c r="I686" s="67"/>
      <c r="J686" s="70"/>
      <c r="K686" s="67"/>
      <c r="L686" s="67"/>
      <c r="M686" s="67"/>
      <c r="N686" s="67"/>
      <c r="O686" s="67"/>
      <c r="P686" s="67"/>
    </row>
    <row r="687" ht="22.5" customHeight="1">
      <c r="C687" s="67"/>
      <c r="D687" s="69"/>
      <c r="E687" s="67"/>
      <c r="F687" s="69"/>
      <c r="G687" s="67"/>
      <c r="H687" s="67"/>
      <c r="I687" s="67"/>
      <c r="J687" s="70"/>
      <c r="K687" s="67"/>
      <c r="L687" s="67"/>
      <c r="M687" s="67"/>
      <c r="N687" s="67"/>
      <c r="O687" s="67"/>
      <c r="P687" s="67"/>
    </row>
    <row r="688" ht="22.5" customHeight="1">
      <c r="C688" s="67"/>
      <c r="D688" s="69"/>
      <c r="E688" s="67"/>
      <c r="F688" s="69"/>
      <c r="G688" s="67"/>
      <c r="H688" s="67"/>
      <c r="I688" s="67"/>
      <c r="J688" s="70"/>
      <c r="K688" s="67"/>
      <c r="L688" s="67"/>
      <c r="M688" s="67"/>
      <c r="N688" s="67"/>
      <c r="O688" s="67"/>
      <c r="P688" s="67"/>
    </row>
    <row r="689" ht="22.5" customHeight="1">
      <c r="C689" s="67"/>
      <c r="D689" s="69"/>
      <c r="E689" s="67"/>
      <c r="F689" s="69"/>
      <c r="G689" s="67"/>
      <c r="H689" s="67"/>
      <c r="I689" s="67"/>
      <c r="J689" s="70"/>
      <c r="K689" s="67"/>
      <c r="L689" s="67"/>
      <c r="M689" s="67"/>
      <c r="N689" s="67"/>
      <c r="O689" s="67"/>
      <c r="P689" s="67"/>
    </row>
    <row r="690" ht="22.5" customHeight="1">
      <c r="C690" s="67"/>
      <c r="D690" s="69"/>
      <c r="E690" s="67"/>
      <c r="F690" s="69"/>
      <c r="G690" s="67"/>
      <c r="H690" s="67"/>
      <c r="I690" s="67"/>
      <c r="J690" s="70"/>
      <c r="K690" s="67"/>
      <c r="L690" s="67"/>
      <c r="M690" s="67"/>
      <c r="N690" s="67"/>
      <c r="O690" s="67"/>
      <c r="P690" s="67"/>
    </row>
    <row r="691" ht="22.5" customHeight="1">
      <c r="C691" s="67"/>
      <c r="D691" s="69"/>
      <c r="E691" s="67"/>
      <c r="F691" s="69"/>
      <c r="G691" s="67"/>
      <c r="H691" s="67"/>
      <c r="I691" s="67"/>
      <c r="J691" s="70"/>
      <c r="K691" s="67"/>
      <c r="L691" s="67"/>
      <c r="M691" s="67"/>
      <c r="N691" s="67"/>
      <c r="O691" s="67"/>
      <c r="P691" s="67"/>
    </row>
    <row r="692" ht="22.5" customHeight="1">
      <c r="C692" s="67"/>
      <c r="D692" s="69"/>
      <c r="E692" s="67"/>
      <c r="F692" s="69"/>
      <c r="G692" s="67"/>
      <c r="H692" s="67"/>
      <c r="I692" s="67"/>
      <c r="J692" s="70"/>
      <c r="K692" s="67"/>
      <c r="L692" s="67"/>
      <c r="M692" s="67"/>
      <c r="N692" s="67"/>
      <c r="O692" s="67"/>
      <c r="P692" s="67"/>
    </row>
    <row r="693" ht="22.5" customHeight="1">
      <c r="C693" s="67"/>
      <c r="D693" s="69"/>
      <c r="E693" s="67"/>
      <c r="F693" s="69"/>
      <c r="G693" s="67"/>
      <c r="H693" s="67"/>
      <c r="I693" s="67"/>
      <c r="J693" s="70"/>
      <c r="K693" s="67"/>
      <c r="L693" s="67"/>
      <c r="M693" s="67"/>
      <c r="N693" s="67"/>
      <c r="O693" s="67"/>
      <c r="P693" s="67"/>
    </row>
    <row r="694" ht="22.5" customHeight="1">
      <c r="C694" s="67"/>
      <c r="D694" s="69"/>
      <c r="E694" s="67"/>
      <c r="F694" s="69"/>
      <c r="G694" s="67"/>
      <c r="H694" s="67"/>
      <c r="I694" s="67"/>
      <c r="J694" s="70"/>
      <c r="K694" s="67"/>
      <c r="L694" s="67"/>
      <c r="M694" s="67"/>
      <c r="N694" s="67"/>
      <c r="O694" s="67"/>
      <c r="P694" s="67"/>
    </row>
    <row r="695" ht="22.5" customHeight="1">
      <c r="C695" s="67"/>
      <c r="D695" s="69"/>
      <c r="E695" s="67"/>
      <c r="F695" s="69"/>
      <c r="G695" s="67"/>
      <c r="H695" s="67"/>
      <c r="I695" s="67"/>
      <c r="J695" s="70"/>
      <c r="K695" s="67"/>
      <c r="L695" s="67"/>
      <c r="M695" s="67"/>
      <c r="N695" s="67"/>
      <c r="O695" s="67"/>
      <c r="P695" s="67"/>
    </row>
    <row r="696" ht="22.5" customHeight="1">
      <c r="C696" s="67"/>
      <c r="D696" s="69"/>
      <c r="E696" s="67"/>
      <c r="F696" s="69"/>
      <c r="G696" s="67"/>
      <c r="H696" s="67"/>
      <c r="I696" s="67"/>
      <c r="J696" s="70"/>
      <c r="K696" s="67"/>
      <c r="L696" s="67"/>
      <c r="M696" s="67"/>
      <c r="N696" s="67"/>
      <c r="O696" s="67"/>
      <c r="P696" s="67"/>
    </row>
    <row r="697" ht="22.5" customHeight="1">
      <c r="C697" s="67"/>
      <c r="D697" s="69"/>
      <c r="E697" s="67"/>
      <c r="F697" s="69"/>
      <c r="G697" s="67"/>
      <c r="H697" s="67"/>
      <c r="I697" s="67"/>
      <c r="J697" s="70"/>
      <c r="K697" s="67"/>
      <c r="L697" s="67"/>
      <c r="M697" s="67"/>
      <c r="N697" s="67"/>
      <c r="O697" s="67"/>
      <c r="P697" s="67"/>
    </row>
    <row r="698" ht="22.5" customHeight="1">
      <c r="C698" s="67"/>
      <c r="D698" s="69"/>
      <c r="E698" s="67"/>
      <c r="F698" s="69"/>
      <c r="G698" s="67"/>
      <c r="H698" s="67"/>
      <c r="I698" s="67"/>
      <c r="J698" s="70"/>
      <c r="K698" s="67"/>
      <c r="L698" s="67"/>
      <c r="M698" s="67"/>
      <c r="N698" s="67"/>
      <c r="O698" s="67"/>
      <c r="P698" s="67"/>
    </row>
    <row r="699" ht="22.5" customHeight="1">
      <c r="C699" s="67"/>
      <c r="D699" s="69"/>
      <c r="E699" s="67"/>
      <c r="F699" s="69"/>
      <c r="G699" s="67"/>
      <c r="H699" s="67"/>
      <c r="I699" s="67"/>
      <c r="J699" s="70"/>
      <c r="K699" s="67"/>
      <c r="L699" s="67"/>
      <c r="M699" s="67"/>
      <c r="N699" s="67"/>
      <c r="O699" s="67"/>
      <c r="P699" s="67"/>
    </row>
    <row r="700" ht="22.5" customHeight="1">
      <c r="C700" s="67"/>
      <c r="D700" s="69"/>
      <c r="E700" s="67"/>
      <c r="F700" s="69"/>
      <c r="G700" s="67"/>
      <c r="H700" s="67"/>
      <c r="I700" s="67"/>
      <c r="J700" s="70"/>
      <c r="K700" s="67"/>
      <c r="L700" s="67"/>
      <c r="M700" s="67"/>
      <c r="N700" s="67"/>
      <c r="O700" s="67"/>
      <c r="P700" s="67"/>
    </row>
    <row r="701" ht="22.5" customHeight="1">
      <c r="C701" s="67"/>
      <c r="D701" s="69"/>
      <c r="E701" s="67"/>
      <c r="F701" s="69"/>
      <c r="G701" s="67"/>
      <c r="H701" s="67"/>
      <c r="I701" s="67"/>
      <c r="J701" s="70"/>
      <c r="K701" s="67"/>
      <c r="L701" s="67"/>
      <c r="M701" s="67"/>
      <c r="N701" s="67"/>
      <c r="O701" s="67"/>
      <c r="P701" s="67"/>
    </row>
    <row r="702" ht="22.5" customHeight="1">
      <c r="C702" s="67"/>
      <c r="D702" s="69"/>
      <c r="E702" s="67"/>
      <c r="F702" s="69"/>
      <c r="G702" s="67"/>
      <c r="H702" s="67"/>
      <c r="I702" s="67"/>
      <c r="J702" s="70"/>
      <c r="K702" s="67"/>
      <c r="L702" s="67"/>
      <c r="M702" s="67"/>
      <c r="N702" s="67"/>
      <c r="O702" s="67"/>
      <c r="P702" s="67"/>
    </row>
    <row r="703" ht="22.5" customHeight="1">
      <c r="C703" s="67"/>
      <c r="D703" s="69"/>
      <c r="E703" s="67"/>
      <c r="F703" s="69"/>
      <c r="G703" s="67"/>
      <c r="H703" s="67"/>
      <c r="I703" s="67"/>
      <c r="J703" s="70"/>
      <c r="K703" s="67"/>
      <c r="L703" s="67"/>
      <c r="M703" s="67"/>
      <c r="N703" s="67"/>
      <c r="O703" s="67"/>
      <c r="P703" s="67"/>
    </row>
    <row r="704" ht="22.5" customHeight="1">
      <c r="C704" s="67"/>
      <c r="D704" s="69"/>
      <c r="E704" s="67"/>
      <c r="F704" s="69"/>
      <c r="G704" s="67"/>
      <c r="H704" s="67"/>
      <c r="I704" s="67"/>
      <c r="J704" s="70"/>
      <c r="K704" s="67"/>
      <c r="L704" s="67"/>
      <c r="M704" s="67"/>
      <c r="N704" s="67"/>
      <c r="O704" s="67"/>
      <c r="P704" s="67"/>
    </row>
    <row r="705" ht="22.5" customHeight="1">
      <c r="C705" s="67"/>
      <c r="D705" s="69"/>
      <c r="E705" s="67"/>
      <c r="F705" s="69"/>
      <c r="G705" s="67"/>
      <c r="H705" s="67"/>
      <c r="I705" s="67"/>
      <c r="J705" s="70"/>
      <c r="K705" s="67"/>
      <c r="L705" s="67"/>
      <c r="M705" s="67"/>
      <c r="N705" s="67"/>
      <c r="O705" s="67"/>
      <c r="P705" s="67"/>
    </row>
    <row r="706" ht="22.5" customHeight="1">
      <c r="C706" s="67"/>
      <c r="D706" s="69"/>
      <c r="E706" s="67"/>
      <c r="F706" s="69"/>
      <c r="G706" s="67"/>
      <c r="H706" s="67"/>
      <c r="I706" s="67"/>
      <c r="J706" s="70"/>
      <c r="K706" s="67"/>
      <c r="L706" s="67"/>
      <c r="M706" s="67"/>
      <c r="N706" s="67"/>
      <c r="O706" s="67"/>
      <c r="P706" s="67"/>
    </row>
    <row r="707" ht="22.5" customHeight="1">
      <c r="C707" s="67"/>
      <c r="D707" s="69"/>
      <c r="E707" s="67"/>
      <c r="F707" s="69"/>
      <c r="G707" s="67"/>
      <c r="H707" s="67"/>
      <c r="I707" s="67"/>
      <c r="J707" s="70"/>
      <c r="K707" s="67"/>
      <c r="L707" s="67"/>
      <c r="M707" s="67"/>
      <c r="N707" s="67"/>
      <c r="O707" s="67"/>
      <c r="P707" s="67"/>
    </row>
    <row r="708" ht="22.5" customHeight="1">
      <c r="C708" s="67"/>
      <c r="D708" s="69"/>
      <c r="E708" s="67"/>
      <c r="F708" s="69"/>
      <c r="G708" s="67"/>
      <c r="H708" s="67"/>
      <c r="I708" s="67"/>
      <c r="J708" s="70"/>
      <c r="K708" s="67"/>
      <c r="L708" s="67"/>
      <c r="M708" s="67"/>
      <c r="N708" s="67"/>
      <c r="O708" s="67"/>
      <c r="P708" s="67"/>
    </row>
    <row r="709" ht="22.5" customHeight="1">
      <c r="C709" s="67"/>
      <c r="D709" s="69"/>
      <c r="E709" s="67"/>
      <c r="F709" s="69"/>
      <c r="G709" s="67"/>
      <c r="H709" s="67"/>
      <c r="I709" s="67"/>
      <c r="J709" s="70"/>
      <c r="K709" s="67"/>
      <c r="L709" s="67"/>
      <c r="M709" s="67"/>
      <c r="N709" s="67"/>
      <c r="O709" s="67"/>
      <c r="P709" s="67"/>
    </row>
    <row r="710" ht="22.5" customHeight="1">
      <c r="C710" s="67"/>
      <c r="D710" s="69"/>
      <c r="E710" s="67"/>
      <c r="F710" s="69"/>
      <c r="G710" s="67"/>
      <c r="H710" s="67"/>
      <c r="I710" s="67"/>
      <c r="J710" s="70"/>
      <c r="K710" s="67"/>
      <c r="L710" s="67"/>
      <c r="M710" s="67"/>
      <c r="N710" s="67"/>
      <c r="O710" s="67"/>
      <c r="P710" s="67"/>
    </row>
    <row r="711" ht="22.5" customHeight="1">
      <c r="C711" s="67"/>
      <c r="D711" s="69"/>
      <c r="E711" s="67"/>
      <c r="F711" s="69"/>
      <c r="G711" s="67"/>
      <c r="H711" s="67"/>
      <c r="I711" s="67"/>
      <c r="J711" s="70"/>
      <c r="K711" s="67"/>
      <c r="L711" s="67"/>
      <c r="M711" s="67"/>
      <c r="N711" s="67"/>
      <c r="O711" s="67"/>
      <c r="P711" s="67"/>
    </row>
    <row r="712" ht="22.5" customHeight="1">
      <c r="C712" s="67"/>
      <c r="D712" s="69"/>
      <c r="E712" s="67"/>
      <c r="F712" s="69"/>
      <c r="G712" s="67"/>
      <c r="H712" s="67"/>
      <c r="I712" s="67"/>
      <c r="J712" s="70"/>
      <c r="K712" s="67"/>
      <c r="L712" s="67"/>
      <c r="M712" s="67"/>
      <c r="N712" s="67"/>
      <c r="O712" s="67"/>
      <c r="P712" s="67"/>
    </row>
    <row r="713" ht="22.5" customHeight="1">
      <c r="C713" s="67"/>
      <c r="D713" s="69"/>
      <c r="E713" s="67"/>
      <c r="F713" s="69"/>
      <c r="G713" s="67"/>
      <c r="H713" s="67"/>
      <c r="I713" s="67"/>
      <c r="J713" s="70"/>
      <c r="K713" s="67"/>
      <c r="L713" s="67"/>
      <c r="M713" s="67"/>
      <c r="N713" s="67"/>
      <c r="O713" s="67"/>
      <c r="P713" s="67"/>
    </row>
    <row r="714" ht="22.5" customHeight="1">
      <c r="C714" s="67"/>
      <c r="D714" s="69"/>
      <c r="E714" s="67"/>
      <c r="F714" s="69"/>
      <c r="G714" s="67"/>
      <c r="H714" s="67"/>
      <c r="I714" s="67"/>
      <c r="J714" s="70"/>
      <c r="K714" s="67"/>
      <c r="L714" s="67"/>
      <c r="M714" s="67"/>
      <c r="N714" s="67"/>
      <c r="O714" s="67"/>
      <c r="P714" s="67"/>
    </row>
    <row r="715" ht="22.5" customHeight="1">
      <c r="C715" s="67"/>
      <c r="D715" s="69"/>
      <c r="E715" s="67"/>
      <c r="F715" s="69"/>
      <c r="G715" s="67"/>
      <c r="H715" s="67"/>
      <c r="I715" s="67"/>
      <c r="J715" s="70"/>
      <c r="K715" s="67"/>
      <c r="L715" s="67"/>
      <c r="M715" s="67"/>
      <c r="N715" s="67"/>
      <c r="O715" s="67"/>
      <c r="P715" s="67"/>
    </row>
    <row r="716" ht="22.5" customHeight="1">
      <c r="C716" s="67"/>
      <c r="D716" s="69"/>
      <c r="E716" s="67"/>
      <c r="F716" s="69"/>
      <c r="G716" s="67"/>
      <c r="H716" s="67"/>
      <c r="I716" s="67"/>
      <c r="J716" s="70"/>
      <c r="K716" s="67"/>
      <c r="L716" s="67"/>
      <c r="M716" s="67"/>
      <c r="N716" s="67"/>
      <c r="O716" s="67"/>
      <c r="P716" s="67"/>
    </row>
    <row r="717" ht="22.5" customHeight="1">
      <c r="C717" s="67"/>
      <c r="D717" s="69"/>
      <c r="E717" s="67"/>
      <c r="F717" s="69"/>
      <c r="G717" s="67"/>
      <c r="H717" s="67"/>
      <c r="I717" s="67"/>
      <c r="J717" s="70"/>
      <c r="K717" s="67"/>
      <c r="L717" s="67"/>
      <c r="M717" s="67"/>
      <c r="N717" s="67"/>
      <c r="O717" s="67"/>
      <c r="P717" s="67"/>
    </row>
    <row r="718" ht="22.5" customHeight="1">
      <c r="C718" s="67"/>
      <c r="D718" s="69"/>
      <c r="E718" s="67"/>
      <c r="F718" s="69"/>
      <c r="G718" s="67"/>
      <c r="H718" s="67"/>
      <c r="I718" s="67"/>
      <c r="J718" s="70"/>
      <c r="K718" s="67"/>
      <c r="L718" s="67"/>
      <c r="M718" s="67"/>
      <c r="N718" s="67"/>
      <c r="O718" s="67"/>
      <c r="P718" s="67"/>
    </row>
    <row r="719" ht="22.5" customHeight="1">
      <c r="C719" s="67"/>
      <c r="D719" s="69"/>
      <c r="E719" s="67"/>
      <c r="F719" s="69"/>
      <c r="G719" s="67"/>
      <c r="H719" s="67"/>
      <c r="I719" s="67"/>
      <c r="J719" s="70"/>
      <c r="K719" s="67"/>
      <c r="L719" s="67"/>
      <c r="M719" s="67"/>
      <c r="N719" s="67"/>
      <c r="O719" s="67"/>
      <c r="P719" s="67"/>
    </row>
    <row r="720" ht="22.5" customHeight="1">
      <c r="C720" s="67"/>
      <c r="D720" s="69"/>
      <c r="E720" s="67"/>
      <c r="F720" s="69"/>
      <c r="G720" s="67"/>
      <c r="H720" s="67"/>
      <c r="I720" s="67"/>
      <c r="J720" s="70"/>
      <c r="K720" s="67"/>
      <c r="L720" s="67"/>
      <c r="M720" s="67"/>
      <c r="N720" s="67"/>
      <c r="O720" s="67"/>
      <c r="P720" s="67"/>
    </row>
    <row r="721" ht="22.5" customHeight="1">
      <c r="C721" s="67"/>
      <c r="D721" s="69"/>
      <c r="E721" s="67"/>
      <c r="F721" s="69"/>
      <c r="G721" s="67"/>
      <c r="H721" s="67"/>
      <c r="I721" s="67"/>
      <c r="J721" s="70"/>
      <c r="K721" s="67"/>
      <c r="L721" s="67"/>
      <c r="M721" s="67"/>
      <c r="N721" s="67"/>
      <c r="O721" s="67"/>
      <c r="P721" s="67"/>
    </row>
    <row r="722" ht="22.5" customHeight="1">
      <c r="C722" s="67"/>
      <c r="D722" s="69"/>
      <c r="E722" s="67"/>
      <c r="F722" s="69"/>
      <c r="G722" s="67"/>
      <c r="H722" s="67"/>
      <c r="I722" s="67"/>
      <c r="J722" s="70"/>
      <c r="K722" s="67"/>
      <c r="L722" s="67"/>
      <c r="M722" s="67"/>
      <c r="N722" s="67"/>
      <c r="O722" s="67"/>
      <c r="P722" s="67"/>
    </row>
    <row r="723" ht="22.5" customHeight="1">
      <c r="C723" s="67"/>
      <c r="D723" s="69"/>
      <c r="E723" s="67"/>
      <c r="F723" s="69"/>
      <c r="G723" s="67"/>
      <c r="H723" s="67"/>
      <c r="I723" s="67"/>
      <c r="J723" s="70"/>
      <c r="K723" s="67"/>
      <c r="L723" s="67"/>
      <c r="M723" s="67"/>
      <c r="N723" s="67"/>
      <c r="O723" s="67"/>
      <c r="P723" s="67"/>
    </row>
    <row r="724" ht="22.5" customHeight="1">
      <c r="C724" s="67"/>
      <c r="D724" s="69"/>
      <c r="E724" s="67"/>
      <c r="F724" s="69"/>
      <c r="G724" s="67"/>
      <c r="H724" s="67"/>
      <c r="I724" s="67"/>
      <c r="J724" s="70"/>
      <c r="K724" s="67"/>
      <c r="L724" s="67"/>
      <c r="M724" s="67"/>
      <c r="N724" s="67"/>
      <c r="O724" s="67"/>
      <c r="P724" s="67"/>
    </row>
    <row r="725" ht="22.5" customHeight="1">
      <c r="C725" s="67"/>
      <c r="D725" s="69"/>
      <c r="E725" s="67"/>
      <c r="F725" s="69"/>
      <c r="G725" s="67"/>
      <c r="H725" s="67"/>
      <c r="I725" s="67"/>
      <c r="J725" s="70"/>
      <c r="K725" s="67"/>
      <c r="L725" s="67"/>
      <c r="M725" s="67"/>
      <c r="N725" s="67"/>
      <c r="O725" s="67"/>
      <c r="P725" s="67"/>
    </row>
    <row r="726" ht="22.5" customHeight="1">
      <c r="C726" s="67"/>
      <c r="D726" s="69"/>
      <c r="E726" s="67"/>
      <c r="F726" s="69"/>
      <c r="G726" s="67"/>
      <c r="H726" s="67"/>
      <c r="I726" s="67"/>
      <c r="J726" s="70"/>
      <c r="K726" s="67"/>
      <c r="L726" s="67"/>
      <c r="M726" s="67"/>
      <c r="N726" s="67"/>
      <c r="O726" s="67"/>
      <c r="P726" s="67"/>
    </row>
    <row r="727" ht="22.5" customHeight="1">
      <c r="C727" s="67"/>
      <c r="D727" s="69"/>
      <c r="E727" s="67"/>
      <c r="F727" s="69"/>
      <c r="G727" s="67"/>
      <c r="H727" s="67"/>
      <c r="I727" s="67"/>
      <c r="J727" s="70"/>
      <c r="K727" s="67"/>
      <c r="L727" s="67"/>
      <c r="M727" s="67"/>
      <c r="N727" s="67"/>
      <c r="O727" s="67"/>
      <c r="P727" s="67"/>
    </row>
    <row r="728" ht="22.5" customHeight="1">
      <c r="C728" s="67"/>
      <c r="D728" s="69"/>
      <c r="E728" s="67"/>
      <c r="F728" s="69"/>
      <c r="G728" s="67"/>
      <c r="H728" s="67"/>
      <c r="I728" s="67"/>
      <c r="J728" s="70"/>
      <c r="K728" s="67"/>
      <c r="L728" s="67"/>
      <c r="M728" s="67"/>
      <c r="N728" s="67"/>
      <c r="O728" s="67"/>
      <c r="P728" s="67"/>
    </row>
    <row r="729" ht="22.5" customHeight="1">
      <c r="C729" s="67"/>
      <c r="D729" s="69"/>
      <c r="E729" s="67"/>
      <c r="F729" s="69"/>
      <c r="G729" s="67"/>
      <c r="H729" s="67"/>
      <c r="I729" s="67"/>
      <c r="J729" s="70"/>
      <c r="K729" s="67"/>
      <c r="L729" s="67"/>
      <c r="M729" s="67"/>
      <c r="N729" s="67"/>
      <c r="O729" s="67"/>
      <c r="P729" s="67"/>
    </row>
    <row r="730" ht="22.5" customHeight="1">
      <c r="C730" s="67"/>
      <c r="D730" s="69"/>
      <c r="E730" s="67"/>
      <c r="F730" s="69"/>
      <c r="G730" s="67"/>
      <c r="H730" s="67"/>
      <c r="I730" s="67"/>
      <c r="J730" s="70"/>
      <c r="K730" s="67"/>
      <c r="L730" s="67"/>
      <c r="M730" s="67"/>
      <c r="N730" s="67"/>
      <c r="O730" s="67"/>
      <c r="P730" s="67"/>
    </row>
    <row r="731" ht="22.5" customHeight="1">
      <c r="C731" s="67"/>
      <c r="D731" s="69"/>
      <c r="E731" s="67"/>
      <c r="F731" s="69"/>
      <c r="G731" s="67"/>
      <c r="H731" s="67"/>
      <c r="I731" s="67"/>
      <c r="J731" s="70"/>
      <c r="K731" s="67"/>
      <c r="L731" s="67"/>
      <c r="M731" s="67"/>
      <c r="N731" s="67"/>
      <c r="O731" s="67"/>
      <c r="P731" s="67"/>
    </row>
    <row r="732" ht="22.5" customHeight="1">
      <c r="C732" s="67"/>
      <c r="D732" s="69"/>
      <c r="E732" s="67"/>
      <c r="F732" s="69"/>
      <c r="G732" s="67"/>
      <c r="H732" s="67"/>
      <c r="I732" s="67"/>
      <c r="J732" s="70"/>
      <c r="K732" s="67"/>
      <c r="L732" s="67"/>
      <c r="M732" s="67"/>
      <c r="N732" s="67"/>
      <c r="O732" s="67"/>
      <c r="P732" s="67"/>
    </row>
    <row r="733" ht="22.5" customHeight="1">
      <c r="C733" s="67"/>
      <c r="D733" s="69"/>
      <c r="E733" s="67"/>
      <c r="F733" s="69"/>
      <c r="G733" s="67"/>
      <c r="H733" s="67"/>
      <c r="I733" s="67"/>
      <c r="J733" s="70"/>
      <c r="K733" s="67"/>
      <c r="L733" s="67"/>
      <c r="M733" s="67"/>
      <c r="N733" s="67"/>
      <c r="O733" s="67"/>
      <c r="P733" s="67"/>
    </row>
    <row r="734" ht="22.5" customHeight="1">
      <c r="C734" s="67"/>
      <c r="D734" s="69"/>
      <c r="E734" s="67"/>
      <c r="F734" s="69"/>
      <c r="G734" s="67"/>
      <c r="H734" s="67"/>
      <c r="I734" s="67"/>
      <c r="J734" s="70"/>
      <c r="K734" s="67"/>
      <c r="L734" s="67"/>
      <c r="M734" s="67"/>
      <c r="N734" s="67"/>
      <c r="O734" s="67"/>
      <c r="P734" s="67"/>
    </row>
    <row r="735" ht="22.5" customHeight="1">
      <c r="C735" s="67"/>
      <c r="D735" s="69"/>
      <c r="E735" s="67"/>
      <c r="F735" s="69"/>
      <c r="G735" s="67"/>
      <c r="H735" s="67"/>
      <c r="I735" s="67"/>
      <c r="J735" s="70"/>
      <c r="K735" s="67"/>
      <c r="L735" s="67"/>
      <c r="M735" s="67"/>
      <c r="N735" s="67"/>
      <c r="O735" s="67"/>
      <c r="P735" s="67"/>
    </row>
    <row r="736" ht="22.5" customHeight="1">
      <c r="C736" s="67"/>
      <c r="D736" s="69"/>
      <c r="E736" s="67"/>
      <c r="F736" s="69"/>
      <c r="G736" s="67"/>
      <c r="H736" s="67"/>
      <c r="I736" s="67"/>
      <c r="J736" s="70"/>
      <c r="K736" s="67"/>
      <c r="L736" s="67"/>
      <c r="M736" s="67"/>
      <c r="N736" s="67"/>
      <c r="O736" s="67"/>
      <c r="P736" s="67"/>
    </row>
    <row r="737" ht="22.5" customHeight="1">
      <c r="C737" s="67"/>
      <c r="D737" s="69"/>
      <c r="E737" s="67"/>
      <c r="F737" s="69"/>
      <c r="G737" s="67"/>
      <c r="H737" s="67"/>
      <c r="I737" s="67"/>
      <c r="J737" s="70"/>
      <c r="K737" s="67"/>
      <c r="L737" s="67"/>
      <c r="M737" s="67"/>
      <c r="N737" s="67"/>
      <c r="O737" s="67"/>
      <c r="P737" s="67"/>
    </row>
    <row r="738" ht="22.5" customHeight="1">
      <c r="C738" s="67"/>
      <c r="D738" s="69"/>
      <c r="E738" s="67"/>
      <c r="F738" s="69"/>
      <c r="G738" s="67"/>
      <c r="H738" s="67"/>
      <c r="I738" s="67"/>
      <c r="J738" s="70"/>
      <c r="K738" s="67"/>
      <c r="L738" s="67"/>
      <c r="M738" s="67"/>
      <c r="N738" s="67"/>
      <c r="O738" s="67"/>
      <c r="P738" s="67"/>
    </row>
    <row r="739" ht="22.5" customHeight="1">
      <c r="C739" s="67"/>
      <c r="D739" s="69"/>
      <c r="E739" s="67"/>
      <c r="F739" s="69"/>
      <c r="G739" s="67"/>
      <c r="H739" s="67"/>
      <c r="I739" s="67"/>
      <c r="J739" s="70"/>
      <c r="K739" s="67"/>
      <c r="L739" s="67"/>
      <c r="M739" s="67"/>
      <c r="N739" s="67"/>
      <c r="O739" s="67"/>
      <c r="P739" s="67"/>
    </row>
    <row r="740" ht="22.5" customHeight="1">
      <c r="C740" s="67"/>
      <c r="D740" s="69"/>
      <c r="E740" s="67"/>
      <c r="F740" s="69"/>
      <c r="G740" s="67"/>
      <c r="H740" s="67"/>
      <c r="I740" s="67"/>
      <c r="J740" s="70"/>
      <c r="K740" s="67"/>
      <c r="L740" s="67"/>
      <c r="M740" s="67"/>
      <c r="N740" s="67"/>
      <c r="O740" s="67"/>
      <c r="P740" s="67"/>
    </row>
    <row r="741" ht="22.5" customHeight="1">
      <c r="C741" s="67"/>
      <c r="D741" s="69"/>
      <c r="E741" s="67"/>
      <c r="F741" s="69"/>
      <c r="G741" s="67"/>
      <c r="H741" s="67"/>
      <c r="I741" s="67"/>
      <c r="J741" s="70"/>
      <c r="K741" s="67"/>
      <c r="L741" s="67"/>
      <c r="M741" s="67"/>
      <c r="N741" s="67"/>
      <c r="O741" s="67"/>
      <c r="P741" s="67"/>
    </row>
    <row r="742" ht="22.5" customHeight="1">
      <c r="C742" s="67"/>
      <c r="D742" s="69"/>
      <c r="E742" s="67"/>
      <c r="F742" s="69"/>
      <c r="G742" s="67"/>
      <c r="H742" s="67"/>
      <c r="I742" s="67"/>
      <c r="J742" s="70"/>
      <c r="K742" s="67"/>
      <c r="L742" s="67"/>
      <c r="M742" s="67"/>
      <c r="N742" s="67"/>
      <c r="O742" s="67"/>
      <c r="P742" s="67"/>
    </row>
    <row r="743" ht="22.5" customHeight="1">
      <c r="C743" s="67"/>
      <c r="D743" s="69"/>
      <c r="E743" s="67"/>
      <c r="F743" s="69"/>
      <c r="G743" s="67"/>
      <c r="H743" s="67"/>
      <c r="I743" s="67"/>
      <c r="J743" s="70"/>
      <c r="K743" s="67"/>
      <c r="L743" s="67"/>
      <c r="M743" s="67"/>
      <c r="N743" s="67"/>
      <c r="O743" s="67"/>
      <c r="P743" s="67"/>
    </row>
    <row r="744" ht="22.5" customHeight="1">
      <c r="C744" s="67"/>
      <c r="D744" s="69"/>
      <c r="E744" s="67"/>
      <c r="F744" s="69"/>
      <c r="G744" s="67"/>
      <c r="H744" s="67"/>
      <c r="I744" s="67"/>
      <c r="J744" s="70"/>
      <c r="K744" s="67"/>
      <c r="L744" s="67"/>
      <c r="M744" s="67"/>
      <c r="N744" s="67"/>
      <c r="O744" s="67"/>
      <c r="P744" s="67"/>
    </row>
    <row r="745" ht="22.5" customHeight="1">
      <c r="C745" s="67"/>
      <c r="D745" s="69"/>
      <c r="E745" s="67"/>
      <c r="F745" s="69"/>
      <c r="G745" s="67"/>
      <c r="H745" s="67"/>
      <c r="I745" s="67"/>
      <c r="J745" s="70"/>
      <c r="K745" s="67"/>
      <c r="L745" s="67"/>
      <c r="M745" s="67"/>
      <c r="N745" s="67"/>
      <c r="O745" s="67"/>
      <c r="P745" s="67"/>
    </row>
    <row r="746" ht="22.5" customHeight="1">
      <c r="C746" s="67"/>
      <c r="D746" s="69"/>
      <c r="E746" s="67"/>
      <c r="F746" s="69"/>
      <c r="G746" s="67"/>
      <c r="H746" s="67"/>
      <c r="I746" s="67"/>
      <c r="J746" s="70"/>
      <c r="K746" s="67"/>
      <c r="L746" s="67"/>
      <c r="M746" s="67"/>
      <c r="N746" s="67"/>
      <c r="O746" s="67"/>
      <c r="P746" s="67"/>
    </row>
    <row r="747" ht="22.5" customHeight="1">
      <c r="C747" s="67"/>
      <c r="D747" s="69"/>
      <c r="E747" s="67"/>
      <c r="F747" s="69"/>
      <c r="G747" s="67"/>
      <c r="H747" s="67"/>
      <c r="I747" s="67"/>
      <c r="J747" s="70"/>
      <c r="K747" s="67"/>
      <c r="L747" s="67"/>
      <c r="M747" s="67"/>
      <c r="N747" s="67"/>
      <c r="O747" s="67"/>
      <c r="P747" s="67"/>
    </row>
    <row r="748" ht="22.5" customHeight="1">
      <c r="C748" s="67"/>
      <c r="D748" s="69"/>
      <c r="E748" s="67"/>
      <c r="F748" s="69"/>
      <c r="G748" s="67"/>
      <c r="H748" s="67"/>
      <c r="I748" s="67"/>
      <c r="J748" s="70"/>
      <c r="K748" s="67"/>
      <c r="L748" s="67"/>
      <c r="M748" s="67"/>
      <c r="N748" s="67"/>
      <c r="O748" s="67"/>
      <c r="P748" s="67"/>
    </row>
    <row r="749" ht="22.5" customHeight="1">
      <c r="C749" s="67"/>
      <c r="D749" s="69"/>
      <c r="E749" s="67"/>
      <c r="F749" s="69"/>
      <c r="G749" s="67"/>
      <c r="H749" s="67"/>
      <c r="I749" s="67"/>
      <c r="J749" s="70"/>
      <c r="K749" s="67"/>
      <c r="L749" s="67"/>
      <c r="M749" s="67"/>
      <c r="N749" s="67"/>
      <c r="O749" s="67"/>
      <c r="P749" s="67"/>
    </row>
    <row r="750" ht="22.5" customHeight="1">
      <c r="C750" s="67"/>
      <c r="D750" s="69"/>
      <c r="E750" s="67"/>
      <c r="F750" s="69"/>
      <c r="G750" s="67"/>
      <c r="H750" s="67"/>
      <c r="I750" s="67"/>
      <c r="J750" s="70"/>
      <c r="K750" s="67"/>
      <c r="L750" s="67"/>
      <c r="M750" s="67"/>
      <c r="N750" s="67"/>
      <c r="O750" s="67"/>
      <c r="P750" s="67"/>
    </row>
    <row r="751" ht="22.5" customHeight="1">
      <c r="C751" s="67"/>
      <c r="D751" s="69"/>
      <c r="E751" s="67"/>
      <c r="F751" s="69"/>
      <c r="G751" s="67"/>
      <c r="H751" s="67"/>
      <c r="I751" s="67"/>
      <c r="J751" s="70"/>
      <c r="K751" s="67"/>
      <c r="L751" s="67"/>
      <c r="M751" s="67"/>
      <c r="N751" s="67"/>
      <c r="O751" s="67"/>
      <c r="P751" s="67"/>
    </row>
    <row r="752" ht="22.5" customHeight="1">
      <c r="C752" s="67"/>
      <c r="D752" s="69"/>
      <c r="E752" s="67"/>
      <c r="F752" s="69"/>
      <c r="G752" s="67"/>
      <c r="H752" s="67"/>
      <c r="I752" s="67"/>
      <c r="J752" s="70"/>
      <c r="K752" s="67"/>
      <c r="L752" s="67"/>
      <c r="M752" s="67"/>
      <c r="N752" s="67"/>
      <c r="O752" s="67"/>
      <c r="P752" s="67"/>
    </row>
    <row r="753" ht="22.5" customHeight="1">
      <c r="C753" s="67"/>
      <c r="D753" s="69"/>
      <c r="E753" s="67"/>
      <c r="F753" s="69"/>
      <c r="G753" s="67"/>
      <c r="H753" s="67"/>
      <c r="I753" s="67"/>
      <c r="J753" s="70"/>
      <c r="K753" s="67"/>
      <c r="L753" s="67"/>
      <c r="M753" s="67"/>
      <c r="N753" s="67"/>
      <c r="O753" s="67"/>
      <c r="P753" s="67"/>
    </row>
    <row r="754" ht="22.5" customHeight="1">
      <c r="C754" s="67"/>
      <c r="D754" s="69"/>
      <c r="E754" s="67"/>
      <c r="F754" s="69"/>
      <c r="G754" s="67"/>
      <c r="H754" s="67"/>
      <c r="I754" s="67"/>
      <c r="J754" s="70"/>
      <c r="K754" s="67"/>
      <c r="L754" s="67"/>
      <c r="M754" s="67"/>
      <c r="N754" s="67"/>
      <c r="O754" s="67"/>
      <c r="P754" s="67"/>
    </row>
    <row r="755" ht="22.5" customHeight="1">
      <c r="C755" s="67"/>
      <c r="D755" s="69"/>
      <c r="E755" s="67"/>
      <c r="F755" s="69"/>
      <c r="G755" s="67"/>
      <c r="H755" s="67"/>
      <c r="I755" s="67"/>
      <c r="J755" s="70"/>
      <c r="K755" s="67"/>
      <c r="L755" s="67"/>
      <c r="M755" s="67"/>
      <c r="N755" s="67"/>
      <c r="O755" s="67"/>
      <c r="P755" s="67"/>
    </row>
    <row r="756" ht="22.5" customHeight="1">
      <c r="C756" s="67"/>
      <c r="D756" s="69"/>
      <c r="E756" s="67"/>
      <c r="F756" s="69"/>
      <c r="G756" s="67"/>
      <c r="H756" s="67"/>
      <c r="I756" s="67"/>
      <c r="J756" s="70"/>
      <c r="K756" s="67"/>
      <c r="L756" s="67"/>
      <c r="M756" s="67"/>
      <c r="N756" s="67"/>
      <c r="O756" s="67"/>
      <c r="P756" s="67"/>
    </row>
    <row r="757" ht="22.5" customHeight="1">
      <c r="C757" s="67"/>
      <c r="D757" s="69"/>
      <c r="E757" s="67"/>
      <c r="F757" s="69"/>
      <c r="G757" s="67"/>
      <c r="H757" s="67"/>
      <c r="I757" s="67"/>
      <c r="J757" s="70"/>
      <c r="K757" s="67"/>
      <c r="L757" s="67"/>
      <c r="M757" s="67"/>
      <c r="N757" s="67"/>
      <c r="O757" s="67"/>
      <c r="P757" s="67"/>
    </row>
    <row r="758" ht="22.5" customHeight="1">
      <c r="C758" s="67"/>
      <c r="D758" s="69"/>
      <c r="E758" s="67"/>
      <c r="F758" s="69"/>
      <c r="G758" s="67"/>
      <c r="H758" s="67"/>
      <c r="I758" s="67"/>
      <c r="J758" s="70"/>
      <c r="K758" s="67"/>
      <c r="L758" s="67"/>
      <c r="M758" s="67"/>
      <c r="N758" s="67"/>
      <c r="O758" s="67"/>
      <c r="P758" s="67"/>
    </row>
    <row r="759" ht="22.5" customHeight="1">
      <c r="C759" s="67"/>
      <c r="D759" s="69"/>
      <c r="E759" s="67"/>
      <c r="F759" s="69"/>
      <c r="G759" s="67"/>
      <c r="H759" s="67"/>
      <c r="I759" s="67"/>
      <c r="J759" s="70"/>
      <c r="K759" s="67"/>
      <c r="L759" s="67"/>
      <c r="M759" s="67"/>
      <c r="N759" s="67"/>
      <c r="O759" s="67"/>
      <c r="P759" s="67"/>
    </row>
    <row r="760" ht="22.5" customHeight="1">
      <c r="C760" s="67"/>
      <c r="D760" s="69"/>
      <c r="E760" s="67"/>
      <c r="F760" s="69"/>
      <c r="G760" s="67"/>
      <c r="H760" s="67"/>
      <c r="I760" s="67"/>
      <c r="J760" s="70"/>
      <c r="K760" s="67"/>
      <c r="L760" s="67"/>
      <c r="M760" s="67"/>
      <c r="N760" s="67"/>
      <c r="O760" s="67"/>
      <c r="P760" s="67"/>
    </row>
    <row r="761" ht="22.5" customHeight="1">
      <c r="C761" s="67"/>
      <c r="D761" s="69"/>
      <c r="E761" s="67"/>
      <c r="F761" s="69"/>
      <c r="G761" s="67"/>
      <c r="H761" s="67"/>
      <c r="I761" s="67"/>
      <c r="J761" s="70"/>
      <c r="K761" s="67"/>
      <c r="L761" s="67"/>
      <c r="M761" s="67"/>
      <c r="N761" s="67"/>
      <c r="O761" s="67"/>
      <c r="P761" s="67"/>
    </row>
    <row r="762" ht="22.5" customHeight="1">
      <c r="C762" s="67"/>
      <c r="D762" s="69"/>
      <c r="E762" s="67"/>
      <c r="F762" s="69"/>
      <c r="G762" s="67"/>
      <c r="H762" s="67"/>
      <c r="I762" s="67"/>
      <c r="J762" s="70"/>
      <c r="K762" s="67"/>
      <c r="L762" s="67"/>
      <c r="M762" s="67"/>
      <c r="N762" s="67"/>
      <c r="O762" s="67"/>
      <c r="P762" s="67"/>
    </row>
    <row r="763" ht="22.5" customHeight="1">
      <c r="C763" s="67"/>
      <c r="D763" s="69"/>
      <c r="E763" s="67"/>
      <c r="F763" s="69"/>
      <c r="G763" s="67"/>
      <c r="H763" s="67"/>
      <c r="I763" s="67"/>
      <c r="J763" s="70"/>
      <c r="K763" s="67"/>
      <c r="L763" s="67"/>
      <c r="M763" s="67"/>
      <c r="N763" s="67"/>
      <c r="O763" s="67"/>
      <c r="P763" s="67"/>
    </row>
    <row r="764" ht="22.5" customHeight="1">
      <c r="C764" s="67"/>
      <c r="D764" s="69"/>
      <c r="E764" s="67"/>
      <c r="F764" s="69"/>
      <c r="G764" s="67"/>
      <c r="H764" s="67"/>
      <c r="I764" s="67"/>
      <c r="J764" s="70"/>
      <c r="K764" s="67"/>
      <c r="L764" s="67"/>
      <c r="M764" s="67"/>
      <c r="N764" s="67"/>
      <c r="O764" s="67"/>
      <c r="P764" s="67"/>
    </row>
    <row r="765" ht="22.5" customHeight="1">
      <c r="C765" s="67"/>
      <c r="D765" s="69"/>
      <c r="E765" s="67"/>
      <c r="F765" s="69"/>
      <c r="G765" s="67"/>
      <c r="H765" s="67"/>
      <c r="I765" s="67"/>
      <c r="J765" s="70"/>
      <c r="K765" s="67"/>
      <c r="L765" s="67"/>
      <c r="M765" s="67"/>
      <c r="N765" s="67"/>
      <c r="O765" s="67"/>
      <c r="P765" s="67"/>
    </row>
    <row r="766" ht="22.5" customHeight="1">
      <c r="C766" s="67"/>
      <c r="D766" s="69"/>
      <c r="E766" s="67"/>
      <c r="F766" s="69"/>
      <c r="G766" s="67"/>
      <c r="H766" s="67"/>
      <c r="I766" s="67"/>
      <c r="J766" s="70"/>
      <c r="K766" s="67"/>
      <c r="L766" s="67"/>
      <c r="M766" s="67"/>
      <c r="N766" s="67"/>
      <c r="O766" s="67"/>
      <c r="P766" s="67"/>
    </row>
    <row r="767" ht="22.5" customHeight="1">
      <c r="C767" s="67"/>
      <c r="D767" s="69"/>
      <c r="E767" s="67"/>
      <c r="F767" s="69"/>
      <c r="G767" s="67"/>
      <c r="H767" s="67"/>
      <c r="I767" s="67"/>
      <c r="J767" s="70"/>
      <c r="K767" s="67"/>
      <c r="L767" s="67"/>
      <c r="M767" s="67"/>
      <c r="N767" s="67"/>
      <c r="O767" s="67"/>
      <c r="P767" s="67"/>
    </row>
    <row r="768" ht="22.5" customHeight="1">
      <c r="C768" s="67"/>
      <c r="D768" s="69"/>
      <c r="E768" s="67"/>
      <c r="F768" s="69"/>
      <c r="G768" s="67"/>
      <c r="H768" s="67"/>
      <c r="I768" s="67"/>
      <c r="J768" s="70"/>
      <c r="K768" s="67"/>
      <c r="L768" s="67"/>
      <c r="M768" s="67"/>
      <c r="N768" s="67"/>
      <c r="O768" s="67"/>
      <c r="P768" s="67"/>
    </row>
    <row r="769" ht="22.5" customHeight="1">
      <c r="C769" s="67"/>
      <c r="D769" s="69"/>
      <c r="E769" s="67"/>
      <c r="F769" s="69"/>
      <c r="G769" s="67"/>
      <c r="H769" s="67"/>
      <c r="I769" s="67"/>
      <c r="J769" s="70"/>
      <c r="K769" s="67"/>
      <c r="L769" s="67"/>
      <c r="M769" s="67"/>
      <c r="N769" s="67"/>
      <c r="O769" s="67"/>
      <c r="P769" s="67"/>
    </row>
    <row r="770" ht="22.5" customHeight="1">
      <c r="C770" s="67"/>
      <c r="D770" s="69"/>
      <c r="E770" s="67"/>
      <c r="F770" s="69"/>
      <c r="G770" s="67"/>
      <c r="H770" s="67"/>
      <c r="I770" s="67"/>
      <c r="J770" s="70"/>
      <c r="K770" s="67"/>
      <c r="L770" s="67"/>
      <c r="M770" s="67"/>
      <c r="N770" s="67"/>
      <c r="O770" s="67"/>
      <c r="P770" s="67"/>
    </row>
    <row r="771" ht="22.5" customHeight="1">
      <c r="C771" s="67"/>
      <c r="D771" s="69"/>
      <c r="E771" s="67"/>
      <c r="F771" s="69"/>
      <c r="G771" s="67"/>
      <c r="H771" s="67"/>
      <c r="I771" s="67"/>
      <c r="J771" s="70"/>
      <c r="K771" s="67"/>
      <c r="L771" s="67"/>
      <c r="M771" s="67"/>
      <c r="N771" s="67"/>
      <c r="O771" s="67"/>
      <c r="P771" s="67"/>
    </row>
    <row r="772" ht="22.5" customHeight="1">
      <c r="C772" s="67"/>
      <c r="D772" s="69"/>
      <c r="E772" s="67"/>
      <c r="F772" s="69"/>
      <c r="G772" s="67"/>
      <c r="H772" s="67"/>
      <c r="I772" s="67"/>
      <c r="J772" s="70"/>
      <c r="K772" s="67"/>
      <c r="L772" s="67"/>
      <c r="M772" s="67"/>
      <c r="N772" s="67"/>
      <c r="O772" s="67"/>
      <c r="P772" s="67"/>
    </row>
    <row r="773" ht="22.5" customHeight="1">
      <c r="C773" s="67"/>
      <c r="D773" s="69"/>
      <c r="E773" s="67"/>
      <c r="F773" s="69"/>
      <c r="G773" s="67"/>
      <c r="H773" s="67"/>
      <c r="I773" s="67"/>
      <c r="J773" s="70"/>
      <c r="K773" s="67"/>
      <c r="L773" s="67"/>
      <c r="M773" s="67"/>
      <c r="N773" s="67"/>
      <c r="O773" s="67"/>
      <c r="P773" s="67"/>
    </row>
    <row r="774" ht="22.5" customHeight="1">
      <c r="C774" s="67"/>
      <c r="D774" s="69"/>
      <c r="E774" s="67"/>
      <c r="F774" s="69"/>
      <c r="G774" s="67"/>
      <c r="H774" s="67"/>
      <c r="I774" s="67"/>
      <c r="J774" s="70"/>
      <c r="K774" s="67"/>
      <c r="L774" s="67"/>
      <c r="M774" s="67"/>
      <c r="N774" s="67"/>
      <c r="O774" s="67"/>
      <c r="P774" s="67"/>
    </row>
    <row r="775" ht="22.5" customHeight="1">
      <c r="C775" s="67"/>
      <c r="D775" s="69"/>
      <c r="E775" s="67"/>
      <c r="F775" s="69"/>
      <c r="G775" s="67"/>
      <c r="H775" s="67"/>
      <c r="I775" s="67"/>
      <c r="J775" s="70"/>
      <c r="K775" s="67"/>
      <c r="L775" s="67"/>
      <c r="M775" s="67"/>
      <c r="N775" s="67"/>
      <c r="O775" s="67"/>
      <c r="P775" s="67"/>
    </row>
    <row r="776" ht="22.5" customHeight="1">
      <c r="C776" s="67"/>
      <c r="D776" s="69"/>
      <c r="E776" s="67"/>
      <c r="F776" s="69"/>
      <c r="G776" s="67"/>
      <c r="H776" s="67"/>
      <c r="I776" s="67"/>
      <c r="J776" s="70"/>
      <c r="K776" s="67"/>
      <c r="L776" s="67"/>
      <c r="M776" s="67"/>
      <c r="N776" s="67"/>
      <c r="O776" s="67"/>
      <c r="P776" s="67"/>
    </row>
    <row r="777" ht="22.5" customHeight="1">
      <c r="C777" s="67"/>
      <c r="D777" s="69"/>
      <c r="E777" s="67"/>
      <c r="F777" s="69"/>
      <c r="G777" s="67"/>
      <c r="H777" s="67"/>
      <c r="I777" s="67"/>
      <c r="J777" s="70"/>
      <c r="K777" s="67"/>
      <c r="L777" s="67"/>
      <c r="M777" s="67"/>
      <c r="N777" s="67"/>
      <c r="O777" s="67"/>
      <c r="P777" s="67"/>
    </row>
    <row r="778" ht="22.5" customHeight="1">
      <c r="C778" s="67"/>
      <c r="D778" s="69"/>
      <c r="E778" s="67"/>
      <c r="F778" s="69"/>
      <c r="G778" s="67"/>
      <c r="H778" s="67"/>
      <c r="I778" s="67"/>
      <c r="J778" s="70"/>
      <c r="K778" s="67"/>
      <c r="L778" s="67"/>
      <c r="M778" s="67"/>
      <c r="N778" s="67"/>
      <c r="O778" s="67"/>
      <c r="P778" s="67"/>
    </row>
    <row r="779" ht="22.5" customHeight="1">
      <c r="C779" s="67"/>
      <c r="D779" s="69"/>
      <c r="E779" s="67"/>
      <c r="F779" s="69"/>
      <c r="G779" s="67"/>
      <c r="H779" s="67"/>
      <c r="I779" s="67"/>
      <c r="J779" s="70"/>
      <c r="K779" s="67"/>
      <c r="L779" s="67"/>
      <c r="M779" s="67"/>
      <c r="N779" s="67"/>
      <c r="O779" s="67"/>
      <c r="P779" s="67"/>
    </row>
    <row r="780" ht="22.5" customHeight="1">
      <c r="C780" s="67"/>
      <c r="D780" s="69"/>
      <c r="E780" s="67"/>
      <c r="F780" s="69"/>
      <c r="G780" s="67"/>
      <c r="H780" s="67"/>
      <c r="I780" s="67"/>
      <c r="J780" s="70"/>
      <c r="K780" s="67"/>
      <c r="L780" s="67"/>
      <c r="M780" s="67"/>
      <c r="N780" s="67"/>
      <c r="O780" s="67"/>
      <c r="P780" s="67"/>
    </row>
    <row r="781" ht="22.5" customHeight="1">
      <c r="C781" s="67"/>
      <c r="D781" s="69"/>
      <c r="E781" s="67"/>
      <c r="F781" s="69"/>
      <c r="G781" s="67"/>
      <c r="H781" s="67"/>
      <c r="I781" s="67"/>
      <c r="J781" s="70"/>
      <c r="K781" s="67"/>
      <c r="L781" s="67"/>
      <c r="M781" s="67"/>
      <c r="N781" s="67"/>
      <c r="O781" s="67"/>
      <c r="P781" s="67"/>
    </row>
    <row r="782" ht="22.5" customHeight="1">
      <c r="C782" s="67"/>
      <c r="D782" s="69"/>
      <c r="E782" s="67"/>
      <c r="F782" s="69"/>
      <c r="G782" s="67"/>
      <c r="H782" s="67"/>
      <c r="I782" s="67"/>
      <c r="J782" s="70"/>
      <c r="K782" s="67"/>
      <c r="L782" s="67"/>
      <c r="M782" s="67"/>
      <c r="N782" s="67"/>
      <c r="O782" s="67"/>
      <c r="P782" s="67"/>
    </row>
    <row r="783" ht="22.5" customHeight="1">
      <c r="C783" s="67"/>
      <c r="D783" s="69"/>
      <c r="E783" s="67"/>
      <c r="F783" s="69"/>
      <c r="G783" s="67"/>
      <c r="H783" s="67"/>
      <c r="I783" s="67"/>
      <c r="J783" s="70"/>
      <c r="K783" s="67"/>
      <c r="L783" s="67"/>
      <c r="M783" s="67"/>
      <c r="N783" s="67"/>
      <c r="O783" s="67"/>
      <c r="P783" s="67"/>
    </row>
    <row r="784" ht="22.5" customHeight="1">
      <c r="C784" s="67"/>
      <c r="D784" s="69"/>
      <c r="E784" s="67"/>
      <c r="F784" s="69"/>
      <c r="G784" s="67"/>
      <c r="H784" s="67"/>
      <c r="I784" s="67"/>
      <c r="J784" s="70"/>
      <c r="K784" s="67"/>
      <c r="L784" s="67"/>
      <c r="M784" s="67"/>
      <c r="N784" s="67"/>
      <c r="O784" s="67"/>
      <c r="P784" s="67"/>
    </row>
    <row r="785" ht="22.5" customHeight="1">
      <c r="C785" s="67"/>
      <c r="D785" s="69"/>
      <c r="E785" s="67"/>
      <c r="F785" s="69"/>
      <c r="G785" s="67"/>
      <c r="H785" s="67"/>
      <c r="I785" s="67"/>
      <c r="J785" s="70"/>
      <c r="K785" s="67"/>
      <c r="L785" s="67"/>
      <c r="M785" s="67"/>
      <c r="N785" s="67"/>
      <c r="O785" s="67"/>
      <c r="P785" s="67"/>
    </row>
    <row r="786" ht="22.5" customHeight="1">
      <c r="C786" s="67"/>
      <c r="D786" s="69"/>
      <c r="E786" s="67"/>
      <c r="F786" s="69"/>
      <c r="G786" s="67"/>
      <c r="H786" s="67"/>
      <c r="I786" s="67"/>
      <c r="J786" s="70"/>
      <c r="K786" s="67"/>
      <c r="L786" s="67"/>
      <c r="M786" s="67"/>
      <c r="N786" s="67"/>
      <c r="O786" s="67"/>
      <c r="P786" s="67"/>
    </row>
    <row r="787" ht="22.5" customHeight="1">
      <c r="C787" s="67"/>
      <c r="D787" s="69"/>
      <c r="E787" s="67"/>
      <c r="F787" s="69"/>
      <c r="G787" s="67"/>
      <c r="H787" s="67"/>
      <c r="I787" s="67"/>
      <c r="J787" s="70"/>
      <c r="K787" s="67"/>
      <c r="L787" s="67"/>
      <c r="M787" s="67"/>
      <c r="N787" s="67"/>
      <c r="O787" s="67"/>
      <c r="P787" s="67"/>
    </row>
    <row r="788" ht="22.5" customHeight="1">
      <c r="C788" s="67"/>
      <c r="D788" s="69"/>
      <c r="E788" s="67"/>
      <c r="F788" s="69"/>
      <c r="G788" s="67"/>
      <c r="H788" s="67"/>
      <c r="I788" s="67"/>
      <c r="J788" s="70"/>
      <c r="K788" s="67"/>
      <c r="L788" s="67"/>
      <c r="M788" s="67"/>
      <c r="N788" s="67"/>
      <c r="O788" s="67"/>
      <c r="P788" s="67"/>
    </row>
    <row r="789" ht="22.5" customHeight="1">
      <c r="C789" s="67"/>
      <c r="D789" s="69"/>
      <c r="E789" s="67"/>
      <c r="F789" s="69"/>
      <c r="G789" s="67"/>
      <c r="H789" s="67"/>
      <c r="I789" s="67"/>
      <c r="J789" s="70"/>
      <c r="K789" s="67"/>
      <c r="L789" s="67"/>
      <c r="M789" s="67"/>
      <c r="N789" s="67"/>
      <c r="O789" s="67"/>
      <c r="P789" s="67"/>
    </row>
    <row r="790" ht="22.5" customHeight="1">
      <c r="C790" s="67"/>
      <c r="D790" s="69"/>
      <c r="E790" s="67"/>
      <c r="F790" s="69"/>
      <c r="G790" s="67"/>
      <c r="H790" s="67"/>
      <c r="I790" s="67"/>
      <c r="J790" s="70"/>
      <c r="K790" s="67"/>
      <c r="L790" s="67"/>
      <c r="M790" s="67"/>
      <c r="N790" s="67"/>
      <c r="O790" s="67"/>
      <c r="P790" s="67"/>
    </row>
    <row r="791" ht="22.5" customHeight="1">
      <c r="C791" s="67"/>
      <c r="D791" s="69"/>
      <c r="E791" s="67"/>
      <c r="F791" s="69"/>
      <c r="G791" s="67"/>
      <c r="H791" s="67"/>
      <c r="I791" s="67"/>
      <c r="J791" s="70"/>
      <c r="K791" s="67"/>
      <c r="L791" s="67"/>
      <c r="M791" s="67"/>
      <c r="N791" s="67"/>
      <c r="O791" s="67"/>
      <c r="P791" s="67"/>
    </row>
    <row r="792" ht="22.5" customHeight="1">
      <c r="C792" s="67"/>
      <c r="D792" s="69"/>
      <c r="E792" s="67"/>
      <c r="F792" s="69"/>
      <c r="G792" s="67"/>
      <c r="H792" s="67"/>
      <c r="I792" s="67"/>
      <c r="J792" s="70"/>
      <c r="K792" s="67"/>
      <c r="L792" s="67"/>
      <c r="M792" s="67"/>
      <c r="N792" s="67"/>
      <c r="O792" s="67"/>
      <c r="P792" s="67"/>
    </row>
    <row r="793" ht="22.5" customHeight="1">
      <c r="C793" s="67"/>
      <c r="D793" s="69"/>
      <c r="E793" s="67"/>
      <c r="F793" s="69"/>
      <c r="G793" s="67"/>
      <c r="H793" s="67"/>
      <c r="I793" s="67"/>
      <c r="J793" s="70"/>
      <c r="K793" s="67"/>
      <c r="L793" s="67"/>
      <c r="M793" s="67"/>
      <c r="N793" s="67"/>
      <c r="O793" s="67"/>
      <c r="P793" s="67"/>
    </row>
    <row r="794" ht="22.5" customHeight="1">
      <c r="C794" s="67"/>
      <c r="D794" s="69"/>
      <c r="E794" s="67"/>
      <c r="F794" s="69"/>
      <c r="G794" s="67"/>
      <c r="H794" s="67"/>
      <c r="I794" s="67"/>
      <c r="J794" s="70"/>
      <c r="K794" s="67"/>
      <c r="L794" s="67"/>
      <c r="M794" s="67"/>
      <c r="N794" s="67"/>
      <c r="O794" s="67"/>
      <c r="P794" s="67"/>
    </row>
    <row r="795" ht="22.5" customHeight="1">
      <c r="C795" s="67"/>
      <c r="D795" s="69"/>
      <c r="E795" s="67"/>
      <c r="F795" s="69"/>
      <c r="G795" s="67"/>
      <c r="H795" s="67"/>
      <c r="I795" s="67"/>
      <c r="J795" s="70"/>
      <c r="K795" s="67"/>
      <c r="L795" s="67"/>
      <c r="M795" s="67"/>
      <c r="N795" s="67"/>
      <c r="O795" s="67"/>
      <c r="P795" s="67"/>
    </row>
    <row r="796" ht="22.5" customHeight="1">
      <c r="C796" s="67"/>
      <c r="D796" s="69"/>
      <c r="E796" s="67"/>
      <c r="F796" s="69"/>
      <c r="G796" s="67"/>
      <c r="H796" s="67"/>
      <c r="I796" s="67"/>
      <c r="J796" s="70"/>
      <c r="K796" s="67"/>
      <c r="L796" s="67"/>
      <c r="M796" s="67"/>
      <c r="N796" s="67"/>
      <c r="O796" s="67"/>
      <c r="P796" s="67"/>
    </row>
    <row r="797" ht="22.5" customHeight="1">
      <c r="C797" s="67"/>
      <c r="D797" s="69"/>
      <c r="E797" s="67"/>
      <c r="F797" s="69"/>
      <c r="G797" s="67"/>
      <c r="H797" s="67"/>
      <c r="I797" s="67"/>
      <c r="J797" s="70"/>
      <c r="K797" s="67"/>
      <c r="L797" s="67"/>
      <c r="M797" s="67"/>
      <c r="N797" s="67"/>
      <c r="O797" s="67"/>
      <c r="P797" s="67"/>
    </row>
    <row r="798" ht="22.5" customHeight="1">
      <c r="C798" s="67"/>
      <c r="D798" s="69"/>
      <c r="E798" s="67"/>
      <c r="F798" s="69"/>
      <c r="G798" s="67"/>
      <c r="H798" s="67"/>
      <c r="I798" s="67"/>
      <c r="J798" s="70"/>
      <c r="K798" s="67"/>
      <c r="L798" s="67"/>
      <c r="M798" s="67"/>
      <c r="N798" s="67"/>
      <c r="O798" s="67"/>
      <c r="P798" s="67"/>
    </row>
    <row r="799" ht="22.5" customHeight="1">
      <c r="C799" s="67"/>
      <c r="D799" s="69"/>
      <c r="E799" s="67"/>
      <c r="F799" s="69"/>
      <c r="G799" s="67"/>
      <c r="H799" s="67"/>
      <c r="I799" s="67"/>
      <c r="J799" s="70"/>
      <c r="K799" s="67"/>
      <c r="L799" s="67"/>
      <c r="M799" s="67"/>
      <c r="N799" s="67"/>
      <c r="O799" s="67"/>
      <c r="P799" s="67"/>
    </row>
    <row r="800" ht="22.5" customHeight="1">
      <c r="C800" s="67"/>
      <c r="D800" s="69"/>
      <c r="E800" s="67"/>
      <c r="F800" s="69"/>
      <c r="G800" s="67"/>
      <c r="H800" s="67"/>
      <c r="I800" s="67"/>
      <c r="J800" s="70"/>
      <c r="K800" s="67"/>
      <c r="L800" s="67"/>
      <c r="M800" s="67"/>
      <c r="N800" s="67"/>
      <c r="O800" s="67"/>
      <c r="P800" s="67"/>
    </row>
    <row r="801" ht="22.5" customHeight="1">
      <c r="C801" s="67"/>
      <c r="D801" s="69"/>
      <c r="E801" s="67"/>
      <c r="F801" s="69"/>
      <c r="G801" s="67"/>
      <c r="H801" s="67"/>
      <c r="I801" s="67"/>
      <c r="J801" s="70"/>
      <c r="K801" s="67"/>
      <c r="L801" s="67"/>
      <c r="M801" s="67"/>
      <c r="N801" s="67"/>
      <c r="O801" s="67"/>
      <c r="P801" s="67"/>
    </row>
    <row r="802" ht="22.5" customHeight="1">
      <c r="C802" s="67"/>
      <c r="D802" s="69"/>
      <c r="E802" s="67"/>
      <c r="F802" s="69"/>
      <c r="G802" s="67"/>
      <c r="H802" s="67"/>
      <c r="I802" s="67"/>
      <c r="J802" s="70"/>
      <c r="K802" s="67"/>
      <c r="L802" s="67"/>
      <c r="M802" s="67"/>
      <c r="N802" s="67"/>
      <c r="O802" s="67"/>
      <c r="P802" s="67"/>
    </row>
    <row r="803" ht="22.5" customHeight="1">
      <c r="C803" s="67"/>
      <c r="D803" s="69"/>
      <c r="E803" s="67"/>
      <c r="F803" s="69"/>
      <c r="G803" s="67"/>
      <c r="H803" s="67"/>
      <c r="I803" s="67"/>
      <c r="J803" s="70"/>
      <c r="K803" s="67"/>
      <c r="L803" s="67"/>
      <c r="M803" s="67"/>
      <c r="N803" s="67"/>
      <c r="O803" s="67"/>
      <c r="P803" s="67"/>
    </row>
    <row r="804" ht="22.5" customHeight="1">
      <c r="C804" s="67"/>
      <c r="D804" s="69"/>
      <c r="E804" s="67"/>
      <c r="F804" s="69"/>
      <c r="G804" s="67"/>
      <c r="H804" s="67"/>
      <c r="I804" s="67"/>
      <c r="J804" s="70"/>
      <c r="K804" s="67"/>
      <c r="L804" s="67"/>
      <c r="M804" s="67"/>
      <c r="N804" s="67"/>
      <c r="O804" s="67"/>
      <c r="P804" s="67"/>
    </row>
    <row r="805" ht="22.5" customHeight="1">
      <c r="C805" s="67"/>
      <c r="D805" s="69"/>
      <c r="E805" s="67"/>
      <c r="F805" s="69"/>
      <c r="G805" s="67"/>
      <c r="H805" s="67"/>
      <c r="I805" s="67"/>
      <c r="J805" s="70"/>
      <c r="K805" s="67"/>
      <c r="L805" s="67"/>
      <c r="M805" s="67"/>
      <c r="N805" s="67"/>
      <c r="O805" s="67"/>
      <c r="P805" s="67"/>
    </row>
    <row r="806" ht="22.5" customHeight="1">
      <c r="C806" s="67"/>
      <c r="D806" s="69"/>
      <c r="E806" s="67"/>
      <c r="F806" s="69"/>
      <c r="G806" s="67"/>
      <c r="H806" s="67"/>
      <c r="I806" s="67"/>
      <c r="J806" s="70"/>
      <c r="K806" s="67"/>
      <c r="L806" s="67"/>
      <c r="M806" s="67"/>
      <c r="N806" s="67"/>
      <c r="O806" s="67"/>
      <c r="P806" s="67"/>
    </row>
    <row r="807" ht="22.5" customHeight="1">
      <c r="C807" s="67"/>
      <c r="D807" s="69"/>
      <c r="E807" s="67"/>
      <c r="F807" s="69"/>
      <c r="G807" s="67"/>
      <c r="H807" s="67"/>
      <c r="I807" s="67"/>
      <c r="J807" s="70"/>
      <c r="K807" s="67"/>
      <c r="L807" s="67"/>
      <c r="M807" s="67"/>
      <c r="N807" s="67"/>
      <c r="O807" s="67"/>
      <c r="P807" s="67"/>
    </row>
    <row r="808" ht="22.5" customHeight="1">
      <c r="C808" s="67"/>
      <c r="D808" s="69"/>
      <c r="E808" s="67"/>
      <c r="F808" s="69"/>
      <c r="G808" s="67"/>
      <c r="H808" s="67"/>
      <c r="I808" s="67"/>
      <c r="J808" s="70"/>
      <c r="K808" s="67"/>
      <c r="L808" s="67"/>
      <c r="M808" s="67"/>
      <c r="N808" s="67"/>
      <c r="O808" s="67"/>
      <c r="P808" s="67"/>
    </row>
    <row r="809" ht="22.5" customHeight="1">
      <c r="C809" s="67"/>
      <c r="D809" s="69"/>
      <c r="E809" s="67"/>
      <c r="F809" s="69"/>
      <c r="G809" s="67"/>
      <c r="H809" s="67"/>
      <c r="I809" s="67"/>
      <c r="J809" s="70"/>
      <c r="K809" s="67"/>
      <c r="L809" s="67"/>
      <c r="M809" s="67"/>
      <c r="N809" s="67"/>
      <c r="O809" s="67"/>
      <c r="P809" s="67"/>
    </row>
    <row r="810" ht="22.5" customHeight="1">
      <c r="C810" s="67"/>
      <c r="D810" s="69"/>
      <c r="E810" s="67"/>
      <c r="F810" s="69"/>
      <c r="G810" s="67"/>
      <c r="H810" s="67"/>
      <c r="I810" s="67"/>
      <c r="J810" s="70"/>
      <c r="K810" s="67"/>
      <c r="L810" s="67"/>
      <c r="M810" s="67"/>
      <c r="N810" s="67"/>
      <c r="O810" s="67"/>
      <c r="P810" s="67"/>
    </row>
    <row r="811" ht="22.5" customHeight="1">
      <c r="C811" s="67"/>
      <c r="D811" s="69"/>
      <c r="E811" s="67"/>
      <c r="F811" s="69"/>
      <c r="G811" s="67"/>
      <c r="H811" s="67"/>
      <c r="I811" s="67"/>
      <c r="J811" s="70"/>
      <c r="K811" s="67"/>
      <c r="L811" s="67"/>
      <c r="M811" s="67"/>
      <c r="N811" s="67"/>
      <c r="O811" s="67"/>
      <c r="P811" s="67"/>
    </row>
    <row r="812" ht="22.5" customHeight="1">
      <c r="C812" s="67"/>
      <c r="D812" s="69"/>
      <c r="E812" s="67"/>
      <c r="F812" s="69"/>
      <c r="G812" s="67"/>
      <c r="H812" s="67"/>
      <c r="I812" s="67"/>
      <c r="J812" s="70"/>
      <c r="K812" s="67"/>
      <c r="L812" s="67"/>
      <c r="M812" s="67"/>
      <c r="N812" s="67"/>
      <c r="O812" s="67"/>
      <c r="P812" s="67"/>
    </row>
    <row r="813" ht="22.5" customHeight="1">
      <c r="C813" s="67"/>
      <c r="D813" s="69"/>
      <c r="E813" s="67"/>
      <c r="F813" s="69"/>
      <c r="G813" s="67"/>
      <c r="H813" s="67"/>
      <c r="I813" s="67"/>
      <c r="J813" s="70"/>
      <c r="K813" s="67"/>
      <c r="L813" s="67"/>
      <c r="M813" s="67"/>
      <c r="N813" s="67"/>
      <c r="O813" s="67"/>
      <c r="P813" s="67"/>
    </row>
    <row r="814" ht="22.5" customHeight="1">
      <c r="C814" s="67"/>
      <c r="D814" s="69"/>
      <c r="E814" s="67"/>
      <c r="F814" s="69"/>
      <c r="G814" s="67"/>
      <c r="H814" s="67"/>
      <c r="I814" s="67"/>
      <c r="J814" s="70"/>
      <c r="K814" s="67"/>
      <c r="L814" s="67"/>
      <c r="M814" s="67"/>
      <c r="N814" s="67"/>
      <c r="O814" s="67"/>
      <c r="P814" s="67"/>
    </row>
    <row r="815" ht="22.5" customHeight="1">
      <c r="C815" s="67"/>
      <c r="D815" s="69"/>
      <c r="E815" s="67"/>
      <c r="F815" s="69"/>
      <c r="G815" s="67"/>
      <c r="H815" s="67"/>
      <c r="I815" s="67"/>
      <c r="J815" s="70"/>
      <c r="K815" s="67"/>
      <c r="L815" s="67"/>
      <c r="M815" s="67"/>
      <c r="N815" s="67"/>
      <c r="O815" s="67"/>
      <c r="P815" s="67"/>
    </row>
    <row r="816" ht="22.5" customHeight="1">
      <c r="C816" s="67"/>
      <c r="D816" s="69"/>
      <c r="E816" s="67"/>
      <c r="F816" s="69"/>
      <c r="G816" s="67"/>
      <c r="H816" s="67"/>
      <c r="I816" s="67"/>
      <c r="J816" s="70"/>
      <c r="K816" s="67"/>
      <c r="L816" s="67"/>
      <c r="M816" s="67"/>
      <c r="N816" s="67"/>
      <c r="O816" s="67"/>
      <c r="P816" s="67"/>
    </row>
    <row r="817" ht="22.5" customHeight="1">
      <c r="C817" s="67"/>
      <c r="D817" s="69"/>
      <c r="E817" s="67"/>
      <c r="F817" s="69"/>
      <c r="G817" s="67"/>
      <c r="H817" s="67"/>
      <c r="I817" s="67"/>
      <c r="J817" s="70"/>
      <c r="K817" s="67"/>
      <c r="L817" s="67"/>
      <c r="M817" s="67"/>
      <c r="N817" s="67"/>
      <c r="O817" s="67"/>
      <c r="P817" s="67"/>
    </row>
    <row r="818" ht="22.5" customHeight="1">
      <c r="C818" s="67"/>
      <c r="D818" s="69"/>
      <c r="E818" s="67"/>
      <c r="F818" s="69"/>
      <c r="G818" s="67"/>
      <c r="H818" s="67"/>
      <c r="I818" s="67"/>
      <c r="J818" s="70"/>
      <c r="K818" s="67"/>
      <c r="L818" s="67"/>
      <c r="M818" s="67"/>
      <c r="N818" s="67"/>
      <c r="O818" s="67"/>
      <c r="P818" s="67"/>
    </row>
    <row r="819" ht="22.5" customHeight="1">
      <c r="C819" s="67"/>
      <c r="D819" s="69"/>
      <c r="E819" s="67"/>
      <c r="F819" s="69"/>
      <c r="G819" s="67"/>
      <c r="H819" s="67"/>
      <c r="I819" s="67"/>
      <c r="J819" s="70"/>
      <c r="K819" s="67"/>
      <c r="L819" s="67"/>
      <c r="M819" s="67"/>
      <c r="N819" s="67"/>
      <c r="O819" s="67"/>
      <c r="P819" s="67"/>
    </row>
    <row r="820" ht="22.5" customHeight="1">
      <c r="C820" s="67"/>
      <c r="D820" s="69"/>
      <c r="E820" s="67"/>
      <c r="F820" s="69"/>
      <c r="G820" s="67"/>
      <c r="H820" s="67"/>
      <c r="I820" s="67"/>
      <c r="J820" s="70"/>
      <c r="K820" s="67"/>
      <c r="L820" s="67"/>
      <c r="M820" s="67"/>
      <c r="N820" s="67"/>
      <c r="O820" s="67"/>
      <c r="P820" s="67"/>
    </row>
    <row r="821" ht="22.5" customHeight="1">
      <c r="C821" s="67"/>
      <c r="D821" s="69"/>
      <c r="E821" s="67"/>
      <c r="F821" s="69"/>
      <c r="G821" s="67"/>
      <c r="H821" s="67"/>
      <c r="I821" s="67"/>
      <c r="J821" s="70"/>
      <c r="K821" s="67"/>
      <c r="L821" s="67"/>
      <c r="M821" s="67"/>
      <c r="N821" s="67"/>
      <c r="O821" s="67"/>
      <c r="P821" s="67"/>
    </row>
    <row r="822" ht="22.5" customHeight="1">
      <c r="C822" s="67"/>
      <c r="D822" s="69"/>
      <c r="E822" s="67"/>
      <c r="F822" s="69"/>
      <c r="G822" s="67"/>
      <c r="H822" s="67"/>
      <c r="I822" s="67"/>
      <c r="J822" s="70"/>
      <c r="K822" s="67"/>
      <c r="L822" s="67"/>
      <c r="M822" s="67"/>
      <c r="N822" s="67"/>
      <c r="O822" s="67"/>
      <c r="P822" s="67"/>
    </row>
    <row r="823" ht="22.5" customHeight="1">
      <c r="C823" s="67"/>
      <c r="D823" s="69"/>
      <c r="E823" s="67"/>
      <c r="F823" s="69"/>
      <c r="G823" s="67"/>
      <c r="H823" s="67"/>
      <c r="I823" s="67"/>
      <c r="J823" s="70"/>
      <c r="K823" s="67"/>
      <c r="L823" s="67"/>
      <c r="M823" s="67"/>
      <c r="N823" s="67"/>
      <c r="O823" s="67"/>
      <c r="P823" s="67"/>
    </row>
    <row r="824" ht="22.5" customHeight="1">
      <c r="C824" s="67"/>
      <c r="D824" s="69"/>
      <c r="E824" s="67"/>
      <c r="F824" s="69"/>
      <c r="G824" s="67"/>
      <c r="H824" s="67"/>
      <c r="I824" s="67"/>
      <c r="J824" s="70"/>
      <c r="K824" s="67"/>
      <c r="L824" s="67"/>
      <c r="M824" s="67"/>
      <c r="N824" s="67"/>
      <c r="O824" s="67"/>
      <c r="P824" s="67"/>
    </row>
    <row r="825" ht="22.5" customHeight="1">
      <c r="C825" s="67"/>
      <c r="D825" s="69"/>
      <c r="E825" s="67"/>
      <c r="F825" s="69"/>
      <c r="G825" s="67"/>
      <c r="H825" s="67"/>
      <c r="I825" s="67"/>
      <c r="J825" s="70"/>
      <c r="K825" s="67"/>
      <c r="L825" s="67"/>
      <c r="M825" s="67"/>
      <c r="N825" s="67"/>
      <c r="O825" s="67"/>
      <c r="P825" s="67"/>
    </row>
    <row r="826" ht="22.5" customHeight="1">
      <c r="C826" s="67"/>
      <c r="D826" s="69"/>
      <c r="E826" s="67"/>
      <c r="F826" s="69"/>
      <c r="G826" s="67"/>
      <c r="H826" s="67"/>
      <c r="I826" s="67"/>
      <c r="J826" s="70"/>
      <c r="K826" s="67"/>
      <c r="L826" s="67"/>
      <c r="M826" s="67"/>
      <c r="N826" s="67"/>
      <c r="O826" s="67"/>
      <c r="P826" s="67"/>
    </row>
    <row r="827" ht="22.5" customHeight="1">
      <c r="C827" s="67"/>
      <c r="D827" s="69"/>
      <c r="E827" s="67"/>
      <c r="F827" s="69"/>
      <c r="G827" s="67"/>
      <c r="H827" s="67"/>
      <c r="I827" s="67"/>
      <c r="J827" s="70"/>
      <c r="K827" s="67"/>
      <c r="L827" s="67"/>
      <c r="M827" s="67"/>
      <c r="N827" s="67"/>
      <c r="O827" s="67"/>
      <c r="P827" s="67"/>
    </row>
    <row r="828" ht="22.5" customHeight="1">
      <c r="C828" s="67"/>
      <c r="D828" s="69"/>
      <c r="E828" s="67"/>
      <c r="F828" s="69"/>
      <c r="G828" s="67"/>
      <c r="H828" s="67"/>
      <c r="I828" s="67"/>
      <c r="J828" s="70"/>
      <c r="K828" s="67"/>
      <c r="L828" s="67"/>
      <c r="M828" s="67"/>
      <c r="N828" s="67"/>
      <c r="O828" s="67"/>
      <c r="P828" s="67"/>
    </row>
    <row r="829" ht="22.5" customHeight="1">
      <c r="C829" s="67"/>
      <c r="D829" s="69"/>
      <c r="E829" s="67"/>
      <c r="F829" s="69"/>
      <c r="G829" s="67"/>
      <c r="H829" s="67"/>
      <c r="I829" s="67"/>
      <c r="J829" s="70"/>
      <c r="K829" s="67"/>
      <c r="L829" s="67"/>
      <c r="M829" s="67"/>
      <c r="N829" s="67"/>
      <c r="O829" s="67"/>
      <c r="P829" s="67"/>
    </row>
    <row r="830" ht="22.5" customHeight="1">
      <c r="C830" s="67"/>
      <c r="D830" s="69"/>
      <c r="E830" s="67"/>
      <c r="F830" s="69"/>
      <c r="G830" s="67"/>
      <c r="H830" s="67"/>
      <c r="I830" s="67"/>
      <c r="J830" s="70"/>
      <c r="K830" s="67"/>
      <c r="L830" s="67"/>
      <c r="M830" s="67"/>
      <c r="N830" s="67"/>
      <c r="O830" s="67"/>
      <c r="P830" s="67"/>
    </row>
    <row r="831" ht="22.5" customHeight="1">
      <c r="C831" s="67"/>
      <c r="D831" s="69"/>
      <c r="E831" s="67"/>
      <c r="F831" s="69"/>
      <c r="G831" s="67"/>
      <c r="H831" s="67"/>
      <c r="I831" s="67"/>
      <c r="J831" s="70"/>
      <c r="K831" s="67"/>
      <c r="L831" s="67"/>
      <c r="M831" s="67"/>
      <c r="N831" s="67"/>
      <c r="O831" s="67"/>
      <c r="P831" s="67"/>
    </row>
    <row r="832" ht="22.5" customHeight="1">
      <c r="C832" s="67"/>
      <c r="D832" s="69"/>
      <c r="E832" s="67"/>
      <c r="F832" s="69"/>
      <c r="G832" s="67"/>
      <c r="H832" s="67"/>
      <c r="I832" s="67"/>
      <c r="J832" s="70"/>
      <c r="K832" s="67"/>
      <c r="L832" s="67"/>
      <c r="M832" s="67"/>
      <c r="N832" s="67"/>
      <c r="O832" s="67"/>
      <c r="P832" s="67"/>
    </row>
    <row r="833" ht="22.5" customHeight="1">
      <c r="C833" s="67"/>
      <c r="D833" s="69"/>
      <c r="E833" s="67"/>
      <c r="F833" s="69"/>
      <c r="G833" s="67"/>
      <c r="H833" s="67"/>
      <c r="I833" s="67"/>
      <c r="J833" s="70"/>
      <c r="K833" s="67"/>
      <c r="L833" s="67"/>
      <c r="M833" s="67"/>
      <c r="N833" s="67"/>
      <c r="O833" s="67"/>
      <c r="P833" s="67"/>
    </row>
    <row r="834" ht="22.5" customHeight="1">
      <c r="C834" s="67"/>
      <c r="D834" s="69"/>
      <c r="E834" s="67"/>
      <c r="F834" s="69"/>
      <c r="G834" s="67"/>
      <c r="H834" s="67"/>
      <c r="I834" s="67"/>
      <c r="J834" s="70"/>
      <c r="K834" s="67"/>
      <c r="L834" s="67"/>
      <c r="M834" s="67"/>
      <c r="N834" s="67"/>
      <c r="O834" s="67"/>
      <c r="P834" s="67"/>
    </row>
    <row r="835" ht="22.5" customHeight="1">
      <c r="C835" s="67"/>
      <c r="D835" s="69"/>
      <c r="E835" s="67"/>
      <c r="F835" s="69"/>
      <c r="G835" s="67"/>
      <c r="H835" s="67"/>
      <c r="I835" s="67"/>
      <c r="J835" s="70"/>
      <c r="K835" s="67"/>
      <c r="L835" s="67"/>
      <c r="M835" s="67"/>
      <c r="N835" s="67"/>
      <c r="O835" s="67"/>
      <c r="P835" s="67"/>
    </row>
    <row r="836" ht="22.5" customHeight="1">
      <c r="C836" s="67"/>
      <c r="D836" s="69"/>
      <c r="E836" s="67"/>
      <c r="F836" s="69"/>
      <c r="G836" s="67"/>
      <c r="H836" s="67"/>
      <c r="I836" s="67"/>
      <c r="J836" s="70"/>
      <c r="K836" s="67"/>
      <c r="L836" s="67"/>
      <c r="M836" s="67"/>
      <c r="N836" s="67"/>
      <c r="O836" s="67"/>
      <c r="P836" s="67"/>
    </row>
    <row r="837" ht="22.5" customHeight="1">
      <c r="C837" s="67"/>
      <c r="D837" s="69"/>
      <c r="E837" s="67"/>
      <c r="F837" s="69"/>
      <c r="G837" s="67"/>
      <c r="H837" s="67"/>
      <c r="I837" s="67"/>
      <c r="J837" s="70"/>
      <c r="K837" s="67"/>
      <c r="L837" s="67"/>
      <c r="M837" s="67"/>
      <c r="N837" s="67"/>
      <c r="O837" s="67"/>
      <c r="P837" s="67"/>
    </row>
    <row r="838" ht="22.5" customHeight="1">
      <c r="C838" s="67"/>
      <c r="D838" s="69"/>
      <c r="E838" s="67"/>
      <c r="F838" s="69"/>
      <c r="G838" s="67"/>
      <c r="H838" s="67"/>
      <c r="I838" s="67"/>
      <c r="J838" s="70"/>
      <c r="K838" s="67"/>
      <c r="L838" s="67"/>
      <c r="M838" s="67"/>
      <c r="N838" s="67"/>
      <c r="O838" s="67"/>
      <c r="P838" s="67"/>
    </row>
    <row r="839" ht="22.5" customHeight="1">
      <c r="C839" s="67"/>
      <c r="D839" s="69"/>
      <c r="E839" s="67"/>
      <c r="F839" s="69"/>
      <c r="G839" s="67"/>
      <c r="H839" s="67"/>
      <c r="I839" s="67"/>
      <c r="J839" s="70"/>
      <c r="K839" s="67"/>
      <c r="L839" s="67"/>
      <c r="M839" s="67"/>
      <c r="N839" s="67"/>
      <c r="O839" s="67"/>
      <c r="P839" s="67"/>
    </row>
    <row r="840" ht="22.5" customHeight="1">
      <c r="C840" s="67"/>
      <c r="D840" s="69"/>
      <c r="E840" s="67"/>
      <c r="F840" s="69"/>
      <c r="G840" s="67"/>
      <c r="H840" s="67"/>
      <c r="I840" s="67"/>
      <c r="J840" s="70"/>
      <c r="K840" s="67"/>
      <c r="L840" s="67"/>
      <c r="M840" s="67"/>
      <c r="N840" s="67"/>
      <c r="O840" s="67"/>
      <c r="P840" s="67"/>
    </row>
    <row r="841" ht="22.5" customHeight="1">
      <c r="C841" s="67"/>
      <c r="D841" s="69"/>
      <c r="E841" s="67"/>
      <c r="F841" s="69"/>
      <c r="G841" s="67"/>
      <c r="H841" s="67"/>
      <c r="I841" s="67"/>
      <c r="J841" s="70"/>
      <c r="K841" s="67"/>
      <c r="L841" s="67"/>
      <c r="M841" s="67"/>
      <c r="N841" s="67"/>
      <c r="O841" s="67"/>
      <c r="P841" s="67"/>
    </row>
    <row r="842" ht="22.5" customHeight="1">
      <c r="C842" s="67"/>
      <c r="D842" s="69"/>
      <c r="E842" s="67"/>
      <c r="F842" s="69"/>
      <c r="G842" s="67"/>
      <c r="H842" s="67"/>
      <c r="I842" s="67"/>
      <c r="J842" s="70"/>
      <c r="K842" s="67"/>
      <c r="L842" s="67"/>
      <c r="M842" s="67"/>
      <c r="N842" s="67"/>
      <c r="O842" s="67"/>
      <c r="P842" s="67"/>
    </row>
    <row r="843" ht="22.5" customHeight="1">
      <c r="C843" s="67"/>
      <c r="D843" s="69"/>
      <c r="E843" s="67"/>
      <c r="F843" s="69"/>
      <c r="G843" s="67"/>
      <c r="H843" s="67"/>
      <c r="I843" s="67"/>
      <c r="J843" s="70"/>
      <c r="K843" s="67"/>
      <c r="L843" s="67"/>
      <c r="M843" s="67"/>
      <c r="N843" s="67"/>
      <c r="O843" s="67"/>
      <c r="P843" s="67"/>
    </row>
    <row r="844" ht="22.5" customHeight="1">
      <c r="C844" s="67"/>
      <c r="D844" s="69"/>
      <c r="E844" s="67"/>
      <c r="F844" s="69"/>
      <c r="G844" s="67"/>
      <c r="H844" s="67"/>
      <c r="I844" s="67"/>
      <c r="J844" s="70"/>
      <c r="K844" s="67"/>
      <c r="L844" s="67"/>
      <c r="M844" s="67"/>
      <c r="N844" s="67"/>
      <c r="O844" s="67"/>
      <c r="P844" s="67"/>
    </row>
    <row r="845" ht="22.5" customHeight="1">
      <c r="C845" s="67"/>
      <c r="D845" s="69"/>
      <c r="E845" s="67"/>
      <c r="F845" s="69"/>
      <c r="G845" s="67"/>
      <c r="H845" s="67"/>
      <c r="I845" s="67"/>
      <c r="J845" s="70"/>
      <c r="K845" s="67"/>
      <c r="L845" s="67"/>
      <c r="M845" s="67"/>
      <c r="N845" s="67"/>
      <c r="O845" s="67"/>
      <c r="P845" s="67"/>
    </row>
    <row r="846" ht="22.5" customHeight="1">
      <c r="C846" s="67"/>
      <c r="D846" s="69"/>
      <c r="E846" s="67"/>
      <c r="F846" s="69"/>
      <c r="G846" s="67"/>
      <c r="H846" s="67"/>
      <c r="I846" s="67"/>
      <c r="J846" s="70"/>
      <c r="K846" s="67"/>
      <c r="L846" s="67"/>
      <c r="M846" s="67"/>
      <c r="N846" s="67"/>
      <c r="O846" s="67"/>
      <c r="P846" s="67"/>
    </row>
    <row r="847" ht="22.5" customHeight="1">
      <c r="C847" s="67"/>
      <c r="D847" s="69"/>
      <c r="E847" s="67"/>
      <c r="F847" s="69"/>
      <c r="G847" s="67"/>
      <c r="H847" s="67"/>
      <c r="I847" s="67"/>
      <c r="J847" s="70"/>
      <c r="K847" s="67"/>
      <c r="L847" s="67"/>
      <c r="M847" s="67"/>
      <c r="N847" s="67"/>
      <c r="O847" s="67"/>
      <c r="P847" s="67"/>
    </row>
    <row r="848" ht="22.5" customHeight="1">
      <c r="C848" s="67"/>
      <c r="D848" s="69"/>
      <c r="E848" s="67"/>
      <c r="F848" s="69"/>
      <c r="G848" s="67"/>
      <c r="H848" s="67"/>
      <c r="I848" s="67"/>
      <c r="J848" s="70"/>
      <c r="K848" s="67"/>
      <c r="L848" s="67"/>
      <c r="M848" s="67"/>
      <c r="N848" s="67"/>
      <c r="O848" s="67"/>
      <c r="P848" s="67"/>
    </row>
    <row r="849" ht="22.5" customHeight="1">
      <c r="C849" s="67"/>
      <c r="D849" s="69"/>
      <c r="E849" s="67"/>
      <c r="F849" s="69"/>
      <c r="G849" s="67"/>
      <c r="H849" s="67"/>
      <c r="I849" s="67"/>
      <c r="J849" s="70"/>
      <c r="K849" s="67"/>
      <c r="L849" s="67"/>
      <c r="M849" s="67"/>
      <c r="N849" s="67"/>
      <c r="O849" s="67"/>
      <c r="P849" s="67"/>
    </row>
    <row r="850" ht="22.5" customHeight="1">
      <c r="C850" s="67"/>
      <c r="D850" s="69"/>
      <c r="E850" s="67"/>
      <c r="F850" s="69"/>
      <c r="G850" s="67"/>
      <c r="H850" s="67"/>
      <c r="I850" s="67"/>
      <c r="J850" s="70"/>
      <c r="K850" s="67"/>
      <c r="L850" s="67"/>
      <c r="M850" s="67"/>
      <c r="N850" s="67"/>
      <c r="O850" s="67"/>
      <c r="P850" s="67"/>
    </row>
    <row r="851" ht="22.5" customHeight="1">
      <c r="C851" s="67"/>
      <c r="D851" s="69"/>
      <c r="E851" s="67"/>
      <c r="F851" s="69"/>
      <c r="G851" s="67"/>
      <c r="H851" s="67"/>
      <c r="I851" s="67"/>
      <c r="J851" s="70"/>
      <c r="K851" s="67"/>
      <c r="L851" s="67"/>
      <c r="M851" s="67"/>
      <c r="N851" s="67"/>
      <c r="O851" s="67"/>
      <c r="P851" s="67"/>
    </row>
    <row r="852" ht="22.5" customHeight="1">
      <c r="C852" s="67"/>
      <c r="D852" s="69"/>
      <c r="E852" s="67"/>
      <c r="F852" s="69"/>
      <c r="G852" s="67"/>
      <c r="H852" s="67"/>
      <c r="I852" s="67"/>
      <c r="J852" s="70"/>
      <c r="K852" s="67"/>
      <c r="L852" s="67"/>
      <c r="M852" s="67"/>
      <c r="N852" s="67"/>
      <c r="O852" s="67"/>
      <c r="P852" s="67"/>
    </row>
    <row r="853" ht="22.5" customHeight="1">
      <c r="C853" s="67"/>
      <c r="D853" s="69"/>
      <c r="E853" s="67"/>
      <c r="F853" s="69"/>
      <c r="G853" s="67"/>
      <c r="H853" s="67"/>
      <c r="I853" s="67"/>
      <c r="J853" s="70"/>
      <c r="K853" s="67"/>
      <c r="L853" s="67"/>
      <c r="M853" s="67"/>
      <c r="N853" s="67"/>
      <c r="O853" s="67"/>
      <c r="P853" s="67"/>
    </row>
    <row r="854" ht="22.5" customHeight="1">
      <c r="C854" s="67"/>
      <c r="D854" s="69"/>
      <c r="E854" s="67"/>
      <c r="F854" s="69"/>
      <c r="G854" s="67"/>
      <c r="H854" s="67"/>
      <c r="I854" s="67"/>
      <c r="J854" s="70"/>
      <c r="K854" s="67"/>
      <c r="L854" s="67"/>
      <c r="M854" s="67"/>
      <c r="N854" s="67"/>
      <c r="O854" s="67"/>
      <c r="P854" s="67"/>
    </row>
    <row r="855" ht="22.5" customHeight="1">
      <c r="C855" s="67"/>
      <c r="D855" s="69"/>
      <c r="E855" s="67"/>
      <c r="F855" s="69"/>
      <c r="G855" s="67"/>
      <c r="H855" s="67"/>
      <c r="I855" s="67"/>
      <c r="J855" s="70"/>
      <c r="K855" s="67"/>
      <c r="L855" s="67"/>
      <c r="M855" s="67"/>
      <c r="N855" s="67"/>
      <c r="O855" s="67"/>
      <c r="P855" s="67"/>
    </row>
    <row r="856" ht="22.5" customHeight="1">
      <c r="C856" s="67"/>
      <c r="D856" s="69"/>
      <c r="E856" s="67"/>
      <c r="F856" s="69"/>
      <c r="G856" s="67"/>
      <c r="H856" s="67"/>
      <c r="I856" s="67"/>
      <c r="J856" s="70"/>
      <c r="K856" s="67"/>
      <c r="L856" s="67"/>
      <c r="M856" s="67"/>
      <c r="N856" s="67"/>
      <c r="O856" s="67"/>
      <c r="P856" s="67"/>
    </row>
    <row r="857" ht="22.5" customHeight="1">
      <c r="C857" s="67"/>
      <c r="D857" s="69"/>
      <c r="E857" s="67"/>
      <c r="F857" s="69"/>
      <c r="G857" s="67"/>
      <c r="H857" s="67"/>
      <c r="I857" s="67"/>
      <c r="J857" s="70"/>
      <c r="K857" s="67"/>
      <c r="L857" s="67"/>
      <c r="M857" s="67"/>
      <c r="N857" s="67"/>
      <c r="O857" s="67"/>
      <c r="P857" s="67"/>
    </row>
    <row r="858" ht="22.5" customHeight="1">
      <c r="C858" s="67"/>
      <c r="D858" s="69"/>
      <c r="E858" s="67"/>
      <c r="F858" s="69"/>
      <c r="G858" s="67"/>
      <c r="H858" s="67"/>
      <c r="I858" s="67"/>
      <c r="J858" s="70"/>
      <c r="K858" s="67"/>
      <c r="L858" s="67"/>
      <c r="M858" s="67"/>
      <c r="N858" s="67"/>
      <c r="O858" s="67"/>
      <c r="P858" s="67"/>
    </row>
    <row r="859" ht="22.5" customHeight="1">
      <c r="C859" s="67"/>
      <c r="D859" s="69"/>
      <c r="E859" s="67"/>
      <c r="F859" s="69"/>
      <c r="G859" s="67"/>
      <c r="H859" s="67"/>
      <c r="I859" s="67"/>
      <c r="J859" s="70"/>
      <c r="K859" s="67"/>
      <c r="L859" s="67"/>
      <c r="M859" s="67"/>
      <c r="N859" s="67"/>
      <c r="O859" s="67"/>
      <c r="P859" s="67"/>
    </row>
    <row r="860" ht="22.5" customHeight="1">
      <c r="C860" s="67"/>
      <c r="D860" s="69"/>
      <c r="E860" s="67"/>
      <c r="F860" s="69"/>
      <c r="G860" s="67"/>
      <c r="H860" s="67"/>
      <c r="I860" s="67"/>
      <c r="J860" s="70"/>
      <c r="K860" s="67"/>
      <c r="L860" s="67"/>
      <c r="M860" s="67"/>
      <c r="N860" s="67"/>
      <c r="O860" s="67"/>
      <c r="P860" s="67"/>
    </row>
    <row r="861" ht="22.5" customHeight="1">
      <c r="C861" s="67"/>
      <c r="D861" s="69"/>
      <c r="E861" s="67"/>
      <c r="F861" s="69"/>
      <c r="G861" s="67"/>
      <c r="H861" s="67"/>
      <c r="I861" s="67"/>
      <c r="J861" s="70"/>
      <c r="K861" s="67"/>
      <c r="L861" s="67"/>
      <c r="M861" s="67"/>
      <c r="N861" s="67"/>
      <c r="O861" s="67"/>
      <c r="P861" s="67"/>
    </row>
    <row r="862" ht="22.5" customHeight="1">
      <c r="C862" s="67"/>
      <c r="D862" s="69"/>
      <c r="E862" s="67"/>
      <c r="F862" s="69"/>
      <c r="G862" s="67"/>
      <c r="H862" s="67"/>
      <c r="I862" s="67"/>
      <c r="J862" s="70"/>
      <c r="K862" s="67"/>
      <c r="L862" s="67"/>
      <c r="M862" s="67"/>
      <c r="N862" s="67"/>
      <c r="O862" s="67"/>
      <c r="P862" s="67"/>
    </row>
    <row r="863" ht="22.5" customHeight="1">
      <c r="C863" s="67"/>
      <c r="D863" s="69"/>
      <c r="E863" s="67"/>
      <c r="F863" s="69"/>
      <c r="G863" s="67"/>
      <c r="H863" s="67"/>
      <c r="I863" s="67"/>
      <c r="J863" s="70"/>
      <c r="K863" s="67"/>
      <c r="L863" s="67"/>
      <c r="M863" s="67"/>
      <c r="N863" s="67"/>
      <c r="O863" s="67"/>
      <c r="P863" s="67"/>
    </row>
    <row r="864" ht="22.5" customHeight="1">
      <c r="C864" s="67"/>
      <c r="D864" s="69"/>
      <c r="E864" s="67"/>
      <c r="F864" s="69"/>
      <c r="G864" s="67"/>
      <c r="H864" s="67"/>
      <c r="I864" s="67"/>
      <c r="J864" s="70"/>
      <c r="K864" s="67"/>
      <c r="L864" s="67"/>
      <c r="M864" s="67"/>
      <c r="N864" s="67"/>
      <c r="O864" s="67"/>
      <c r="P864" s="67"/>
    </row>
    <row r="865" ht="22.5" customHeight="1">
      <c r="C865" s="67"/>
      <c r="D865" s="69"/>
      <c r="E865" s="67"/>
      <c r="F865" s="69"/>
      <c r="G865" s="67"/>
      <c r="H865" s="67"/>
      <c r="I865" s="67"/>
      <c r="J865" s="70"/>
      <c r="K865" s="67"/>
      <c r="L865" s="67"/>
      <c r="M865" s="67"/>
      <c r="N865" s="67"/>
      <c r="O865" s="67"/>
      <c r="P865" s="67"/>
    </row>
    <row r="866" ht="22.5" customHeight="1">
      <c r="C866" s="67"/>
      <c r="D866" s="69"/>
      <c r="E866" s="67"/>
      <c r="F866" s="69"/>
      <c r="G866" s="67"/>
      <c r="H866" s="67"/>
      <c r="I866" s="67"/>
      <c r="J866" s="70"/>
      <c r="K866" s="67"/>
      <c r="L866" s="67"/>
      <c r="M866" s="67"/>
      <c r="N866" s="67"/>
      <c r="O866" s="67"/>
      <c r="P866" s="67"/>
    </row>
    <row r="867" ht="22.5" customHeight="1">
      <c r="C867" s="67"/>
      <c r="D867" s="69"/>
      <c r="E867" s="67"/>
      <c r="F867" s="69"/>
      <c r="G867" s="67"/>
      <c r="H867" s="67"/>
      <c r="I867" s="67"/>
      <c r="J867" s="70"/>
      <c r="K867" s="67"/>
      <c r="L867" s="67"/>
      <c r="M867" s="67"/>
      <c r="N867" s="67"/>
      <c r="O867" s="67"/>
      <c r="P867" s="67"/>
    </row>
    <row r="868" ht="22.5" customHeight="1">
      <c r="C868" s="67"/>
      <c r="D868" s="69"/>
      <c r="E868" s="67"/>
      <c r="F868" s="69"/>
      <c r="G868" s="67"/>
      <c r="H868" s="67"/>
      <c r="I868" s="67"/>
      <c r="J868" s="70"/>
      <c r="K868" s="67"/>
      <c r="L868" s="67"/>
      <c r="M868" s="67"/>
      <c r="N868" s="67"/>
      <c r="O868" s="67"/>
      <c r="P868" s="67"/>
    </row>
    <row r="869" ht="22.5" customHeight="1">
      <c r="C869" s="67"/>
      <c r="D869" s="69"/>
      <c r="E869" s="67"/>
      <c r="F869" s="69"/>
      <c r="G869" s="67"/>
      <c r="H869" s="67"/>
      <c r="I869" s="67"/>
      <c r="J869" s="70"/>
      <c r="K869" s="67"/>
      <c r="L869" s="67"/>
      <c r="M869" s="67"/>
      <c r="N869" s="67"/>
      <c r="O869" s="67"/>
      <c r="P869" s="67"/>
    </row>
    <row r="870" ht="22.5" customHeight="1">
      <c r="C870" s="67"/>
      <c r="D870" s="69"/>
      <c r="E870" s="67"/>
      <c r="F870" s="69"/>
      <c r="G870" s="67"/>
      <c r="H870" s="67"/>
      <c r="I870" s="67"/>
      <c r="J870" s="70"/>
      <c r="K870" s="67"/>
      <c r="L870" s="67"/>
      <c r="M870" s="67"/>
      <c r="N870" s="67"/>
      <c r="O870" s="67"/>
      <c r="P870" s="67"/>
    </row>
    <row r="871" ht="22.5" customHeight="1">
      <c r="C871" s="67"/>
      <c r="D871" s="69"/>
      <c r="E871" s="67"/>
      <c r="F871" s="69"/>
      <c r="G871" s="67"/>
      <c r="H871" s="67"/>
      <c r="I871" s="67"/>
      <c r="J871" s="70"/>
      <c r="K871" s="67"/>
      <c r="L871" s="67"/>
      <c r="M871" s="67"/>
      <c r="N871" s="67"/>
      <c r="O871" s="67"/>
      <c r="P871" s="67"/>
    </row>
    <row r="872" ht="22.5" customHeight="1">
      <c r="C872" s="67"/>
      <c r="D872" s="69"/>
      <c r="E872" s="67"/>
      <c r="F872" s="69"/>
      <c r="G872" s="67"/>
      <c r="H872" s="67"/>
      <c r="I872" s="67"/>
      <c r="J872" s="70"/>
      <c r="K872" s="67"/>
      <c r="L872" s="67"/>
      <c r="M872" s="67"/>
      <c r="N872" s="67"/>
      <c r="O872" s="67"/>
      <c r="P872" s="67"/>
    </row>
    <row r="873" ht="22.5" customHeight="1">
      <c r="C873" s="67"/>
      <c r="D873" s="69"/>
      <c r="E873" s="67"/>
      <c r="F873" s="69"/>
      <c r="G873" s="67"/>
      <c r="H873" s="67"/>
      <c r="I873" s="67"/>
      <c r="J873" s="70"/>
      <c r="K873" s="67"/>
      <c r="L873" s="67"/>
      <c r="M873" s="67"/>
      <c r="N873" s="67"/>
      <c r="O873" s="67"/>
      <c r="P873" s="67"/>
    </row>
    <row r="874" ht="22.5" customHeight="1">
      <c r="C874" s="67"/>
      <c r="D874" s="69"/>
      <c r="E874" s="67"/>
      <c r="F874" s="69"/>
      <c r="G874" s="67"/>
      <c r="H874" s="67"/>
      <c r="I874" s="67"/>
      <c r="J874" s="70"/>
      <c r="K874" s="67"/>
      <c r="L874" s="67"/>
      <c r="M874" s="67"/>
      <c r="N874" s="67"/>
      <c r="O874" s="67"/>
      <c r="P874" s="67"/>
    </row>
    <row r="875" ht="22.5" customHeight="1">
      <c r="C875" s="67"/>
      <c r="D875" s="69"/>
      <c r="E875" s="67"/>
      <c r="F875" s="69"/>
      <c r="G875" s="67"/>
      <c r="H875" s="67"/>
      <c r="I875" s="67"/>
      <c r="J875" s="70"/>
      <c r="K875" s="67"/>
      <c r="L875" s="67"/>
      <c r="M875" s="67"/>
      <c r="N875" s="67"/>
      <c r="O875" s="67"/>
      <c r="P875" s="67"/>
    </row>
    <row r="876" ht="22.5" customHeight="1">
      <c r="C876" s="67"/>
      <c r="D876" s="69"/>
      <c r="E876" s="67"/>
      <c r="F876" s="69"/>
      <c r="G876" s="67"/>
      <c r="H876" s="67"/>
      <c r="I876" s="67"/>
      <c r="J876" s="70"/>
      <c r="K876" s="67"/>
      <c r="L876" s="67"/>
      <c r="M876" s="67"/>
      <c r="N876" s="67"/>
      <c r="O876" s="67"/>
      <c r="P876" s="67"/>
    </row>
    <row r="877" ht="22.5" customHeight="1">
      <c r="C877" s="67"/>
      <c r="D877" s="69"/>
      <c r="E877" s="67"/>
      <c r="F877" s="69"/>
      <c r="G877" s="67"/>
      <c r="H877" s="67"/>
      <c r="I877" s="67"/>
      <c r="J877" s="70"/>
      <c r="K877" s="67"/>
      <c r="L877" s="67"/>
      <c r="M877" s="67"/>
      <c r="N877" s="67"/>
      <c r="O877" s="67"/>
      <c r="P877" s="67"/>
    </row>
    <row r="878" ht="22.5" customHeight="1">
      <c r="C878" s="67"/>
      <c r="D878" s="69"/>
      <c r="E878" s="67"/>
      <c r="F878" s="69"/>
      <c r="G878" s="67"/>
      <c r="H878" s="67"/>
      <c r="I878" s="67"/>
      <c r="J878" s="70"/>
      <c r="K878" s="67"/>
      <c r="L878" s="67"/>
      <c r="M878" s="67"/>
      <c r="N878" s="67"/>
      <c r="O878" s="67"/>
      <c r="P878" s="67"/>
    </row>
    <row r="879" ht="22.5" customHeight="1">
      <c r="C879" s="67"/>
      <c r="D879" s="69"/>
      <c r="E879" s="67"/>
      <c r="F879" s="69"/>
      <c r="G879" s="67"/>
      <c r="H879" s="67"/>
      <c r="I879" s="67"/>
      <c r="J879" s="70"/>
      <c r="K879" s="67"/>
      <c r="L879" s="67"/>
      <c r="M879" s="67"/>
      <c r="N879" s="67"/>
      <c r="O879" s="67"/>
      <c r="P879" s="67"/>
    </row>
    <row r="880" ht="22.5" customHeight="1">
      <c r="C880" s="67"/>
      <c r="D880" s="69"/>
      <c r="E880" s="67"/>
      <c r="F880" s="69"/>
      <c r="G880" s="67"/>
      <c r="H880" s="67"/>
      <c r="I880" s="67"/>
      <c r="J880" s="70"/>
      <c r="K880" s="67"/>
      <c r="L880" s="67"/>
      <c r="M880" s="67"/>
      <c r="N880" s="67"/>
      <c r="O880" s="67"/>
      <c r="P880" s="67"/>
    </row>
    <row r="881" ht="22.5" customHeight="1">
      <c r="C881" s="67"/>
      <c r="D881" s="69"/>
      <c r="E881" s="67"/>
      <c r="F881" s="69"/>
      <c r="G881" s="67"/>
      <c r="H881" s="67"/>
      <c r="I881" s="67"/>
      <c r="J881" s="70"/>
      <c r="K881" s="67"/>
      <c r="L881" s="67"/>
      <c r="M881" s="67"/>
      <c r="N881" s="67"/>
      <c r="O881" s="67"/>
      <c r="P881" s="67"/>
    </row>
    <row r="882" ht="22.5" customHeight="1">
      <c r="C882" s="67"/>
      <c r="D882" s="69"/>
      <c r="E882" s="67"/>
      <c r="F882" s="69"/>
      <c r="G882" s="67"/>
      <c r="H882" s="67"/>
      <c r="I882" s="67"/>
      <c r="J882" s="70"/>
      <c r="K882" s="67"/>
      <c r="L882" s="67"/>
      <c r="M882" s="67"/>
      <c r="N882" s="67"/>
      <c r="O882" s="67"/>
      <c r="P882" s="67"/>
    </row>
    <row r="883" ht="22.5" customHeight="1">
      <c r="C883" s="67"/>
      <c r="D883" s="69"/>
      <c r="E883" s="67"/>
      <c r="F883" s="69"/>
      <c r="G883" s="67"/>
      <c r="H883" s="67"/>
      <c r="I883" s="67"/>
      <c r="J883" s="70"/>
      <c r="K883" s="67"/>
      <c r="L883" s="67"/>
      <c r="M883" s="67"/>
      <c r="N883" s="67"/>
      <c r="O883" s="67"/>
      <c r="P883" s="67"/>
    </row>
    <row r="884" ht="22.5" customHeight="1">
      <c r="C884" s="67"/>
      <c r="D884" s="69"/>
      <c r="E884" s="67"/>
      <c r="F884" s="69"/>
      <c r="G884" s="67"/>
      <c r="H884" s="67"/>
      <c r="I884" s="67"/>
      <c r="J884" s="70"/>
      <c r="K884" s="67"/>
      <c r="L884" s="67"/>
      <c r="M884" s="67"/>
      <c r="N884" s="67"/>
      <c r="O884" s="67"/>
      <c r="P884" s="67"/>
    </row>
    <row r="885" ht="22.5" customHeight="1">
      <c r="C885" s="67"/>
      <c r="D885" s="69"/>
      <c r="E885" s="67"/>
      <c r="F885" s="69"/>
      <c r="G885" s="67"/>
      <c r="H885" s="67"/>
      <c r="I885" s="67"/>
      <c r="J885" s="70"/>
      <c r="K885" s="67"/>
      <c r="L885" s="67"/>
      <c r="M885" s="67"/>
      <c r="N885" s="67"/>
      <c r="O885" s="67"/>
      <c r="P885" s="67"/>
    </row>
    <row r="886" ht="22.5" customHeight="1">
      <c r="C886" s="67"/>
      <c r="D886" s="69"/>
      <c r="E886" s="67"/>
      <c r="F886" s="69"/>
      <c r="G886" s="67"/>
      <c r="H886" s="67"/>
      <c r="I886" s="67"/>
      <c r="J886" s="70"/>
      <c r="K886" s="67"/>
      <c r="L886" s="67"/>
      <c r="M886" s="67"/>
      <c r="N886" s="67"/>
      <c r="O886" s="67"/>
      <c r="P886" s="67"/>
    </row>
    <row r="887" ht="22.5" customHeight="1">
      <c r="C887" s="67"/>
      <c r="D887" s="69"/>
      <c r="E887" s="67"/>
      <c r="F887" s="69"/>
      <c r="G887" s="67"/>
      <c r="H887" s="67"/>
      <c r="I887" s="67"/>
      <c r="J887" s="70"/>
      <c r="K887" s="67"/>
      <c r="L887" s="67"/>
      <c r="M887" s="67"/>
      <c r="N887" s="67"/>
      <c r="O887" s="67"/>
      <c r="P887" s="67"/>
    </row>
    <row r="888" ht="22.5" customHeight="1">
      <c r="C888" s="67"/>
      <c r="D888" s="69"/>
      <c r="E888" s="67"/>
      <c r="F888" s="69"/>
      <c r="G888" s="67"/>
      <c r="H888" s="67"/>
      <c r="I888" s="67"/>
      <c r="J888" s="70"/>
      <c r="K888" s="67"/>
      <c r="L888" s="67"/>
      <c r="M888" s="67"/>
      <c r="N888" s="67"/>
      <c r="O888" s="67"/>
      <c r="P888" s="67"/>
    </row>
    <row r="889" ht="22.5" customHeight="1">
      <c r="C889" s="67"/>
      <c r="D889" s="69"/>
      <c r="E889" s="67"/>
      <c r="F889" s="69"/>
      <c r="G889" s="67"/>
      <c r="H889" s="67"/>
      <c r="I889" s="67"/>
      <c r="J889" s="70"/>
      <c r="K889" s="67"/>
      <c r="L889" s="67"/>
      <c r="M889" s="67"/>
      <c r="N889" s="67"/>
      <c r="O889" s="67"/>
      <c r="P889" s="67"/>
    </row>
    <row r="890" ht="22.5" customHeight="1">
      <c r="C890" s="67"/>
      <c r="D890" s="69"/>
      <c r="E890" s="67"/>
      <c r="F890" s="69"/>
      <c r="G890" s="67"/>
      <c r="H890" s="67"/>
      <c r="I890" s="67"/>
      <c r="J890" s="70"/>
      <c r="K890" s="67"/>
      <c r="L890" s="67"/>
      <c r="M890" s="67"/>
      <c r="N890" s="67"/>
      <c r="O890" s="67"/>
      <c r="P890" s="67"/>
    </row>
    <row r="891" ht="22.5" customHeight="1">
      <c r="C891" s="67"/>
      <c r="D891" s="69"/>
      <c r="E891" s="67"/>
      <c r="F891" s="69"/>
      <c r="G891" s="67"/>
      <c r="H891" s="67"/>
      <c r="I891" s="67"/>
      <c r="J891" s="70"/>
      <c r="K891" s="67"/>
      <c r="L891" s="67"/>
      <c r="M891" s="67"/>
      <c r="N891" s="67"/>
      <c r="O891" s="67"/>
      <c r="P891" s="67"/>
    </row>
    <row r="892" ht="22.5" customHeight="1">
      <c r="C892" s="67"/>
      <c r="D892" s="69"/>
      <c r="E892" s="67"/>
      <c r="F892" s="69"/>
      <c r="G892" s="67"/>
      <c r="H892" s="67"/>
      <c r="I892" s="67"/>
      <c r="J892" s="70"/>
      <c r="K892" s="67"/>
      <c r="L892" s="67"/>
      <c r="M892" s="67"/>
      <c r="N892" s="67"/>
      <c r="O892" s="67"/>
      <c r="P892" s="67"/>
    </row>
    <row r="893" ht="22.5" customHeight="1">
      <c r="C893" s="67"/>
      <c r="D893" s="69"/>
      <c r="E893" s="67"/>
      <c r="F893" s="69"/>
      <c r="G893" s="67"/>
      <c r="H893" s="67"/>
      <c r="I893" s="67"/>
      <c r="J893" s="70"/>
      <c r="K893" s="67"/>
      <c r="L893" s="67"/>
      <c r="M893" s="67"/>
      <c r="N893" s="67"/>
      <c r="O893" s="67"/>
      <c r="P893" s="67"/>
    </row>
    <row r="894" ht="22.5" customHeight="1">
      <c r="C894" s="67"/>
      <c r="D894" s="69"/>
      <c r="E894" s="67"/>
      <c r="F894" s="69"/>
      <c r="G894" s="67"/>
      <c r="H894" s="67"/>
      <c r="I894" s="67"/>
      <c r="J894" s="70"/>
      <c r="K894" s="67"/>
      <c r="L894" s="67"/>
      <c r="M894" s="67"/>
      <c r="N894" s="67"/>
      <c r="O894" s="67"/>
      <c r="P894" s="67"/>
    </row>
    <row r="895" ht="22.5" customHeight="1">
      <c r="C895" s="67"/>
      <c r="D895" s="69"/>
      <c r="E895" s="67"/>
      <c r="F895" s="69"/>
      <c r="G895" s="67"/>
      <c r="H895" s="67"/>
      <c r="I895" s="67"/>
      <c r="J895" s="70"/>
      <c r="K895" s="67"/>
      <c r="L895" s="67"/>
      <c r="M895" s="67"/>
      <c r="N895" s="67"/>
      <c r="O895" s="67"/>
      <c r="P895" s="67"/>
    </row>
    <row r="896" ht="22.5" customHeight="1">
      <c r="C896" s="67"/>
      <c r="D896" s="69"/>
      <c r="E896" s="67"/>
      <c r="F896" s="69"/>
      <c r="G896" s="67"/>
      <c r="H896" s="67"/>
      <c r="I896" s="67"/>
      <c r="J896" s="70"/>
      <c r="K896" s="67"/>
      <c r="L896" s="67"/>
      <c r="M896" s="67"/>
      <c r="N896" s="67"/>
      <c r="O896" s="67"/>
      <c r="P896" s="67"/>
    </row>
    <row r="897" ht="22.5" customHeight="1">
      <c r="C897" s="67"/>
      <c r="D897" s="69"/>
      <c r="E897" s="67"/>
      <c r="F897" s="69"/>
      <c r="G897" s="67"/>
      <c r="H897" s="67"/>
      <c r="I897" s="67"/>
      <c r="J897" s="70"/>
      <c r="K897" s="67"/>
      <c r="L897" s="67"/>
      <c r="M897" s="67"/>
      <c r="N897" s="67"/>
      <c r="O897" s="67"/>
      <c r="P897" s="67"/>
    </row>
    <row r="898" ht="22.5" customHeight="1">
      <c r="C898" s="67"/>
      <c r="D898" s="69"/>
      <c r="E898" s="67"/>
      <c r="F898" s="69"/>
      <c r="G898" s="67"/>
      <c r="H898" s="67"/>
      <c r="I898" s="67"/>
      <c r="J898" s="70"/>
      <c r="K898" s="67"/>
      <c r="L898" s="67"/>
      <c r="M898" s="67"/>
      <c r="N898" s="67"/>
      <c r="O898" s="67"/>
      <c r="P898" s="67"/>
    </row>
    <row r="899" ht="22.5" customHeight="1">
      <c r="C899" s="67"/>
      <c r="D899" s="69"/>
      <c r="E899" s="67"/>
      <c r="F899" s="69"/>
      <c r="G899" s="67"/>
      <c r="H899" s="67"/>
      <c r="I899" s="67"/>
      <c r="J899" s="70"/>
      <c r="K899" s="67"/>
      <c r="L899" s="67"/>
      <c r="M899" s="67"/>
      <c r="N899" s="67"/>
      <c r="O899" s="67"/>
      <c r="P899" s="67"/>
    </row>
    <row r="900" ht="22.5" customHeight="1">
      <c r="C900" s="67"/>
      <c r="D900" s="69"/>
      <c r="E900" s="67"/>
      <c r="F900" s="69"/>
      <c r="G900" s="67"/>
      <c r="H900" s="67"/>
      <c r="I900" s="67"/>
      <c r="J900" s="70"/>
      <c r="K900" s="67"/>
      <c r="L900" s="67"/>
      <c r="M900" s="67"/>
      <c r="N900" s="67"/>
      <c r="O900" s="67"/>
      <c r="P900" s="67"/>
    </row>
    <row r="901" ht="22.5" customHeight="1">
      <c r="C901" s="67"/>
      <c r="D901" s="69"/>
      <c r="E901" s="67"/>
      <c r="F901" s="69"/>
      <c r="G901" s="67"/>
      <c r="H901" s="67"/>
      <c r="I901" s="67"/>
      <c r="J901" s="70"/>
      <c r="K901" s="67"/>
      <c r="L901" s="67"/>
      <c r="M901" s="67"/>
      <c r="N901" s="67"/>
      <c r="O901" s="67"/>
      <c r="P901" s="67"/>
    </row>
    <row r="902" ht="22.5" customHeight="1">
      <c r="C902" s="67"/>
      <c r="D902" s="69"/>
      <c r="E902" s="67"/>
      <c r="F902" s="69"/>
      <c r="G902" s="67"/>
      <c r="H902" s="67"/>
      <c r="I902" s="67"/>
      <c r="J902" s="70"/>
      <c r="K902" s="67"/>
      <c r="L902" s="67"/>
      <c r="M902" s="67"/>
      <c r="N902" s="67"/>
      <c r="O902" s="67"/>
      <c r="P902" s="67"/>
    </row>
    <row r="903" ht="22.5" customHeight="1">
      <c r="C903" s="67"/>
      <c r="D903" s="69"/>
      <c r="E903" s="67"/>
      <c r="F903" s="69"/>
      <c r="G903" s="67"/>
      <c r="H903" s="67"/>
      <c r="I903" s="67"/>
      <c r="J903" s="70"/>
      <c r="K903" s="67"/>
      <c r="L903" s="67"/>
      <c r="M903" s="67"/>
      <c r="N903" s="67"/>
      <c r="O903" s="67"/>
      <c r="P903" s="67"/>
    </row>
    <row r="904" ht="22.5" customHeight="1">
      <c r="C904" s="67"/>
      <c r="D904" s="69"/>
      <c r="E904" s="67"/>
      <c r="F904" s="69"/>
      <c r="G904" s="67"/>
      <c r="H904" s="67"/>
      <c r="I904" s="67"/>
      <c r="J904" s="70"/>
      <c r="K904" s="67"/>
      <c r="L904" s="67"/>
      <c r="M904" s="67"/>
      <c r="N904" s="67"/>
      <c r="O904" s="67"/>
      <c r="P904" s="67"/>
    </row>
    <row r="905" ht="22.5" customHeight="1">
      <c r="C905" s="67"/>
      <c r="D905" s="69"/>
      <c r="E905" s="67"/>
      <c r="F905" s="69"/>
      <c r="G905" s="67"/>
      <c r="H905" s="67"/>
      <c r="I905" s="67"/>
      <c r="J905" s="70"/>
      <c r="K905" s="67"/>
      <c r="L905" s="67"/>
      <c r="M905" s="67"/>
      <c r="N905" s="67"/>
      <c r="O905" s="67"/>
      <c r="P905" s="67"/>
    </row>
    <row r="906" ht="22.5" customHeight="1">
      <c r="C906" s="67"/>
      <c r="D906" s="69"/>
      <c r="E906" s="67"/>
      <c r="F906" s="69"/>
      <c r="G906" s="67"/>
      <c r="H906" s="67"/>
      <c r="I906" s="67"/>
      <c r="J906" s="70"/>
      <c r="K906" s="67"/>
      <c r="L906" s="67"/>
      <c r="M906" s="67"/>
      <c r="N906" s="67"/>
      <c r="O906" s="67"/>
      <c r="P906" s="67"/>
    </row>
    <row r="907" ht="22.5" customHeight="1">
      <c r="C907" s="67"/>
      <c r="D907" s="69"/>
      <c r="E907" s="67"/>
      <c r="F907" s="69"/>
      <c r="G907" s="67"/>
      <c r="H907" s="67"/>
      <c r="I907" s="67"/>
      <c r="J907" s="70"/>
      <c r="K907" s="67"/>
      <c r="L907" s="67"/>
      <c r="M907" s="67"/>
      <c r="N907" s="67"/>
      <c r="O907" s="67"/>
      <c r="P907" s="67"/>
    </row>
    <row r="908" ht="22.5" customHeight="1">
      <c r="C908" s="67"/>
      <c r="D908" s="69"/>
      <c r="E908" s="67"/>
      <c r="F908" s="69"/>
      <c r="G908" s="67"/>
      <c r="H908" s="67"/>
      <c r="I908" s="67"/>
      <c r="J908" s="70"/>
      <c r="K908" s="67"/>
      <c r="L908" s="67"/>
      <c r="M908" s="67"/>
      <c r="N908" s="67"/>
      <c r="O908" s="67"/>
      <c r="P908" s="67"/>
    </row>
    <row r="909" ht="22.5" customHeight="1">
      <c r="C909" s="67"/>
      <c r="D909" s="69"/>
      <c r="E909" s="67"/>
      <c r="F909" s="69"/>
      <c r="G909" s="67"/>
      <c r="H909" s="67"/>
      <c r="I909" s="67"/>
      <c r="J909" s="70"/>
      <c r="K909" s="67"/>
      <c r="L909" s="67"/>
      <c r="M909" s="67"/>
      <c r="N909" s="67"/>
      <c r="O909" s="67"/>
      <c r="P909" s="67"/>
    </row>
    <row r="910" ht="22.5" customHeight="1">
      <c r="C910" s="67"/>
      <c r="D910" s="69"/>
      <c r="E910" s="67"/>
      <c r="F910" s="69"/>
      <c r="G910" s="67"/>
      <c r="H910" s="67"/>
      <c r="I910" s="67"/>
      <c r="J910" s="70"/>
      <c r="K910" s="67"/>
      <c r="L910" s="67"/>
      <c r="M910" s="67"/>
      <c r="N910" s="67"/>
      <c r="O910" s="67"/>
      <c r="P910" s="67"/>
    </row>
    <row r="911" ht="22.5" customHeight="1">
      <c r="C911" s="67"/>
      <c r="D911" s="69"/>
      <c r="E911" s="67"/>
      <c r="F911" s="69"/>
      <c r="G911" s="67"/>
      <c r="H911" s="67"/>
      <c r="I911" s="67"/>
      <c r="J911" s="70"/>
      <c r="K911" s="67"/>
      <c r="L911" s="67"/>
      <c r="M911" s="67"/>
      <c r="N911" s="67"/>
      <c r="O911" s="67"/>
      <c r="P911" s="67"/>
    </row>
    <row r="912" ht="22.5" customHeight="1">
      <c r="C912" s="67"/>
      <c r="D912" s="69"/>
      <c r="E912" s="67"/>
      <c r="F912" s="69"/>
      <c r="G912" s="67"/>
      <c r="H912" s="67"/>
      <c r="I912" s="67"/>
      <c r="J912" s="70"/>
      <c r="K912" s="67"/>
      <c r="L912" s="67"/>
      <c r="M912" s="67"/>
      <c r="N912" s="67"/>
      <c r="O912" s="67"/>
      <c r="P912" s="67"/>
    </row>
    <row r="913" ht="22.5" customHeight="1">
      <c r="C913" s="67"/>
      <c r="D913" s="69"/>
      <c r="E913" s="67"/>
      <c r="F913" s="69"/>
      <c r="G913" s="67"/>
      <c r="H913" s="67"/>
      <c r="I913" s="67"/>
      <c r="J913" s="70"/>
      <c r="K913" s="67"/>
      <c r="L913" s="67"/>
      <c r="M913" s="67"/>
      <c r="N913" s="67"/>
      <c r="O913" s="67"/>
      <c r="P913" s="67"/>
    </row>
    <row r="914" ht="22.5" customHeight="1">
      <c r="C914" s="67"/>
      <c r="D914" s="69"/>
      <c r="E914" s="67"/>
      <c r="F914" s="69"/>
      <c r="G914" s="67"/>
      <c r="H914" s="67"/>
      <c r="I914" s="67"/>
      <c r="J914" s="70"/>
      <c r="K914" s="67"/>
      <c r="L914" s="67"/>
      <c r="M914" s="67"/>
      <c r="N914" s="67"/>
      <c r="O914" s="67"/>
      <c r="P914" s="67"/>
    </row>
    <row r="915" ht="22.5" customHeight="1">
      <c r="C915" s="67"/>
      <c r="D915" s="69"/>
      <c r="E915" s="67"/>
      <c r="F915" s="69"/>
      <c r="G915" s="67"/>
      <c r="H915" s="67"/>
      <c r="I915" s="67"/>
      <c r="J915" s="70"/>
      <c r="K915" s="67"/>
      <c r="L915" s="67"/>
      <c r="M915" s="67"/>
      <c r="N915" s="67"/>
      <c r="O915" s="67"/>
      <c r="P915" s="67"/>
    </row>
    <row r="916" ht="22.5" customHeight="1">
      <c r="C916" s="67"/>
      <c r="D916" s="69"/>
      <c r="E916" s="67"/>
      <c r="F916" s="69"/>
      <c r="G916" s="67"/>
      <c r="H916" s="67"/>
      <c r="I916" s="67"/>
      <c r="J916" s="70"/>
      <c r="K916" s="67"/>
      <c r="L916" s="67"/>
      <c r="M916" s="67"/>
      <c r="N916" s="67"/>
      <c r="O916" s="67"/>
      <c r="P916" s="67"/>
    </row>
    <row r="917" ht="22.5" customHeight="1">
      <c r="C917" s="67"/>
      <c r="D917" s="69"/>
      <c r="E917" s="67"/>
      <c r="F917" s="69"/>
      <c r="G917" s="67"/>
      <c r="H917" s="67"/>
      <c r="I917" s="67"/>
      <c r="J917" s="70"/>
      <c r="K917" s="67"/>
      <c r="L917" s="67"/>
      <c r="M917" s="67"/>
      <c r="N917" s="67"/>
      <c r="O917" s="67"/>
      <c r="P917" s="67"/>
    </row>
    <row r="918" ht="22.5" customHeight="1">
      <c r="C918" s="67"/>
      <c r="D918" s="69"/>
      <c r="E918" s="67"/>
      <c r="F918" s="69"/>
      <c r="G918" s="67"/>
      <c r="H918" s="67"/>
      <c r="I918" s="67"/>
      <c r="J918" s="70"/>
      <c r="K918" s="67"/>
      <c r="L918" s="67"/>
      <c r="M918" s="67"/>
      <c r="N918" s="67"/>
      <c r="O918" s="67"/>
      <c r="P918" s="67"/>
    </row>
    <row r="919" ht="22.5" customHeight="1">
      <c r="C919" s="67"/>
      <c r="D919" s="69"/>
      <c r="E919" s="67"/>
      <c r="F919" s="69"/>
      <c r="G919" s="67"/>
      <c r="H919" s="67"/>
      <c r="I919" s="67"/>
      <c r="J919" s="70"/>
      <c r="K919" s="67"/>
      <c r="L919" s="67"/>
      <c r="M919" s="67"/>
      <c r="N919" s="67"/>
      <c r="O919" s="67"/>
      <c r="P919" s="67"/>
    </row>
    <row r="920" ht="22.5" customHeight="1">
      <c r="C920" s="67"/>
      <c r="D920" s="69"/>
      <c r="E920" s="67"/>
      <c r="F920" s="69"/>
      <c r="G920" s="67"/>
      <c r="H920" s="67"/>
      <c r="I920" s="67"/>
      <c r="J920" s="70"/>
      <c r="K920" s="67"/>
      <c r="L920" s="67"/>
      <c r="M920" s="67"/>
      <c r="N920" s="67"/>
      <c r="O920" s="67"/>
      <c r="P920" s="67"/>
    </row>
    <row r="921" ht="22.5" customHeight="1">
      <c r="C921" s="67"/>
      <c r="D921" s="69"/>
      <c r="E921" s="67"/>
      <c r="F921" s="69"/>
      <c r="G921" s="67"/>
      <c r="H921" s="67"/>
      <c r="I921" s="67"/>
      <c r="J921" s="70"/>
      <c r="K921" s="67"/>
      <c r="L921" s="67"/>
      <c r="M921" s="67"/>
      <c r="N921" s="67"/>
      <c r="O921" s="67"/>
      <c r="P921" s="67"/>
    </row>
    <row r="922" ht="22.5" customHeight="1">
      <c r="C922" s="67"/>
      <c r="D922" s="69"/>
      <c r="E922" s="67"/>
      <c r="F922" s="69"/>
      <c r="G922" s="67"/>
      <c r="H922" s="67"/>
      <c r="I922" s="67"/>
      <c r="J922" s="70"/>
      <c r="K922" s="67"/>
      <c r="L922" s="67"/>
      <c r="M922" s="67"/>
      <c r="N922" s="67"/>
      <c r="O922" s="67"/>
      <c r="P922" s="67"/>
    </row>
    <row r="923" ht="22.5" customHeight="1">
      <c r="C923" s="67"/>
      <c r="D923" s="69"/>
      <c r="E923" s="67"/>
      <c r="F923" s="69"/>
      <c r="G923" s="67"/>
      <c r="H923" s="67"/>
      <c r="I923" s="67"/>
      <c r="J923" s="70"/>
      <c r="K923" s="67"/>
      <c r="L923" s="67"/>
      <c r="M923" s="67"/>
      <c r="N923" s="67"/>
      <c r="O923" s="67"/>
      <c r="P923" s="67"/>
    </row>
    <row r="924" ht="22.5" customHeight="1">
      <c r="C924" s="67"/>
      <c r="D924" s="69"/>
      <c r="E924" s="67"/>
      <c r="F924" s="69"/>
      <c r="G924" s="67"/>
      <c r="H924" s="67"/>
      <c r="I924" s="67"/>
      <c r="J924" s="70"/>
      <c r="K924" s="67"/>
      <c r="L924" s="67"/>
      <c r="M924" s="67"/>
      <c r="N924" s="67"/>
      <c r="O924" s="67"/>
      <c r="P924" s="67"/>
    </row>
    <row r="925" ht="22.5" customHeight="1">
      <c r="C925" s="67"/>
      <c r="D925" s="69"/>
      <c r="E925" s="67"/>
      <c r="F925" s="69"/>
      <c r="G925" s="67"/>
      <c r="H925" s="67"/>
      <c r="I925" s="67"/>
      <c r="J925" s="70"/>
      <c r="K925" s="67"/>
      <c r="L925" s="67"/>
      <c r="M925" s="67"/>
      <c r="N925" s="67"/>
      <c r="O925" s="67"/>
      <c r="P925" s="67"/>
    </row>
    <row r="926" ht="22.5" customHeight="1">
      <c r="C926" s="67"/>
      <c r="D926" s="69"/>
      <c r="E926" s="67"/>
      <c r="F926" s="69"/>
      <c r="G926" s="67"/>
      <c r="H926" s="67"/>
      <c r="I926" s="67"/>
      <c r="J926" s="70"/>
      <c r="K926" s="67"/>
      <c r="L926" s="67"/>
      <c r="M926" s="67"/>
      <c r="N926" s="67"/>
      <c r="O926" s="67"/>
      <c r="P926" s="67"/>
    </row>
    <row r="927" ht="22.5" customHeight="1">
      <c r="C927" s="67"/>
      <c r="D927" s="69"/>
      <c r="E927" s="67"/>
      <c r="F927" s="69"/>
      <c r="G927" s="67"/>
      <c r="H927" s="67"/>
      <c r="I927" s="67"/>
      <c r="J927" s="70"/>
      <c r="K927" s="67"/>
      <c r="L927" s="67"/>
      <c r="M927" s="67"/>
      <c r="N927" s="67"/>
      <c r="O927" s="67"/>
      <c r="P927" s="67"/>
    </row>
    <row r="928" ht="22.5" customHeight="1">
      <c r="C928" s="67"/>
      <c r="D928" s="69"/>
      <c r="E928" s="67"/>
      <c r="F928" s="69"/>
      <c r="G928" s="67"/>
      <c r="H928" s="67"/>
      <c r="I928" s="67"/>
      <c r="J928" s="70"/>
      <c r="K928" s="67"/>
      <c r="L928" s="67"/>
      <c r="M928" s="67"/>
      <c r="N928" s="67"/>
      <c r="O928" s="67"/>
      <c r="P928" s="67"/>
    </row>
    <row r="929" ht="22.5" customHeight="1">
      <c r="C929" s="67"/>
      <c r="D929" s="69"/>
      <c r="E929" s="67"/>
      <c r="F929" s="69"/>
      <c r="G929" s="67"/>
      <c r="H929" s="67"/>
      <c r="I929" s="67"/>
      <c r="J929" s="70"/>
      <c r="K929" s="67"/>
      <c r="L929" s="67"/>
      <c r="M929" s="67"/>
      <c r="N929" s="67"/>
      <c r="O929" s="67"/>
      <c r="P929" s="67"/>
    </row>
    <row r="930" ht="22.5" customHeight="1">
      <c r="C930" s="67"/>
      <c r="D930" s="69"/>
      <c r="E930" s="67"/>
      <c r="F930" s="69"/>
      <c r="G930" s="67"/>
      <c r="H930" s="67"/>
      <c r="I930" s="67"/>
      <c r="J930" s="70"/>
      <c r="K930" s="67"/>
      <c r="L930" s="67"/>
      <c r="M930" s="67"/>
      <c r="N930" s="67"/>
      <c r="O930" s="67"/>
      <c r="P930" s="67"/>
    </row>
    <row r="931" ht="22.5" customHeight="1">
      <c r="C931" s="67"/>
      <c r="D931" s="69"/>
      <c r="E931" s="67"/>
      <c r="F931" s="69"/>
      <c r="G931" s="67"/>
      <c r="H931" s="67"/>
      <c r="I931" s="67"/>
      <c r="J931" s="70"/>
      <c r="K931" s="67"/>
      <c r="L931" s="67"/>
      <c r="M931" s="67"/>
      <c r="N931" s="67"/>
      <c r="O931" s="67"/>
      <c r="P931" s="67"/>
    </row>
    <row r="932" ht="22.5" customHeight="1">
      <c r="C932" s="67"/>
      <c r="D932" s="69"/>
      <c r="E932" s="67"/>
      <c r="F932" s="69"/>
      <c r="G932" s="67"/>
      <c r="H932" s="67"/>
      <c r="I932" s="67"/>
      <c r="J932" s="70"/>
      <c r="K932" s="67"/>
      <c r="L932" s="67"/>
      <c r="M932" s="67"/>
      <c r="N932" s="67"/>
      <c r="O932" s="67"/>
      <c r="P932" s="67"/>
    </row>
    <row r="933" ht="22.5" customHeight="1">
      <c r="C933" s="67"/>
      <c r="D933" s="69"/>
      <c r="E933" s="67"/>
      <c r="F933" s="69"/>
      <c r="G933" s="67"/>
      <c r="H933" s="67"/>
      <c r="I933" s="67"/>
      <c r="J933" s="70"/>
      <c r="K933" s="67"/>
      <c r="L933" s="67"/>
      <c r="M933" s="67"/>
      <c r="N933" s="67"/>
      <c r="O933" s="67"/>
      <c r="P933" s="67"/>
    </row>
    <row r="934" ht="22.5" customHeight="1">
      <c r="C934" s="67"/>
      <c r="D934" s="69"/>
      <c r="E934" s="67"/>
      <c r="F934" s="69"/>
      <c r="G934" s="67"/>
      <c r="H934" s="67"/>
      <c r="I934" s="67"/>
      <c r="J934" s="70"/>
      <c r="K934" s="67"/>
      <c r="L934" s="67"/>
      <c r="M934" s="67"/>
      <c r="N934" s="67"/>
      <c r="O934" s="67"/>
      <c r="P934" s="67"/>
    </row>
    <row r="935" ht="22.5" customHeight="1">
      <c r="C935" s="67"/>
      <c r="D935" s="69"/>
      <c r="E935" s="67"/>
      <c r="F935" s="69"/>
      <c r="G935" s="67"/>
      <c r="H935" s="67"/>
      <c r="I935" s="67"/>
      <c r="J935" s="70"/>
      <c r="K935" s="67"/>
      <c r="L935" s="67"/>
      <c r="M935" s="67"/>
      <c r="N935" s="67"/>
      <c r="O935" s="67"/>
      <c r="P935" s="67"/>
    </row>
    <row r="936" ht="22.5" customHeight="1">
      <c r="C936" s="67"/>
      <c r="D936" s="69"/>
      <c r="E936" s="67"/>
      <c r="F936" s="69"/>
      <c r="G936" s="67"/>
      <c r="H936" s="67"/>
      <c r="I936" s="67"/>
      <c r="J936" s="70"/>
      <c r="K936" s="67"/>
      <c r="L936" s="67"/>
      <c r="M936" s="67"/>
      <c r="N936" s="67"/>
      <c r="O936" s="67"/>
      <c r="P936" s="67"/>
    </row>
    <row r="937" ht="22.5" customHeight="1">
      <c r="C937" s="67"/>
      <c r="D937" s="69"/>
      <c r="E937" s="67"/>
      <c r="F937" s="69"/>
      <c r="G937" s="67"/>
      <c r="H937" s="67"/>
      <c r="I937" s="67"/>
      <c r="J937" s="70"/>
      <c r="K937" s="67"/>
      <c r="L937" s="67"/>
      <c r="M937" s="67"/>
      <c r="N937" s="67"/>
      <c r="O937" s="67"/>
      <c r="P937" s="67"/>
    </row>
    <row r="938" ht="22.5" customHeight="1">
      <c r="C938" s="67"/>
      <c r="D938" s="69"/>
      <c r="E938" s="67"/>
      <c r="F938" s="69"/>
      <c r="G938" s="67"/>
      <c r="H938" s="67"/>
      <c r="I938" s="67"/>
      <c r="J938" s="70"/>
      <c r="K938" s="67"/>
      <c r="L938" s="67"/>
      <c r="M938" s="67"/>
      <c r="N938" s="67"/>
      <c r="O938" s="67"/>
      <c r="P938" s="67"/>
    </row>
    <row r="939" ht="22.5" customHeight="1">
      <c r="C939" s="67"/>
      <c r="D939" s="69"/>
      <c r="E939" s="67"/>
      <c r="F939" s="69"/>
      <c r="G939" s="67"/>
      <c r="H939" s="67"/>
      <c r="I939" s="67"/>
      <c r="J939" s="70"/>
      <c r="K939" s="67"/>
      <c r="L939" s="67"/>
      <c r="M939" s="67"/>
      <c r="N939" s="67"/>
      <c r="O939" s="67"/>
      <c r="P939" s="67"/>
    </row>
    <row r="940" ht="22.5" customHeight="1">
      <c r="C940" s="67"/>
      <c r="D940" s="69"/>
      <c r="E940" s="67"/>
      <c r="F940" s="69"/>
      <c r="G940" s="67"/>
      <c r="H940" s="67"/>
      <c r="I940" s="67"/>
      <c r="J940" s="70"/>
      <c r="K940" s="67"/>
      <c r="L940" s="67"/>
      <c r="M940" s="67"/>
      <c r="N940" s="67"/>
      <c r="O940" s="67"/>
      <c r="P940" s="67"/>
    </row>
    <row r="941" ht="22.5" customHeight="1">
      <c r="C941" s="67"/>
      <c r="D941" s="69"/>
      <c r="E941" s="67"/>
      <c r="F941" s="69"/>
      <c r="G941" s="67"/>
      <c r="H941" s="67"/>
      <c r="I941" s="67"/>
      <c r="J941" s="70"/>
      <c r="K941" s="67"/>
      <c r="L941" s="67"/>
      <c r="M941" s="67"/>
      <c r="N941" s="67"/>
      <c r="O941" s="67"/>
      <c r="P941" s="67"/>
    </row>
    <row r="942" ht="22.5" customHeight="1">
      <c r="C942" s="67"/>
      <c r="D942" s="69"/>
      <c r="E942" s="67"/>
      <c r="F942" s="69"/>
      <c r="G942" s="67"/>
      <c r="H942" s="67"/>
      <c r="I942" s="67"/>
      <c r="J942" s="70"/>
      <c r="K942" s="67"/>
      <c r="L942" s="67"/>
      <c r="M942" s="67"/>
      <c r="N942" s="67"/>
      <c r="O942" s="67"/>
      <c r="P942" s="67"/>
    </row>
    <row r="943" ht="22.5" customHeight="1">
      <c r="C943" s="67"/>
      <c r="D943" s="69"/>
      <c r="E943" s="67"/>
      <c r="F943" s="69"/>
      <c r="G943" s="67"/>
      <c r="H943" s="67"/>
      <c r="I943" s="67"/>
      <c r="J943" s="70"/>
      <c r="K943" s="67"/>
      <c r="L943" s="67"/>
      <c r="M943" s="67"/>
      <c r="N943" s="67"/>
      <c r="O943" s="67"/>
      <c r="P943" s="67"/>
    </row>
    <row r="944" ht="22.5" customHeight="1">
      <c r="C944" s="67"/>
      <c r="D944" s="69"/>
      <c r="E944" s="67"/>
      <c r="F944" s="69"/>
      <c r="G944" s="67"/>
      <c r="H944" s="67"/>
      <c r="I944" s="67"/>
      <c r="J944" s="70"/>
      <c r="K944" s="67"/>
      <c r="L944" s="67"/>
      <c r="M944" s="67"/>
      <c r="N944" s="67"/>
      <c r="O944" s="67"/>
      <c r="P944" s="67"/>
    </row>
    <row r="945" ht="22.5" customHeight="1">
      <c r="C945" s="67"/>
      <c r="D945" s="69"/>
      <c r="E945" s="67"/>
      <c r="F945" s="69"/>
      <c r="G945" s="67"/>
      <c r="H945" s="67"/>
      <c r="I945" s="67"/>
      <c r="J945" s="70"/>
      <c r="K945" s="67"/>
      <c r="L945" s="67"/>
      <c r="M945" s="67"/>
      <c r="N945" s="67"/>
      <c r="O945" s="67"/>
      <c r="P945" s="67"/>
    </row>
    <row r="946" ht="22.5" customHeight="1">
      <c r="C946" s="67"/>
      <c r="D946" s="69"/>
      <c r="E946" s="67"/>
      <c r="F946" s="69"/>
      <c r="G946" s="67"/>
      <c r="H946" s="67"/>
      <c r="I946" s="67"/>
      <c r="J946" s="70"/>
      <c r="K946" s="67"/>
      <c r="L946" s="67"/>
      <c r="M946" s="67"/>
      <c r="N946" s="67"/>
      <c r="O946" s="67"/>
      <c r="P946" s="67"/>
    </row>
    <row r="947" ht="22.5" customHeight="1">
      <c r="C947" s="67"/>
      <c r="D947" s="69"/>
      <c r="E947" s="67"/>
      <c r="F947" s="69"/>
      <c r="G947" s="67"/>
      <c r="H947" s="67"/>
      <c r="I947" s="67"/>
      <c r="J947" s="70"/>
      <c r="K947" s="67"/>
      <c r="L947" s="67"/>
      <c r="M947" s="67"/>
      <c r="N947" s="67"/>
      <c r="O947" s="67"/>
      <c r="P947" s="67"/>
    </row>
    <row r="948" ht="22.5" customHeight="1">
      <c r="C948" s="67"/>
      <c r="D948" s="69"/>
      <c r="E948" s="67"/>
      <c r="F948" s="69"/>
      <c r="G948" s="67"/>
      <c r="H948" s="67"/>
      <c r="I948" s="67"/>
      <c r="J948" s="70"/>
      <c r="K948" s="67"/>
      <c r="L948" s="67"/>
      <c r="M948" s="67"/>
      <c r="N948" s="67"/>
      <c r="O948" s="67"/>
      <c r="P948" s="67"/>
    </row>
    <row r="949" ht="22.5" customHeight="1">
      <c r="C949" s="67"/>
      <c r="D949" s="69"/>
      <c r="E949" s="67"/>
      <c r="F949" s="69"/>
      <c r="G949" s="67"/>
      <c r="H949" s="67"/>
      <c r="I949" s="67"/>
      <c r="J949" s="70"/>
      <c r="K949" s="67"/>
      <c r="L949" s="67"/>
      <c r="M949" s="67"/>
      <c r="N949" s="67"/>
      <c r="O949" s="67"/>
      <c r="P949" s="67"/>
    </row>
    <row r="950" ht="22.5" customHeight="1">
      <c r="C950" s="67"/>
      <c r="D950" s="69"/>
      <c r="E950" s="67"/>
      <c r="F950" s="69"/>
      <c r="G950" s="67"/>
      <c r="H950" s="67"/>
      <c r="I950" s="67"/>
      <c r="J950" s="70"/>
      <c r="K950" s="67"/>
      <c r="L950" s="67"/>
      <c r="M950" s="67"/>
      <c r="N950" s="67"/>
      <c r="O950" s="67"/>
      <c r="P950" s="67"/>
    </row>
    <row r="951" ht="22.5" customHeight="1">
      <c r="C951" s="67"/>
      <c r="D951" s="69"/>
      <c r="E951" s="67"/>
      <c r="F951" s="69"/>
      <c r="G951" s="67"/>
      <c r="H951" s="67"/>
      <c r="I951" s="67"/>
      <c r="J951" s="70"/>
      <c r="K951" s="67"/>
      <c r="L951" s="67"/>
      <c r="M951" s="67"/>
      <c r="N951" s="67"/>
      <c r="O951" s="67"/>
      <c r="P951" s="67"/>
    </row>
    <row r="952" ht="22.5" customHeight="1">
      <c r="C952" s="67"/>
      <c r="D952" s="69"/>
      <c r="E952" s="67"/>
      <c r="F952" s="69"/>
      <c r="G952" s="67"/>
      <c r="H952" s="67"/>
      <c r="I952" s="67"/>
      <c r="J952" s="70"/>
      <c r="K952" s="67"/>
      <c r="L952" s="67"/>
      <c r="M952" s="67"/>
      <c r="N952" s="67"/>
      <c r="O952" s="67"/>
      <c r="P952" s="67"/>
    </row>
    <row r="953" ht="22.5" customHeight="1">
      <c r="C953" s="67"/>
      <c r="D953" s="69"/>
      <c r="E953" s="67"/>
      <c r="F953" s="69"/>
      <c r="G953" s="67"/>
      <c r="H953" s="67"/>
      <c r="I953" s="67"/>
      <c r="J953" s="70"/>
      <c r="K953" s="67"/>
      <c r="L953" s="67"/>
      <c r="M953" s="67"/>
      <c r="N953" s="67"/>
      <c r="O953" s="67"/>
      <c r="P953" s="67"/>
    </row>
    <row r="954" ht="22.5" customHeight="1">
      <c r="C954" s="67"/>
      <c r="D954" s="69"/>
      <c r="E954" s="67"/>
      <c r="F954" s="69"/>
      <c r="G954" s="67"/>
      <c r="H954" s="67"/>
      <c r="I954" s="67"/>
      <c r="J954" s="70"/>
      <c r="K954" s="67"/>
      <c r="L954" s="67"/>
      <c r="M954" s="67"/>
      <c r="N954" s="67"/>
      <c r="O954" s="67"/>
      <c r="P954" s="67"/>
    </row>
    <row r="955" ht="22.5" customHeight="1">
      <c r="C955" s="67"/>
      <c r="D955" s="69"/>
      <c r="E955" s="67"/>
      <c r="F955" s="69"/>
      <c r="G955" s="67"/>
      <c r="H955" s="67"/>
      <c r="I955" s="67"/>
      <c r="J955" s="70"/>
      <c r="K955" s="67"/>
      <c r="L955" s="67"/>
      <c r="M955" s="67"/>
      <c r="N955" s="67"/>
      <c r="O955" s="67"/>
      <c r="P955" s="67"/>
    </row>
    <row r="956" ht="22.5" customHeight="1">
      <c r="C956" s="67"/>
      <c r="D956" s="69"/>
      <c r="E956" s="67"/>
      <c r="F956" s="69"/>
      <c r="G956" s="67"/>
      <c r="H956" s="67"/>
      <c r="I956" s="67"/>
      <c r="J956" s="70"/>
      <c r="K956" s="67"/>
      <c r="L956" s="67"/>
      <c r="M956" s="67"/>
      <c r="N956" s="67"/>
      <c r="O956" s="67"/>
      <c r="P956" s="67"/>
    </row>
    <row r="957" ht="22.5" customHeight="1">
      <c r="C957" s="67"/>
      <c r="D957" s="69"/>
      <c r="E957" s="67"/>
      <c r="F957" s="69"/>
      <c r="G957" s="67"/>
      <c r="H957" s="67"/>
      <c r="I957" s="67"/>
      <c r="J957" s="70"/>
      <c r="K957" s="67"/>
      <c r="L957" s="67"/>
      <c r="M957" s="67"/>
      <c r="N957" s="67"/>
      <c r="O957" s="67"/>
      <c r="P957" s="67"/>
    </row>
    <row r="958" ht="22.5" customHeight="1">
      <c r="C958" s="67"/>
      <c r="D958" s="69"/>
      <c r="E958" s="67"/>
      <c r="F958" s="69"/>
      <c r="G958" s="67"/>
      <c r="H958" s="67"/>
      <c r="I958" s="67"/>
      <c r="J958" s="70"/>
      <c r="K958" s="67"/>
      <c r="L958" s="67"/>
      <c r="M958" s="67"/>
      <c r="N958" s="67"/>
      <c r="O958" s="67"/>
      <c r="P958" s="67"/>
    </row>
    <row r="959" ht="22.5" customHeight="1">
      <c r="C959" s="67"/>
      <c r="D959" s="69"/>
      <c r="E959" s="67"/>
      <c r="F959" s="69"/>
      <c r="G959" s="67"/>
      <c r="H959" s="67"/>
      <c r="I959" s="67"/>
      <c r="J959" s="70"/>
      <c r="K959" s="67"/>
      <c r="L959" s="67"/>
      <c r="M959" s="67"/>
      <c r="N959" s="67"/>
      <c r="O959" s="67"/>
      <c r="P959" s="67"/>
    </row>
    <row r="960" ht="22.5" customHeight="1">
      <c r="C960" s="67"/>
      <c r="D960" s="69"/>
      <c r="E960" s="67"/>
      <c r="F960" s="69"/>
      <c r="G960" s="67"/>
      <c r="H960" s="67"/>
      <c r="I960" s="67"/>
      <c r="J960" s="70"/>
      <c r="K960" s="67"/>
      <c r="L960" s="67"/>
      <c r="M960" s="67"/>
      <c r="N960" s="67"/>
      <c r="O960" s="67"/>
      <c r="P960" s="67"/>
    </row>
    <row r="961" ht="22.5" customHeight="1">
      <c r="C961" s="67"/>
      <c r="D961" s="69"/>
      <c r="E961" s="67"/>
      <c r="F961" s="69"/>
      <c r="G961" s="67"/>
      <c r="H961" s="67"/>
      <c r="I961" s="67"/>
      <c r="J961" s="70"/>
      <c r="K961" s="67"/>
      <c r="L961" s="67"/>
      <c r="M961" s="67"/>
      <c r="N961" s="67"/>
      <c r="O961" s="67"/>
      <c r="P961" s="67"/>
    </row>
    <row r="962" ht="22.5" customHeight="1">
      <c r="C962" s="67"/>
      <c r="D962" s="69"/>
      <c r="E962" s="67"/>
      <c r="F962" s="69"/>
      <c r="G962" s="67"/>
      <c r="H962" s="67"/>
      <c r="I962" s="67"/>
      <c r="J962" s="70"/>
      <c r="K962" s="67"/>
      <c r="L962" s="67"/>
      <c r="M962" s="67"/>
      <c r="N962" s="67"/>
      <c r="O962" s="67"/>
      <c r="P962" s="67"/>
    </row>
    <row r="963" ht="22.5" customHeight="1">
      <c r="C963" s="67"/>
      <c r="D963" s="69"/>
      <c r="E963" s="67"/>
      <c r="F963" s="69"/>
      <c r="G963" s="67"/>
      <c r="H963" s="67"/>
      <c r="I963" s="67"/>
      <c r="J963" s="70"/>
      <c r="K963" s="67"/>
      <c r="L963" s="67"/>
      <c r="M963" s="67"/>
      <c r="N963" s="67"/>
      <c r="O963" s="67"/>
      <c r="P963" s="67"/>
    </row>
    <row r="964" ht="22.5" customHeight="1">
      <c r="C964" s="67"/>
      <c r="D964" s="69"/>
      <c r="E964" s="67"/>
      <c r="F964" s="69"/>
      <c r="G964" s="67"/>
      <c r="H964" s="67"/>
      <c r="I964" s="67"/>
      <c r="J964" s="70"/>
      <c r="K964" s="67"/>
      <c r="L964" s="67"/>
      <c r="M964" s="67"/>
      <c r="N964" s="67"/>
      <c r="O964" s="67"/>
      <c r="P964" s="67"/>
    </row>
    <row r="965" ht="22.5" customHeight="1">
      <c r="C965" s="67"/>
      <c r="D965" s="69"/>
      <c r="E965" s="67"/>
      <c r="F965" s="69"/>
      <c r="G965" s="67"/>
      <c r="H965" s="67"/>
      <c r="I965" s="67"/>
      <c r="J965" s="70"/>
      <c r="K965" s="67"/>
      <c r="L965" s="67"/>
      <c r="M965" s="67"/>
      <c r="N965" s="67"/>
      <c r="O965" s="67"/>
      <c r="P965" s="67"/>
    </row>
    <row r="966" ht="22.5" customHeight="1">
      <c r="C966" s="67"/>
      <c r="D966" s="69"/>
      <c r="E966" s="67"/>
      <c r="F966" s="69"/>
      <c r="G966" s="67"/>
      <c r="H966" s="67"/>
      <c r="I966" s="67"/>
      <c r="J966" s="70"/>
      <c r="K966" s="67"/>
      <c r="L966" s="67"/>
      <c r="M966" s="67"/>
      <c r="N966" s="67"/>
      <c r="O966" s="67"/>
      <c r="P966" s="67"/>
    </row>
    <row r="967" ht="22.5" customHeight="1">
      <c r="C967" s="67"/>
      <c r="D967" s="69"/>
      <c r="E967" s="67"/>
      <c r="F967" s="69"/>
      <c r="G967" s="67"/>
      <c r="H967" s="67"/>
      <c r="I967" s="67"/>
      <c r="J967" s="70"/>
      <c r="K967" s="67"/>
      <c r="L967" s="67"/>
      <c r="M967" s="67"/>
      <c r="N967" s="67"/>
      <c r="O967" s="67"/>
      <c r="P967" s="67"/>
    </row>
    <row r="968" ht="22.5" customHeight="1">
      <c r="C968" s="67"/>
      <c r="D968" s="69"/>
      <c r="E968" s="67"/>
      <c r="F968" s="69"/>
      <c r="G968" s="67"/>
      <c r="H968" s="67"/>
      <c r="I968" s="67"/>
      <c r="J968" s="70"/>
      <c r="K968" s="67"/>
      <c r="L968" s="67"/>
      <c r="M968" s="67"/>
      <c r="N968" s="67"/>
      <c r="O968" s="67"/>
      <c r="P968" s="67"/>
    </row>
    <row r="969" ht="22.5" customHeight="1">
      <c r="C969" s="67"/>
      <c r="D969" s="69"/>
      <c r="E969" s="67"/>
      <c r="F969" s="69"/>
      <c r="G969" s="67"/>
      <c r="H969" s="67"/>
      <c r="I969" s="67"/>
      <c r="J969" s="70"/>
      <c r="K969" s="67"/>
      <c r="L969" s="67"/>
      <c r="M969" s="67"/>
      <c r="N969" s="67"/>
      <c r="O969" s="67"/>
      <c r="P969" s="67"/>
    </row>
    <row r="970" ht="22.5" customHeight="1">
      <c r="C970" s="67"/>
      <c r="D970" s="69"/>
      <c r="E970" s="67"/>
      <c r="F970" s="69"/>
      <c r="G970" s="67"/>
      <c r="H970" s="67"/>
      <c r="I970" s="67"/>
      <c r="J970" s="70"/>
      <c r="K970" s="67"/>
      <c r="L970" s="67"/>
      <c r="M970" s="67"/>
      <c r="N970" s="67"/>
      <c r="O970" s="67"/>
      <c r="P970" s="67"/>
    </row>
    <row r="971" ht="22.5" customHeight="1">
      <c r="C971" s="67"/>
      <c r="D971" s="69"/>
      <c r="E971" s="67"/>
      <c r="F971" s="69"/>
      <c r="G971" s="67"/>
      <c r="H971" s="67"/>
      <c r="I971" s="67"/>
      <c r="J971" s="70"/>
      <c r="K971" s="67"/>
      <c r="L971" s="67"/>
      <c r="M971" s="67"/>
      <c r="N971" s="67"/>
      <c r="O971" s="67"/>
      <c r="P971" s="67"/>
    </row>
    <row r="972" ht="22.5" customHeight="1">
      <c r="C972" s="67"/>
      <c r="D972" s="69"/>
      <c r="E972" s="67"/>
      <c r="F972" s="69"/>
      <c r="G972" s="67"/>
      <c r="H972" s="67"/>
      <c r="I972" s="67"/>
      <c r="J972" s="70"/>
      <c r="K972" s="67"/>
      <c r="L972" s="67"/>
      <c r="M972" s="67"/>
      <c r="N972" s="67"/>
      <c r="O972" s="67"/>
      <c r="P972" s="67"/>
    </row>
    <row r="973" ht="22.5" customHeight="1">
      <c r="C973" s="67"/>
      <c r="D973" s="69"/>
      <c r="E973" s="67"/>
      <c r="F973" s="69"/>
      <c r="G973" s="67"/>
      <c r="H973" s="67"/>
      <c r="I973" s="67"/>
      <c r="J973" s="70"/>
      <c r="K973" s="67"/>
      <c r="L973" s="67"/>
      <c r="M973" s="67"/>
      <c r="N973" s="67"/>
      <c r="O973" s="67"/>
      <c r="P973" s="67"/>
    </row>
    <row r="974" ht="22.5" customHeight="1">
      <c r="C974" s="67"/>
      <c r="D974" s="69"/>
      <c r="E974" s="67"/>
      <c r="F974" s="69"/>
      <c r="G974" s="67"/>
      <c r="H974" s="67"/>
      <c r="I974" s="67"/>
      <c r="J974" s="70"/>
      <c r="K974" s="67"/>
      <c r="L974" s="67"/>
      <c r="M974" s="67"/>
      <c r="N974" s="67"/>
      <c r="O974" s="67"/>
      <c r="P974" s="67"/>
    </row>
    <row r="975" ht="22.5" customHeight="1">
      <c r="C975" s="67"/>
      <c r="D975" s="69"/>
      <c r="E975" s="67"/>
      <c r="F975" s="69"/>
      <c r="G975" s="67"/>
      <c r="H975" s="67"/>
      <c r="I975" s="67"/>
      <c r="J975" s="70"/>
      <c r="K975" s="67"/>
      <c r="L975" s="67"/>
      <c r="M975" s="67"/>
      <c r="N975" s="67"/>
      <c r="O975" s="67"/>
      <c r="P975" s="67"/>
    </row>
    <row r="976" ht="22.5" customHeight="1">
      <c r="C976" s="67"/>
      <c r="D976" s="69"/>
      <c r="E976" s="67"/>
      <c r="F976" s="69"/>
      <c r="G976" s="67"/>
      <c r="H976" s="67"/>
      <c r="I976" s="67"/>
      <c r="J976" s="70"/>
      <c r="K976" s="67"/>
      <c r="L976" s="67"/>
      <c r="M976" s="67"/>
      <c r="N976" s="67"/>
      <c r="O976" s="67"/>
      <c r="P976" s="67"/>
    </row>
    <row r="977" ht="22.5" customHeight="1">
      <c r="C977" s="67"/>
      <c r="D977" s="69"/>
      <c r="E977" s="67"/>
      <c r="F977" s="69"/>
      <c r="G977" s="67"/>
      <c r="H977" s="67"/>
      <c r="I977" s="67"/>
      <c r="J977" s="70"/>
      <c r="K977" s="67"/>
      <c r="L977" s="67"/>
      <c r="M977" s="67"/>
      <c r="N977" s="67"/>
      <c r="O977" s="67"/>
      <c r="P977" s="67"/>
    </row>
    <row r="978" ht="22.5" customHeight="1">
      <c r="C978" s="67"/>
      <c r="D978" s="69"/>
      <c r="E978" s="67"/>
      <c r="F978" s="69"/>
      <c r="G978" s="67"/>
      <c r="H978" s="67"/>
      <c r="I978" s="67"/>
      <c r="J978" s="70"/>
      <c r="K978" s="67"/>
      <c r="L978" s="67"/>
      <c r="M978" s="67"/>
      <c r="N978" s="67"/>
      <c r="O978" s="67"/>
      <c r="P978" s="67"/>
    </row>
    <row r="979" ht="22.5" customHeight="1">
      <c r="C979" s="67"/>
      <c r="D979" s="69"/>
      <c r="E979" s="67"/>
      <c r="F979" s="69"/>
      <c r="G979" s="67"/>
      <c r="H979" s="67"/>
      <c r="I979" s="67"/>
      <c r="J979" s="70"/>
      <c r="K979" s="67"/>
      <c r="L979" s="67"/>
      <c r="M979" s="67"/>
      <c r="N979" s="67"/>
      <c r="O979" s="67"/>
      <c r="P979" s="67"/>
    </row>
    <row r="980" ht="22.5" customHeight="1">
      <c r="C980" s="67"/>
      <c r="D980" s="69"/>
      <c r="E980" s="67"/>
      <c r="F980" s="69"/>
      <c r="G980" s="67"/>
      <c r="H980" s="67"/>
      <c r="I980" s="67"/>
      <c r="J980" s="70"/>
      <c r="K980" s="67"/>
      <c r="L980" s="67"/>
      <c r="M980" s="67"/>
      <c r="N980" s="67"/>
      <c r="O980" s="67"/>
      <c r="P980" s="67"/>
    </row>
    <row r="981" ht="22.5" customHeight="1">
      <c r="C981" s="67"/>
      <c r="D981" s="69"/>
      <c r="E981" s="67"/>
      <c r="F981" s="69"/>
      <c r="G981" s="67"/>
      <c r="H981" s="67"/>
      <c r="I981" s="67"/>
      <c r="J981" s="70"/>
      <c r="K981" s="67"/>
      <c r="L981" s="67"/>
      <c r="M981" s="67"/>
      <c r="N981" s="67"/>
      <c r="O981" s="67"/>
      <c r="P981" s="67"/>
    </row>
    <row r="982" ht="22.5" customHeight="1">
      <c r="C982" s="67"/>
      <c r="D982" s="69"/>
      <c r="E982" s="67"/>
      <c r="F982" s="69"/>
      <c r="G982" s="67"/>
      <c r="H982" s="67"/>
      <c r="I982" s="67"/>
      <c r="J982" s="70"/>
      <c r="K982" s="67"/>
      <c r="L982" s="67"/>
      <c r="M982" s="67"/>
      <c r="N982" s="67"/>
      <c r="O982" s="67"/>
      <c r="P982" s="67"/>
    </row>
  </sheetData>
  <dataValidations>
    <dataValidation type="custom" allowBlank="1" showDropDown="1" sqref="H2:H982 J2:J982 L2:L982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4" width="14.75"/>
    <col customWidth="1" min="5" max="5" width="21.38"/>
    <col customWidth="1" min="6" max="10" width="17.0"/>
  </cols>
  <sheetData>
    <row r="1" ht="22.5" customHeight="1">
      <c r="A1" s="59" t="s">
        <v>61</v>
      </c>
      <c r="B1" s="60" t="s">
        <v>62</v>
      </c>
      <c r="C1" s="60" t="s">
        <v>63</v>
      </c>
      <c r="D1" s="59" t="s">
        <v>64</v>
      </c>
      <c r="E1" s="60" t="s">
        <v>65</v>
      </c>
      <c r="F1" s="59" t="s">
        <v>66</v>
      </c>
      <c r="G1" s="60" t="s">
        <v>67</v>
      </c>
      <c r="H1" s="59" t="s">
        <v>68</v>
      </c>
      <c r="I1" s="75" t="s">
        <v>110</v>
      </c>
      <c r="J1" s="59" t="s">
        <v>70</v>
      </c>
    </row>
    <row r="2" ht="22.5" customHeight="1">
      <c r="A2" s="76" t="s">
        <v>28</v>
      </c>
      <c r="B2" s="76" t="s">
        <v>111</v>
      </c>
      <c r="C2" s="77" t="s">
        <v>112</v>
      </c>
      <c r="D2" s="78">
        <v>45827.0</v>
      </c>
      <c r="E2" s="77" t="s">
        <v>113</v>
      </c>
      <c r="F2" s="79">
        <v>7.0</v>
      </c>
      <c r="G2" s="76">
        <v>200000.0</v>
      </c>
      <c r="H2" s="80"/>
      <c r="I2" s="77" t="s">
        <v>114</v>
      </c>
      <c r="J2" s="76"/>
    </row>
    <row r="3" ht="22.5" customHeight="1">
      <c r="A3" s="76" t="s">
        <v>28</v>
      </c>
      <c r="B3" s="76" t="s">
        <v>111</v>
      </c>
      <c r="C3" s="77" t="s">
        <v>112</v>
      </c>
      <c r="D3" s="78">
        <v>45827.0</v>
      </c>
      <c r="E3" s="77" t="s">
        <v>113</v>
      </c>
      <c r="F3" s="79">
        <v>2.0</v>
      </c>
      <c r="G3" s="76">
        <v>220000.0</v>
      </c>
      <c r="H3" s="80">
        <f t="shared" ref="H3:H5" si="1">F3*G3</f>
        <v>440000</v>
      </c>
      <c r="I3" s="77" t="s">
        <v>114</v>
      </c>
      <c r="J3" s="76"/>
    </row>
    <row r="4" ht="22.5" customHeight="1">
      <c r="A4" s="76" t="s">
        <v>28</v>
      </c>
      <c r="B4" s="76" t="s">
        <v>111</v>
      </c>
      <c r="C4" s="77" t="s">
        <v>112</v>
      </c>
      <c r="D4" s="78">
        <v>45827.0</v>
      </c>
      <c r="E4" s="77" t="s">
        <v>113</v>
      </c>
      <c r="F4" s="79">
        <v>1.0</v>
      </c>
      <c r="G4" s="76">
        <v>240000.0</v>
      </c>
      <c r="H4" s="80">
        <f t="shared" si="1"/>
        <v>240000</v>
      </c>
      <c r="I4" s="77" t="s">
        <v>114</v>
      </c>
      <c r="J4" s="76"/>
    </row>
    <row r="5" ht="22.5" customHeight="1">
      <c r="A5" s="76" t="s">
        <v>25</v>
      </c>
      <c r="B5" s="77" t="s">
        <v>115</v>
      </c>
      <c r="C5" s="77" t="s">
        <v>116</v>
      </c>
      <c r="D5" s="78">
        <v>45831.0</v>
      </c>
      <c r="E5" s="77" t="s">
        <v>95</v>
      </c>
      <c r="F5" s="79">
        <v>20.0</v>
      </c>
      <c r="G5" s="76">
        <v>210000.0</v>
      </c>
      <c r="H5" s="80">
        <f t="shared" si="1"/>
        <v>4200000</v>
      </c>
      <c r="I5" s="81"/>
      <c r="J5" s="76" t="s">
        <v>117</v>
      </c>
    </row>
    <row r="6" ht="22.5" customHeight="1">
      <c r="A6" s="76" t="s">
        <v>26</v>
      </c>
      <c r="B6" s="77" t="s">
        <v>111</v>
      </c>
      <c r="C6" s="77" t="s">
        <v>118</v>
      </c>
      <c r="D6" s="78">
        <v>45831.0</v>
      </c>
      <c r="E6" s="77" t="s">
        <v>113</v>
      </c>
      <c r="F6" s="79">
        <v>10.0</v>
      </c>
      <c r="G6" s="76"/>
      <c r="H6" s="76">
        <v>2070000.0</v>
      </c>
      <c r="I6" s="81"/>
      <c r="J6" s="76" t="s">
        <v>117</v>
      </c>
    </row>
    <row r="7" ht="22.5" customHeight="1">
      <c r="A7" s="76" t="s">
        <v>119</v>
      </c>
      <c r="B7" s="76" t="s">
        <v>119</v>
      </c>
      <c r="C7" s="77" t="s">
        <v>120</v>
      </c>
      <c r="D7" s="78">
        <v>45831.0</v>
      </c>
      <c r="E7" s="77" t="s">
        <v>121</v>
      </c>
      <c r="F7" s="79">
        <v>10.0</v>
      </c>
      <c r="G7" s="76">
        <v>240000.0</v>
      </c>
      <c r="H7" s="80">
        <f t="shared" ref="H7:H23" si="2">F7*G7</f>
        <v>2400000</v>
      </c>
      <c r="I7" s="81"/>
      <c r="J7" s="76"/>
    </row>
    <row r="8" ht="22.5" customHeight="1">
      <c r="A8" s="76" t="s">
        <v>119</v>
      </c>
      <c r="B8" s="76" t="s">
        <v>119</v>
      </c>
      <c r="C8" s="77" t="s">
        <v>120</v>
      </c>
      <c r="D8" s="78">
        <v>45831.0</v>
      </c>
      <c r="E8" s="77" t="s">
        <v>121</v>
      </c>
      <c r="F8" s="79">
        <v>2.0</v>
      </c>
      <c r="G8" s="76">
        <v>250000.0</v>
      </c>
      <c r="H8" s="80">
        <f t="shared" si="2"/>
        <v>500000</v>
      </c>
      <c r="I8" s="81"/>
      <c r="J8" s="76"/>
    </row>
    <row r="9" ht="22.5" customHeight="1">
      <c r="A9" s="76" t="s">
        <v>28</v>
      </c>
      <c r="B9" s="76" t="s">
        <v>111</v>
      </c>
      <c r="C9" s="77" t="s">
        <v>122</v>
      </c>
      <c r="D9" s="78">
        <v>45839.0</v>
      </c>
      <c r="E9" s="77" t="s">
        <v>123</v>
      </c>
      <c r="F9" s="79">
        <v>50.0</v>
      </c>
      <c r="G9" s="76">
        <v>115000.0</v>
      </c>
      <c r="H9" s="80">
        <f t="shared" si="2"/>
        <v>5750000</v>
      </c>
      <c r="I9" s="77" t="s">
        <v>124</v>
      </c>
      <c r="J9" s="76" t="s">
        <v>117</v>
      </c>
    </row>
    <row r="10" ht="22.5" customHeight="1">
      <c r="A10" s="76" t="s">
        <v>28</v>
      </c>
      <c r="B10" s="76" t="s">
        <v>111</v>
      </c>
      <c r="C10" s="77" t="s">
        <v>122</v>
      </c>
      <c r="D10" s="78">
        <v>45839.0</v>
      </c>
      <c r="E10" s="77" t="s">
        <v>123</v>
      </c>
      <c r="F10" s="79">
        <v>2.0</v>
      </c>
      <c r="G10" s="76">
        <v>125000.0</v>
      </c>
      <c r="H10" s="80">
        <f t="shared" si="2"/>
        <v>250000</v>
      </c>
      <c r="I10" s="77" t="s">
        <v>124</v>
      </c>
      <c r="J10" s="76" t="s">
        <v>117</v>
      </c>
    </row>
    <row r="11" ht="22.5" customHeight="1">
      <c r="A11" s="76" t="s">
        <v>28</v>
      </c>
      <c r="B11" s="76" t="s">
        <v>111</v>
      </c>
      <c r="C11" s="77" t="s">
        <v>122</v>
      </c>
      <c r="D11" s="78">
        <v>45839.0</v>
      </c>
      <c r="E11" s="77" t="s">
        <v>125</v>
      </c>
      <c r="F11" s="79">
        <v>57.0</v>
      </c>
      <c r="G11" s="76">
        <v>115000.0</v>
      </c>
      <c r="H11" s="80">
        <f t="shared" si="2"/>
        <v>6555000</v>
      </c>
      <c r="I11" s="77" t="s">
        <v>124</v>
      </c>
      <c r="J11" s="76" t="s">
        <v>117</v>
      </c>
    </row>
    <row r="12" ht="22.5" customHeight="1">
      <c r="A12" s="76" t="s">
        <v>28</v>
      </c>
      <c r="B12" s="76" t="s">
        <v>111</v>
      </c>
      <c r="C12" s="77" t="s">
        <v>122</v>
      </c>
      <c r="D12" s="78">
        <v>45839.0</v>
      </c>
      <c r="E12" s="77" t="s">
        <v>125</v>
      </c>
      <c r="F12" s="79">
        <v>3.0</v>
      </c>
      <c r="G12" s="76">
        <v>125000.0</v>
      </c>
      <c r="H12" s="80">
        <f t="shared" si="2"/>
        <v>375000</v>
      </c>
      <c r="I12" s="77" t="s">
        <v>124</v>
      </c>
      <c r="J12" s="76" t="s">
        <v>117</v>
      </c>
    </row>
    <row r="13" ht="22.5" customHeight="1">
      <c r="A13" s="76" t="s">
        <v>28</v>
      </c>
      <c r="B13" s="76" t="s">
        <v>111</v>
      </c>
      <c r="C13" s="77" t="s">
        <v>122</v>
      </c>
      <c r="D13" s="78">
        <v>45839.0</v>
      </c>
      <c r="E13" s="77" t="s">
        <v>125</v>
      </c>
      <c r="F13" s="79">
        <v>1.0</v>
      </c>
      <c r="G13" s="76">
        <v>135000.0</v>
      </c>
      <c r="H13" s="80">
        <f t="shared" si="2"/>
        <v>135000</v>
      </c>
      <c r="I13" s="77" t="s">
        <v>124</v>
      </c>
      <c r="J13" s="76" t="s">
        <v>117</v>
      </c>
    </row>
    <row r="14" ht="22.5" customHeight="1">
      <c r="A14" s="76" t="s">
        <v>28</v>
      </c>
      <c r="B14" s="76" t="s">
        <v>111</v>
      </c>
      <c r="C14" s="77" t="s">
        <v>122</v>
      </c>
      <c r="D14" s="78">
        <v>45839.0</v>
      </c>
      <c r="E14" s="77" t="s">
        <v>126</v>
      </c>
      <c r="F14" s="79">
        <v>12.0</v>
      </c>
      <c r="G14" s="76">
        <v>115000.0</v>
      </c>
      <c r="H14" s="80">
        <f t="shared" si="2"/>
        <v>1380000</v>
      </c>
      <c r="I14" s="77" t="s">
        <v>124</v>
      </c>
      <c r="J14" s="76" t="s">
        <v>117</v>
      </c>
    </row>
    <row r="15" ht="22.5" customHeight="1">
      <c r="A15" s="76" t="s">
        <v>28</v>
      </c>
      <c r="B15" s="76" t="s">
        <v>111</v>
      </c>
      <c r="C15" s="77" t="s">
        <v>122</v>
      </c>
      <c r="D15" s="78">
        <v>45839.0</v>
      </c>
      <c r="E15" s="77" t="s">
        <v>127</v>
      </c>
      <c r="F15" s="79">
        <v>150.0</v>
      </c>
      <c r="G15" s="76">
        <v>107000.0</v>
      </c>
      <c r="H15" s="80">
        <f t="shared" si="2"/>
        <v>16050000</v>
      </c>
      <c r="I15" s="77" t="s">
        <v>124</v>
      </c>
      <c r="J15" s="76" t="s">
        <v>117</v>
      </c>
    </row>
    <row r="16" ht="22.5" customHeight="1">
      <c r="A16" s="76" t="s">
        <v>20</v>
      </c>
      <c r="B16" s="77" t="s">
        <v>128</v>
      </c>
      <c r="C16" s="77" t="s">
        <v>128</v>
      </c>
      <c r="D16" s="78">
        <v>45839.0</v>
      </c>
      <c r="E16" s="77" t="s">
        <v>129</v>
      </c>
      <c r="F16" s="79">
        <v>10.0</v>
      </c>
      <c r="G16" s="76">
        <v>200000.0</v>
      </c>
      <c r="H16" s="80">
        <f t="shared" si="2"/>
        <v>2000000</v>
      </c>
      <c r="I16" s="81"/>
      <c r="J16" s="76" t="s">
        <v>117</v>
      </c>
    </row>
    <row r="17" ht="22.5" customHeight="1">
      <c r="A17" s="76" t="s">
        <v>25</v>
      </c>
      <c r="B17" s="76" t="s">
        <v>130</v>
      </c>
      <c r="C17" s="77" t="s">
        <v>131</v>
      </c>
      <c r="D17" s="78">
        <v>45840.0</v>
      </c>
      <c r="E17" s="77" t="s">
        <v>95</v>
      </c>
      <c r="F17" s="77">
        <v>10.0</v>
      </c>
      <c r="G17" s="76">
        <v>190000.0</v>
      </c>
      <c r="H17" s="80">
        <f t="shared" si="2"/>
        <v>1900000</v>
      </c>
      <c r="I17" s="81"/>
      <c r="J17" s="76" t="s">
        <v>117</v>
      </c>
    </row>
    <row r="18" ht="22.5" customHeight="1">
      <c r="A18" s="76" t="s">
        <v>119</v>
      </c>
      <c r="B18" s="76" t="s">
        <v>132</v>
      </c>
      <c r="C18" s="77" t="str">
        <f>C20</f>
        <v>PT. Tajimura Maju Bersama</v>
      </c>
      <c r="D18" s="78">
        <v>45846.0</v>
      </c>
      <c r="E18" s="77" t="s">
        <v>129</v>
      </c>
      <c r="F18" s="77">
        <v>1.0</v>
      </c>
      <c r="G18" s="76">
        <v>200000.0</v>
      </c>
      <c r="H18" s="80">
        <f t="shared" si="2"/>
        <v>200000</v>
      </c>
      <c r="I18" s="81"/>
      <c r="J18" s="76"/>
    </row>
    <row r="19" ht="22.5" customHeight="1">
      <c r="A19" s="76" t="s">
        <v>119</v>
      </c>
      <c r="B19" s="76" t="s">
        <v>132</v>
      </c>
      <c r="C19" s="77" t="s">
        <v>118</v>
      </c>
      <c r="D19" s="78">
        <v>45846.0</v>
      </c>
      <c r="E19" s="77"/>
      <c r="F19" s="77">
        <v>2.0</v>
      </c>
      <c r="G19" s="76">
        <v>25000.0</v>
      </c>
      <c r="H19" s="80">
        <f t="shared" si="2"/>
        <v>50000</v>
      </c>
      <c r="I19" s="81"/>
      <c r="J19" s="76"/>
    </row>
    <row r="20" ht="22.5" customHeight="1">
      <c r="A20" s="76" t="s">
        <v>19</v>
      </c>
      <c r="B20" s="77" t="s">
        <v>128</v>
      </c>
      <c r="C20" s="77" t="s">
        <v>128</v>
      </c>
      <c r="D20" s="78">
        <v>45840.0</v>
      </c>
      <c r="E20" s="77" t="s">
        <v>133</v>
      </c>
      <c r="F20" s="77">
        <v>1.0</v>
      </c>
      <c r="G20" s="76">
        <v>210000.0</v>
      </c>
      <c r="H20" s="80">
        <f t="shared" si="2"/>
        <v>210000</v>
      </c>
      <c r="I20" s="81"/>
      <c r="J20" s="76" t="s">
        <v>117</v>
      </c>
    </row>
    <row r="21" ht="22.5" customHeight="1">
      <c r="A21" s="76" t="s">
        <v>28</v>
      </c>
      <c r="B21" s="76" t="s">
        <v>111</v>
      </c>
      <c r="C21" s="77" t="s">
        <v>118</v>
      </c>
      <c r="D21" s="78">
        <v>45840.0</v>
      </c>
      <c r="E21" s="77" t="s">
        <v>134</v>
      </c>
      <c r="F21" s="77">
        <v>2.0</v>
      </c>
      <c r="G21" s="76">
        <v>235000.0</v>
      </c>
      <c r="H21" s="80">
        <f t="shared" si="2"/>
        <v>470000</v>
      </c>
      <c r="I21" s="81"/>
      <c r="J21" s="76" t="s">
        <v>117</v>
      </c>
    </row>
    <row r="22" ht="22.5" customHeight="1">
      <c r="A22" s="76" t="s">
        <v>28</v>
      </c>
      <c r="B22" s="76" t="s">
        <v>132</v>
      </c>
      <c r="C22" s="77" t="s">
        <v>135</v>
      </c>
      <c r="D22" s="82">
        <v>45845.0</v>
      </c>
      <c r="E22" s="77" t="s">
        <v>136</v>
      </c>
      <c r="F22" s="77">
        <v>50.0</v>
      </c>
      <c r="G22" s="76">
        <v>120000.0</v>
      </c>
      <c r="H22" s="80">
        <f t="shared" si="2"/>
        <v>6000000</v>
      </c>
      <c r="I22" s="81"/>
      <c r="J22" s="76" t="s">
        <v>117</v>
      </c>
    </row>
    <row r="23" ht="22.5" customHeight="1">
      <c r="A23" s="76" t="s">
        <v>32</v>
      </c>
      <c r="B23" s="76" t="s">
        <v>137</v>
      </c>
      <c r="C23" s="77" t="s">
        <v>138</v>
      </c>
      <c r="D23" s="82">
        <v>45845.0</v>
      </c>
      <c r="E23" s="77" t="s">
        <v>139</v>
      </c>
      <c r="F23" s="77">
        <v>1.0</v>
      </c>
      <c r="G23" s="76">
        <v>173000.0</v>
      </c>
      <c r="H23" s="80">
        <f t="shared" si="2"/>
        <v>173000</v>
      </c>
      <c r="I23" s="81"/>
      <c r="J23" s="76" t="s">
        <v>117</v>
      </c>
    </row>
    <row r="24" ht="22.5" customHeight="1">
      <c r="A24" s="76"/>
      <c r="B24" s="77" t="s">
        <v>128</v>
      </c>
      <c r="C24" s="77" t="s">
        <v>128</v>
      </c>
      <c r="D24" s="82">
        <v>45847.0</v>
      </c>
      <c r="E24" s="77" t="s">
        <v>140</v>
      </c>
      <c r="F24" s="77">
        <v>3.0</v>
      </c>
      <c r="G24" s="76"/>
      <c r="H24" s="76">
        <v>250000.0</v>
      </c>
      <c r="I24" s="81"/>
      <c r="J24" s="76" t="s">
        <v>117</v>
      </c>
    </row>
    <row r="25" ht="22.5" customHeight="1">
      <c r="A25" s="76"/>
      <c r="B25" s="77" t="s">
        <v>141</v>
      </c>
      <c r="C25" s="77" t="s">
        <v>141</v>
      </c>
      <c r="D25" s="78">
        <v>45848.0</v>
      </c>
      <c r="E25" s="77" t="s">
        <v>142</v>
      </c>
      <c r="F25" s="77">
        <v>12.0</v>
      </c>
      <c r="G25" s="76">
        <v>225000.0</v>
      </c>
      <c r="H25" s="80">
        <f t="shared" ref="H25:H27" si="3">F25*G25</f>
        <v>2700000</v>
      </c>
      <c r="I25" s="81"/>
      <c r="J25" s="76" t="s">
        <v>117</v>
      </c>
    </row>
    <row r="26" ht="22.5" customHeight="1">
      <c r="A26" s="76" t="s">
        <v>32</v>
      </c>
      <c r="B26" s="76" t="s">
        <v>137</v>
      </c>
      <c r="C26" s="77"/>
      <c r="D26" s="78">
        <v>45852.0</v>
      </c>
      <c r="E26" s="77" t="s">
        <v>143</v>
      </c>
      <c r="F26" s="77">
        <v>1.0</v>
      </c>
      <c r="G26" s="76">
        <v>99000.0</v>
      </c>
      <c r="H26" s="80">
        <f t="shared" si="3"/>
        <v>99000</v>
      </c>
      <c r="I26" s="81"/>
      <c r="J26" s="76" t="s">
        <v>117</v>
      </c>
    </row>
    <row r="27" ht="22.5" customHeight="1">
      <c r="A27" s="76" t="s">
        <v>26</v>
      </c>
      <c r="B27" s="77"/>
      <c r="C27" s="77"/>
      <c r="D27" s="78">
        <v>45852.0</v>
      </c>
      <c r="E27" s="77" t="s">
        <v>113</v>
      </c>
      <c r="F27" s="77">
        <v>1.0</v>
      </c>
      <c r="G27" s="76">
        <v>230000.0</v>
      </c>
      <c r="H27" s="80">
        <f t="shared" si="3"/>
        <v>230000</v>
      </c>
      <c r="I27" s="81"/>
      <c r="J27" s="76" t="s">
        <v>117</v>
      </c>
    </row>
    <row r="28" ht="22.5" customHeight="1">
      <c r="A28" s="76" t="s">
        <v>32</v>
      </c>
      <c r="B28" s="77" t="s">
        <v>111</v>
      </c>
      <c r="C28" s="77" t="s">
        <v>144</v>
      </c>
      <c r="D28" s="78"/>
      <c r="E28" s="77" t="s">
        <v>145</v>
      </c>
      <c r="F28" s="77">
        <v>19.0</v>
      </c>
      <c r="G28" s="76"/>
      <c r="H28" s="76">
        <v>3720000.0</v>
      </c>
      <c r="I28" s="81"/>
      <c r="J28" s="76" t="s">
        <v>117</v>
      </c>
    </row>
    <row r="29" ht="22.5" customHeight="1">
      <c r="A29" s="76" t="s">
        <v>32</v>
      </c>
      <c r="B29" s="77" t="s">
        <v>111</v>
      </c>
      <c r="C29" s="77" t="s">
        <v>146</v>
      </c>
      <c r="D29" s="78"/>
      <c r="E29" s="77" t="s">
        <v>145</v>
      </c>
      <c r="F29" s="77">
        <v>30.0</v>
      </c>
      <c r="G29" s="76"/>
      <c r="H29" s="76">
        <v>6780000.0</v>
      </c>
      <c r="I29" s="81"/>
      <c r="J29" s="76" t="s">
        <v>117</v>
      </c>
    </row>
    <row r="30" ht="22.5" customHeight="1">
      <c r="A30" s="76" t="s">
        <v>32</v>
      </c>
      <c r="B30" s="77" t="s">
        <v>147</v>
      </c>
      <c r="C30" s="77" t="s">
        <v>148</v>
      </c>
      <c r="D30" s="78">
        <v>45855.0</v>
      </c>
      <c r="E30" s="77" t="s">
        <v>83</v>
      </c>
      <c r="F30" s="77">
        <v>8.0</v>
      </c>
      <c r="G30" s="76">
        <v>155000.0</v>
      </c>
      <c r="H30" s="80">
        <f t="shared" ref="H30:H33" si="4">F30*G30</f>
        <v>1240000</v>
      </c>
      <c r="I30" s="81"/>
      <c r="J30" s="76" t="s">
        <v>117</v>
      </c>
    </row>
    <row r="31" ht="22.5" customHeight="1">
      <c r="A31" s="76" t="s">
        <v>32</v>
      </c>
      <c r="B31" s="77" t="s">
        <v>147</v>
      </c>
      <c r="C31" s="77" t="s">
        <v>148</v>
      </c>
      <c r="D31" s="78">
        <v>45855.0</v>
      </c>
      <c r="E31" s="77" t="s">
        <v>83</v>
      </c>
      <c r="F31" s="77">
        <v>3.0</v>
      </c>
      <c r="G31" s="76">
        <v>165000.0</v>
      </c>
      <c r="H31" s="80">
        <f t="shared" si="4"/>
        <v>495000</v>
      </c>
      <c r="I31" s="81"/>
      <c r="J31" s="76" t="s">
        <v>117</v>
      </c>
    </row>
    <row r="32" ht="22.5" customHeight="1">
      <c r="A32" s="76" t="s">
        <v>32</v>
      </c>
      <c r="B32" s="77" t="s">
        <v>147</v>
      </c>
      <c r="C32" s="77" t="s">
        <v>148</v>
      </c>
      <c r="D32" s="78">
        <v>45855.0</v>
      </c>
      <c r="E32" s="77" t="s">
        <v>83</v>
      </c>
      <c r="F32" s="77">
        <v>2.0</v>
      </c>
      <c r="G32" s="76">
        <v>175000.0</v>
      </c>
      <c r="H32" s="80">
        <f t="shared" si="4"/>
        <v>350000</v>
      </c>
      <c r="I32" s="81"/>
      <c r="J32" s="76" t="s">
        <v>117</v>
      </c>
    </row>
    <row r="33" ht="22.5" customHeight="1">
      <c r="A33" s="76" t="s">
        <v>119</v>
      </c>
      <c r="B33" s="76" t="s">
        <v>149</v>
      </c>
      <c r="C33" s="77" t="s">
        <v>150</v>
      </c>
      <c r="D33" s="78">
        <v>45870.0</v>
      </c>
      <c r="E33" s="77" t="s">
        <v>151</v>
      </c>
      <c r="F33" s="77">
        <v>6.0</v>
      </c>
      <c r="G33" s="76">
        <v>145000.0</v>
      </c>
      <c r="H33" s="80">
        <f t="shared" si="4"/>
        <v>870000</v>
      </c>
      <c r="I33" s="81"/>
      <c r="J33" s="76"/>
    </row>
    <row r="34" ht="22.5" customHeight="1">
      <c r="A34" s="76" t="s">
        <v>32</v>
      </c>
      <c r="B34" s="77" t="s">
        <v>111</v>
      </c>
      <c r="C34" s="77" t="s">
        <v>152</v>
      </c>
      <c r="D34" s="78">
        <v>45873.0</v>
      </c>
      <c r="E34" s="77" t="s">
        <v>153</v>
      </c>
      <c r="F34" s="77">
        <v>111.0</v>
      </c>
      <c r="G34" s="76"/>
      <c r="H34" s="76">
        <v>1.887E7</v>
      </c>
      <c r="I34" s="81"/>
      <c r="J34" s="76" t="s">
        <v>117</v>
      </c>
    </row>
    <row r="35" ht="22.5" customHeight="1">
      <c r="A35" s="76" t="s">
        <v>119</v>
      </c>
      <c r="B35" s="76" t="s">
        <v>119</v>
      </c>
      <c r="C35" s="77" t="s">
        <v>154</v>
      </c>
      <c r="D35" s="78">
        <v>45874.0</v>
      </c>
      <c r="E35" s="77" t="s">
        <v>155</v>
      </c>
      <c r="F35" s="77">
        <v>10.0</v>
      </c>
      <c r="G35" s="76">
        <v>130000.0</v>
      </c>
      <c r="H35" s="80">
        <f t="shared" ref="H35:H45" si="5">F35*G35</f>
        <v>1300000</v>
      </c>
      <c r="I35" s="81"/>
      <c r="J35" s="76"/>
    </row>
    <row r="36" ht="22.5" customHeight="1">
      <c r="A36" s="76" t="s">
        <v>32</v>
      </c>
      <c r="B36" s="76" t="s">
        <v>156</v>
      </c>
      <c r="C36" s="77" t="s">
        <v>157</v>
      </c>
      <c r="D36" s="78">
        <v>45873.0</v>
      </c>
      <c r="E36" s="77" t="s">
        <v>158</v>
      </c>
      <c r="F36" s="77">
        <v>4.0</v>
      </c>
      <c r="G36" s="76">
        <v>235000.0</v>
      </c>
      <c r="H36" s="80">
        <f t="shared" si="5"/>
        <v>940000</v>
      </c>
      <c r="I36" s="81"/>
      <c r="J36" s="76" t="s">
        <v>117</v>
      </c>
    </row>
    <row r="37" ht="22.5" customHeight="1">
      <c r="A37" s="76" t="s">
        <v>119</v>
      </c>
      <c r="B37" s="76" t="s">
        <v>130</v>
      </c>
      <c r="C37" s="77" t="s">
        <v>115</v>
      </c>
      <c r="D37" s="78">
        <v>45875.0</v>
      </c>
      <c r="E37" s="77" t="s">
        <v>95</v>
      </c>
      <c r="F37" s="77">
        <v>20.0</v>
      </c>
      <c r="G37" s="76">
        <v>210000.0</v>
      </c>
      <c r="H37" s="80">
        <f t="shared" si="5"/>
        <v>4200000</v>
      </c>
      <c r="I37" s="81"/>
      <c r="J37" s="76"/>
    </row>
    <row r="38" ht="22.5" customHeight="1">
      <c r="A38" s="76" t="s">
        <v>32</v>
      </c>
      <c r="B38" s="76" t="s">
        <v>111</v>
      </c>
      <c r="C38" s="77" t="s">
        <v>159</v>
      </c>
      <c r="D38" s="78">
        <v>45877.0</v>
      </c>
      <c r="E38" s="77" t="s">
        <v>160</v>
      </c>
      <c r="F38" s="77">
        <v>52.0</v>
      </c>
      <c r="G38" s="76">
        <v>210000.0</v>
      </c>
      <c r="H38" s="80">
        <f t="shared" si="5"/>
        <v>10920000</v>
      </c>
      <c r="I38" s="81"/>
      <c r="J38" s="76" t="s">
        <v>117</v>
      </c>
    </row>
    <row r="39" ht="22.5" customHeight="1">
      <c r="A39" s="76" t="s">
        <v>32</v>
      </c>
      <c r="B39" s="76" t="s">
        <v>111</v>
      </c>
      <c r="C39" s="77" t="s">
        <v>159</v>
      </c>
      <c r="D39" s="78">
        <v>45877.0</v>
      </c>
      <c r="E39" s="77" t="s">
        <v>160</v>
      </c>
      <c r="F39" s="77">
        <v>53.0</v>
      </c>
      <c r="G39" s="76">
        <v>225000.0</v>
      </c>
      <c r="H39" s="80">
        <f t="shared" si="5"/>
        <v>11925000</v>
      </c>
      <c r="I39" s="81"/>
      <c r="J39" s="76" t="s">
        <v>117</v>
      </c>
    </row>
    <row r="40" ht="22.5" customHeight="1">
      <c r="A40" s="76" t="s">
        <v>32</v>
      </c>
      <c r="B40" s="76" t="s">
        <v>111</v>
      </c>
      <c r="C40" s="77" t="s">
        <v>159</v>
      </c>
      <c r="D40" s="78">
        <v>45877.0</v>
      </c>
      <c r="E40" s="77" t="s">
        <v>160</v>
      </c>
      <c r="F40" s="77">
        <v>5.0</v>
      </c>
      <c r="G40" s="76">
        <v>125000.0</v>
      </c>
      <c r="H40" s="80">
        <f t="shared" si="5"/>
        <v>625000</v>
      </c>
      <c r="I40" s="81"/>
      <c r="J40" s="76" t="s">
        <v>117</v>
      </c>
    </row>
    <row r="41" ht="22.5" customHeight="1">
      <c r="A41" s="76" t="s">
        <v>119</v>
      </c>
      <c r="B41" s="76" t="s">
        <v>132</v>
      </c>
      <c r="C41" s="77" t="s">
        <v>161</v>
      </c>
      <c r="D41" s="78">
        <v>45881.0</v>
      </c>
      <c r="E41" s="77" t="s">
        <v>162</v>
      </c>
      <c r="F41" s="77">
        <v>100.0</v>
      </c>
      <c r="G41" s="76">
        <v>22000.0</v>
      </c>
      <c r="H41" s="80">
        <f t="shared" si="5"/>
        <v>2200000</v>
      </c>
      <c r="I41" s="81"/>
      <c r="J41" s="76" t="s">
        <v>117</v>
      </c>
    </row>
    <row r="42" ht="22.5" customHeight="1">
      <c r="A42" s="76" t="s">
        <v>119</v>
      </c>
      <c r="B42" s="76" t="s">
        <v>132</v>
      </c>
      <c r="C42" s="77" t="s">
        <v>161</v>
      </c>
      <c r="D42" s="78">
        <v>45881.0</v>
      </c>
      <c r="E42" s="77" t="s">
        <v>94</v>
      </c>
      <c r="F42" s="77">
        <v>100.0</v>
      </c>
      <c r="G42" s="76">
        <v>22000.0</v>
      </c>
      <c r="H42" s="80">
        <f t="shared" si="5"/>
        <v>2200000</v>
      </c>
      <c r="I42" s="81"/>
      <c r="J42" s="76" t="s">
        <v>117</v>
      </c>
    </row>
    <row r="43" ht="22.5" customHeight="1">
      <c r="A43" s="76" t="s">
        <v>31</v>
      </c>
      <c r="B43" s="76" t="s">
        <v>163</v>
      </c>
      <c r="C43" s="77" t="s">
        <v>164</v>
      </c>
      <c r="D43" s="78">
        <v>45883.0</v>
      </c>
      <c r="E43" s="77" t="s">
        <v>165</v>
      </c>
      <c r="F43" s="77">
        <v>26.0</v>
      </c>
      <c r="G43" s="76">
        <v>125000.0</v>
      </c>
      <c r="H43" s="80">
        <f t="shared" si="5"/>
        <v>3250000</v>
      </c>
      <c r="I43" s="81"/>
      <c r="J43" s="76" t="s">
        <v>117</v>
      </c>
    </row>
    <row r="44" ht="22.5" customHeight="1">
      <c r="A44" s="76" t="s">
        <v>31</v>
      </c>
      <c r="B44" s="76" t="s">
        <v>163</v>
      </c>
      <c r="C44" s="77" t="s">
        <v>164</v>
      </c>
      <c r="D44" s="78">
        <v>45883.0</v>
      </c>
      <c r="E44" s="77" t="s">
        <v>165</v>
      </c>
      <c r="F44" s="77">
        <v>1.0</v>
      </c>
      <c r="G44" s="76">
        <v>135000.0</v>
      </c>
      <c r="H44" s="80">
        <f t="shared" si="5"/>
        <v>135000</v>
      </c>
      <c r="I44" s="81"/>
      <c r="J44" s="76" t="s">
        <v>117</v>
      </c>
    </row>
    <row r="45" ht="22.5" customHeight="1">
      <c r="A45" s="76" t="s">
        <v>31</v>
      </c>
      <c r="B45" s="76" t="s">
        <v>163</v>
      </c>
      <c r="C45" s="77" t="s">
        <v>164</v>
      </c>
      <c r="D45" s="78">
        <v>45883.0</v>
      </c>
      <c r="E45" s="77" t="s">
        <v>165</v>
      </c>
      <c r="F45" s="77">
        <v>1.0</v>
      </c>
      <c r="G45" s="76">
        <v>165000.0</v>
      </c>
      <c r="H45" s="80">
        <f t="shared" si="5"/>
        <v>165000</v>
      </c>
      <c r="I45" s="81"/>
      <c r="J45" s="76" t="s">
        <v>117</v>
      </c>
    </row>
    <row r="46" ht="22.5" customHeight="1">
      <c r="A46" s="76" t="s">
        <v>28</v>
      </c>
      <c r="B46" s="76" t="s">
        <v>111</v>
      </c>
      <c r="C46" s="77" t="s">
        <v>166</v>
      </c>
      <c r="D46" s="78">
        <v>45883.0</v>
      </c>
      <c r="E46" s="77" t="s">
        <v>145</v>
      </c>
      <c r="F46" s="77">
        <v>32.0</v>
      </c>
      <c r="G46" s="76"/>
      <c r="H46" s="76">
        <v>7400000.0</v>
      </c>
      <c r="I46" s="81"/>
      <c r="J46" s="76" t="s">
        <v>117</v>
      </c>
    </row>
    <row r="47" ht="22.5" customHeight="1">
      <c r="A47" s="76" t="s">
        <v>18</v>
      </c>
      <c r="B47" s="76" t="s">
        <v>132</v>
      </c>
      <c r="C47" s="77" t="s">
        <v>167</v>
      </c>
      <c r="D47" s="78">
        <v>45885.0</v>
      </c>
      <c r="E47" s="77" t="s">
        <v>168</v>
      </c>
      <c r="F47" s="77">
        <v>4.0</v>
      </c>
      <c r="G47" s="76">
        <v>250000.0</v>
      </c>
      <c r="H47" s="80">
        <f t="shared" ref="H47:H54" si="6">F47*G47</f>
        <v>1000000</v>
      </c>
      <c r="I47" s="81"/>
      <c r="J47" s="76" t="s">
        <v>117</v>
      </c>
    </row>
    <row r="48" ht="22.5" customHeight="1">
      <c r="A48" s="76" t="s">
        <v>119</v>
      </c>
      <c r="B48" s="76" t="s">
        <v>169</v>
      </c>
      <c r="C48" s="77" t="s">
        <v>170</v>
      </c>
      <c r="D48" s="78">
        <v>45879.0</v>
      </c>
      <c r="E48" s="77" t="s">
        <v>171</v>
      </c>
      <c r="F48" s="77">
        <v>12.0</v>
      </c>
      <c r="G48" s="76">
        <v>210000.0</v>
      </c>
      <c r="H48" s="80">
        <f t="shared" si="6"/>
        <v>2520000</v>
      </c>
      <c r="I48" s="81"/>
      <c r="J48" s="76" t="s">
        <v>117</v>
      </c>
    </row>
    <row r="49" ht="22.5" customHeight="1">
      <c r="A49" s="76" t="s">
        <v>32</v>
      </c>
      <c r="B49" s="76" t="s">
        <v>147</v>
      </c>
      <c r="C49" s="77" t="s">
        <v>148</v>
      </c>
      <c r="D49" s="78">
        <v>45889.0</v>
      </c>
      <c r="E49" s="77" t="s">
        <v>83</v>
      </c>
      <c r="F49" s="77">
        <v>8.0</v>
      </c>
      <c r="G49" s="76">
        <v>155000.0</v>
      </c>
      <c r="H49" s="80">
        <f t="shared" si="6"/>
        <v>1240000</v>
      </c>
      <c r="I49" s="81"/>
      <c r="J49" s="76"/>
    </row>
    <row r="50" ht="22.5" customHeight="1">
      <c r="A50" s="76" t="s">
        <v>32</v>
      </c>
      <c r="B50" s="76" t="s">
        <v>147</v>
      </c>
      <c r="C50" s="77" t="s">
        <v>148</v>
      </c>
      <c r="D50" s="78">
        <v>45889.0</v>
      </c>
      <c r="E50" s="77" t="s">
        <v>83</v>
      </c>
      <c r="F50" s="77">
        <v>3.0</v>
      </c>
      <c r="G50" s="76">
        <v>165000.0</v>
      </c>
      <c r="H50" s="80">
        <f t="shared" si="6"/>
        <v>495000</v>
      </c>
      <c r="I50" s="81"/>
      <c r="J50" s="76"/>
    </row>
    <row r="51" ht="22.5" customHeight="1">
      <c r="A51" s="76" t="s">
        <v>32</v>
      </c>
      <c r="B51" s="76" t="s">
        <v>147</v>
      </c>
      <c r="C51" s="77" t="s">
        <v>148</v>
      </c>
      <c r="D51" s="78">
        <v>45889.0</v>
      </c>
      <c r="E51" s="77" t="s">
        <v>83</v>
      </c>
      <c r="F51" s="77">
        <v>2.0</v>
      </c>
      <c r="G51" s="76">
        <v>175000.0</v>
      </c>
      <c r="H51" s="80">
        <f t="shared" si="6"/>
        <v>350000</v>
      </c>
      <c r="I51" s="81"/>
      <c r="J51" s="76"/>
    </row>
    <row r="52" ht="22.5" customHeight="1">
      <c r="A52" s="76" t="s">
        <v>119</v>
      </c>
      <c r="B52" s="76" t="s">
        <v>149</v>
      </c>
      <c r="C52" s="77" t="s">
        <v>172</v>
      </c>
      <c r="D52" s="78">
        <v>45890.0</v>
      </c>
      <c r="E52" s="77" t="s">
        <v>173</v>
      </c>
      <c r="F52" s="77">
        <v>1.0</v>
      </c>
      <c r="G52" s="76">
        <v>350000.0</v>
      </c>
      <c r="H52" s="80">
        <f t="shared" si="6"/>
        <v>350000</v>
      </c>
      <c r="I52" s="81"/>
      <c r="J52" s="76"/>
    </row>
    <row r="53" ht="22.5" customHeight="1">
      <c r="A53" s="76" t="s">
        <v>119</v>
      </c>
      <c r="B53" s="76" t="s">
        <v>149</v>
      </c>
      <c r="C53" s="77" t="s">
        <v>172</v>
      </c>
      <c r="D53" s="78">
        <v>45890.0</v>
      </c>
      <c r="E53" s="77"/>
      <c r="F53" s="77">
        <v>2.0</v>
      </c>
      <c r="G53" s="76">
        <v>280000.0</v>
      </c>
      <c r="H53" s="80">
        <f t="shared" si="6"/>
        <v>560000</v>
      </c>
      <c r="I53" s="81"/>
      <c r="J53" s="76"/>
    </row>
    <row r="54" ht="22.5" customHeight="1">
      <c r="A54" s="76" t="s">
        <v>28</v>
      </c>
      <c r="B54" s="76" t="s">
        <v>111</v>
      </c>
      <c r="C54" s="77" t="s">
        <v>152</v>
      </c>
      <c r="D54" s="78">
        <v>45894.0</v>
      </c>
      <c r="E54" s="77" t="s">
        <v>174</v>
      </c>
      <c r="F54" s="77">
        <v>102.0</v>
      </c>
      <c r="G54" s="76">
        <v>185000.0</v>
      </c>
      <c r="H54" s="80">
        <f t="shared" si="6"/>
        <v>18870000</v>
      </c>
      <c r="I54" s="81"/>
      <c r="J54" s="76"/>
    </row>
    <row r="55" ht="22.5" customHeight="1">
      <c r="A55" s="76" t="s">
        <v>28</v>
      </c>
      <c r="B55" s="76" t="s">
        <v>111</v>
      </c>
      <c r="C55" s="77" t="s">
        <v>152</v>
      </c>
      <c r="D55" s="78">
        <v>45895.0</v>
      </c>
      <c r="E55" s="77" t="s">
        <v>98</v>
      </c>
      <c r="F55" s="77">
        <v>7.0</v>
      </c>
      <c r="G55" s="76"/>
      <c r="H55" s="76">
        <v>925000.0</v>
      </c>
      <c r="I55" s="81"/>
      <c r="J55" s="76" t="s">
        <v>117</v>
      </c>
    </row>
    <row r="56" ht="22.5" customHeight="1">
      <c r="A56" s="76"/>
      <c r="B56" s="77" t="s">
        <v>175</v>
      </c>
      <c r="C56" s="77" t="s">
        <v>175</v>
      </c>
      <c r="D56" s="78">
        <v>45895.0</v>
      </c>
      <c r="E56" s="77" t="s">
        <v>95</v>
      </c>
      <c r="F56" s="77">
        <v>20.0</v>
      </c>
      <c r="G56" s="76"/>
      <c r="H56" s="76">
        <v>4200000.0</v>
      </c>
      <c r="I56" s="81"/>
      <c r="J56" s="76" t="s">
        <v>117</v>
      </c>
    </row>
    <row r="57" ht="22.5" customHeight="1">
      <c r="A57" s="76" t="s">
        <v>28</v>
      </c>
      <c r="B57" s="76" t="s">
        <v>111</v>
      </c>
      <c r="C57" s="77" t="s">
        <v>152</v>
      </c>
      <c r="D57" s="78">
        <v>45895.0</v>
      </c>
      <c r="E57" s="77" t="s">
        <v>174</v>
      </c>
      <c r="F57" s="77">
        <v>2.0</v>
      </c>
      <c r="G57" s="76">
        <v>220000.0</v>
      </c>
      <c r="H57" s="80">
        <f t="shared" ref="H57:H65" si="7">F57*G57</f>
        <v>440000</v>
      </c>
      <c r="I57" s="81"/>
      <c r="J57" s="76"/>
    </row>
    <row r="58" ht="22.5" customHeight="1">
      <c r="A58" s="76" t="s">
        <v>28</v>
      </c>
      <c r="B58" s="76" t="s">
        <v>111</v>
      </c>
      <c r="C58" s="77" t="s">
        <v>152</v>
      </c>
      <c r="D58" s="78">
        <v>45895.0</v>
      </c>
      <c r="E58" s="83"/>
      <c r="F58" s="79">
        <v>1.0</v>
      </c>
      <c r="G58" s="76">
        <v>240000.0</v>
      </c>
      <c r="H58" s="80">
        <f t="shared" si="7"/>
        <v>240000</v>
      </c>
      <c r="I58" s="81"/>
      <c r="J58" s="76"/>
    </row>
    <row r="59" ht="22.5" customHeight="1">
      <c r="A59" s="76" t="s">
        <v>28</v>
      </c>
      <c r="B59" s="76" t="s">
        <v>111</v>
      </c>
      <c r="C59" s="77" t="s">
        <v>152</v>
      </c>
      <c r="D59" s="78">
        <v>45895.0</v>
      </c>
      <c r="E59" s="77"/>
      <c r="F59" s="77">
        <v>1.0</v>
      </c>
      <c r="G59" s="76">
        <v>125000.0</v>
      </c>
      <c r="H59" s="80">
        <f t="shared" si="7"/>
        <v>125000</v>
      </c>
      <c r="I59" s="81"/>
      <c r="J59" s="76"/>
    </row>
    <row r="60" ht="22.5" customHeight="1">
      <c r="A60" s="76" t="s">
        <v>28</v>
      </c>
      <c r="B60" s="76" t="s">
        <v>111</v>
      </c>
      <c r="C60" s="77" t="s">
        <v>152</v>
      </c>
      <c r="D60" s="78">
        <v>45895.0</v>
      </c>
      <c r="E60" s="77"/>
      <c r="F60" s="77">
        <v>4.0</v>
      </c>
      <c r="G60" s="76">
        <v>30000.0</v>
      </c>
      <c r="H60" s="80">
        <f t="shared" si="7"/>
        <v>120000</v>
      </c>
      <c r="I60" s="81"/>
      <c r="J60" s="76"/>
    </row>
    <row r="61" ht="22.5" customHeight="1">
      <c r="A61" s="76" t="s">
        <v>119</v>
      </c>
      <c r="B61" s="76" t="s">
        <v>176</v>
      </c>
      <c r="C61" s="77" t="s">
        <v>177</v>
      </c>
      <c r="D61" s="78">
        <v>45901.0</v>
      </c>
      <c r="E61" s="77" t="s">
        <v>178</v>
      </c>
      <c r="F61" s="77">
        <v>20.0</v>
      </c>
      <c r="G61" s="76">
        <v>100000.0</v>
      </c>
      <c r="H61" s="80">
        <f t="shared" si="7"/>
        <v>2000000</v>
      </c>
      <c r="I61" s="81"/>
      <c r="J61" s="76" t="s">
        <v>117</v>
      </c>
    </row>
    <row r="62" ht="22.5" customHeight="1">
      <c r="A62" s="76" t="str">
        <f>I65</f>
        <v/>
      </c>
      <c r="B62" s="76" t="s">
        <v>132</v>
      </c>
      <c r="C62" s="77" t="s">
        <v>179</v>
      </c>
      <c r="D62" s="78">
        <v>45919.0</v>
      </c>
      <c r="E62" s="77" t="s">
        <v>180</v>
      </c>
      <c r="F62" s="77">
        <v>1.0</v>
      </c>
      <c r="G62" s="76">
        <v>125000.0</v>
      </c>
      <c r="H62" s="80">
        <f t="shared" si="7"/>
        <v>125000</v>
      </c>
      <c r="I62" s="81"/>
      <c r="J62" s="76" t="s">
        <v>117</v>
      </c>
    </row>
    <row r="63" ht="22.5" customHeight="1">
      <c r="A63" s="76" t="s">
        <v>19</v>
      </c>
      <c r="B63" s="76" t="s">
        <v>181</v>
      </c>
      <c r="C63" s="77" t="s">
        <v>182</v>
      </c>
      <c r="D63" s="78">
        <v>45930.0</v>
      </c>
      <c r="E63" s="77" t="s">
        <v>183</v>
      </c>
      <c r="F63" s="77">
        <v>9.0</v>
      </c>
      <c r="G63" s="76">
        <v>205000.0</v>
      </c>
      <c r="H63" s="80">
        <f t="shared" si="7"/>
        <v>1845000</v>
      </c>
      <c r="I63" s="81"/>
      <c r="J63" s="76" t="s">
        <v>117</v>
      </c>
    </row>
    <row r="64" ht="22.5" customHeight="1">
      <c r="A64" s="76" t="s">
        <v>19</v>
      </c>
      <c r="B64" s="76" t="s">
        <v>181</v>
      </c>
      <c r="C64" s="77" t="s">
        <v>182</v>
      </c>
      <c r="D64" s="78">
        <v>45930.0</v>
      </c>
      <c r="E64" s="76" t="s">
        <v>119</v>
      </c>
      <c r="F64" s="77">
        <v>9.0</v>
      </c>
      <c r="G64" s="76">
        <v>120000.0</v>
      </c>
      <c r="H64" s="80">
        <f t="shared" si="7"/>
        <v>1080000</v>
      </c>
      <c r="I64" s="81"/>
      <c r="J64" s="76" t="s">
        <v>117</v>
      </c>
    </row>
    <row r="65" ht="22.5" customHeight="1">
      <c r="A65" s="76" t="s">
        <v>19</v>
      </c>
      <c r="B65" s="76" t="s">
        <v>181</v>
      </c>
      <c r="C65" s="77" t="s">
        <v>182</v>
      </c>
      <c r="D65" s="78">
        <v>45930.0</v>
      </c>
      <c r="E65" s="76" t="s">
        <v>119</v>
      </c>
      <c r="F65" s="77">
        <v>1.0</v>
      </c>
      <c r="G65" s="76">
        <f>G64</f>
        <v>120000</v>
      </c>
      <c r="H65" s="80">
        <f t="shared" si="7"/>
        <v>120000</v>
      </c>
      <c r="I65" s="81"/>
      <c r="J65" s="76" t="s">
        <v>117</v>
      </c>
    </row>
    <row r="66" ht="22.5" customHeight="1">
      <c r="A66" s="76" t="s">
        <v>19</v>
      </c>
      <c r="B66" s="76" t="s">
        <v>181</v>
      </c>
      <c r="C66" s="77" t="s">
        <v>182</v>
      </c>
      <c r="D66" s="78">
        <v>45930.0</v>
      </c>
      <c r="E66" s="76"/>
      <c r="F66" s="77"/>
      <c r="G66" s="76"/>
      <c r="H66" s="80">
        <f>3209000-H63-H64-H65</f>
        <v>164000</v>
      </c>
      <c r="I66" s="81"/>
      <c r="J66" s="76" t="s">
        <v>117</v>
      </c>
    </row>
    <row r="67" ht="22.5" customHeight="1">
      <c r="A67" s="76" t="str">
        <f>I63</f>
        <v/>
      </c>
      <c r="B67" s="76" t="s">
        <v>132</v>
      </c>
      <c r="C67" s="77" t="s">
        <v>184</v>
      </c>
      <c r="D67" s="78">
        <v>45929.0</v>
      </c>
      <c r="E67" s="77" t="s">
        <v>185</v>
      </c>
      <c r="F67" s="77">
        <v>153.0</v>
      </c>
      <c r="G67" s="76">
        <v>24000.0</v>
      </c>
      <c r="H67" s="80">
        <f t="shared" ref="H67:H72" si="8">F67*G67</f>
        <v>3672000</v>
      </c>
      <c r="I67" s="81"/>
      <c r="J67" s="76" t="s">
        <v>117</v>
      </c>
    </row>
    <row r="68" ht="22.5" customHeight="1">
      <c r="A68" s="76" t="str">
        <f>I80</f>
        <v>UMUM KOMUNITAS</v>
      </c>
      <c r="B68" s="76" t="s">
        <v>119</v>
      </c>
      <c r="C68" s="77" t="s">
        <v>186</v>
      </c>
      <c r="D68" s="78">
        <v>45925.0</v>
      </c>
      <c r="E68" s="77" t="s">
        <v>187</v>
      </c>
      <c r="F68" s="77">
        <v>2.0</v>
      </c>
      <c r="G68" s="76">
        <v>300000.0</v>
      </c>
      <c r="H68" s="80">
        <f t="shared" si="8"/>
        <v>600000</v>
      </c>
      <c r="I68" s="81"/>
      <c r="J68" s="76" t="s">
        <v>117</v>
      </c>
    </row>
    <row r="69" ht="22.5" customHeight="1">
      <c r="A69" s="76" t="str">
        <f t="shared" ref="A69:A70" si="9">A68</f>
        <v>UMUM KOMUNITAS</v>
      </c>
      <c r="B69" s="76" t="s">
        <v>188</v>
      </c>
      <c r="C69" s="77" t="s">
        <v>189</v>
      </c>
      <c r="D69" s="78">
        <v>45922.0</v>
      </c>
      <c r="E69" s="77" t="s">
        <v>190</v>
      </c>
      <c r="F69" s="77">
        <v>38.0</v>
      </c>
      <c r="G69" s="76">
        <v>75000.0</v>
      </c>
      <c r="H69" s="80">
        <f t="shared" si="8"/>
        <v>2850000</v>
      </c>
      <c r="I69" s="81"/>
      <c r="J69" s="76"/>
    </row>
    <row r="70" ht="22.5" customHeight="1">
      <c r="A70" s="76" t="str">
        <f t="shared" si="9"/>
        <v>UMUM KOMUNITAS</v>
      </c>
      <c r="B70" s="76" t="s">
        <v>188</v>
      </c>
      <c r="C70" s="77" t="s">
        <v>189</v>
      </c>
      <c r="D70" s="78">
        <v>45922.0</v>
      </c>
      <c r="E70" s="77" t="s">
        <v>190</v>
      </c>
      <c r="F70" s="77">
        <v>1.0</v>
      </c>
      <c r="G70" s="76">
        <v>85000.0</v>
      </c>
      <c r="H70" s="80">
        <f t="shared" si="8"/>
        <v>85000</v>
      </c>
      <c r="I70" s="81" t="s">
        <v>24</v>
      </c>
      <c r="J70" s="76"/>
    </row>
    <row r="71" ht="22.5" customHeight="1">
      <c r="A71" s="76"/>
      <c r="B71" s="77" t="s">
        <v>191</v>
      </c>
      <c r="C71" s="77" t="s">
        <v>192</v>
      </c>
      <c r="D71" s="78">
        <v>45919.0</v>
      </c>
      <c r="E71" s="77" t="s">
        <v>193</v>
      </c>
      <c r="F71" s="77">
        <v>1.0</v>
      </c>
      <c r="G71" s="76">
        <v>125000.0</v>
      </c>
      <c r="H71" s="80">
        <f t="shared" si="8"/>
        <v>125000</v>
      </c>
      <c r="I71" s="81" t="s">
        <v>25</v>
      </c>
      <c r="J71" s="76"/>
    </row>
    <row r="72" ht="22.5" customHeight="1">
      <c r="A72" s="83" t="str">
        <f>I64</f>
        <v/>
      </c>
      <c r="B72" s="79" t="s">
        <v>194</v>
      </c>
      <c r="C72" s="79" t="s">
        <v>195</v>
      </c>
      <c r="D72" s="84">
        <v>45923.0</v>
      </c>
      <c r="E72" s="79" t="s">
        <v>133</v>
      </c>
      <c r="F72" s="79">
        <v>2.0</v>
      </c>
      <c r="G72" s="85">
        <v>200.0</v>
      </c>
      <c r="H72" s="86">
        <f t="shared" si="8"/>
        <v>400</v>
      </c>
      <c r="I72" s="81" t="s">
        <v>26</v>
      </c>
      <c r="J72" s="76" t="s">
        <v>117</v>
      </c>
    </row>
    <row r="73" ht="22.5" customHeight="1">
      <c r="A73" s="83"/>
      <c r="B73" s="79" t="s">
        <v>149</v>
      </c>
      <c r="C73" s="79" t="s">
        <v>196</v>
      </c>
      <c r="D73" s="84">
        <v>45917.0</v>
      </c>
      <c r="E73" s="79"/>
      <c r="F73" s="79"/>
      <c r="G73" s="85"/>
      <c r="H73" s="76">
        <v>200000.0</v>
      </c>
      <c r="I73" s="81"/>
      <c r="J73" s="76" t="s">
        <v>117</v>
      </c>
    </row>
    <row r="74" ht="22.5" customHeight="1">
      <c r="A74" s="76" t="s">
        <v>25</v>
      </c>
      <c r="B74" s="77" t="s">
        <v>130</v>
      </c>
      <c r="C74" s="77"/>
      <c r="D74" s="78">
        <v>45911.0</v>
      </c>
      <c r="E74" s="77" t="s">
        <v>95</v>
      </c>
      <c r="F74" s="77">
        <v>20.0</v>
      </c>
      <c r="G74" s="76">
        <v>210000.0</v>
      </c>
      <c r="H74" s="80">
        <f t="shared" ref="H74:H76" si="10">F74*G74</f>
        <v>4200000</v>
      </c>
      <c r="I74" s="81" t="s">
        <v>27</v>
      </c>
      <c r="J74" s="76"/>
    </row>
    <row r="75" ht="22.5" customHeight="1">
      <c r="A75" s="76"/>
      <c r="B75" s="77" t="s">
        <v>111</v>
      </c>
      <c r="C75" s="77" t="s">
        <v>197</v>
      </c>
      <c r="D75" s="78">
        <v>45910.0</v>
      </c>
      <c r="E75" s="77" t="s">
        <v>142</v>
      </c>
      <c r="F75" s="77">
        <v>27.0</v>
      </c>
      <c r="G75" s="76">
        <v>200000.0</v>
      </c>
      <c r="H75" s="80">
        <f t="shared" si="10"/>
        <v>5400000</v>
      </c>
      <c r="I75" s="81" t="s">
        <v>28</v>
      </c>
      <c r="J75" s="76" t="s">
        <v>117</v>
      </c>
    </row>
    <row r="76" ht="22.5" customHeight="1">
      <c r="A76" s="76"/>
      <c r="B76" s="77" t="s">
        <v>111</v>
      </c>
      <c r="C76" s="77" t="s">
        <v>197</v>
      </c>
      <c r="D76" s="78">
        <v>45910.0</v>
      </c>
      <c r="E76" s="77" t="s">
        <v>142</v>
      </c>
      <c r="F76" s="77">
        <v>5.0</v>
      </c>
      <c r="G76" s="76">
        <v>210000.0</v>
      </c>
      <c r="H76" s="80">
        <f t="shared" si="10"/>
        <v>1050000</v>
      </c>
      <c r="I76" s="81" t="s">
        <v>29</v>
      </c>
      <c r="J76" s="76" t="s">
        <v>117</v>
      </c>
    </row>
    <row r="77" ht="22.5" customHeight="1">
      <c r="A77" s="76"/>
      <c r="B77" s="77" t="s">
        <v>175</v>
      </c>
      <c r="C77" s="77" t="s">
        <v>198</v>
      </c>
      <c r="D77" s="78">
        <v>45911.0</v>
      </c>
      <c r="E77" s="77" t="s">
        <v>199</v>
      </c>
      <c r="F77" s="77"/>
      <c r="G77" s="76"/>
      <c r="H77" s="76">
        <v>3150000.0</v>
      </c>
      <c r="I77" s="81"/>
      <c r="J77" s="76"/>
    </row>
    <row r="78" ht="22.5" customHeight="1">
      <c r="A78" s="76" t="str">
        <f>I80</f>
        <v>UMUM KOMUNITAS</v>
      </c>
      <c r="B78" s="77" t="s">
        <v>132</v>
      </c>
      <c r="C78" s="77" t="s">
        <v>200</v>
      </c>
      <c r="D78" s="78">
        <v>45909.0</v>
      </c>
      <c r="E78" s="77" t="s">
        <v>201</v>
      </c>
      <c r="F78" s="77">
        <v>6.0</v>
      </c>
      <c r="G78" s="76">
        <v>100000.0</v>
      </c>
      <c r="H78" s="80">
        <f t="shared" ref="H78:H81" si="11">F78*G78</f>
        <v>600000</v>
      </c>
      <c r="I78" s="81" t="s">
        <v>30</v>
      </c>
      <c r="J78" s="76" t="s">
        <v>117</v>
      </c>
    </row>
    <row r="79" ht="22.5" customHeight="1">
      <c r="A79" s="76" t="s">
        <v>119</v>
      </c>
      <c r="B79" s="76" t="s">
        <v>132</v>
      </c>
      <c r="C79" s="77" t="s">
        <v>202</v>
      </c>
      <c r="D79" s="78">
        <v>45904.0</v>
      </c>
      <c r="E79" s="77" t="s">
        <v>203</v>
      </c>
      <c r="F79" s="77">
        <v>2.0</v>
      </c>
      <c r="G79" s="76">
        <v>135000.0</v>
      </c>
      <c r="H79" s="80">
        <f t="shared" si="11"/>
        <v>270000</v>
      </c>
      <c r="I79" s="81" t="s">
        <v>31</v>
      </c>
      <c r="J79" s="76" t="s">
        <v>117</v>
      </c>
    </row>
    <row r="80" ht="22.5" customHeight="1">
      <c r="A80" s="76" t="s">
        <v>119</v>
      </c>
      <c r="B80" s="77" t="s">
        <v>204</v>
      </c>
      <c r="C80" s="77" t="s">
        <v>204</v>
      </c>
      <c r="D80" s="78">
        <v>45902.0</v>
      </c>
      <c r="E80" s="77" t="s">
        <v>205</v>
      </c>
      <c r="F80" s="77">
        <v>9.0</v>
      </c>
      <c r="G80" s="76">
        <v>105000.0</v>
      </c>
      <c r="H80" s="80">
        <f t="shared" si="11"/>
        <v>945000</v>
      </c>
      <c r="I80" s="81" t="s">
        <v>32</v>
      </c>
      <c r="J80" s="76"/>
    </row>
    <row r="81" ht="22.5" customHeight="1">
      <c r="A81" s="76" t="s">
        <v>119</v>
      </c>
      <c r="B81" s="77" t="s">
        <v>204</v>
      </c>
      <c r="C81" s="77" t="s">
        <v>204</v>
      </c>
      <c r="D81" s="78">
        <v>45902.0</v>
      </c>
      <c r="E81" s="77" t="s">
        <v>205</v>
      </c>
      <c r="F81" s="77">
        <v>2.0</v>
      </c>
      <c r="G81" s="76">
        <v>115000.0</v>
      </c>
      <c r="H81" s="80">
        <f t="shared" si="11"/>
        <v>230000</v>
      </c>
      <c r="I81" s="81"/>
      <c r="J81" s="76"/>
    </row>
    <row r="82" ht="22.5" customHeight="1">
      <c r="A82" s="76"/>
      <c r="B82" s="77" t="s">
        <v>206</v>
      </c>
      <c r="C82" s="77" t="s">
        <v>207</v>
      </c>
      <c r="D82" s="78">
        <v>45903.0</v>
      </c>
      <c r="E82" s="77" t="s">
        <v>208</v>
      </c>
      <c r="F82" s="77"/>
      <c r="G82" s="76"/>
      <c r="H82" s="76">
        <v>4700000.0</v>
      </c>
      <c r="I82" s="81"/>
      <c r="J82" s="76" t="s">
        <v>117</v>
      </c>
    </row>
    <row r="83" ht="22.5" customHeight="1">
      <c r="A83" s="76" t="s">
        <v>119</v>
      </c>
      <c r="B83" s="77" t="s">
        <v>204</v>
      </c>
      <c r="C83" s="77" t="s">
        <v>204</v>
      </c>
      <c r="D83" s="78">
        <v>45902.0</v>
      </c>
      <c r="E83" s="77" t="s">
        <v>205</v>
      </c>
      <c r="F83" s="77">
        <v>1.0</v>
      </c>
      <c r="G83" s="76">
        <v>135000.0</v>
      </c>
      <c r="H83" s="80">
        <f t="shared" ref="H83:H94" si="12">F83*G83</f>
        <v>135000</v>
      </c>
      <c r="I83" s="81"/>
      <c r="J83" s="76"/>
    </row>
    <row r="84" ht="22.5" customHeight="1">
      <c r="A84" s="76" t="s">
        <v>119</v>
      </c>
      <c r="B84" s="77" t="s">
        <v>204</v>
      </c>
      <c r="C84" s="77" t="s">
        <v>204</v>
      </c>
      <c r="D84" s="78">
        <v>45902.0</v>
      </c>
      <c r="E84" s="77" t="s">
        <v>205</v>
      </c>
      <c r="F84" s="77">
        <v>30.0</v>
      </c>
      <c r="G84" s="76">
        <v>150000.0</v>
      </c>
      <c r="H84" s="80">
        <f t="shared" si="12"/>
        <v>4500000</v>
      </c>
      <c r="I84" s="81"/>
      <c r="J84" s="76"/>
    </row>
    <row r="85" ht="22.5" customHeight="1">
      <c r="A85" s="76" t="s">
        <v>119</v>
      </c>
      <c r="B85" s="77" t="s">
        <v>204</v>
      </c>
      <c r="C85" s="77" t="s">
        <v>204</v>
      </c>
      <c r="D85" s="78">
        <v>45902.0</v>
      </c>
      <c r="E85" s="77" t="s">
        <v>205</v>
      </c>
      <c r="F85" s="77">
        <v>32.0</v>
      </c>
      <c r="G85" s="76">
        <v>115000.0</v>
      </c>
      <c r="H85" s="80">
        <f t="shared" si="12"/>
        <v>3680000</v>
      </c>
      <c r="I85" s="81"/>
      <c r="J85" s="76"/>
    </row>
    <row r="86" ht="22.5" customHeight="1">
      <c r="A86" s="76" t="s">
        <v>119</v>
      </c>
      <c r="B86" s="77" t="s">
        <v>204</v>
      </c>
      <c r="C86" s="77" t="s">
        <v>204</v>
      </c>
      <c r="D86" s="78">
        <v>45902.0</v>
      </c>
      <c r="E86" s="77" t="s">
        <v>205</v>
      </c>
      <c r="F86" s="77">
        <v>9.0</v>
      </c>
      <c r="G86" s="76">
        <v>105000.0</v>
      </c>
      <c r="H86" s="80">
        <f t="shared" si="12"/>
        <v>945000</v>
      </c>
      <c r="I86" s="81"/>
      <c r="J86" s="76"/>
    </row>
    <row r="87" ht="22.5" customHeight="1">
      <c r="A87" s="76" t="s">
        <v>119</v>
      </c>
      <c r="B87" s="77" t="s">
        <v>204</v>
      </c>
      <c r="C87" s="77" t="s">
        <v>204</v>
      </c>
      <c r="D87" s="78">
        <v>45902.0</v>
      </c>
      <c r="E87" s="77" t="s">
        <v>205</v>
      </c>
      <c r="F87" s="77">
        <v>1.0</v>
      </c>
      <c r="G87" s="76">
        <v>135000.0</v>
      </c>
      <c r="H87" s="80">
        <f t="shared" si="12"/>
        <v>135000</v>
      </c>
      <c r="I87" s="81"/>
      <c r="J87" s="76"/>
    </row>
    <row r="88" ht="22.5" customHeight="1">
      <c r="A88" s="76" t="s">
        <v>119</v>
      </c>
      <c r="B88" s="77" t="s">
        <v>204</v>
      </c>
      <c r="C88" s="77" t="s">
        <v>204</v>
      </c>
      <c r="D88" s="78">
        <f t="shared" ref="D88:E88" si="13">D85</f>
        <v>45902</v>
      </c>
      <c r="E88" s="77" t="str">
        <f t="shared" si="13"/>
        <v>Seragam SA dan Mekanik Custom</v>
      </c>
      <c r="F88" s="77">
        <v>30.0</v>
      </c>
      <c r="G88" s="76">
        <v>150000.0</v>
      </c>
      <c r="H88" s="80">
        <f t="shared" si="12"/>
        <v>4500000</v>
      </c>
      <c r="I88" s="81"/>
      <c r="J88" s="76"/>
    </row>
    <row r="89" ht="22.5" customHeight="1">
      <c r="A89" s="76" t="s">
        <v>119</v>
      </c>
      <c r="B89" s="76" t="s">
        <v>130</v>
      </c>
      <c r="C89" s="77" t="s">
        <v>209</v>
      </c>
      <c r="D89" s="78">
        <v>45901.0</v>
      </c>
      <c r="E89" s="77" t="s">
        <v>210</v>
      </c>
      <c r="F89" s="77">
        <v>20.0</v>
      </c>
      <c r="G89" s="76">
        <v>200000.0</v>
      </c>
      <c r="H89" s="80">
        <f t="shared" si="12"/>
        <v>4000000</v>
      </c>
      <c r="I89" s="81"/>
      <c r="J89" s="76" t="s">
        <v>117</v>
      </c>
    </row>
    <row r="90" ht="22.5" customHeight="1">
      <c r="A90" s="76" t="s">
        <v>119</v>
      </c>
      <c r="B90" s="76" t="s">
        <v>111</v>
      </c>
      <c r="C90" s="77" t="s">
        <v>211</v>
      </c>
      <c r="D90" s="78">
        <v>45901.0</v>
      </c>
      <c r="E90" s="77" t="s">
        <v>212</v>
      </c>
      <c r="F90" s="77">
        <v>30.0</v>
      </c>
      <c r="G90" s="76">
        <v>125000.0</v>
      </c>
      <c r="H90" s="80">
        <f t="shared" si="12"/>
        <v>3750000</v>
      </c>
      <c r="I90" s="81"/>
      <c r="J90" s="76" t="s">
        <v>117</v>
      </c>
    </row>
    <row r="91" ht="22.5" customHeight="1">
      <c r="A91" s="76" t="s">
        <v>119</v>
      </c>
      <c r="B91" s="76" t="s">
        <v>111</v>
      </c>
      <c r="C91" s="77" t="s">
        <v>211</v>
      </c>
      <c r="D91" s="78">
        <v>45901.0</v>
      </c>
      <c r="E91" s="77" t="s">
        <v>212</v>
      </c>
      <c r="F91" s="77">
        <v>1.0</v>
      </c>
      <c r="G91" s="76">
        <v>135000.0</v>
      </c>
      <c r="H91" s="80">
        <f t="shared" si="12"/>
        <v>135000</v>
      </c>
      <c r="I91" s="81"/>
      <c r="J91" s="76" t="s">
        <v>117</v>
      </c>
    </row>
    <row r="92" ht="22.5" customHeight="1">
      <c r="A92" s="76" t="s">
        <v>119</v>
      </c>
      <c r="B92" s="76" t="s">
        <v>111</v>
      </c>
      <c r="C92" s="77" t="s">
        <v>211</v>
      </c>
      <c r="D92" s="78">
        <v>45901.0</v>
      </c>
      <c r="E92" s="77" t="s">
        <v>212</v>
      </c>
      <c r="F92" s="77">
        <v>27.0</v>
      </c>
      <c r="G92" s="76">
        <v>145000.0</v>
      </c>
      <c r="H92" s="80">
        <f t="shared" si="12"/>
        <v>3915000</v>
      </c>
      <c r="I92" s="81"/>
      <c r="J92" s="76" t="s">
        <v>117</v>
      </c>
    </row>
    <row r="93" ht="22.5" customHeight="1">
      <c r="A93" s="76" t="s">
        <v>119</v>
      </c>
      <c r="B93" s="76" t="s">
        <v>111</v>
      </c>
      <c r="C93" s="77" t="s">
        <v>211</v>
      </c>
      <c r="D93" s="78">
        <v>45901.0</v>
      </c>
      <c r="E93" s="77" t="s">
        <v>212</v>
      </c>
      <c r="F93" s="77">
        <v>1.0</v>
      </c>
      <c r="G93" s="76">
        <v>155000.0</v>
      </c>
      <c r="H93" s="80">
        <f t="shared" si="12"/>
        <v>155000</v>
      </c>
      <c r="I93" s="81"/>
      <c r="J93" s="76" t="s">
        <v>117</v>
      </c>
    </row>
    <row r="94" ht="22.5" customHeight="1">
      <c r="A94" s="76" t="s">
        <v>119</v>
      </c>
      <c r="B94" s="76" t="s">
        <v>111</v>
      </c>
      <c r="C94" s="77" t="s">
        <v>152</v>
      </c>
      <c r="D94" s="78">
        <v>45905.0</v>
      </c>
      <c r="E94" s="77" t="s">
        <v>174</v>
      </c>
      <c r="F94" s="77">
        <v>102.0</v>
      </c>
      <c r="G94" s="76">
        <v>185000.0</v>
      </c>
      <c r="H94" s="80">
        <f t="shared" si="12"/>
        <v>18870000</v>
      </c>
      <c r="I94" s="81"/>
      <c r="J94" s="76"/>
    </row>
    <row r="95" ht="22.5" customHeight="1">
      <c r="A95" s="76" t="s">
        <v>119</v>
      </c>
      <c r="B95" s="76" t="s">
        <v>213</v>
      </c>
      <c r="C95" s="77" t="s">
        <v>214</v>
      </c>
      <c r="D95" s="78">
        <v>45913.0</v>
      </c>
      <c r="E95" s="77" t="s">
        <v>83</v>
      </c>
      <c r="F95" s="77"/>
      <c r="G95" s="76"/>
      <c r="H95" s="76">
        <v>2175000.0</v>
      </c>
      <c r="I95" s="81"/>
      <c r="J95" s="76" t="s">
        <v>117</v>
      </c>
    </row>
    <row r="96" ht="22.5" customHeight="1">
      <c r="A96" s="76"/>
      <c r="B96" s="76" t="s">
        <v>188</v>
      </c>
      <c r="C96" s="77" t="s">
        <v>215</v>
      </c>
      <c r="D96" s="78">
        <v>45922.0</v>
      </c>
      <c r="E96" s="77"/>
      <c r="F96" s="77"/>
      <c r="G96" s="76"/>
      <c r="H96" s="76">
        <v>2935000.0</v>
      </c>
      <c r="I96" s="81"/>
      <c r="J96" s="76"/>
    </row>
    <row r="97" ht="22.5" customHeight="1">
      <c r="A97" s="76" t="s">
        <v>25</v>
      </c>
      <c r="B97" s="76" t="s">
        <v>130</v>
      </c>
      <c r="C97" s="77" t="s">
        <v>216</v>
      </c>
      <c r="D97" s="78">
        <v>45926.0</v>
      </c>
      <c r="E97" s="77"/>
      <c r="F97" s="77"/>
      <c r="G97" s="76"/>
      <c r="H97" s="76">
        <v>220000.0</v>
      </c>
      <c r="I97" s="81"/>
      <c r="J97" s="76" t="s">
        <v>117</v>
      </c>
    </row>
    <row r="98" ht="22.5" customHeight="1">
      <c r="A98" s="76"/>
      <c r="B98" s="76"/>
      <c r="C98" s="77"/>
      <c r="D98" s="78"/>
      <c r="E98" s="77"/>
      <c r="F98" s="77"/>
      <c r="G98" s="76"/>
      <c r="H98" s="76"/>
      <c r="I98" s="81"/>
      <c r="J98" s="76"/>
    </row>
    <row r="99" ht="22.5" customHeight="1">
      <c r="A99" s="76"/>
      <c r="B99" s="76"/>
      <c r="C99" s="77"/>
      <c r="D99" s="78"/>
      <c r="E99" s="77"/>
      <c r="F99" s="77"/>
      <c r="G99" s="76"/>
      <c r="H99" s="76"/>
      <c r="I99" s="81"/>
      <c r="J99" s="76"/>
    </row>
    <row r="100" ht="22.5" customHeight="1">
      <c r="A100" s="76" t="s">
        <v>24</v>
      </c>
      <c r="B100" s="77" t="s">
        <v>217</v>
      </c>
      <c r="C100" s="77" t="s">
        <v>218</v>
      </c>
      <c r="D100" s="78">
        <v>45936.0</v>
      </c>
      <c r="E100" s="77" t="s">
        <v>219</v>
      </c>
      <c r="F100" s="77">
        <v>12.0</v>
      </c>
      <c r="G100" s="76">
        <v>215000.0</v>
      </c>
      <c r="H100" s="80">
        <f>F100*G100</f>
        <v>2580000</v>
      </c>
      <c r="I100" s="76"/>
      <c r="J100" s="76" t="s">
        <v>117</v>
      </c>
    </row>
    <row r="101" ht="22.5" customHeight="1">
      <c r="A101" s="76"/>
      <c r="B101" s="77" t="s">
        <v>220</v>
      </c>
      <c r="C101" s="77"/>
      <c r="D101" s="78">
        <v>45938.0</v>
      </c>
      <c r="E101" s="77"/>
      <c r="F101" s="77"/>
      <c r="G101" s="76"/>
      <c r="H101" s="76">
        <v>3300000.0</v>
      </c>
      <c r="I101" s="76"/>
      <c r="J101" s="76" t="s">
        <v>117</v>
      </c>
    </row>
    <row r="102" ht="22.5" customHeight="1">
      <c r="A102" s="76"/>
      <c r="B102" s="77"/>
      <c r="C102" s="77" t="s">
        <v>221</v>
      </c>
      <c r="D102" s="78">
        <v>45939.0</v>
      </c>
      <c r="E102" s="77" t="s">
        <v>222</v>
      </c>
      <c r="F102" s="77"/>
      <c r="G102" s="76"/>
      <c r="H102" s="76">
        <v>1.042E7</v>
      </c>
      <c r="I102" s="76"/>
      <c r="J102" s="76" t="s">
        <v>117</v>
      </c>
    </row>
    <row r="103" ht="22.5" customHeight="1">
      <c r="A103" s="76"/>
      <c r="B103" s="77"/>
      <c r="C103" s="77" t="s">
        <v>223</v>
      </c>
      <c r="D103" s="78">
        <v>45941.0</v>
      </c>
      <c r="E103" s="77"/>
      <c r="F103" s="77"/>
      <c r="G103" s="76"/>
      <c r="H103" s="76">
        <v>60000.0</v>
      </c>
      <c r="I103" s="76"/>
      <c r="J103" s="76" t="s">
        <v>117</v>
      </c>
    </row>
    <row r="104" ht="22.5" customHeight="1">
      <c r="A104" s="76"/>
      <c r="B104" s="77" t="s">
        <v>213</v>
      </c>
      <c r="C104" s="77" t="s">
        <v>224</v>
      </c>
      <c r="D104" s="78">
        <v>45943.0</v>
      </c>
      <c r="E104" s="77"/>
      <c r="F104" s="77"/>
      <c r="G104" s="76"/>
      <c r="H104" s="76">
        <v>4248000.0</v>
      </c>
      <c r="I104" s="76"/>
      <c r="J104" s="76" t="s">
        <v>117</v>
      </c>
    </row>
    <row r="105" ht="22.5" customHeight="1">
      <c r="A105" s="76" t="s">
        <v>119</v>
      </c>
      <c r="B105" s="76" t="s">
        <v>119</v>
      </c>
      <c r="C105" s="77" t="s">
        <v>225</v>
      </c>
      <c r="D105" s="78">
        <v>45945.0</v>
      </c>
      <c r="E105" s="77" t="s">
        <v>226</v>
      </c>
      <c r="F105" s="77">
        <v>16.0</v>
      </c>
      <c r="G105" s="76">
        <v>200000.0</v>
      </c>
      <c r="H105" s="80">
        <f t="shared" ref="H105:H106" si="14">F105*G105</f>
        <v>3200000</v>
      </c>
      <c r="I105" s="76"/>
      <c r="J105" s="76" t="s">
        <v>117</v>
      </c>
    </row>
    <row r="106" ht="22.5" customHeight="1">
      <c r="A106" s="76"/>
      <c r="B106" s="76"/>
      <c r="C106" s="77" t="s">
        <v>221</v>
      </c>
      <c r="D106" s="78">
        <v>45945.0</v>
      </c>
      <c r="E106" s="77" t="s">
        <v>93</v>
      </c>
      <c r="F106" s="77">
        <v>40.0</v>
      </c>
      <c r="G106" s="76">
        <v>35000.0</v>
      </c>
      <c r="H106" s="80">
        <f t="shared" si="14"/>
        <v>1400000</v>
      </c>
      <c r="I106" s="76">
        <f>H105+H106</f>
        <v>4600000</v>
      </c>
      <c r="J106" s="76" t="s">
        <v>117</v>
      </c>
    </row>
    <row r="107" ht="22.5" customHeight="1">
      <c r="A107" s="76"/>
      <c r="B107" s="76" t="s">
        <v>111</v>
      </c>
      <c r="C107" s="77" t="s">
        <v>227</v>
      </c>
      <c r="D107" s="78">
        <v>45946.0</v>
      </c>
      <c r="E107" s="77"/>
      <c r="F107" s="77"/>
      <c r="G107" s="76"/>
      <c r="H107" s="76">
        <v>1.303E7</v>
      </c>
      <c r="I107" s="76"/>
      <c r="J107" s="76" t="s">
        <v>117</v>
      </c>
    </row>
    <row r="108" ht="22.5" customHeight="1">
      <c r="A108" s="76"/>
      <c r="B108" s="76"/>
      <c r="C108" s="77" t="s">
        <v>228</v>
      </c>
      <c r="D108" s="78">
        <v>45947.0</v>
      </c>
      <c r="E108" s="77"/>
      <c r="F108" s="77"/>
      <c r="G108" s="76"/>
      <c r="H108" s="76">
        <v>4525000.0</v>
      </c>
      <c r="I108" s="76"/>
      <c r="J108" s="76" t="s">
        <v>117</v>
      </c>
    </row>
    <row r="109" ht="22.5" customHeight="1">
      <c r="A109" s="76" t="s">
        <v>119</v>
      </c>
      <c r="B109" s="76" t="s">
        <v>229</v>
      </c>
      <c r="C109" s="77" t="s">
        <v>230</v>
      </c>
      <c r="D109" s="78">
        <v>45950.0</v>
      </c>
      <c r="E109" s="77" t="s">
        <v>231</v>
      </c>
      <c r="F109" s="77">
        <v>17.0</v>
      </c>
      <c r="G109" s="76">
        <v>210000.0</v>
      </c>
      <c r="H109" s="80">
        <f t="shared" ref="H109:H119" si="15">F109*G109</f>
        <v>3570000</v>
      </c>
      <c r="I109" s="76"/>
      <c r="J109" s="76" t="s">
        <v>117</v>
      </c>
    </row>
    <row r="110" ht="22.5" customHeight="1">
      <c r="A110" s="76" t="s">
        <v>119</v>
      </c>
      <c r="B110" s="76" t="s">
        <v>229</v>
      </c>
      <c r="C110" s="77" t="s">
        <v>230</v>
      </c>
      <c r="D110" s="78">
        <v>45950.0</v>
      </c>
      <c r="E110" s="77" t="s">
        <v>231</v>
      </c>
      <c r="F110" s="77">
        <v>2.0</v>
      </c>
      <c r="G110" s="76">
        <v>230000.0</v>
      </c>
      <c r="H110" s="80">
        <f t="shared" si="15"/>
        <v>460000</v>
      </c>
      <c r="I110" s="76"/>
      <c r="J110" s="76" t="s">
        <v>117</v>
      </c>
    </row>
    <row r="111" ht="22.5" customHeight="1">
      <c r="A111" s="76" t="s">
        <v>119</v>
      </c>
      <c r="B111" s="76" t="s">
        <v>229</v>
      </c>
      <c r="C111" s="77" t="s">
        <v>230</v>
      </c>
      <c r="D111" s="78">
        <v>45950.0</v>
      </c>
      <c r="E111" s="77" t="s">
        <v>231</v>
      </c>
      <c r="F111" s="77">
        <v>1.0</v>
      </c>
      <c r="G111" s="76">
        <v>240000.0</v>
      </c>
      <c r="H111" s="80">
        <f t="shared" si="15"/>
        <v>240000</v>
      </c>
      <c r="I111" s="76">
        <f>sum(H109:H111)</f>
        <v>4270000</v>
      </c>
      <c r="J111" s="76" t="s">
        <v>117</v>
      </c>
    </row>
    <row r="112" ht="22.5" customHeight="1">
      <c r="A112" s="76" t="s">
        <v>31</v>
      </c>
      <c r="B112" s="76" t="s">
        <v>213</v>
      </c>
      <c r="C112" s="77" t="s">
        <v>232</v>
      </c>
      <c r="D112" s="78">
        <v>45952.0</v>
      </c>
      <c r="E112" s="77" t="s">
        <v>233</v>
      </c>
      <c r="F112" s="77">
        <v>21.0</v>
      </c>
      <c r="G112" s="76">
        <v>240000.0</v>
      </c>
      <c r="H112" s="80">
        <f t="shared" si="15"/>
        <v>5040000</v>
      </c>
      <c r="I112" s="76"/>
      <c r="J112" s="76" t="s">
        <v>117</v>
      </c>
    </row>
    <row r="113" ht="22.5" customHeight="1">
      <c r="A113" s="76" t="s">
        <v>31</v>
      </c>
      <c r="B113" s="76" t="s">
        <v>213</v>
      </c>
      <c r="C113" s="77" t="s">
        <v>232</v>
      </c>
      <c r="D113" s="78">
        <v>45952.0</v>
      </c>
      <c r="E113" s="77" t="s">
        <v>233</v>
      </c>
      <c r="F113" s="77">
        <v>2.0</v>
      </c>
      <c r="G113" s="76">
        <v>250000.0</v>
      </c>
      <c r="H113" s="80">
        <f t="shared" si="15"/>
        <v>500000</v>
      </c>
      <c r="I113" s="76"/>
      <c r="J113" s="76" t="s">
        <v>117</v>
      </c>
    </row>
    <row r="114" ht="22.5" customHeight="1">
      <c r="A114" s="76" t="s">
        <v>31</v>
      </c>
      <c r="B114" s="76" t="s">
        <v>213</v>
      </c>
      <c r="C114" s="77" t="s">
        <v>232</v>
      </c>
      <c r="D114" s="78">
        <v>45952.0</v>
      </c>
      <c r="E114" s="77" t="s">
        <v>234</v>
      </c>
      <c r="F114" s="77">
        <v>9.0</v>
      </c>
      <c r="G114" s="76">
        <v>240000.0</v>
      </c>
      <c r="H114" s="80">
        <f t="shared" si="15"/>
        <v>2160000</v>
      </c>
      <c r="I114" s="76"/>
      <c r="J114" s="76" t="s">
        <v>117</v>
      </c>
    </row>
    <row r="115" ht="22.5" customHeight="1">
      <c r="A115" s="76" t="s">
        <v>31</v>
      </c>
      <c r="B115" s="76" t="s">
        <v>213</v>
      </c>
      <c r="C115" s="77" t="s">
        <v>232</v>
      </c>
      <c r="D115" s="78">
        <v>45952.0</v>
      </c>
      <c r="E115" s="77" t="s">
        <v>234</v>
      </c>
      <c r="F115" s="77">
        <v>4.0</v>
      </c>
      <c r="G115" s="76">
        <v>250000.0</v>
      </c>
      <c r="H115" s="80">
        <f t="shared" si="15"/>
        <v>1000000</v>
      </c>
      <c r="I115" s="76"/>
      <c r="J115" s="76" t="s">
        <v>117</v>
      </c>
    </row>
    <row r="116" ht="22.5" customHeight="1">
      <c r="A116" s="76" t="s">
        <v>31</v>
      </c>
      <c r="B116" s="76" t="s">
        <v>213</v>
      </c>
      <c r="C116" s="77" t="s">
        <v>232</v>
      </c>
      <c r="D116" s="78">
        <v>45952.0</v>
      </c>
      <c r="E116" s="77" t="s">
        <v>235</v>
      </c>
      <c r="F116" s="77">
        <v>6.0</v>
      </c>
      <c r="G116" s="76">
        <v>190000.0</v>
      </c>
      <c r="H116" s="80">
        <f t="shared" si="15"/>
        <v>1140000</v>
      </c>
      <c r="I116" s="76"/>
      <c r="J116" s="76" t="s">
        <v>117</v>
      </c>
    </row>
    <row r="117" ht="22.5" customHeight="1">
      <c r="A117" s="76" t="s">
        <v>31</v>
      </c>
      <c r="B117" s="76" t="s">
        <v>213</v>
      </c>
      <c r="C117" s="77" t="s">
        <v>232</v>
      </c>
      <c r="D117" s="78">
        <v>45952.0</v>
      </c>
      <c r="E117" s="77" t="s">
        <v>236</v>
      </c>
      <c r="F117" s="77">
        <v>4.0</v>
      </c>
      <c r="G117" s="76">
        <v>235000.0</v>
      </c>
      <c r="H117" s="80">
        <f t="shared" si="15"/>
        <v>940000</v>
      </c>
      <c r="I117" s="76">
        <f>sum(H112:H117)</f>
        <v>10780000</v>
      </c>
      <c r="J117" s="76" t="s">
        <v>117</v>
      </c>
    </row>
    <row r="118" ht="22.5" customHeight="1">
      <c r="A118" s="76" t="s">
        <v>119</v>
      </c>
      <c r="B118" s="76" t="s">
        <v>188</v>
      </c>
      <c r="C118" s="77" t="s">
        <v>215</v>
      </c>
      <c r="D118" s="78">
        <v>45954.0</v>
      </c>
      <c r="E118" s="77" t="s">
        <v>237</v>
      </c>
      <c r="F118" s="77">
        <v>22.0</v>
      </c>
      <c r="G118" s="76">
        <v>120000.0</v>
      </c>
      <c r="H118" s="80">
        <f t="shared" si="15"/>
        <v>2640000</v>
      </c>
      <c r="I118" s="76"/>
      <c r="J118" s="76" t="s">
        <v>117</v>
      </c>
    </row>
    <row r="119" ht="22.5" customHeight="1">
      <c r="A119" s="76" t="s">
        <v>119</v>
      </c>
      <c r="B119" s="76" t="s">
        <v>188</v>
      </c>
      <c r="C119" s="77" t="s">
        <v>215</v>
      </c>
      <c r="D119" s="78">
        <v>45954.0</v>
      </c>
      <c r="E119" s="77" t="s">
        <v>237</v>
      </c>
      <c r="F119" s="77">
        <v>1.0</v>
      </c>
      <c r="G119" s="76">
        <v>130000.0</v>
      </c>
      <c r="H119" s="80">
        <f t="shared" si="15"/>
        <v>130000</v>
      </c>
      <c r="I119" s="76"/>
      <c r="J119" s="76" t="s">
        <v>117</v>
      </c>
    </row>
    <row r="120" ht="22.5" customHeight="1">
      <c r="A120" s="76"/>
      <c r="B120" s="76"/>
      <c r="C120" s="77" t="s">
        <v>238</v>
      </c>
      <c r="D120" s="78">
        <v>45954.0</v>
      </c>
      <c r="E120" s="77" t="s">
        <v>239</v>
      </c>
      <c r="F120" s="77"/>
      <c r="G120" s="76"/>
      <c r="H120" s="80">
        <f>2814000-H118-H119</f>
        <v>44000</v>
      </c>
      <c r="I120" s="76">
        <f>sum(H118:H120)</f>
        <v>2814000</v>
      </c>
      <c r="J120" s="76" t="s">
        <v>117</v>
      </c>
    </row>
    <row r="121" ht="22.5" customHeight="1">
      <c r="A121" s="76"/>
      <c r="B121" s="76"/>
      <c r="C121" s="77" t="s">
        <v>240</v>
      </c>
      <c r="D121" s="78">
        <v>46323.0</v>
      </c>
      <c r="E121" s="77"/>
      <c r="F121" s="77"/>
      <c r="G121" s="76"/>
      <c r="H121" s="76">
        <v>7790000.0</v>
      </c>
      <c r="I121" s="76"/>
      <c r="J121" s="76" t="s">
        <v>117</v>
      </c>
    </row>
    <row r="122" ht="22.5" customHeight="1">
      <c r="A122" s="76" t="s">
        <v>119</v>
      </c>
      <c r="B122" s="76" t="s">
        <v>119</v>
      </c>
      <c r="C122" s="77" t="s">
        <v>241</v>
      </c>
      <c r="D122" s="78">
        <v>45961.0</v>
      </c>
      <c r="E122" s="77" t="s">
        <v>242</v>
      </c>
      <c r="F122" s="77">
        <v>11.0</v>
      </c>
      <c r="G122" s="76">
        <v>105000.0</v>
      </c>
      <c r="H122" s="80">
        <f t="shared" ref="H122:H138" si="16">F122*G122</f>
        <v>1155000</v>
      </c>
      <c r="I122" s="76"/>
      <c r="J122" s="76" t="s">
        <v>117</v>
      </c>
    </row>
    <row r="123" ht="22.5" customHeight="1">
      <c r="A123" s="76" t="s">
        <v>119</v>
      </c>
      <c r="B123" s="76" t="s">
        <v>119</v>
      </c>
      <c r="C123" s="77" t="s">
        <v>241</v>
      </c>
      <c r="D123" s="78">
        <v>45961.0</v>
      </c>
      <c r="E123" s="77" t="s">
        <v>242</v>
      </c>
      <c r="F123" s="77">
        <v>8.0</v>
      </c>
      <c r="G123" s="76">
        <v>110000.0</v>
      </c>
      <c r="H123" s="80">
        <f t="shared" si="16"/>
        <v>880000</v>
      </c>
      <c r="I123" s="76"/>
      <c r="J123" s="76" t="s">
        <v>117</v>
      </c>
    </row>
    <row r="124" ht="22.5" customHeight="1">
      <c r="A124" s="76" t="s">
        <v>119</v>
      </c>
      <c r="B124" s="77"/>
      <c r="C124" s="77" t="s">
        <v>241</v>
      </c>
      <c r="D124" s="78">
        <v>45961.0</v>
      </c>
      <c r="E124" s="77" t="s">
        <v>242</v>
      </c>
      <c r="F124" s="77">
        <v>2.0</v>
      </c>
      <c r="G124" s="76">
        <v>120000.0</v>
      </c>
      <c r="H124" s="80">
        <f t="shared" si="16"/>
        <v>240000</v>
      </c>
      <c r="I124" s="76">
        <f>sum(H122:H124)</f>
        <v>2275000</v>
      </c>
      <c r="J124" s="76" t="s">
        <v>117</v>
      </c>
    </row>
    <row r="125" ht="22.5" customHeight="1">
      <c r="A125" s="76" t="s">
        <v>119</v>
      </c>
      <c r="B125" s="87" t="s">
        <v>243</v>
      </c>
      <c r="C125" s="87" t="s">
        <v>244</v>
      </c>
      <c r="D125" s="88" t="s">
        <v>245</v>
      </c>
      <c r="E125" s="79" t="s">
        <v>246</v>
      </c>
      <c r="F125" s="77">
        <v>1.0</v>
      </c>
      <c r="G125" s="76">
        <v>130000.0</v>
      </c>
      <c r="H125" s="80">
        <f t="shared" si="16"/>
        <v>130000</v>
      </c>
      <c r="I125" s="76" t="s">
        <v>21</v>
      </c>
      <c r="J125" s="76" t="s">
        <v>117</v>
      </c>
    </row>
    <row r="126" ht="22.5" customHeight="1">
      <c r="A126" s="76" t="s">
        <v>119</v>
      </c>
      <c r="B126" s="76" t="s">
        <v>213</v>
      </c>
      <c r="C126" s="87" t="s">
        <v>224</v>
      </c>
      <c r="D126" s="84">
        <v>45973.0</v>
      </c>
      <c r="E126" s="79" t="s">
        <v>142</v>
      </c>
      <c r="F126" s="77">
        <v>57.0</v>
      </c>
      <c r="G126" s="76">
        <v>170000.0</v>
      </c>
      <c r="H126" s="80">
        <f t="shared" si="16"/>
        <v>9690000</v>
      </c>
      <c r="I126" s="76"/>
      <c r="J126" s="76" t="s">
        <v>117</v>
      </c>
    </row>
    <row r="127" ht="22.5" customHeight="1">
      <c r="A127" s="76" t="s">
        <v>119</v>
      </c>
      <c r="B127" s="76" t="s">
        <v>213</v>
      </c>
      <c r="C127" s="87" t="s">
        <v>224</v>
      </c>
      <c r="D127" s="84">
        <v>45973.0</v>
      </c>
      <c r="E127" s="79" t="s">
        <v>142</v>
      </c>
      <c r="F127" s="77">
        <v>3.0</v>
      </c>
      <c r="G127" s="76">
        <v>180000.0</v>
      </c>
      <c r="H127" s="80">
        <f t="shared" si="16"/>
        <v>540000</v>
      </c>
      <c r="I127" s="76">
        <f>H126+H127</f>
        <v>10230000</v>
      </c>
      <c r="J127" s="76" t="s">
        <v>117</v>
      </c>
    </row>
    <row r="128" ht="22.5" customHeight="1">
      <c r="A128" s="76" t="s">
        <v>119</v>
      </c>
      <c r="B128" s="76" t="s">
        <v>119</v>
      </c>
      <c r="C128" s="87" t="s">
        <v>247</v>
      </c>
      <c r="D128" s="79" t="s">
        <v>248</v>
      </c>
      <c r="E128" s="79" t="s">
        <v>249</v>
      </c>
      <c r="F128" s="77">
        <v>1.0</v>
      </c>
      <c r="G128" s="76">
        <v>200000.0</v>
      </c>
      <c r="H128" s="80">
        <f t="shared" si="16"/>
        <v>200000</v>
      </c>
      <c r="I128" s="76"/>
      <c r="J128" s="76" t="s">
        <v>117</v>
      </c>
    </row>
    <row r="129" ht="22.5" customHeight="1">
      <c r="A129" s="76" t="s">
        <v>119</v>
      </c>
      <c r="B129" s="87" t="s">
        <v>250</v>
      </c>
      <c r="C129" s="87" t="s">
        <v>250</v>
      </c>
      <c r="D129" s="89">
        <v>45968.0</v>
      </c>
      <c r="E129" s="79" t="s">
        <v>251</v>
      </c>
      <c r="F129" s="77">
        <v>3.0</v>
      </c>
      <c r="G129" s="76">
        <v>115000.0</v>
      </c>
      <c r="H129" s="80">
        <f t="shared" si="16"/>
        <v>345000</v>
      </c>
      <c r="I129" s="76"/>
      <c r="J129" s="76"/>
    </row>
    <row r="130" ht="22.5" customHeight="1">
      <c r="A130" s="76" t="s">
        <v>119</v>
      </c>
      <c r="B130" s="87" t="s">
        <v>250</v>
      </c>
      <c r="C130" s="87" t="s">
        <v>250</v>
      </c>
      <c r="D130" s="89">
        <v>45968.0</v>
      </c>
      <c r="E130" s="79" t="s">
        <v>251</v>
      </c>
      <c r="F130" s="77">
        <v>1.0</v>
      </c>
      <c r="G130" s="76">
        <v>125000.0</v>
      </c>
      <c r="H130" s="80">
        <f t="shared" si="16"/>
        <v>125000</v>
      </c>
      <c r="I130" s="76"/>
      <c r="J130" s="76"/>
    </row>
    <row r="131" ht="22.5" customHeight="1">
      <c r="A131" s="76" t="s">
        <v>119</v>
      </c>
      <c r="B131" s="77" t="s">
        <v>252</v>
      </c>
      <c r="C131" s="87" t="s">
        <v>253</v>
      </c>
      <c r="D131" s="84">
        <v>45971.0</v>
      </c>
      <c r="E131" s="79" t="s">
        <v>254</v>
      </c>
      <c r="F131" s="77">
        <v>2.0</v>
      </c>
      <c r="G131" s="76">
        <v>125000.0</v>
      </c>
      <c r="H131" s="80">
        <f t="shared" si="16"/>
        <v>250000</v>
      </c>
      <c r="I131" s="76"/>
      <c r="J131" s="76"/>
    </row>
    <row r="132" ht="22.5" customHeight="1">
      <c r="A132" s="76" t="s">
        <v>119</v>
      </c>
      <c r="B132" s="77" t="s">
        <v>252</v>
      </c>
      <c r="C132" s="87" t="s">
        <v>253</v>
      </c>
      <c r="D132" s="84">
        <v>45971.0</v>
      </c>
      <c r="E132" s="79" t="s">
        <v>254</v>
      </c>
      <c r="F132" s="77">
        <v>1.0</v>
      </c>
      <c r="G132" s="76">
        <v>135000.0</v>
      </c>
      <c r="H132" s="80">
        <f t="shared" si="16"/>
        <v>135000</v>
      </c>
      <c r="I132" s="76"/>
      <c r="J132" s="76"/>
    </row>
    <row r="133" ht="22.5" customHeight="1">
      <c r="A133" s="76" t="s">
        <v>119</v>
      </c>
      <c r="B133" s="77" t="s">
        <v>252</v>
      </c>
      <c r="C133" s="87" t="s">
        <v>253</v>
      </c>
      <c r="D133" s="84">
        <v>45971.0</v>
      </c>
      <c r="E133" s="79" t="s">
        <v>255</v>
      </c>
      <c r="F133" s="77">
        <v>1.0</v>
      </c>
      <c r="G133" s="76">
        <v>125000.0</v>
      </c>
      <c r="H133" s="80">
        <f t="shared" si="16"/>
        <v>125000</v>
      </c>
      <c r="I133" s="76"/>
      <c r="J133" s="76"/>
    </row>
    <row r="134" ht="22.5" customHeight="1">
      <c r="A134" s="76" t="s">
        <v>119</v>
      </c>
      <c r="B134" s="77" t="s">
        <v>252</v>
      </c>
      <c r="C134" s="87" t="s">
        <v>253</v>
      </c>
      <c r="D134" s="84">
        <v>45971.0</v>
      </c>
      <c r="E134" s="79" t="s">
        <v>255</v>
      </c>
      <c r="F134" s="77">
        <v>1.0</v>
      </c>
      <c r="G134" s="76">
        <v>135000.0</v>
      </c>
      <c r="H134" s="80">
        <f t="shared" si="16"/>
        <v>135000</v>
      </c>
      <c r="I134" s="76"/>
      <c r="J134" s="76"/>
    </row>
    <row r="135" ht="22.5" customHeight="1">
      <c r="A135" s="76" t="s">
        <v>119</v>
      </c>
      <c r="B135" s="77" t="s">
        <v>256</v>
      </c>
      <c r="C135" s="87" t="s">
        <v>257</v>
      </c>
      <c r="D135" s="84">
        <v>45971.0</v>
      </c>
      <c r="E135" s="79" t="s">
        <v>95</v>
      </c>
      <c r="F135" s="77">
        <v>10.0</v>
      </c>
      <c r="G135" s="76">
        <v>250000.0</v>
      </c>
      <c r="H135" s="80">
        <f t="shared" si="16"/>
        <v>2500000</v>
      </c>
      <c r="I135" s="76">
        <f>sum(H129:H135)</f>
        <v>3615000</v>
      </c>
      <c r="J135" s="76"/>
    </row>
    <row r="136" ht="22.5" customHeight="1">
      <c r="A136" s="77" t="s">
        <v>28</v>
      </c>
      <c r="B136" s="77" t="s">
        <v>111</v>
      </c>
      <c r="C136" s="87" t="s">
        <v>258</v>
      </c>
      <c r="D136" s="84">
        <v>45973.0</v>
      </c>
      <c r="E136" s="79" t="s">
        <v>83</v>
      </c>
      <c r="F136" s="77">
        <v>6.0</v>
      </c>
      <c r="G136" s="76">
        <v>145000.0</v>
      </c>
      <c r="H136" s="80">
        <f t="shared" si="16"/>
        <v>870000</v>
      </c>
      <c r="I136" s="76"/>
      <c r="J136" s="76" t="s">
        <v>117</v>
      </c>
    </row>
    <row r="137" ht="22.5" customHeight="1">
      <c r="A137" s="77" t="s">
        <v>28</v>
      </c>
      <c r="B137" s="77" t="s">
        <v>111</v>
      </c>
      <c r="C137" s="87" t="s">
        <v>258</v>
      </c>
      <c r="D137" s="84">
        <v>45973.0</v>
      </c>
      <c r="E137" s="79" t="s">
        <v>83</v>
      </c>
      <c r="F137" s="77">
        <v>1.0</v>
      </c>
      <c r="G137" s="76">
        <v>155000.0</v>
      </c>
      <c r="H137" s="80">
        <f t="shared" si="16"/>
        <v>155000</v>
      </c>
      <c r="I137" s="76">
        <f>I138+I127</f>
        <v>11535000</v>
      </c>
      <c r="J137" s="76" t="s">
        <v>117</v>
      </c>
    </row>
    <row r="138" ht="22.5" customHeight="1">
      <c r="A138" s="77" t="s">
        <v>28</v>
      </c>
      <c r="B138" s="77" t="s">
        <v>111</v>
      </c>
      <c r="C138" s="87" t="s">
        <v>258</v>
      </c>
      <c r="D138" s="84">
        <v>45973.0</v>
      </c>
      <c r="E138" s="79"/>
      <c r="F138" s="77">
        <v>1.0</v>
      </c>
      <c r="G138" s="76">
        <v>280000.0</v>
      </c>
      <c r="H138" s="80">
        <f t="shared" si="16"/>
        <v>280000</v>
      </c>
      <c r="I138" s="76">
        <f>sum(H136:H138)</f>
        <v>1305000</v>
      </c>
      <c r="J138" s="76" t="s">
        <v>117</v>
      </c>
    </row>
    <row r="139" ht="22.5" customHeight="1">
      <c r="A139" s="76"/>
      <c r="B139" s="77" t="s">
        <v>223</v>
      </c>
      <c r="C139" s="87"/>
      <c r="D139" s="84">
        <v>45975.0</v>
      </c>
      <c r="E139" s="79"/>
      <c r="F139" s="77"/>
      <c r="G139" s="76"/>
      <c r="H139" s="76">
        <v>250000.0</v>
      </c>
      <c r="I139" s="76"/>
      <c r="J139" s="76" t="s">
        <v>117</v>
      </c>
    </row>
    <row r="140" ht="22.5" customHeight="1">
      <c r="A140" s="76"/>
      <c r="B140" s="76"/>
      <c r="C140" s="77" t="s">
        <v>259</v>
      </c>
      <c r="D140" s="84">
        <v>45981.0</v>
      </c>
      <c r="E140" s="79"/>
      <c r="F140" s="77"/>
      <c r="G140" s="76"/>
      <c r="H140" s="76">
        <v>7350000.0</v>
      </c>
      <c r="I140" s="76"/>
      <c r="J140" s="76" t="s">
        <v>117</v>
      </c>
    </row>
    <row r="141" ht="22.5" customHeight="1">
      <c r="A141" s="76"/>
      <c r="B141" s="76"/>
      <c r="C141" s="77" t="s">
        <v>260</v>
      </c>
      <c r="D141" s="84">
        <v>45983.0</v>
      </c>
      <c r="E141" s="79"/>
      <c r="F141" s="77"/>
      <c r="G141" s="76"/>
      <c r="H141" s="76">
        <v>1790000.0</v>
      </c>
      <c r="I141" s="76"/>
      <c r="J141" s="76" t="s">
        <v>117</v>
      </c>
    </row>
    <row r="142" ht="22.5" customHeight="1">
      <c r="A142" s="76" t="s">
        <v>119</v>
      </c>
      <c r="B142" s="87" t="s">
        <v>261</v>
      </c>
      <c r="C142" s="87" t="s">
        <v>261</v>
      </c>
      <c r="D142" s="84">
        <v>45975.0</v>
      </c>
      <c r="E142" s="79" t="s">
        <v>262</v>
      </c>
      <c r="F142" s="77">
        <v>2.0</v>
      </c>
      <c r="G142" s="76">
        <v>125000.0</v>
      </c>
      <c r="H142" s="80">
        <f t="shared" ref="H142:H158" si="17">F142*G142</f>
        <v>250000</v>
      </c>
      <c r="I142" s="76"/>
      <c r="J142" s="76"/>
    </row>
    <row r="143" ht="22.5" customHeight="1">
      <c r="A143" s="76" t="s">
        <v>119</v>
      </c>
      <c r="B143" s="87" t="s">
        <v>263</v>
      </c>
      <c r="C143" s="87" t="s">
        <v>263</v>
      </c>
      <c r="D143" s="84">
        <v>45980.0</v>
      </c>
      <c r="E143" s="79" t="s">
        <v>264</v>
      </c>
      <c r="F143" s="77">
        <v>4.0</v>
      </c>
      <c r="G143" s="76">
        <v>210000.0</v>
      </c>
      <c r="H143" s="80">
        <f t="shared" si="17"/>
        <v>840000</v>
      </c>
      <c r="I143" s="76"/>
      <c r="J143" s="76"/>
    </row>
    <row r="144" ht="22.5" customHeight="1">
      <c r="A144" s="76" t="s">
        <v>119</v>
      </c>
      <c r="B144" s="87" t="s">
        <v>263</v>
      </c>
      <c r="C144" s="87" t="s">
        <v>263</v>
      </c>
      <c r="D144" s="84">
        <v>45981.0</v>
      </c>
      <c r="E144" s="79" t="s">
        <v>264</v>
      </c>
      <c r="F144" s="77">
        <v>2.0</v>
      </c>
      <c r="G144" s="76">
        <v>220000.0</v>
      </c>
      <c r="H144" s="80">
        <f t="shared" si="17"/>
        <v>440000</v>
      </c>
      <c r="I144" s="76"/>
      <c r="J144" s="76"/>
    </row>
    <row r="145" ht="22.5" customHeight="1">
      <c r="A145" s="76" t="s">
        <v>119</v>
      </c>
      <c r="B145" s="87" t="s">
        <v>263</v>
      </c>
      <c r="C145" s="87" t="s">
        <v>263</v>
      </c>
      <c r="D145" s="84">
        <v>45982.0</v>
      </c>
      <c r="E145" s="79" t="s">
        <v>265</v>
      </c>
      <c r="F145" s="77">
        <v>3.0</v>
      </c>
      <c r="G145" s="76">
        <v>125000.0</v>
      </c>
      <c r="H145" s="80">
        <f t="shared" si="17"/>
        <v>375000</v>
      </c>
      <c r="I145" s="76"/>
      <c r="J145" s="76"/>
    </row>
    <row r="146" ht="22.5" customHeight="1">
      <c r="A146" s="76" t="s">
        <v>119</v>
      </c>
      <c r="B146" s="87" t="s">
        <v>263</v>
      </c>
      <c r="C146" s="87" t="s">
        <v>263</v>
      </c>
      <c r="D146" s="84">
        <v>45983.0</v>
      </c>
      <c r="E146" s="79" t="s">
        <v>265</v>
      </c>
      <c r="F146" s="77">
        <v>1.0</v>
      </c>
      <c r="G146" s="76">
        <v>135000.0</v>
      </c>
      <c r="H146" s="80">
        <f t="shared" si="17"/>
        <v>135000</v>
      </c>
      <c r="I146" s="76"/>
      <c r="J146" s="76"/>
    </row>
    <row r="147" ht="22.5" customHeight="1">
      <c r="A147" s="77" t="s">
        <v>28</v>
      </c>
      <c r="B147" s="76" t="s">
        <v>111</v>
      </c>
      <c r="C147" s="77" t="s">
        <v>266</v>
      </c>
      <c r="D147" s="82">
        <v>45992.0</v>
      </c>
      <c r="E147" s="77" t="s">
        <v>142</v>
      </c>
      <c r="F147" s="77">
        <v>19.0</v>
      </c>
      <c r="G147" s="76">
        <v>205000.0</v>
      </c>
      <c r="H147" s="80">
        <f t="shared" si="17"/>
        <v>3895000</v>
      </c>
      <c r="I147" s="76"/>
      <c r="J147" s="76" t="s">
        <v>117</v>
      </c>
    </row>
    <row r="148" ht="22.5" customHeight="1">
      <c r="A148" s="77" t="s">
        <v>28</v>
      </c>
      <c r="B148" s="76" t="s">
        <v>111</v>
      </c>
      <c r="C148" s="77" t="s">
        <v>266</v>
      </c>
      <c r="D148" s="82">
        <v>45992.0</v>
      </c>
      <c r="E148" s="77" t="s">
        <v>142</v>
      </c>
      <c r="F148" s="77">
        <v>1.0</v>
      </c>
      <c r="G148" s="76">
        <v>215000.0</v>
      </c>
      <c r="H148" s="80">
        <f t="shared" si="17"/>
        <v>215000</v>
      </c>
      <c r="I148" s="76"/>
      <c r="J148" s="76" t="s">
        <v>117</v>
      </c>
    </row>
    <row r="149" ht="22.5" customHeight="1">
      <c r="A149" s="77" t="s">
        <v>28</v>
      </c>
      <c r="B149" s="76" t="s">
        <v>111</v>
      </c>
      <c r="C149" s="77" t="s">
        <v>266</v>
      </c>
      <c r="D149" s="82">
        <v>45992.0</v>
      </c>
      <c r="E149" s="77" t="s">
        <v>142</v>
      </c>
      <c r="F149" s="77">
        <v>1.0</v>
      </c>
      <c r="G149" s="76">
        <v>225000.0</v>
      </c>
      <c r="H149" s="80">
        <f t="shared" si="17"/>
        <v>225000</v>
      </c>
      <c r="I149" s="76"/>
      <c r="J149" s="76" t="s">
        <v>117</v>
      </c>
    </row>
    <row r="150" ht="22.5" customHeight="1">
      <c r="A150" s="77" t="s">
        <v>28</v>
      </c>
      <c r="B150" s="76" t="s">
        <v>111</v>
      </c>
      <c r="C150" s="77" t="s">
        <v>266</v>
      </c>
      <c r="D150" s="82">
        <v>45992.0</v>
      </c>
      <c r="E150" s="77" t="s">
        <v>267</v>
      </c>
      <c r="F150" s="77">
        <v>1.0</v>
      </c>
      <c r="G150" s="76">
        <v>225000.0</v>
      </c>
      <c r="H150" s="80">
        <f t="shared" si="17"/>
        <v>225000</v>
      </c>
      <c r="I150" s="76">
        <f>sum(H147:H150)</f>
        <v>4560000</v>
      </c>
      <c r="J150" s="76" t="s">
        <v>117</v>
      </c>
    </row>
    <row r="151" ht="22.5" customHeight="1">
      <c r="A151" s="76"/>
      <c r="B151" s="76" t="s">
        <v>268</v>
      </c>
      <c r="C151" s="77" t="s">
        <v>269</v>
      </c>
      <c r="D151" s="82">
        <v>45993.0</v>
      </c>
      <c r="E151" s="77" t="s">
        <v>142</v>
      </c>
      <c r="F151" s="77">
        <v>2.0</v>
      </c>
      <c r="G151" s="76">
        <v>240000.0</v>
      </c>
      <c r="H151" s="80">
        <f t="shared" si="17"/>
        <v>480000</v>
      </c>
      <c r="I151" s="76"/>
      <c r="J151" s="76" t="s">
        <v>117</v>
      </c>
    </row>
    <row r="152" ht="22.5" customHeight="1">
      <c r="A152" s="77"/>
      <c r="B152" s="76" t="s">
        <v>268</v>
      </c>
      <c r="C152" s="77" t="s">
        <v>269</v>
      </c>
      <c r="D152" s="82">
        <v>45993.0</v>
      </c>
      <c r="E152" s="77" t="s">
        <v>142</v>
      </c>
      <c r="F152" s="77">
        <v>2.0</v>
      </c>
      <c r="G152" s="76">
        <v>250000.0</v>
      </c>
      <c r="H152" s="80">
        <f t="shared" si="17"/>
        <v>500000</v>
      </c>
      <c r="I152" s="76"/>
      <c r="J152" s="76" t="s">
        <v>117</v>
      </c>
    </row>
    <row r="153" ht="22.5" customHeight="1">
      <c r="A153" s="77" t="s">
        <v>18</v>
      </c>
      <c r="B153" s="76" t="s">
        <v>111</v>
      </c>
      <c r="C153" s="77" t="s">
        <v>159</v>
      </c>
      <c r="D153" s="82">
        <v>45993.0</v>
      </c>
      <c r="E153" s="76" t="s">
        <v>270</v>
      </c>
      <c r="F153" s="77">
        <v>18.0</v>
      </c>
      <c r="G153" s="76">
        <v>210000.0</v>
      </c>
      <c r="H153" s="80">
        <f t="shared" si="17"/>
        <v>3780000</v>
      </c>
      <c r="I153" s="76">
        <f>sum(H151:H153)</f>
        <v>4760000</v>
      </c>
      <c r="J153" s="76" t="s">
        <v>117</v>
      </c>
    </row>
    <row r="154" ht="22.5" customHeight="1">
      <c r="A154" s="77" t="s">
        <v>18</v>
      </c>
      <c r="B154" s="90"/>
      <c r="C154" s="77" t="s">
        <v>221</v>
      </c>
      <c r="D154" s="82">
        <v>45994.0</v>
      </c>
      <c r="E154" s="76" t="s">
        <v>93</v>
      </c>
      <c r="F154" s="77">
        <v>40.0</v>
      </c>
      <c r="G154" s="76">
        <v>45000.0</v>
      </c>
      <c r="H154" s="80">
        <f t="shared" si="17"/>
        <v>1800000</v>
      </c>
      <c r="I154" s="76"/>
      <c r="J154" s="76" t="s">
        <v>117</v>
      </c>
    </row>
    <row r="155" ht="22.5" customHeight="1">
      <c r="A155" s="77" t="s">
        <v>18</v>
      </c>
      <c r="B155" s="77" t="s">
        <v>271</v>
      </c>
      <c r="C155" s="77" t="s">
        <v>272</v>
      </c>
      <c r="D155" s="82">
        <v>45995.0</v>
      </c>
      <c r="E155" s="76" t="s">
        <v>98</v>
      </c>
      <c r="F155" s="77">
        <v>3.0</v>
      </c>
      <c r="G155" s="76">
        <v>225000.0</v>
      </c>
      <c r="H155" s="80">
        <f t="shared" si="17"/>
        <v>675000</v>
      </c>
      <c r="I155" s="76"/>
      <c r="J155" s="76" t="s">
        <v>117</v>
      </c>
    </row>
    <row r="156" ht="22.5" customHeight="1">
      <c r="A156" s="77" t="s">
        <v>18</v>
      </c>
      <c r="B156" s="77" t="s">
        <v>273</v>
      </c>
      <c r="C156" s="77" t="s">
        <v>273</v>
      </c>
      <c r="D156" s="82">
        <v>45996.0</v>
      </c>
      <c r="E156" s="76" t="s">
        <v>274</v>
      </c>
      <c r="F156" s="77">
        <v>1.0</v>
      </c>
      <c r="G156" s="76">
        <v>240000.0</v>
      </c>
      <c r="H156" s="80">
        <f t="shared" si="17"/>
        <v>240000</v>
      </c>
      <c r="I156" s="76"/>
      <c r="J156" s="76"/>
    </row>
    <row r="157" ht="22.5" customHeight="1">
      <c r="A157" s="77" t="s">
        <v>19</v>
      </c>
      <c r="B157" s="77" t="s">
        <v>181</v>
      </c>
      <c r="C157" s="77" t="s">
        <v>182</v>
      </c>
      <c r="D157" s="82">
        <v>45996.0</v>
      </c>
      <c r="E157" s="76" t="s">
        <v>275</v>
      </c>
      <c r="F157" s="77">
        <v>1.0</v>
      </c>
      <c r="G157" s="76">
        <v>205000.0</v>
      </c>
      <c r="H157" s="80">
        <f t="shared" si="17"/>
        <v>205000</v>
      </c>
      <c r="I157" s="76"/>
      <c r="J157" s="76" t="s">
        <v>117</v>
      </c>
    </row>
    <row r="158" ht="22.5" customHeight="1">
      <c r="A158" s="77" t="s">
        <v>18</v>
      </c>
      <c r="B158" s="77" t="s">
        <v>132</v>
      </c>
      <c r="C158" s="77" t="s">
        <v>276</v>
      </c>
      <c r="D158" s="82">
        <v>46004.0</v>
      </c>
      <c r="E158" s="76" t="s">
        <v>277</v>
      </c>
      <c r="F158" s="77">
        <v>1.0</v>
      </c>
      <c r="G158" s="76">
        <v>170000.0</v>
      </c>
      <c r="H158" s="80">
        <f t="shared" si="17"/>
        <v>170000</v>
      </c>
      <c r="I158" s="81"/>
      <c r="J158" s="77" t="s">
        <v>117</v>
      </c>
    </row>
    <row r="159" ht="22.5" customHeight="1">
      <c r="A159" s="77"/>
      <c r="B159" s="77" t="s">
        <v>278</v>
      </c>
      <c r="C159" s="77"/>
      <c r="D159" s="82">
        <v>46009.0</v>
      </c>
      <c r="E159" s="76"/>
      <c r="F159" s="77"/>
      <c r="G159" s="76"/>
      <c r="H159" s="76">
        <v>1200000.0</v>
      </c>
      <c r="I159" s="81"/>
      <c r="J159" s="77" t="s">
        <v>117</v>
      </c>
    </row>
    <row r="160" ht="22.5" customHeight="1">
      <c r="A160" s="77" t="s">
        <v>28</v>
      </c>
      <c r="B160" s="76" t="s">
        <v>111</v>
      </c>
      <c r="C160" s="77" t="s">
        <v>152</v>
      </c>
      <c r="D160" s="82">
        <v>46017.0</v>
      </c>
      <c r="E160" s="76" t="s">
        <v>279</v>
      </c>
      <c r="F160" s="77">
        <v>3.0</v>
      </c>
      <c r="G160" s="76">
        <v>250000.0</v>
      </c>
      <c r="H160" s="80">
        <f t="shared" ref="H160:H163" si="18">F160*G160</f>
        <v>750000</v>
      </c>
      <c r="I160" s="80"/>
      <c r="J160" s="77" t="s">
        <v>117</v>
      </c>
    </row>
    <row r="161" ht="22.5" customHeight="1">
      <c r="A161" s="77" t="s">
        <v>28</v>
      </c>
      <c r="B161" s="76" t="s">
        <v>111</v>
      </c>
      <c r="C161" s="77" t="s">
        <v>152</v>
      </c>
      <c r="D161" s="82">
        <v>46017.0</v>
      </c>
      <c r="E161" s="76" t="s">
        <v>279</v>
      </c>
      <c r="F161" s="77">
        <v>2.0</v>
      </c>
      <c r="G161" s="76">
        <v>260000.0</v>
      </c>
      <c r="H161" s="80">
        <f t="shared" si="18"/>
        <v>520000</v>
      </c>
      <c r="I161" s="80"/>
      <c r="J161" s="77" t="s">
        <v>117</v>
      </c>
    </row>
    <row r="162" ht="22.5" customHeight="1">
      <c r="A162" s="77" t="s">
        <v>28</v>
      </c>
      <c r="B162" s="76" t="s">
        <v>111</v>
      </c>
      <c r="C162" s="77" t="s">
        <v>152</v>
      </c>
      <c r="D162" s="82">
        <v>46017.0</v>
      </c>
      <c r="E162" s="76" t="s">
        <v>94</v>
      </c>
      <c r="F162" s="77">
        <v>6.0</v>
      </c>
      <c r="G162" s="76">
        <v>25000.0</v>
      </c>
      <c r="H162" s="80">
        <f t="shared" si="18"/>
        <v>150000</v>
      </c>
      <c r="I162" s="80"/>
      <c r="J162" s="77" t="s">
        <v>117</v>
      </c>
    </row>
    <row r="163" ht="22.5" customHeight="1">
      <c r="A163" s="77" t="s">
        <v>28</v>
      </c>
      <c r="B163" s="76" t="s">
        <v>111</v>
      </c>
      <c r="C163" s="77" t="s">
        <v>152</v>
      </c>
      <c r="D163" s="82">
        <v>46017.0</v>
      </c>
      <c r="E163" s="76" t="s">
        <v>93</v>
      </c>
      <c r="F163" s="77">
        <v>5.0</v>
      </c>
      <c r="G163" s="76">
        <v>25000.0</v>
      </c>
      <c r="H163" s="80">
        <f t="shared" si="18"/>
        <v>125000</v>
      </c>
      <c r="I163" s="80"/>
      <c r="J163" s="77" t="s">
        <v>117</v>
      </c>
    </row>
    <row r="164" ht="22.5" customHeight="1">
      <c r="A164" s="77" t="s">
        <v>28</v>
      </c>
      <c r="B164" s="76" t="s">
        <v>111</v>
      </c>
      <c r="C164" s="77" t="s">
        <v>152</v>
      </c>
      <c r="D164" s="82">
        <v>46017.0</v>
      </c>
      <c r="E164" s="76"/>
      <c r="F164" s="77"/>
      <c r="G164" s="76"/>
      <c r="H164" s="80">
        <f>1595000-H160-H161-H162-H163</f>
        <v>50000</v>
      </c>
      <c r="I164" s="80"/>
      <c r="J164" s="77" t="s">
        <v>117</v>
      </c>
    </row>
    <row r="165" ht="22.5" customHeight="1">
      <c r="A165" s="77"/>
      <c r="B165" s="77" t="s">
        <v>280</v>
      </c>
      <c r="C165" s="77" t="s">
        <v>281</v>
      </c>
      <c r="D165" s="82">
        <v>46018.0</v>
      </c>
      <c r="E165" s="76" t="s">
        <v>80</v>
      </c>
      <c r="F165" s="77">
        <v>16.0</v>
      </c>
      <c r="G165" s="76">
        <v>140000.0</v>
      </c>
      <c r="H165" s="80">
        <f t="shared" ref="H165:H171" si="19">F165*G165</f>
        <v>2240000</v>
      </c>
      <c r="I165" s="80"/>
      <c r="J165" s="76" t="s">
        <v>117</v>
      </c>
    </row>
    <row r="166" ht="22.5" customHeight="1">
      <c r="A166" s="77"/>
      <c r="B166" s="77" t="s">
        <v>280</v>
      </c>
      <c r="C166" s="77" t="s">
        <v>281</v>
      </c>
      <c r="D166" s="82">
        <v>46018.0</v>
      </c>
      <c r="E166" s="76" t="s">
        <v>80</v>
      </c>
      <c r="F166" s="77">
        <v>3.0</v>
      </c>
      <c r="G166" s="76">
        <v>150000.0</v>
      </c>
      <c r="H166" s="80">
        <f t="shared" si="19"/>
        <v>450000</v>
      </c>
      <c r="I166" s="80"/>
      <c r="J166" s="76" t="s">
        <v>117</v>
      </c>
    </row>
    <row r="167" ht="22.5" customHeight="1">
      <c r="A167" s="77"/>
      <c r="B167" s="77" t="s">
        <v>280</v>
      </c>
      <c r="C167" s="77" t="s">
        <v>281</v>
      </c>
      <c r="D167" s="82">
        <v>46018.0</v>
      </c>
      <c r="E167" s="76" t="s">
        <v>80</v>
      </c>
      <c r="F167" s="77">
        <v>1.0</v>
      </c>
      <c r="G167" s="76">
        <v>160000.0</v>
      </c>
      <c r="H167" s="80">
        <f t="shared" si="19"/>
        <v>160000</v>
      </c>
      <c r="I167" s="80"/>
      <c r="J167" s="76" t="s">
        <v>117</v>
      </c>
    </row>
    <row r="168" ht="22.5" customHeight="1">
      <c r="A168" s="77"/>
      <c r="B168" s="77" t="s">
        <v>282</v>
      </c>
      <c r="C168" s="77" t="s">
        <v>283</v>
      </c>
      <c r="D168" s="82">
        <v>46020.0</v>
      </c>
      <c r="E168" s="76" t="s">
        <v>284</v>
      </c>
      <c r="F168" s="77">
        <v>60.0</v>
      </c>
      <c r="G168" s="76">
        <v>190000.0</v>
      </c>
      <c r="H168" s="80">
        <f t="shared" si="19"/>
        <v>11400000</v>
      </c>
      <c r="I168" s="80"/>
      <c r="J168" s="76" t="s">
        <v>117</v>
      </c>
    </row>
    <row r="169" ht="22.5" customHeight="1">
      <c r="A169" s="77"/>
      <c r="B169" s="77" t="s">
        <v>285</v>
      </c>
      <c r="C169" s="77" t="s">
        <v>285</v>
      </c>
      <c r="D169" s="82">
        <v>46020.0</v>
      </c>
      <c r="E169" s="76" t="s">
        <v>286</v>
      </c>
      <c r="F169" s="77">
        <v>68.0</v>
      </c>
      <c r="G169" s="76">
        <v>110000.0</v>
      </c>
      <c r="H169" s="80">
        <f t="shared" si="19"/>
        <v>7480000</v>
      </c>
      <c r="I169" s="80"/>
      <c r="J169" s="76" t="s">
        <v>117</v>
      </c>
    </row>
    <row r="170" ht="22.5" customHeight="1">
      <c r="A170" s="77"/>
      <c r="B170" s="77" t="s">
        <v>285</v>
      </c>
      <c r="C170" s="77" t="s">
        <v>285</v>
      </c>
      <c r="D170" s="82">
        <v>46020.0</v>
      </c>
      <c r="E170" s="76" t="s">
        <v>286</v>
      </c>
      <c r="F170" s="77">
        <v>4.0</v>
      </c>
      <c r="G170" s="76">
        <v>120000.0</v>
      </c>
      <c r="H170" s="80">
        <f t="shared" si="19"/>
        <v>480000</v>
      </c>
      <c r="I170" s="80"/>
      <c r="J170" s="76" t="s">
        <v>117</v>
      </c>
    </row>
    <row r="171" ht="22.5" customHeight="1">
      <c r="A171" s="77"/>
      <c r="B171" s="77" t="s">
        <v>285</v>
      </c>
      <c r="C171" s="77" t="s">
        <v>285</v>
      </c>
      <c r="D171" s="82">
        <v>46020.0</v>
      </c>
      <c r="E171" s="76" t="s">
        <v>287</v>
      </c>
      <c r="F171" s="77">
        <v>12.0</v>
      </c>
      <c r="G171" s="76">
        <v>190000.0</v>
      </c>
      <c r="H171" s="80">
        <f t="shared" si="19"/>
        <v>2280000</v>
      </c>
      <c r="I171" s="80"/>
      <c r="J171" s="76" t="s">
        <v>117</v>
      </c>
    </row>
    <row r="172" ht="22.5" customHeight="1">
      <c r="A172" s="77"/>
      <c r="B172" s="90"/>
      <c r="C172" s="77" t="s">
        <v>288</v>
      </c>
      <c r="D172" s="82">
        <v>46020.0</v>
      </c>
      <c r="E172" s="76"/>
      <c r="F172" s="91"/>
      <c r="G172" s="80"/>
      <c r="H172" s="76">
        <v>230000.0</v>
      </c>
      <c r="I172" s="80"/>
      <c r="J172" s="76" t="s">
        <v>117</v>
      </c>
    </row>
    <row r="173" ht="22.5" customHeight="1">
      <c r="A173" s="77" t="s">
        <v>20</v>
      </c>
      <c r="B173" s="77" t="s">
        <v>261</v>
      </c>
      <c r="C173" s="90"/>
      <c r="D173" s="82">
        <v>46021.0</v>
      </c>
      <c r="E173" s="76" t="s">
        <v>289</v>
      </c>
      <c r="F173" s="77">
        <v>30.0</v>
      </c>
      <c r="G173" s="76">
        <v>30000.0</v>
      </c>
      <c r="H173" s="80">
        <f t="shared" ref="H173:H174" si="20">F173*G173</f>
        <v>900000</v>
      </c>
      <c r="I173" s="80"/>
      <c r="J173" s="80"/>
    </row>
    <row r="174" ht="22.5" customHeight="1">
      <c r="A174" s="77" t="s">
        <v>20</v>
      </c>
      <c r="B174" s="77" t="s">
        <v>290</v>
      </c>
      <c r="C174" s="90"/>
      <c r="D174" s="82">
        <v>46022.0</v>
      </c>
      <c r="E174" s="76" t="s">
        <v>289</v>
      </c>
      <c r="F174" s="77">
        <v>10.0</v>
      </c>
      <c r="G174" s="76">
        <v>30000.0</v>
      </c>
      <c r="H174" s="80">
        <f t="shared" si="20"/>
        <v>300000</v>
      </c>
      <c r="I174" s="80"/>
      <c r="J174" s="80"/>
    </row>
    <row r="175" ht="22.5" customHeight="1">
      <c r="A175" s="91" t="s">
        <v>26</v>
      </c>
      <c r="B175" s="91" t="s">
        <v>291</v>
      </c>
      <c r="C175" s="91" t="s">
        <v>292</v>
      </c>
      <c r="D175" s="92">
        <v>46036.0</v>
      </c>
      <c r="E175" s="80" t="s">
        <v>80</v>
      </c>
      <c r="F175" s="91">
        <v>16.0</v>
      </c>
      <c r="G175" s="80">
        <v>140000.0</v>
      </c>
      <c r="H175" s="80">
        <v>2240000.0</v>
      </c>
      <c r="I175" s="80"/>
      <c r="J175" s="80"/>
    </row>
    <row r="176" ht="22.5" customHeight="1">
      <c r="A176" s="91" t="s">
        <v>26</v>
      </c>
      <c r="B176" s="91" t="s">
        <v>291</v>
      </c>
      <c r="C176" s="91" t="s">
        <v>292</v>
      </c>
      <c r="D176" s="92">
        <v>46036.0</v>
      </c>
      <c r="E176" s="80" t="s">
        <v>80</v>
      </c>
      <c r="F176" s="91">
        <v>3.0</v>
      </c>
      <c r="G176" s="80">
        <v>150000.0</v>
      </c>
      <c r="H176" s="80">
        <v>450000.0</v>
      </c>
      <c r="I176" s="80"/>
      <c r="J176" s="80"/>
    </row>
    <row r="177" ht="22.5" customHeight="1">
      <c r="A177" s="91" t="s">
        <v>26</v>
      </c>
      <c r="B177" s="91" t="s">
        <v>291</v>
      </c>
      <c r="C177" s="91" t="s">
        <v>292</v>
      </c>
      <c r="D177" s="92">
        <v>46036.0</v>
      </c>
      <c r="E177" s="80" t="s">
        <v>80</v>
      </c>
      <c r="F177" s="91">
        <v>1.0</v>
      </c>
      <c r="G177" s="80">
        <v>160000.0</v>
      </c>
      <c r="H177" s="80">
        <v>160000.0</v>
      </c>
      <c r="I177" s="80"/>
      <c r="J177" s="80"/>
    </row>
    <row r="178" ht="22.5" customHeight="1">
      <c r="A178" s="77" t="s">
        <v>18</v>
      </c>
      <c r="B178" s="77" t="s">
        <v>293</v>
      </c>
      <c r="C178" s="77" t="s">
        <v>294</v>
      </c>
      <c r="D178" s="92">
        <v>46023.0</v>
      </c>
      <c r="E178" s="76" t="s">
        <v>81</v>
      </c>
      <c r="F178" s="77">
        <v>4.0</v>
      </c>
      <c r="G178" s="76">
        <v>225000.0</v>
      </c>
      <c r="H178" s="80">
        <f t="shared" ref="H178:H202" si="21">F178*G178</f>
        <v>900000</v>
      </c>
      <c r="I178" s="80"/>
      <c r="J178" s="80"/>
    </row>
    <row r="179" ht="22.5" customHeight="1">
      <c r="A179" s="77" t="s">
        <v>25</v>
      </c>
      <c r="B179" s="77" t="s">
        <v>130</v>
      </c>
      <c r="C179" s="77" t="s">
        <v>295</v>
      </c>
      <c r="D179" s="82">
        <v>46029.0</v>
      </c>
      <c r="E179" s="76" t="s">
        <v>82</v>
      </c>
      <c r="F179" s="77">
        <v>10.0</v>
      </c>
      <c r="G179" s="76">
        <v>190000.0</v>
      </c>
      <c r="H179" s="80">
        <f t="shared" si="21"/>
        <v>1900000</v>
      </c>
      <c r="I179" s="80"/>
      <c r="J179" s="80"/>
    </row>
    <row r="180" ht="22.5" customHeight="1">
      <c r="A180" s="77" t="s">
        <v>28</v>
      </c>
      <c r="B180" s="77" t="s">
        <v>111</v>
      </c>
      <c r="C180" s="77" t="s">
        <v>296</v>
      </c>
      <c r="D180" s="82">
        <v>46030.0</v>
      </c>
      <c r="E180" s="76" t="s">
        <v>83</v>
      </c>
      <c r="F180" s="77">
        <v>9.0</v>
      </c>
      <c r="G180" s="76">
        <v>140000.0</v>
      </c>
      <c r="H180" s="80">
        <f t="shared" si="21"/>
        <v>1260000</v>
      </c>
      <c r="I180" s="80"/>
      <c r="J180" s="80"/>
    </row>
    <row r="181" ht="22.5" customHeight="1">
      <c r="A181" s="77" t="s">
        <v>28</v>
      </c>
      <c r="B181" s="77" t="s">
        <v>111</v>
      </c>
      <c r="C181" s="77" t="s">
        <v>296</v>
      </c>
      <c r="D181" s="82">
        <v>46030.0</v>
      </c>
      <c r="E181" s="76" t="s">
        <v>83</v>
      </c>
      <c r="F181" s="77">
        <v>1.0</v>
      </c>
      <c r="G181" s="76">
        <v>150000.0</v>
      </c>
      <c r="H181" s="80">
        <f t="shared" si="21"/>
        <v>150000</v>
      </c>
      <c r="I181" s="80"/>
      <c r="J181" s="80"/>
    </row>
    <row r="182" ht="22.5" customHeight="1">
      <c r="A182" s="77" t="s">
        <v>28</v>
      </c>
      <c r="B182" s="77" t="s">
        <v>111</v>
      </c>
      <c r="C182" s="77" t="s">
        <v>296</v>
      </c>
      <c r="D182" s="82">
        <v>46030.0</v>
      </c>
      <c r="E182" s="76" t="s">
        <v>84</v>
      </c>
      <c r="F182" s="77">
        <v>7.0</v>
      </c>
      <c r="G182" s="76">
        <v>115000.0</v>
      </c>
      <c r="H182" s="80">
        <f t="shared" si="21"/>
        <v>805000</v>
      </c>
      <c r="I182" s="80"/>
      <c r="J182" s="80"/>
    </row>
    <row r="183" ht="22.5" customHeight="1">
      <c r="A183" s="77" t="s">
        <v>28</v>
      </c>
      <c r="B183" s="77" t="s">
        <v>111</v>
      </c>
      <c r="C183" s="77" t="s">
        <v>296</v>
      </c>
      <c r="D183" s="82">
        <v>46030.0</v>
      </c>
      <c r="E183" s="76" t="s">
        <v>84</v>
      </c>
      <c r="F183" s="77">
        <v>1.0</v>
      </c>
      <c r="G183" s="76">
        <v>125000.0</v>
      </c>
      <c r="H183" s="80">
        <f t="shared" si="21"/>
        <v>125000</v>
      </c>
      <c r="I183" s="80"/>
      <c r="J183" s="80"/>
    </row>
    <row r="184" ht="22.5" customHeight="1">
      <c r="A184" s="77" t="s">
        <v>20</v>
      </c>
      <c r="B184" s="77" t="s">
        <v>297</v>
      </c>
      <c r="C184" s="90"/>
      <c r="D184" s="82">
        <v>46031.0</v>
      </c>
      <c r="E184" s="76" t="s">
        <v>86</v>
      </c>
      <c r="F184" s="77">
        <v>1.0</v>
      </c>
      <c r="G184" s="76">
        <v>215000.0</v>
      </c>
      <c r="H184" s="80">
        <f t="shared" si="21"/>
        <v>215000</v>
      </c>
      <c r="I184" s="80"/>
      <c r="J184" s="80"/>
    </row>
    <row r="185" ht="22.5" customHeight="1">
      <c r="A185" s="77" t="s">
        <v>18</v>
      </c>
      <c r="B185" s="77" t="s">
        <v>298</v>
      </c>
      <c r="C185" s="77" t="s">
        <v>299</v>
      </c>
      <c r="D185" s="82">
        <v>46031.0</v>
      </c>
      <c r="E185" s="76" t="s">
        <v>87</v>
      </c>
      <c r="F185" s="77">
        <v>15.0</v>
      </c>
      <c r="G185" s="76">
        <v>210000.0</v>
      </c>
      <c r="H185" s="80">
        <f t="shared" si="21"/>
        <v>3150000</v>
      </c>
      <c r="I185" s="80"/>
      <c r="J185" s="80"/>
    </row>
    <row r="186" ht="22.5" customHeight="1">
      <c r="A186" s="77" t="s">
        <v>18</v>
      </c>
      <c r="B186" s="77" t="s">
        <v>298</v>
      </c>
      <c r="C186" s="77" t="s">
        <v>299</v>
      </c>
      <c r="D186" s="82">
        <v>46031.0</v>
      </c>
      <c r="E186" s="76" t="s">
        <v>88</v>
      </c>
      <c r="F186" s="77">
        <v>5.0</v>
      </c>
      <c r="G186" s="76">
        <v>120000.0</v>
      </c>
      <c r="H186" s="80">
        <f t="shared" si="21"/>
        <v>600000</v>
      </c>
      <c r="I186" s="80"/>
      <c r="J186" s="80"/>
    </row>
    <row r="187" ht="22.5" customHeight="1">
      <c r="A187" s="77" t="s">
        <v>18</v>
      </c>
      <c r="B187" s="77" t="s">
        <v>298</v>
      </c>
      <c r="C187" s="77" t="s">
        <v>299</v>
      </c>
      <c r="D187" s="82">
        <v>46031.0</v>
      </c>
      <c r="E187" s="76" t="s">
        <v>88</v>
      </c>
      <c r="F187" s="77">
        <v>2.0</v>
      </c>
      <c r="G187" s="76">
        <v>130000.0</v>
      </c>
      <c r="H187" s="80">
        <f t="shared" si="21"/>
        <v>260000</v>
      </c>
      <c r="I187" s="80"/>
      <c r="J187" s="80"/>
    </row>
    <row r="188" ht="22.5" customHeight="1">
      <c r="A188" s="77" t="s">
        <v>18</v>
      </c>
      <c r="B188" s="77" t="s">
        <v>298</v>
      </c>
      <c r="C188" s="77" t="s">
        <v>299</v>
      </c>
      <c r="D188" s="82">
        <v>46031.0</v>
      </c>
      <c r="E188" s="76" t="s">
        <v>88</v>
      </c>
      <c r="F188" s="77">
        <v>1.0</v>
      </c>
      <c r="G188" s="76">
        <v>135000.0</v>
      </c>
      <c r="H188" s="80">
        <f t="shared" si="21"/>
        <v>135000</v>
      </c>
      <c r="I188" s="80"/>
      <c r="J188" s="80"/>
    </row>
    <row r="189" ht="22.5" customHeight="1">
      <c r="A189" s="77" t="s">
        <v>18</v>
      </c>
      <c r="B189" s="77" t="s">
        <v>298</v>
      </c>
      <c r="C189" s="77" t="s">
        <v>299</v>
      </c>
      <c r="D189" s="82">
        <v>46031.0</v>
      </c>
      <c r="E189" s="76" t="s">
        <v>89</v>
      </c>
      <c r="F189" s="77">
        <v>6.0</v>
      </c>
      <c r="G189" s="76">
        <v>210000.0</v>
      </c>
      <c r="H189" s="80">
        <f t="shared" si="21"/>
        <v>1260000</v>
      </c>
      <c r="I189" s="80"/>
      <c r="J189" s="80"/>
    </row>
    <row r="190" ht="22.5" customHeight="1">
      <c r="A190" s="77" t="s">
        <v>18</v>
      </c>
      <c r="B190" s="77" t="s">
        <v>298</v>
      </c>
      <c r="C190" s="77" t="s">
        <v>299</v>
      </c>
      <c r="D190" s="82">
        <v>46031.0</v>
      </c>
      <c r="E190" s="76" t="s">
        <v>90</v>
      </c>
      <c r="F190" s="77">
        <v>10.0</v>
      </c>
      <c r="G190" s="76">
        <v>130000.0</v>
      </c>
      <c r="H190" s="80">
        <f t="shared" si="21"/>
        <v>1300000</v>
      </c>
      <c r="I190" s="80"/>
      <c r="J190" s="80"/>
    </row>
    <row r="191" ht="22.5" customHeight="1">
      <c r="A191" s="77" t="s">
        <v>18</v>
      </c>
      <c r="B191" s="77" t="s">
        <v>298</v>
      </c>
      <c r="C191" s="77" t="s">
        <v>299</v>
      </c>
      <c r="D191" s="82">
        <v>46031.0</v>
      </c>
      <c r="E191" s="76" t="s">
        <v>91</v>
      </c>
      <c r="F191" s="77">
        <v>6.0</v>
      </c>
      <c r="G191" s="76">
        <v>110000.0</v>
      </c>
      <c r="H191" s="80">
        <f t="shared" si="21"/>
        <v>660000</v>
      </c>
      <c r="I191" s="80"/>
      <c r="J191" s="80"/>
    </row>
    <row r="192" ht="22.5" customHeight="1">
      <c r="A192" s="77" t="s">
        <v>28</v>
      </c>
      <c r="B192" s="77" t="s">
        <v>111</v>
      </c>
      <c r="C192" s="77" t="s">
        <v>118</v>
      </c>
      <c r="D192" s="82">
        <v>46034.0</v>
      </c>
      <c r="E192" s="76" t="s">
        <v>80</v>
      </c>
      <c r="F192" s="77">
        <v>4.0</v>
      </c>
      <c r="G192" s="76">
        <v>170000.0</v>
      </c>
      <c r="H192" s="80">
        <f t="shared" si="21"/>
        <v>680000</v>
      </c>
      <c r="I192" s="80"/>
      <c r="J192" s="80"/>
    </row>
    <row r="193" ht="22.5" customHeight="1">
      <c r="A193" s="77" t="s">
        <v>28</v>
      </c>
      <c r="B193" s="77" t="s">
        <v>111</v>
      </c>
      <c r="C193" s="77" t="s">
        <v>118</v>
      </c>
      <c r="D193" s="82">
        <v>46034.0</v>
      </c>
      <c r="E193" s="76" t="s">
        <v>80</v>
      </c>
      <c r="F193" s="77">
        <v>1.0</v>
      </c>
      <c r="G193" s="76">
        <v>180000.0</v>
      </c>
      <c r="H193" s="80">
        <f t="shared" si="21"/>
        <v>180000</v>
      </c>
      <c r="I193" s="80"/>
      <c r="J193" s="80"/>
    </row>
    <row r="194" ht="22.5" customHeight="1">
      <c r="A194" s="76" t="s">
        <v>31</v>
      </c>
      <c r="B194" s="87"/>
      <c r="C194" s="87" t="s">
        <v>300</v>
      </c>
      <c r="D194" s="82">
        <v>46035.0</v>
      </c>
      <c r="E194" s="76" t="s">
        <v>85</v>
      </c>
      <c r="F194" s="77">
        <v>18.0</v>
      </c>
      <c r="G194" s="76">
        <v>235000.0</v>
      </c>
      <c r="H194" s="80">
        <f t="shared" si="21"/>
        <v>4230000</v>
      </c>
      <c r="I194" s="80"/>
      <c r="J194" s="80"/>
    </row>
    <row r="195" ht="22.5" customHeight="1">
      <c r="A195" s="77" t="s">
        <v>28</v>
      </c>
      <c r="B195" s="77" t="s">
        <v>111</v>
      </c>
      <c r="C195" s="77" t="s">
        <v>301</v>
      </c>
      <c r="D195" s="82">
        <v>46035.0</v>
      </c>
      <c r="E195" s="76" t="s">
        <v>92</v>
      </c>
      <c r="F195" s="77">
        <v>2.0</v>
      </c>
      <c r="G195" s="76">
        <v>250000.0</v>
      </c>
      <c r="H195" s="80">
        <f t="shared" si="21"/>
        <v>500000</v>
      </c>
      <c r="I195" s="80"/>
      <c r="J195" s="80"/>
    </row>
    <row r="196" ht="22.5" customHeight="1">
      <c r="A196" s="77" t="s">
        <v>28</v>
      </c>
      <c r="B196" s="77" t="s">
        <v>111</v>
      </c>
      <c r="C196" s="77" t="s">
        <v>301</v>
      </c>
      <c r="D196" s="82">
        <v>46035.0</v>
      </c>
      <c r="E196" s="76" t="s">
        <v>93</v>
      </c>
      <c r="F196" s="77">
        <v>1.0</v>
      </c>
      <c r="G196" s="76">
        <v>25000.0</v>
      </c>
      <c r="H196" s="80">
        <f t="shared" si="21"/>
        <v>25000</v>
      </c>
      <c r="I196" s="80"/>
      <c r="J196" s="80"/>
    </row>
    <row r="197" ht="22.5" customHeight="1">
      <c r="A197" s="77" t="s">
        <v>28</v>
      </c>
      <c r="B197" s="77" t="s">
        <v>111</v>
      </c>
      <c r="C197" s="77" t="s">
        <v>301</v>
      </c>
      <c r="D197" s="82">
        <v>46035.0</v>
      </c>
      <c r="E197" s="76" t="s">
        <v>94</v>
      </c>
      <c r="F197" s="77">
        <v>2.0</v>
      </c>
      <c r="G197" s="76">
        <v>25000.0</v>
      </c>
      <c r="H197" s="80">
        <f t="shared" si="21"/>
        <v>50000</v>
      </c>
      <c r="I197" s="80"/>
      <c r="J197" s="80"/>
    </row>
    <row r="198" ht="22.5" customHeight="1">
      <c r="A198" s="77" t="s">
        <v>25</v>
      </c>
      <c r="B198" s="77" t="s">
        <v>302</v>
      </c>
      <c r="C198" s="77"/>
      <c r="D198" s="82">
        <v>46035.0</v>
      </c>
      <c r="E198" s="76" t="s">
        <v>95</v>
      </c>
      <c r="F198" s="77">
        <v>24.0</v>
      </c>
      <c r="G198" s="76">
        <v>210000.0</v>
      </c>
      <c r="H198" s="80">
        <f t="shared" si="21"/>
        <v>5040000</v>
      </c>
      <c r="I198" s="80"/>
      <c r="J198" s="80"/>
    </row>
    <row r="199" ht="22.5" customHeight="1">
      <c r="A199" s="77" t="s">
        <v>18</v>
      </c>
      <c r="B199" s="77" t="s">
        <v>132</v>
      </c>
      <c r="C199" s="77" t="s">
        <v>303</v>
      </c>
      <c r="D199" s="82">
        <v>46041.0</v>
      </c>
      <c r="E199" s="76" t="s">
        <v>96</v>
      </c>
      <c r="F199" s="77">
        <v>2.0</v>
      </c>
      <c r="G199" s="76">
        <v>235000.0</v>
      </c>
      <c r="H199" s="80">
        <f t="shared" si="21"/>
        <v>470000</v>
      </c>
      <c r="I199" s="80"/>
      <c r="J199" s="80"/>
    </row>
    <row r="200" ht="22.5" customHeight="1">
      <c r="A200" s="77" t="s">
        <v>28</v>
      </c>
      <c r="B200" s="77" t="s">
        <v>111</v>
      </c>
      <c r="C200" s="77" t="s">
        <v>304</v>
      </c>
      <c r="D200" s="82">
        <v>46042.0</v>
      </c>
      <c r="E200" s="76" t="s">
        <v>97</v>
      </c>
      <c r="F200" s="77">
        <v>76.0</v>
      </c>
      <c r="G200" s="76">
        <v>190000.0</v>
      </c>
      <c r="H200" s="80">
        <f t="shared" si="21"/>
        <v>14440000</v>
      </c>
      <c r="I200" s="80"/>
      <c r="J200" s="80"/>
    </row>
    <row r="201" ht="22.5" customHeight="1">
      <c r="A201" s="77" t="s">
        <v>28</v>
      </c>
      <c r="B201" s="77" t="s">
        <v>111</v>
      </c>
      <c r="C201" s="77" t="s">
        <v>304</v>
      </c>
      <c r="D201" s="82">
        <v>46042.0</v>
      </c>
      <c r="E201" s="76" t="s">
        <v>97</v>
      </c>
      <c r="F201" s="77">
        <v>9.0</v>
      </c>
      <c r="G201" s="76">
        <v>200000.0</v>
      </c>
      <c r="H201" s="80">
        <f t="shared" si="21"/>
        <v>1800000</v>
      </c>
      <c r="I201" s="80"/>
      <c r="J201" s="80"/>
    </row>
    <row r="202" ht="22.5" customHeight="1">
      <c r="A202" s="77" t="s">
        <v>28</v>
      </c>
      <c r="B202" s="77" t="s">
        <v>111</v>
      </c>
      <c r="C202" s="77" t="s">
        <v>152</v>
      </c>
      <c r="D202" s="82">
        <v>46042.0</v>
      </c>
      <c r="E202" s="76" t="s">
        <v>98</v>
      </c>
      <c r="F202" s="77">
        <v>1.0</v>
      </c>
      <c r="G202" s="76">
        <v>200000.0</v>
      </c>
      <c r="H202" s="80">
        <f t="shared" si="21"/>
        <v>200000</v>
      </c>
      <c r="I202" s="80"/>
      <c r="J202" s="80"/>
    </row>
    <row r="203" ht="22.5" customHeight="1">
      <c r="A203" s="76" t="s">
        <v>31</v>
      </c>
      <c r="B203" s="77" t="s">
        <v>268</v>
      </c>
      <c r="C203" s="77" t="s">
        <v>305</v>
      </c>
      <c r="D203" s="82">
        <v>46042.0</v>
      </c>
      <c r="E203" s="76" t="s">
        <v>99</v>
      </c>
      <c r="F203" s="91"/>
      <c r="G203" s="80"/>
      <c r="H203" s="76">
        <v>150000.0</v>
      </c>
      <c r="I203" s="80"/>
      <c r="J203" s="80"/>
    </row>
    <row r="204" ht="22.5" customHeight="1">
      <c r="A204" s="76" t="s">
        <v>32</v>
      </c>
      <c r="B204" s="90"/>
      <c r="C204" s="77" t="s">
        <v>306</v>
      </c>
      <c r="D204" s="82">
        <v>46042.0</v>
      </c>
      <c r="E204" s="76" t="s">
        <v>100</v>
      </c>
      <c r="F204" s="77">
        <v>12.0</v>
      </c>
      <c r="G204" s="76">
        <v>60000.0</v>
      </c>
      <c r="H204" s="80">
        <f t="shared" ref="H204:H314" si="22">F204*G204</f>
        <v>720000</v>
      </c>
      <c r="I204" s="80"/>
      <c r="J204" s="80"/>
    </row>
    <row r="205" ht="22.5" customHeight="1">
      <c r="A205" s="77" t="s">
        <v>307</v>
      </c>
      <c r="B205" s="77" t="s">
        <v>282</v>
      </c>
      <c r="C205" s="77" t="s">
        <v>308</v>
      </c>
      <c r="D205" s="82">
        <v>46044.0</v>
      </c>
      <c r="E205" s="76" t="s">
        <v>101</v>
      </c>
      <c r="F205" s="77">
        <v>15.0</v>
      </c>
      <c r="G205" s="76">
        <v>190000.0</v>
      </c>
      <c r="H205" s="80">
        <f t="shared" si="22"/>
        <v>2850000</v>
      </c>
      <c r="I205" s="80"/>
      <c r="J205" s="80"/>
    </row>
    <row r="206" ht="22.5" customHeight="1">
      <c r="A206" s="77" t="s">
        <v>307</v>
      </c>
      <c r="B206" s="77" t="s">
        <v>282</v>
      </c>
      <c r="C206" s="77" t="s">
        <v>308</v>
      </c>
      <c r="D206" s="82">
        <v>46044.0</v>
      </c>
      <c r="E206" s="76" t="s">
        <v>101</v>
      </c>
      <c r="F206" s="77">
        <v>15.0</v>
      </c>
      <c r="G206" s="76">
        <v>195000.0</v>
      </c>
      <c r="H206" s="80">
        <f t="shared" si="22"/>
        <v>2925000</v>
      </c>
      <c r="I206" s="80"/>
      <c r="J206" s="80"/>
    </row>
    <row r="207" ht="22.5" customHeight="1">
      <c r="A207" s="77" t="s">
        <v>18</v>
      </c>
      <c r="B207" s="77" t="s">
        <v>132</v>
      </c>
      <c r="C207" s="77" t="s">
        <v>309</v>
      </c>
      <c r="D207" s="82">
        <v>46044.0</v>
      </c>
      <c r="E207" s="76" t="s">
        <v>102</v>
      </c>
      <c r="F207" s="77">
        <v>5.0</v>
      </c>
      <c r="G207" s="76">
        <v>205000.0</v>
      </c>
      <c r="H207" s="80">
        <f t="shared" si="22"/>
        <v>1025000</v>
      </c>
      <c r="I207" s="80"/>
      <c r="J207" s="80"/>
    </row>
    <row r="208" ht="22.5" customHeight="1">
      <c r="A208" s="77" t="s">
        <v>28</v>
      </c>
      <c r="B208" s="77" t="s">
        <v>111</v>
      </c>
      <c r="C208" s="77" t="s">
        <v>152</v>
      </c>
      <c r="D208" s="82">
        <v>46044.0</v>
      </c>
      <c r="E208" s="76" t="s">
        <v>98</v>
      </c>
      <c r="F208" s="77">
        <v>1.0</v>
      </c>
      <c r="G208" s="76">
        <v>200000.0</v>
      </c>
      <c r="H208" s="80">
        <f t="shared" si="22"/>
        <v>200000</v>
      </c>
      <c r="I208" s="80"/>
      <c r="J208" s="80"/>
    </row>
    <row r="209" ht="22.5" customHeight="1">
      <c r="A209" s="76" t="s">
        <v>31</v>
      </c>
      <c r="B209" s="77" t="s">
        <v>310</v>
      </c>
      <c r="C209" s="77" t="s">
        <v>311</v>
      </c>
      <c r="D209" s="82">
        <v>46045.0</v>
      </c>
      <c r="E209" s="76" t="s">
        <v>103</v>
      </c>
      <c r="F209" s="77">
        <v>180.0</v>
      </c>
      <c r="G209" s="76">
        <v>30000.0</v>
      </c>
      <c r="H209" s="80">
        <f t="shared" si="22"/>
        <v>5400000</v>
      </c>
      <c r="I209" s="80"/>
      <c r="J209" s="80"/>
    </row>
    <row r="210" ht="22.5" customHeight="1">
      <c r="A210" s="77" t="s">
        <v>18</v>
      </c>
      <c r="B210" s="90"/>
      <c r="C210" s="77" t="s">
        <v>312</v>
      </c>
      <c r="D210" s="82">
        <v>46034.0</v>
      </c>
      <c r="E210" s="76" t="s">
        <v>104</v>
      </c>
      <c r="F210" s="77">
        <v>2.0</v>
      </c>
      <c r="G210" s="76">
        <v>145000.0</v>
      </c>
      <c r="H210" s="80">
        <f t="shared" si="22"/>
        <v>290000</v>
      </c>
      <c r="I210" s="80"/>
      <c r="J210" s="80"/>
    </row>
    <row r="211" ht="22.5" customHeight="1">
      <c r="A211" s="77" t="s">
        <v>23</v>
      </c>
      <c r="B211" s="90"/>
      <c r="C211" s="77" t="s">
        <v>105</v>
      </c>
      <c r="D211" s="82">
        <v>46039.0</v>
      </c>
      <c r="E211" s="76" t="s">
        <v>105</v>
      </c>
      <c r="F211" s="77">
        <v>1.0</v>
      </c>
      <c r="G211" s="76">
        <v>135000.0</v>
      </c>
      <c r="H211" s="80">
        <f t="shared" si="22"/>
        <v>135000</v>
      </c>
      <c r="I211" s="80"/>
      <c r="J211" s="80"/>
    </row>
    <row r="212" ht="22.5" customHeight="1">
      <c r="A212" s="77" t="s">
        <v>18</v>
      </c>
      <c r="B212" s="81"/>
      <c r="C212" s="77" t="s">
        <v>313</v>
      </c>
      <c r="D212" s="82">
        <v>46039.0</v>
      </c>
      <c r="E212" s="76" t="s">
        <v>106</v>
      </c>
      <c r="F212" s="77">
        <v>14.0</v>
      </c>
      <c r="G212" s="76">
        <v>30000.0</v>
      </c>
      <c r="H212" s="80">
        <f t="shared" si="22"/>
        <v>420000</v>
      </c>
      <c r="I212" s="80"/>
      <c r="J212" s="80"/>
    </row>
    <row r="213" ht="22.5" customHeight="1">
      <c r="A213" s="77" t="s">
        <v>21</v>
      </c>
      <c r="B213" s="81"/>
      <c r="C213" s="77" t="s">
        <v>314</v>
      </c>
      <c r="D213" s="82">
        <v>46034.0</v>
      </c>
      <c r="E213" s="76" t="s">
        <v>107</v>
      </c>
      <c r="F213" s="77">
        <v>1.0</v>
      </c>
      <c r="G213" s="76">
        <v>230000.0</v>
      </c>
      <c r="H213" s="80">
        <f t="shared" si="22"/>
        <v>230000</v>
      </c>
      <c r="I213" s="80"/>
      <c r="J213" s="80"/>
    </row>
    <row r="214" ht="22.5" customHeight="1">
      <c r="A214" s="76" t="s">
        <v>32</v>
      </c>
      <c r="B214" s="81"/>
      <c r="C214" s="77" t="s">
        <v>223</v>
      </c>
      <c r="D214" s="82">
        <v>46048.0</v>
      </c>
      <c r="E214" s="76" t="s">
        <v>94</v>
      </c>
      <c r="F214" s="77">
        <v>4.0</v>
      </c>
      <c r="G214" s="76">
        <v>30000.0</v>
      </c>
      <c r="H214" s="80">
        <f t="shared" si="22"/>
        <v>120000</v>
      </c>
      <c r="I214" s="80"/>
      <c r="J214" s="80"/>
    </row>
    <row r="215" ht="22.5" customHeight="1">
      <c r="A215" s="76" t="s">
        <v>32</v>
      </c>
      <c r="B215" s="81"/>
      <c r="C215" s="77" t="s">
        <v>223</v>
      </c>
      <c r="D215" s="82">
        <v>46049.0</v>
      </c>
      <c r="E215" s="76" t="s">
        <v>108</v>
      </c>
      <c r="F215" s="77">
        <v>1.0</v>
      </c>
      <c r="G215" s="76">
        <v>7000.0</v>
      </c>
      <c r="H215" s="80">
        <f t="shared" si="22"/>
        <v>7000</v>
      </c>
      <c r="I215" s="80"/>
      <c r="J215" s="80"/>
    </row>
    <row r="216" ht="22.5" customHeight="1">
      <c r="A216" s="76" t="s">
        <v>32</v>
      </c>
      <c r="B216" s="81"/>
      <c r="C216" s="77" t="s">
        <v>315</v>
      </c>
      <c r="D216" s="82">
        <v>46051.0</v>
      </c>
      <c r="E216" s="76" t="s">
        <v>109</v>
      </c>
      <c r="F216" s="77">
        <v>91.0</v>
      </c>
      <c r="G216" s="76">
        <v>160000.0</v>
      </c>
      <c r="H216" s="80">
        <f t="shared" si="22"/>
        <v>14560000</v>
      </c>
      <c r="I216" s="80"/>
      <c r="J216" s="80"/>
    </row>
    <row r="217" ht="22.5" customHeight="1">
      <c r="A217" s="76" t="s">
        <v>32</v>
      </c>
      <c r="B217" s="81"/>
      <c r="C217" s="77" t="s">
        <v>315</v>
      </c>
      <c r="D217" s="82">
        <v>46051.0</v>
      </c>
      <c r="E217" s="76" t="s">
        <v>109</v>
      </c>
      <c r="F217" s="77">
        <v>1.0</v>
      </c>
      <c r="G217" s="76">
        <v>170000.0</v>
      </c>
      <c r="H217" s="80">
        <f t="shared" si="22"/>
        <v>170000</v>
      </c>
      <c r="I217" s="80"/>
      <c r="J217" s="80"/>
    </row>
    <row r="218" ht="22.5" customHeight="1">
      <c r="A218" s="76" t="s">
        <v>32</v>
      </c>
      <c r="B218" s="81"/>
      <c r="C218" s="77" t="s">
        <v>315</v>
      </c>
      <c r="D218" s="82">
        <v>46051.0</v>
      </c>
      <c r="E218" s="76" t="s">
        <v>109</v>
      </c>
      <c r="F218" s="77">
        <v>1.0</v>
      </c>
      <c r="G218" s="76">
        <v>180000.0</v>
      </c>
      <c r="H218" s="80">
        <f t="shared" si="22"/>
        <v>180000</v>
      </c>
      <c r="I218" s="80"/>
      <c r="J218" s="80"/>
    </row>
    <row r="219" ht="22.5" customHeight="1">
      <c r="A219" s="77" t="s">
        <v>28</v>
      </c>
      <c r="B219" s="77" t="s">
        <v>111</v>
      </c>
      <c r="C219" s="77" t="s">
        <v>316</v>
      </c>
      <c r="D219" s="82">
        <v>46056.0</v>
      </c>
      <c r="E219" s="76" t="s">
        <v>210</v>
      </c>
      <c r="F219" s="77">
        <v>4.0</v>
      </c>
      <c r="G219" s="76">
        <v>200000.0</v>
      </c>
      <c r="H219" s="80">
        <f t="shared" si="22"/>
        <v>800000</v>
      </c>
      <c r="I219" s="80"/>
      <c r="J219" s="80"/>
    </row>
    <row r="220" ht="22.5" customHeight="1">
      <c r="A220" s="77" t="s">
        <v>25</v>
      </c>
      <c r="B220" s="77" t="s">
        <v>194</v>
      </c>
      <c r="C220" s="81"/>
      <c r="D220" s="82">
        <v>46056.0</v>
      </c>
      <c r="E220" s="76" t="s">
        <v>317</v>
      </c>
      <c r="F220" s="77">
        <v>2.0</v>
      </c>
      <c r="G220" s="76">
        <v>200000.0</v>
      </c>
      <c r="H220" s="80">
        <f t="shared" si="22"/>
        <v>400000</v>
      </c>
      <c r="I220" s="80"/>
      <c r="J220" s="80"/>
    </row>
    <row r="221" ht="22.5" customHeight="1">
      <c r="A221" s="77" t="s">
        <v>18</v>
      </c>
      <c r="B221" s="81"/>
      <c r="C221" s="77" t="s">
        <v>318</v>
      </c>
      <c r="D221" s="82">
        <v>46058.0</v>
      </c>
      <c r="E221" s="76" t="s">
        <v>287</v>
      </c>
      <c r="F221" s="77">
        <v>2.0</v>
      </c>
      <c r="G221" s="76">
        <v>190000.0</v>
      </c>
      <c r="H221" s="80">
        <f t="shared" si="22"/>
        <v>380000</v>
      </c>
      <c r="I221" s="80"/>
      <c r="J221" s="80"/>
    </row>
    <row r="222" ht="22.5" customHeight="1">
      <c r="A222" s="77" t="s">
        <v>18</v>
      </c>
      <c r="B222" s="81"/>
      <c r="C222" s="77" t="s">
        <v>318</v>
      </c>
      <c r="D222" s="82">
        <v>46058.0</v>
      </c>
      <c r="E222" s="76" t="s">
        <v>319</v>
      </c>
      <c r="F222" s="77">
        <v>2.0</v>
      </c>
      <c r="G222" s="76">
        <v>105000.0</v>
      </c>
      <c r="H222" s="80">
        <f t="shared" si="22"/>
        <v>210000</v>
      </c>
      <c r="I222" s="80"/>
      <c r="J222" s="80"/>
    </row>
    <row r="223" ht="22.5" customHeight="1">
      <c r="A223" s="77" t="s">
        <v>18</v>
      </c>
      <c r="B223" s="81"/>
      <c r="C223" s="77" t="s">
        <v>318</v>
      </c>
      <c r="D223" s="82">
        <v>46058.0</v>
      </c>
      <c r="E223" s="76" t="s">
        <v>320</v>
      </c>
      <c r="F223" s="77">
        <v>4.0</v>
      </c>
      <c r="G223" s="76">
        <v>185000.0</v>
      </c>
      <c r="H223" s="80">
        <f t="shared" si="22"/>
        <v>740000</v>
      </c>
      <c r="I223" s="80"/>
      <c r="J223" s="80"/>
    </row>
    <row r="224" ht="22.5" customHeight="1">
      <c r="A224" s="77" t="s">
        <v>31</v>
      </c>
      <c r="B224" s="81"/>
      <c r="C224" s="77" t="s">
        <v>321</v>
      </c>
      <c r="D224" s="82">
        <v>46058.0</v>
      </c>
      <c r="E224" s="76" t="s">
        <v>142</v>
      </c>
      <c r="F224" s="77">
        <v>20.0</v>
      </c>
      <c r="G224" s="76">
        <v>205000.0</v>
      </c>
      <c r="H224" s="80">
        <f t="shared" si="22"/>
        <v>4100000</v>
      </c>
      <c r="I224" s="80"/>
      <c r="J224" s="80"/>
    </row>
    <row r="225" ht="22.5" customHeight="1">
      <c r="A225" s="77" t="s">
        <v>25</v>
      </c>
      <c r="B225" s="77" t="s">
        <v>322</v>
      </c>
      <c r="C225" s="81"/>
      <c r="D225" s="82">
        <v>46062.0</v>
      </c>
      <c r="E225" s="76" t="s">
        <v>95</v>
      </c>
      <c r="F225" s="77">
        <v>12.0</v>
      </c>
      <c r="G225" s="76">
        <v>210000.0</v>
      </c>
      <c r="H225" s="80">
        <f t="shared" si="22"/>
        <v>2520000</v>
      </c>
      <c r="I225" s="80"/>
      <c r="J225" s="80"/>
    </row>
    <row r="226" ht="22.5" customHeight="1">
      <c r="A226" s="77" t="s">
        <v>25</v>
      </c>
      <c r="B226" s="81"/>
      <c r="C226" s="77" t="s">
        <v>323</v>
      </c>
      <c r="D226" s="82">
        <v>46062.0</v>
      </c>
      <c r="E226" s="76" t="s">
        <v>324</v>
      </c>
      <c r="F226" s="77">
        <v>2.0</v>
      </c>
      <c r="G226" s="76">
        <v>240000.0</v>
      </c>
      <c r="H226" s="80">
        <f t="shared" si="22"/>
        <v>480000</v>
      </c>
      <c r="I226" s="80"/>
      <c r="J226" s="80"/>
    </row>
    <row r="227" ht="22.5" customHeight="1">
      <c r="A227" s="77" t="s">
        <v>31</v>
      </c>
      <c r="B227" s="77" t="s">
        <v>325</v>
      </c>
      <c r="C227" s="77"/>
      <c r="D227" s="82">
        <v>46066.0</v>
      </c>
      <c r="E227" s="76" t="s">
        <v>326</v>
      </c>
      <c r="F227" s="77">
        <v>9.0</v>
      </c>
      <c r="G227" s="76">
        <v>185000.0</v>
      </c>
      <c r="H227" s="80">
        <f t="shared" si="22"/>
        <v>1665000</v>
      </c>
      <c r="I227" s="80"/>
      <c r="J227" s="80"/>
    </row>
    <row r="228" ht="22.5" customHeight="1">
      <c r="A228" s="77" t="s">
        <v>31</v>
      </c>
      <c r="B228" s="81"/>
      <c r="C228" s="77" t="s">
        <v>327</v>
      </c>
      <c r="D228" s="82">
        <v>46067.0</v>
      </c>
      <c r="E228" s="76" t="s">
        <v>328</v>
      </c>
      <c r="F228" s="77">
        <v>66.0</v>
      </c>
      <c r="G228" s="76">
        <v>120000.0</v>
      </c>
      <c r="H228" s="80">
        <f t="shared" si="22"/>
        <v>7920000</v>
      </c>
      <c r="I228" s="80"/>
      <c r="J228" s="80"/>
    </row>
    <row r="229" ht="22.5" customHeight="1">
      <c r="A229" s="77" t="s">
        <v>31</v>
      </c>
      <c r="B229" s="81"/>
      <c r="C229" s="77" t="s">
        <v>327</v>
      </c>
      <c r="D229" s="82">
        <v>46067.0</v>
      </c>
      <c r="E229" s="76" t="s">
        <v>287</v>
      </c>
      <c r="F229" s="77">
        <v>18.0</v>
      </c>
      <c r="G229" s="76">
        <v>235000.0</v>
      </c>
      <c r="H229" s="80">
        <f t="shared" si="22"/>
        <v>4230000</v>
      </c>
      <c r="I229" s="80"/>
      <c r="J229" s="80"/>
    </row>
    <row r="230" ht="22.5" customHeight="1">
      <c r="A230" s="77" t="s">
        <v>31</v>
      </c>
      <c r="B230" s="81"/>
      <c r="C230" s="77" t="s">
        <v>327</v>
      </c>
      <c r="D230" s="82">
        <v>46067.0</v>
      </c>
      <c r="E230" s="76" t="s">
        <v>329</v>
      </c>
      <c r="F230" s="77">
        <v>2.0</v>
      </c>
      <c r="G230" s="76">
        <v>100000.0</v>
      </c>
      <c r="H230" s="80">
        <f t="shared" si="22"/>
        <v>200000</v>
      </c>
      <c r="I230" s="80"/>
      <c r="J230" s="80"/>
    </row>
    <row r="231" ht="22.5" customHeight="1">
      <c r="A231" s="81"/>
      <c r="B231" s="81"/>
      <c r="C231" s="77" t="s">
        <v>330</v>
      </c>
      <c r="D231" s="82">
        <v>46072.0</v>
      </c>
      <c r="E231" s="76" t="s">
        <v>331</v>
      </c>
      <c r="F231" s="77">
        <v>24.0</v>
      </c>
      <c r="G231" s="76">
        <v>155000.0</v>
      </c>
      <c r="H231" s="80">
        <f t="shared" si="22"/>
        <v>3720000</v>
      </c>
      <c r="I231" s="80"/>
      <c r="J231" s="80"/>
    </row>
    <row r="232" ht="22.5" customHeight="1">
      <c r="A232" s="81"/>
      <c r="B232" s="81"/>
      <c r="C232" s="77" t="s">
        <v>330</v>
      </c>
      <c r="D232" s="82">
        <v>46072.0</v>
      </c>
      <c r="E232" s="76" t="s">
        <v>331</v>
      </c>
      <c r="F232" s="77">
        <v>2.0</v>
      </c>
      <c r="G232" s="76">
        <v>160000.0</v>
      </c>
      <c r="H232" s="80">
        <f t="shared" si="22"/>
        <v>320000</v>
      </c>
      <c r="I232" s="80"/>
      <c r="J232" s="80"/>
    </row>
    <row r="233" ht="22.5" customHeight="1">
      <c r="A233" s="81"/>
      <c r="B233" s="81"/>
      <c r="C233" s="77" t="s">
        <v>330</v>
      </c>
      <c r="D233" s="82">
        <v>46072.0</v>
      </c>
      <c r="E233" s="76" t="s">
        <v>331</v>
      </c>
      <c r="F233" s="77">
        <v>3.0</v>
      </c>
      <c r="G233" s="76">
        <v>165000.0</v>
      </c>
      <c r="H233" s="80">
        <f t="shared" si="22"/>
        <v>495000</v>
      </c>
      <c r="I233" s="80"/>
      <c r="J233" s="80"/>
    </row>
    <row r="234" ht="22.5" customHeight="1">
      <c r="A234" s="81"/>
      <c r="B234" s="81"/>
      <c r="C234" s="77" t="s">
        <v>332</v>
      </c>
      <c r="D234" s="82">
        <v>46074.0</v>
      </c>
      <c r="E234" s="76" t="s">
        <v>333</v>
      </c>
      <c r="F234" s="77">
        <v>114.0</v>
      </c>
      <c r="G234" s="76">
        <v>79000.0</v>
      </c>
      <c r="H234" s="80">
        <f t="shared" si="22"/>
        <v>9006000</v>
      </c>
      <c r="I234" s="80"/>
      <c r="J234" s="80"/>
    </row>
    <row r="235" ht="22.5" customHeight="1">
      <c r="A235" s="81"/>
      <c r="B235" s="81"/>
      <c r="C235" s="77" t="s">
        <v>332</v>
      </c>
      <c r="D235" s="82">
        <v>46074.0</v>
      </c>
      <c r="E235" s="76" t="s">
        <v>333</v>
      </c>
      <c r="F235" s="77">
        <v>6.0</v>
      </c>
      <c r="G235" s="76">
        <v>89000.0</v>
      </c>
      <c r="H235" s="80">
        <f t="shared" si="22"/>
        <v>534000</v>
      </c>
      <c r="I235" s="80"/>
      <c r="J235" s="80"/>
    </row>
    <row r="236" ht="22.5" customHeight="1">
      <c r="A236" s="81"/>
      <c r="B236" s="81"/>
      <c r="C236" s="77" t="s">
        <v>332</v>
      </c>
      <c r="D236" s="82">
        <v>46074.0</v>
      </c>
      <c r="E236" s="76" t="s">
        <v>334</v>
      </c>
      <c r="F236" s="77">
        <v>20.0</v>
      </c>
      <c r="G236" s="76">
        <v>35000.0</v>
      </c>
      <c r="H236" s="80">
        <f t="shared" si="22"/>
        <v>700000</v>
      </c>
      <c r="I236" s="80"/>
      <c r="J236" s="80"/>
    </row>
    <row r="237" ht="22.5" customHeight="1">
      <c r="A237" s="81"/>
      <c r="B237" s="81"/>
      <c r="C237" s="77" t="s">
        <v>261</v>
      </c>
      <c r="D237" s="82">
        <v>46079.0</v>
      </c>
      <c r="E237" s="76" t="s">
        <v>335</v>
      </c>
      <c r="F237" s="77">
        <v>1.0</v>
      </c>
      <c r="G237" s="76">
        <v>140000.0</v>
      </c>
      <c r="H237" s="80">
        <f t="shared" si="22"/>
        <v>140000</v>
      </c>
      <c r="I237" s="80"/>
      <c r="J237" s="80"/>
    </row>
    <row r="238" ht="22.5" customHeight="1">
      <c r="A238" s="81"/>
      <c r="B238" s="81"/>
      <c r="C238" s="77" t="s">
        <v>261</v>
      </c>
      <c r="D238" s="82">
        <v>46079.0</v>
      </c>
      <c r="E238" s="76" t="s">
        <v>91</v>
      </c>
      <c r="F238" s="77">
        <v>5.0</v>
      </c>
      <c r="G238" s="76">
        <v>140000.0</v>
      </c>
      <c r="H238" s="80">
        <f t="shared" si="22"/>
        <v>700000</v>
      </c>
      <c r="I238" s="80"/>
      <c r="J238" s="80"/>
    </row>
    <row r="239" ht="22.5" customHeight="1">
      <c r="A239" s="81"/>
      <c r="B239" s="81"/>
      <c r="C239" s="77" t="s">
        <v>336</v>
      </c>
      <c r="D239" s="82">
        <v>46079.0</v>
      </c>
      <c r="E239" s="76" t="s">
        <v>337</v>
      </c>
      <c r="F239" s="77">
        <v>12.0</v>
      </c>
      <c r="G239" s="76">
        <v>115000.0</v>
      </c>
      <c r="H239" s="80">
        <f t="shared" si="22"/>
        <v>1380000</v>
      </c>
      <c r="I239" s="80"/>
      <c r="J239" s="80"/>
    </row>
    <row r="240" ht="22.5" customHeight="1">
      <c r="A240" s="81"/>
      <c r="B240" s="81"/>
      <c r="C240" s="77" t="s">
        <v>338</v>
      </c>
      <c r="D240" s="82">
        <v>46079.0</v>
      </c>
      <c r="E240" s="76" t="s">
        <v>339</v>
      </c>
      <c r="F240" s="77">
        <v>2.0</v>
      </c>
      <c r="G240" s="76">
        <v>125000.0</v>
      </c>
      <c r="H240" s="80">
        <f t="shared" si="22"/>
        <v>250000</v>
      </c>
      <c r="I240" s="80"/>
      <c r="J240" s="80"/>
    </row>
    <row r="241" ht="22.5" customHeight="1">
      <c r="A241" s="81"/>
      <c r="B241" s="81"/>
      <c r="C241" s="77" t="s">
        <v>338</v>
      </c>
      <c r="D241" s="82">
        <v>46079.0</v>
      </c>
      <c r="E241" s="76" t="s">
        <v>340</v>
      </c>
      <c r="F241" s="77">
        <v>2.0</v>
      </c>
      <c r="G241" s="76">
        <v>120000.0</v>
      </c>
      <c r="H241" s="80">
        <f t="shared" si="22"/>
        <v>240000</v>
      </c>
      <c r="I241" s="80"/>
      <c r="J241" s="80"/>
    </row>
    <row r="242" ht="22.5" customHeight="1">
      <c r="A242" s="81"/>
      <c r="B242" s="81"/>
      <c r="C242" s="77" t="s">
        <v>338</v>
      </c>
      <c r="D242" s="82">
        <v>46079.0</v>
      </c>
      <c r="E242" s="76" t="s">
        <v>341</v>
      </c>
      <c r="F242" s="77">
        <v>1.0</v>
      </c>
      <c r="G242" s="76">
        <v>80000.0</v>
      </c>
      <c r="H242" s="80">
        <f t="shared" si="22"/>
        <v>80000</v>
      </c>
      <c r="I242" s="80"/>
      <c r="J242" s="80"/>
    </row>
    <row r="243" ht="22.5" customHeight="1">
      <c r="A243" s="81"/>
      <c r="B243" s="81"/>
      <c r="C243" s="77" t="s">
        <v>338</v>
      </c>
      <c r="D243" s="82">
        <v>46079.0</v>
      </c>
      <c r="E243" s="76" t="s">
        <v>341</v>
      </c>
      <c r="F243" s="77">
        <v>2.0</v>
      </c>
      <c r="G243" s="76">
        <v>90000.0</v>
      </c>
      <c r="H243" s="80">
        <f t="shared" si="22"/>
        <v>180000</v>
      </c>
      <c r="I243" s="80"/>
      <c r="J243" s="80"/>
    </row>
    <row r="244" ht="22.5" customHeight="1">
      <c r="A244" s="81"/>
      <c r="B244" s="81"/>
      <c r="C244" s="77" t="s">
        <v>338</v>
      </c>
      <c r="D244" s="82">
        <v>46079.0</v>
      </c>
      <c r="E244" s="76" t="s">
        <v>341</v>
      </c>
      <c r="F244" s="77">
        <v>1.0</v>
      </c>
      <c r="G244" s="76">
        <v>100000.0</v>
      </c>
      <c r="H244" s="80">
        <f t="shared" si="22"/>
        <v>100000</v>
      </c>
      <c r="I244" s="80"/>
      <c r="J244" s="80"/>
    </row>
    <row r="245" ht="22.5" customHeight="1">
      <c r="A245" s="81"/>
      <c r="B245" s="81"/>
      <c r="C245" s="77" t="s">
        <v>338</v>
      </c>
      <c r="D245" s="82">
        <v>46079.0</v>
      </c>
      <c r="E245" s="76" t="s">
        <v>342</v>
      </c>
      <c r="F245" s="77">
        <v>1.0</v>
      </c>
      <c r="G245" s="76">
        <v>90000.0</v>
      </c>
      <c r="H245" s="80">
        <f t="shared" si="22"/>
        <v>90000</v>
      </c>
      <c r="I245" s="80"/>
      <c r="J245" s="80"/>
    </row>
    <row r="246" ht="22.5" customHeight="1">
      <c r="A246" s="81"/>
      <c r="B246" s="81"/>
      <c r="C246" s="77" t="s">
        <v>338</v>
      </c>
      <c r="D246" s="82">
        <v>46079.0</v>
      </c>
      <c r="E246" s="76" t="s">
        <v>342</v>
      </c>
      <c r="F246" s="77">
        <v>1.0</v>
      </c>
      <c r="G246" s="76">
        <v>100000.0</v>
      </c>
      <c r="H246" s="80">
        <f t="shared" si="22"/>
        <v>100000</v>
      </c>
      <c r="I246" s="80"/>
      <c r="J246" s="80"/>
    </row>
    <row r="247" ht="22.5" customHeight="1">
      <c r="A247" s="81"/>
      <c r="B247" s="81"/>
      <c r="C247" s="77" t="s">
        <v>338</v>
      </c>
      <c r="D247" s="82">
        <v>46079.0</v>
      </c>
      <c r="E247" s="76" t="s">
        <v>343</v>
      </c>
      <c r="F247" s="77">
        <v>2.0</v>
      </c>
      <c r="G247" s="76">
        <v>150000.0</v>
      </c>
      <c r="H247" s="80">
        <f t="shared" si="22"/>
        <v>300000</v>
      </c>
      <c r="I247" s="80"/>
      <c r="J247" s="80"/>
    </row>
    <row r="248" ht="22.5" customHeight="1">
      <c r="A248" s="81"/>
      <c r="B248" s="81"/>
      <c r="C248" s="77" t="s">
        <v>338</v>
      </c>
      <c r="D248" s="82">
        <v>46079.0</v>
      </c>
      <c r="E248" s="76" t="s">
        <v>139</v>
      </c>
      <c r="F248" s="77">
        <v>2.0</v>
      </c>
      <c r="G248" s="76">
        <v>160000.0</v>
      </c>
      <c r="H248" s="80">
        <f t="shared" si="22"/>
        <v>320000</v>
      </c>
      <c r="I248" s="80"/>
      <c r="J248" s="80"/>
    </row>
    <row r="249" ht="22.5" customHeight="1">
      <c r="A249" s="81"/>
      <c r="B249" s="81"/>
      <c r="C249" s="77" t="s">
        <v>338</v>
      </c>
      <c r="D249" s="82">
        <v>46079.0</v>
      </c>
      <c r="E249" s="76" t="s">
        <v>344</v>
      </c>
      <c r="F249" s="77">
        <v>2.0</v>
      </c>
      <c r="G249" s="76">
        <v>145000.0</v>
      </c>
      <c r="H249" s="80">
        <f t="shared" si="22"/>
        <v>290000</v>
      </c>
      <c r="I249" s="80"/>
      <c r="J249" s="80"/>
    </row>
    <row r="250" ht="22.5" customHeight="1">
      <c r="A250" s="81"/>
      <c r="B250" s="81"/>
      <c r="C250" s="77" t="s">
        <v>338</v>
      </c>
      <c r="D250" s="82">
        <v>46079.0</v>
      </c>
      <c r="E250" s="76" t="s">
        <v>345</v>
      </c>
      <c r="F250" s="77">
        <v>2.0</v>
      </c>
      <c r="G250" s="76">
        <v>145000.0</v>
      </c>
      <c r="H250" s="80">
        <f t="shared" si="22"/>
        <v>290000</v>
      </c>
      <c r="I250" s="80"/>
      <c r="J250" s="80"/>
    </row>
    <row r="251" ht="22.5" customHeight="1">
      <c r="A251" s="81"/>
      <c r="B251" s="81"/>
      <c r="C251" s="77" t="s">
        <v>338</v>
      </c>
      <c r="D251" s="82">
        <v>46079.0</v>
      </c>
      <c r="E251" s="76" t="s">
        <v>346</v>
      </c>
      <c r="F251" s="77">
        <v>1.0</v>
      </c>
      <c r="G251" s="76">
        <v>125000.0</v>
      </c>
      <c r="H251" s="80">
        <f t="shared" si="22"/>
        <v>125000</v>
      </c>
      <c r="I251" s="80"/>
      <c r="J251" s="80"/>
    </row>
    <row r="252" ht="22.5" customHeight="1">
      <c r="A252" s="81"/>
      <c r="B252" s="81"/>
      <c r="C252" s="77" t="s">
        <v>347</v>
      </c>
      <c r="D252" s="82">
        <v>46083.0</v>
      </c>
      <c r="E252" s="76" t="s">
        <v>348</v>
      </c>
      <c r="F252" s="77">
        <v>24.0</v>
      </c>
      <c r="G252" s="76">
        <v>165000.0</v>
      </c>
      <c r="H252" s="80">
        <f t="shared" si="22"/>
        <v>3960000</v>
      </c>
      <c r="I252" s="80"/>
      <c r="J252" s="80"/>
    </row>
    <row r="253" ht="22.5" customHeight="1">
      <c r="A253" s="81"/>
      <c r="B253" s="81"/>
      <c r="C253" s="77" t="s">
        <v>347</v>
      </c>
      <c r="D253" s="82">
        <v>46083.0</v>
      </c>
      <c r="E253" s="76" t="s">
        <v>348</v>
      </c>
      <c r="F253" s="77">
        <v>1.0</v>
      </c>
      <c r="G253" s="76">
        <v>175000.0</v>
      </c>
      <c r="H253" s="80">
        <f t="shared" si="22"/>
        <v>175000</v>
      </c>
      <c r="I253" s="80"/>
      <c r="J253" s="80"/>
    </row>
    <row r="254" ht="22.5" customHeight="1">
      <c r="A254" s="81"/>
      <c r="B254" s="81"/>
      <c r="C254" s="77" t="s">
        <v>347</v>
      </c>
      <c r="D254" s="82">
        <v>46083.0</v>
      </c>
      <c r="E254" s="76" t="s">
        <v>348</v>
      </c>
      <c r="F254" s="77">
        <v>1.0</v>
      </c>
      <c r="G254" s="76">
        <v>185000.0</v>
      </c>
      <c r="H254" s="80">
        <f t="shared" si="22"/>
        <v>185000</v>
      </c>
      <c r="I254" s="80"/>
      <c r="J254" s="80"/>
    </row>
    <row r="255" ht="22.5" customHeight="1">
      <c r="A255" s="81"/>
      <c r="B255" s="81"/>
      <c r="C255" s="77" t="s">
        <v>349</v>
      </c>
      <c r="D255" s="82">
        <v>46085.0</v>
      </c>
      <c r="E255" s="76" t="s">
        <v>287</v>
      </c>
      <c r="F255" s="77">
        <v>15.0</v>
      </c>
      <c r="G255" s="76">
        <v>195000.0</v>
      </c>
      <c r="H255" s="80">
        <f t="shared" si="22"/>
        <v>2925000</v>
      </c>
      <c r="I255" s="80"/>
      <c r="J255" s="80"/>
    </row>
    <row r="256" ht="22.5" customHeight="1">
      <c r="A256" s="81"/>
      <c r="B256" s="81"/>
      <c r="C256" s="77" t="s">
        <v>349</v>
      </c>
      <c r="D256" s="82">
        <v>46085.0</v>
      </c>
      <c r="E256" s="76" t="s">
        <v>350</v>
      </c>
      <c r="F256" s="77">
        <v>7.0</v>
      </c>
      <c r="G256" s="76">
        <v>120000.0</v>
      </c>
      <c r="H256" s="80">
        <f t="shared" si="22"/>
        <v>840000</v>
      </c>
      <c r="I256" s="80"/>
      <c r="J256" s="80"/>
    </row>
    <row r="257" ht="22.5" customHeight="1">
      <c r="A257" s="81"/>
      <c r="B257" s="81"/>
      <c r="C257" s="77" t="s">
        <v>349</v>
      </c>
      <c r="D257" s="82">
        <v>46085.0</v>
      </c>
      <c r="E257" s="76" t="s">
        <v>351</v>
      </c>
      <c r="F257" s="77">
        <v>9.0</v>
      </c>
      <c r="G257" s="76">
        <v>120000.0</v>
      </c>
      <c r="H257" s="80">
        <f t="shared" si="22"/>
        <v>1080000</v>
      </c>
      <c r="I257" s="80"/>
      <c r="J257" s="80"/>
    </row>
    <row r="258" ht="22.5" customHeight="1">
      <c r="A258" s="81"/>
      <c r="B258" s="81"/>
      <c r="C258" s="77" t="s">
        <v>352</v>
      </c>
      <c r="D258" s="82">
        <v>46088.0</v>
      </c>
      <c r="E258" s="76" t="s">
        <v>222</v>
      </c>
      <c r="F258" s="77">
        <v>11.0</v>
      </c>
      <c r="G258" s="76">
        <v>85000.0</v>
      </c>
      <c r="H258" s="80">
        <f t="shared" si="22"/>
        <v>935000</v>
      </c>
      <c r="I258" s="80"/>
      <c r="J258" s="80"/>
    </row>
    <row r="259" ht="22.5" customHeight="1">
      <c r="A259" s="81"/>
      <c r="B259" s="81"/>
      <c r="C259" s="77" t="s">
        <v>352</v>
      </c>
      <c r="D259" s="82">
        <v>46088.0</v>
      </c>
      <c r="E259" s="76" t="s">
        <v>222</v>
      </c>
      <c r="F259" s="77">
        <v>1.0</v>
      </c>
      <c r="G259" s="76">
        <v>95000.0</v>
      </c>
      <c r="H259" s="80">
        <f t="shared" si="22"/>
        <v>95000</v>
      </c>
      <c r="I259" s="80"/>
      <c r="J259" s="80"/>
    </row>
    <row r="260" ht="22.5" customHeight="1">
      <c r="A260" s="93"/>
      <c r="B260" s="94"/>
      <c r="C260" s="95" t="s">
        <v>294</v>
      </c>
      <c r="D260" s="96">
        <v>46097.0</v>
      </c>
      <c r="E260" s="97" t="s">
        <v>353</v>
      </c>
      <c r="F260" s="98">
        <v>4.0</v>
      </c>
      <c r="G260" s="99">
        <v>225000.0</v>
      </c>
      <c r="H260" s="99">
        <f t="shared" si="22"/>
        <v>900000</v>
      </c>
      <c r="I260" s="100"/>
      <c r="J260" s="80"/>
    </row>
    <row r="261" ht="22.5" customHeight="1">
      <c r="A261" s="93"/>
      <c r="B261" s="94"/>
      <c r="C261" s="95" t="s">
        <v>354</v>
      </c>
      <c r="D261" s="96">
        <v>46105.0</v>
      </c>
      <c r="E261" s="97" t="s">
        <v>355</v>
      </c>
      <c r="F261" s="98">
        <v>10.0</v>
      </c>
      <c r="G261" s="99">
        <v>125000.0</v>
      </c>
      <c r="H261" s="99">
        <f t="shared" si="22"/>
        <v>1250000</v>
      </c>
      <c r="I261" s="100"/>
      <c r="J261" s="80"/>
    </row>
    <row r="262" ht="22.5" customHeight="1">
      <c r="A262" s="93"/>
      <c r="B262" s="94"/>
      <c r="C262" s="95" t="s">
        <v>332</v>
      </c>
      <c r="D262" s="101">
        <v>46113.0</v>
      </c>
      <c r="E262" s="97" t="s">
        <v>356</v>
      </c>
      <c r="F262" s="98">
        <v>38.0</v>
      </c>
      <c r="G262" s="99">
        <v>79000.0</v>
      </c>
      <c r="H262" s="99">
        <f t="shared" si="22"/>
        <v>3002000</v>
      </c>
      <c r="I262" s="100">
        <f>sum(H262:H268)</f>
        <v>10940000</v>
      </c>
      <c r="J262" s="80"/>
    </row>
    <row r="263" ht="22.5" customHeight="1">
      <c r="A263" s="93"/>
      <c r="B263" s="94"/>
      <c r="C263" s="95" t="s">
        <v>332</v>
      </c>
      <c r="D263" s="101">
        <v>46113.0</v>
      </c>
      <c r="E263" s="97" t="s">
        <v>356</v>
      </c>
      <c r="F263" s="98">
        <v>2.0</v>
      </c>
      <c r="G263" s="99">
        <v>89000.0</v>
      </c>
      <c r="H263" s="99">
        <f t="shared" si="22"/>
        <v>178000</v>
      </c>
      <c r="I263" s="100"/>
      <c r="J263" s="80"/>
    </row>
    <row r="264" ht="22.5" customHeight="1">
      <c r="A264" s="93"/>
      <c r="B264" s="94"/>
      <c r="C264" s="95" t="s">
        <v>332</v>
      </c>
      <c r="D264" s="101">
        <v>46113.0</v>
      </c>
      <c r="E264" s="97" t="s">
        <v>357</v>
      </c>
      <c r="F264" s="98">
        <v>38.0</v>
      </c>
      <c r="G264" s="99">
        <v>79000.0</v>
      </c>
      <c r="H264" s="99">
        <f t="shared" si="22"/>
        <v>3002000</v>
      </c>
      <c r="I264" s="100"/>
      <c r="J264" s="80"/>
    </row>
    <row r="265" ht="22.5" customHeight="1">
      <c r="A265" s="93"/>
      <c r="B265" s="94"/>
      <c r="C265" s="95" t="s">
        <v>332</v>
      </c>
      <c r="D265" s="101">
        <v>46113.0</v>
      </c>
      <c r="E265" s="97" t="s">
        <v>357</v>
      </c>
      <c r="F265" s="98">
        <v>2.0</v>
      </c>
      <c r="G265" s="99">
        <v>89000.0</v>
      </c>
      <c r="H265" s="99">
        <f t="shared" si="22"/>
        <v>178000</v>
      </c>
      <c r="I265" s="100"/>
      <c r="J265" s="76" t="s">
        <v>47</v>
      </c>
    </row>
    <row r="266" ht="22.5" customHeight="1">
      <c r="A266" s="93"/>
      <c r="B266" s="94"/>
      <c r="C266" s="95" t="s">
        <v>332</v>
      </c>
      <c r="D266" s="101">
        <v>46113.0</v>
      </c>
      <c r="E266" s="97" t="s">
        <v>358</v>
      </c>
      <c r="F266" s="98">
        <v>38.0</v>
      </c>
      <c r="G266" s="99">
        <v>79000.0</v>
      </c>
      <c r="H266" s="99">
        <f t="shared" si="22"/>
        <v>3002000</v>
      </c>
      <c r="I266" s="100"/>
      <c r="J266" s="80"/>
    </row>
    <row r="267" ht="22.5" customHeight="1">
      <c r="A267" s="93"/>
      <c r="B267" s="94"/>
      <c r="C267" s="95" t="s">
        <v>332</v>
      </c>
      <c r="D267" s="101">
        <v>46113.0</v>
      </c>
      <c r="E267" s="97" t="s">
        <v>358</v>
      </c>
      <c r="F267" s="98">
        <v>2.0</v>
      </c>
      <c r="G267" s="99">
        <v>89000.0</v>
      </c>
      <c r="H267" s="99">
        <f t="shared" si="22"/>
        <v>178000</v>
      </c>
      <c r="I267" s="100"/>
      <c r="J267" s="80"/>
    </row>
    <row r="268" ht="22.5" customHeight="1">
      <c r="A268" s="93"/>
      <c r="B268" s="94"/>
      <c r="C268" s="95" t="s">
        <v>332</v>
      </c>
      <c r="D268" s="101">
        <v>46113.0</v>
      </c>
      <c r="E268" s="97" t="s">
        <v>94</v>
      </c>
      <c r="F268" s="98">
        <v>40.0</v>
      </c>
      <c r="G268" s="99">
        <v>35000.0</v>
      </c>
      <c r="H268" s="99">
        <f t="shared" si="22"/>
        <v>1400000</v>
      </c>
      <c r="I268" s="100"/>
      <c r="J268" s="80"/>
    </row>
    <row r="269" ht="22.5" customHeight="1">
      <c r="A269" s="81"/>
      <c r="B269" s="81"/>
      <c r="C269" s="77" t="s">
        <v>311</v>
      </c>
      <c r="D269" s="78">
        <v>46114.0</v>
      </c>
      <c r="E269" s="76" t="s">
        <v>359</v>
      </c>
      <c r="F269" s="77">
        <v>179.0</v>
      </c>
      <c r="G269" s="76">
        <v>27000.0</v>
      </c>
      <c r="H269" s="99">
        <f t="shared" si="22"/>
        <v>4833000</v>
      </c>
      <c r="I269" s="80">
        <f>H269</f>
        <v>4833000</v>
      </c>
      <c r="J269" s="80"/>
    </row>
    <row r="270" ht="22.5" customHeight="1">
      <c r="A270" s="81"/>
      <c r="B270" s="81"/>
      <c r="C270" s="77" t="s">
        <v>360</v>
      </c>
      <c r="D270" s="78">
        <v>46118.0</v>
      </c>
      <c r="E270" s="76" t="s">
        <v>361</v>
      </c>
      <c r="F270" s="77">
        <v>4.0</v>
      </c>
      <c r="G270" s="76">
        <v>250000.0</v>
      </c>
      <c r="H270" s="99">
        <f t="shared" si="22"/>
        <v>1000000</v>
      </c>
      <c r="I270" s="80"/>
      <c r="J270" s="80"/>
    </row>
    <row r="271" ht="22.5" customHeight="1">
      <c r="A271" s="81"/>
      <c r="B271" s="81"/>
      <c r="C271" s="77" t="s">
        <v>360</v>
      </c>
      <c r="D271" s="78">
        <v>46118.0</v>
      </c>
      <c r="E271" s="76" t="s">
        <v>361</v>
      </c>
      <c r="F271" s="77">
        <v>1.0</v>
      </c>
      <c r="G271" s="76">
        <v>260000.0</v>
      </c>
      <c r="H271" s="80">
        <f t="shared" si="22"/>
        <v>260000</v>
      </c>
      <c r="I271" s="80"/>
      <c r="J271" s="80"/>
    </row>
    <row r="272" ht="22.5" customHeight="1">
      <c r="A272" s="81"/>
      <c r="B272" s="81"/>
      <c r="C272" s="77" t="s">
        <v>360</v>
      </c>
      <c r="D272" s="78">
        <v>46118.0</v>
      </c>
      <c r="E272" s="76" t="s">
        <v>361</v>
      </c>
      <c r="F272" s="77">
        <v>1.0</v>
      </c>
      <c r="G272" s="76">
        <v>270000.0</v>
      </c>
      <c r="H272" s="80">
        <f t="shared" si="22"/>
        <v>270000</v>
      </c>
      <c r="I272" s="80">
        <f>sum(H270:H272)</f>
        <v>1530000</v>
      </c>
      <c r="J272" s="80"/>
    </row>
    <row r="273" ht="22.5" customHeight="1">
      <c r="A273" s="81"/>
      <c r="B273" s="81"/>
      <c r="C273" s="77" t="s">
        <v>362</v>
      </c>
      <c r="D273" s="82">
        <v>46119.0</v>
      </c>
      <c r="E273" s="76" t="s">
        <v>363</v>
      </c>
      <c r="F273" s="77">
        <v>36.0</v>
      </c>
      <c r="G273" s="76">
        <v>110000.0</v>
      </c>
      <c r="H273" s="80">
        <f t="shared" si="22"/>
        <v>3960000</v>
      </c>
      <c r="I273" s="80"/>
      <c r="J273" s="80"/>
    </row>
    <row r="274" ht="22.5" customHeight="1">
      <c r="A274" s="81"/>
      <c r="B274" s="81"/>
      <c r="C274" s="77" t="s">
        <v>362</v>
      </c>
      <c r="D274" s="82">
        <v>46119.0</v>
      </c>
      <c r="E274" s="76" t="s">
        <v>363</v>
      </c>
      <c r="F274" s="77">
        <v>3.0</v>
      </c>
      <c r="G274" s="76">
        <v>120000.0</v>
      </c>
      <c r="H274" s="80">
        <f t="shared" si="22"/>
        <v>360000</v>
      </c>
      <c r="I274" s="80"/>
      <c r="J274" s="80"/>
    </row>
    <row r="275" ht="22.5" customHeight="1">
      <c r="A275" s="81"/>
      <c r="B275" s="81"/>
      <c r="C275" s="77" t="s">
        <v>362</v>
      </c>
      <c r="D275" s="82">
        <v>46119.0</v>
      </c>
      <c r="E275" s="76" t="s">
        <v>363</v>
      </c>
      <c r="F275" s="77">
        <v>1.0</v>
      </c>
      <c r="G275" s="76">
        <v>130000.0</v>
      </c>
      <c r="H275" s="80">
        <f t="shared" si="22"/>
        <v>130000</v>
      </c>
      <c r="I275" s="80"/>
      <c r="J275" s="80"/>
    </row>
    <row r="276" ht="22.5" customHeight="1">
      <c r="A276" s="81"/>
      <c r="B276" s="81"/>
      <c r="C276" s="77" t="s">
        <v>364</v>
      </c>
      <c r="D276" s="82">
        <v>46119.0</v>
      </c>
      <c r="E276" s="76" t="s">
        <v>365</v>
      </c>
      <c r="F276" s="77">
        <v>12.0</v>
      </c>
      <c r="G276" s="76">
        <v>110000.0</v>
      </c>
      <c r="H276" s="80">
        <f t="shared" si="22"/>
        <v>1320000</v>
      </c>
      <c r="I276" s="80">
        <f>sum(H273:H277)</f>
        <v>5890000</v>
      </c>
      <c r="J276" s="80"/>
    </row>
    <row r="277" ht="22.5" customHeight="1">
      <c r="A277" s="81"/>
      <c r="B277" s="81"/>
      <c r="C277" s="77" t="s">
        <v>364</v>
      </c>
      <c r="D277" s="82">
        <v>46119.0</v>
      </c>
      <c r="E277" s="76" t="s">
        <v>365</v>
      </c>
      <c r="F277" s="77">
        <v>1.0</v>
      </c>
      <c r="G277" s="76">
        <v>120000.0</v>
      </c>
      <c r="H277" s="80">
        <f t="shared" si="22"/>
        <v>120000</v>
      </c>
      <c r="I277" s="80"/>
      <c r="J277" s="80"/>
    </row>
    <row r="278" ht="22.5" customHeight="1">
      <c r="A278" s="81"/>
      <c r="B278" s="81"/>
      <c r="C278" s="77" t="s">
        <v>311</v>
      </c>
      <c r="D278" s="78">
        <v>46125.0</v>
      </c>
      <c r="E278" s="76" t="s">
        <v>366</v>
      </c>
      <c r="F278" s="77">
        <v>54.0</v>
      </c>
      <c r="G278" s="76">
        <v>67000.0</v>
      </c>
      <c r="H278" s="80">
        <f t="shared" si="22"/>
        <v>3618000</v>
      </c>
      <c r="I278" s="80">
        <f>sum(H278:H282)</f>
        <v>14022000</v>
      </c>
      <c r="J278" s="80"/>
    </row>
    <row r="279" ht="22.5" customHeight="1">
      <c r="A279" s="81"/>
      <c r="B279" s="81"/>
      <c r="C279" s="77" t="s">
        <v>311</v>
      </c>
      <c r="D279" s="78">
        <v>46125.0</v>
      </c>
      <c r="E279" s="76" t="s">
        <v>366</v>
      </c>
      <c r="F279" s="77">
        <v>18.0</v>
      </c>
      <c r="G279" s="76">
        <v>72000.0</v>
      </c>
      <c r="H279" s="80">
        <f t="shared" si="22"/>
        <v>1296000</v>
      </c>
      <c r="I279" s="80"/>
      <c r="J279" s="80"/>
    </row>
    <row r="280" ht="22.5" customHeight="1">
      <c r="A280" s="81"/>
      <c r="B280" s="81"/>
      <c r="C280" s="77" t="s">
        <v>311</v>
      </c>
      <c r="D280" s="78">
        <v>46125.0</v>
      </c>
      <c r="E280" s="76" t="s">
        <v>366</v>
      </c>
      <c r="F280" s="77">
        <v>72.0</v>
      </c>
      <c r="G280" s="76">
        <v>77000.0</v>
      </c>
      <c r="H280" s="80">
        <f t="shared" si="22"/>
        <v>5544000</v>
      </c>
      <c r="I280" s="80"/>
      <c r="J280" s="80"/>
    </row>
    <row r="281" ht="22.5" customHeight="1">
      <c r="A281" s="81"/>
      <c r="B281" s="81"/>
      <c r="C281" s="77" t="s">
        <v>311</v>
      </c>
      <c r="D281" s="78">
        <v>46125.0</v>
      </c>
      <c r="E281" s="76" t="s">
        <v>366</v>
      </c>
      <c r="F281" s="77">
        <v>24.0</v>
      </c>
      <c r="G281" s="76">
        <v>87000.0</v>
      </c>
      <c r="H281" s="80">
        <f t="shared" si="22"/>
        <v>2088000</v>
      </c>
      <c r="I281" s="80"/>
      <c r="J281" s="80"/>
    </row>
    <row r="282" ht="22.5" customHeight="1">
      <c r="A282" s="81"/>
      <c r="B282" s="81"/>
      <c r="C282" s="77" t="s">
        <v>311</v>
      </c>
      <c r="D282" s="78">
        <v>46125.0</v>
      </c>
      <c r="E282" s="76" t="s">
        <v>366</v>
      </c>
      <c r="F282" s="77">
        <v>18.0</v>
      </c>
      <c r="G282" s="76">
        <v>82000.0</v>
      </c>
      <c r="H282" s="80">
        <f t="shared" si="22"/>
        <v>1476000</v>
      </c>
      <c r="I282" s="80"/>
      <c r="J282" s="80"/>
    </row>
    <row r="283" ht="22.5" customHeight="1">
      <c r="A283" s="81"/>
      <c r="B283" s="81"/>
      <c r="C283" s="77" t="s">
        <v>367</v>
      </c>
      <c r="D283" s="78">
        <v>46128.0</v>
      </c>
      <c r="E283" s="76" t="s">
        <v>174</v>
      </c>
      <c r="F283" s="77">
        <v>3.0</v>
      </c>
      <c r="G283" s="76">
        <v>280000.0</v>
      </c>
      <c r="H283" s="80">
        <f t="shared" si="22"/>
        <v>840000</v>
      </c>
      <c r="I283" s="80">
        <f>sum(H283:H288)</f>
        <v>15340000</v>
      </c>
      <c r="J283" s="80"/>
    </row>
    <row r="284" ht="22.5" customHeight="1">
      <c r="A284" s="81"/>
      <c r="B284" s="81"/>
      <c r="C284" s="77" t="s">
        <v>368</v>
      </c>
      <c r="D284" s="78">
        <v>46128.0</v>
      </c>
      <c r="E284" s="76" t="s">
        <v>369</v>
      </c>
      <c r="F284" s="77">
        <v>49.0</v>
      </c>
      <c r="G284" s="76">
        <v>220000.0</v>
      </c>
      <c r="H284" s="80">
        <f t="shared" si="22"/>
        <v>10780000</v>
      </c>
      <c r="I284" s="80"/>
      <c r="J284" s="80"/>
    </row>
    <row r="285" ht="22.5" customHeight="1">
      <c r="A285" s="81"/>
      <c r="B285" s="81"/>
      <c r="C285" s="77" t="s">
        <v>368</v>
      </c>
      <c r="D285" s="78">
        <v>46128.0</v>
      </c>
      <c r="E285" s="76" t="s">
        <v>369</v>
      </c>
      <c r="F285" s="77">
        <v>2.0</v>
      </c>
      <c r="G285" s="76">
        <v>230000.0</v>
      </c>
      <c r="H285" s="80">
        <f t="shared" si="22"/>
        <v>460000</v>
      </c>
      <c r="I285" s="80"/>
      <c r="J285" s="80"/>
    </row>
    <row r="286" ht="22.5" customHeight="1">
      <c r="A286" s="81"/>
      <c r="B286" s="81"/>
      <c r="C286" s="77" t="s">
        <v>368</v>
      </c>
      <c r="D286" s="78">
        <v>46128.0</v>
      </c>
      <c r="E286" s="76" t="s">
        <v>369</v>
      </c>
      <c r="F286" s="77">
        <v>13.0</v>
      </c>
      <c r="G286" s="76">
        <v>200000.0</v>
      </c>
      <c r="H286" s="80">
        <f t="shared" si="22"/>
        <v>2600000</v>
      </c>
      <c r="I286" s="80"/>
      <c r="J286" s="80"/>
    </row>
    <row r="287" ht="22.5" customHeight="1">
      <c r="A287" s="81"/>
      <c r="B287" s="81"/>
      <c r="C287" s="77" t="s">
        <v>368</v>
      </c>
      <c r="D287" s="78">
        <v>46128.0</v>
      </c>
      <c r="E287" s="76" t="s">
        <v>369</v>
      </c>
      <c r="F287" s="77">
        <v>2.0</v>
      </c>
      <c r="G287" s="76">
        <v>210000.0</v>
      </c>
      <c r="H287" s="80">
        <f t="shared" si="22"/>
        <v>420000</v>
      </c>
      <c r="I287" s="80"/>
      <c r="J287" s="80"/>
    </row>
    <row r="288" ht="22.5" customHeight="1">
      <c r="A288" s="81"/>
      <c r="B288" s="81"/>
      <c r="C288" s="77" t="s">
        <v>368</v>
      </c>
      <c r="D288" s="78">
        <v>46128.0</v>
      </c>
      <c r="E288" s="76" t="s">
        <v>369</v>
      </c>
      <c r="F288" s="77">
        <v>1.0</v>
      </c>
      <c r="G288" s="76">
        <v>240000.0</v>
      </c>
      <c r="H288" s="80">
        <f t="shared" si="22"/>
        <v>240000</v>
      </c>
      <c r="I288" s="80"/>
      <c r="J288" s="80"/>
    </row>
    <row r="289" ht="22.5" customHeight="1">
      <c r="A289" s="81"/>
      <c r="B289" s="81"/>
      <c r="C289" s="77" t="s">
        <v>370</v>
      </c>
      <c r="D289" s="78">
        <v>46129.0</v>
      </c>
      <c r="E289" s="76" t="s">
        <v>365</v>
      </c>
      <c r="F289" s="77">
        <v>27.0</v>
      </c>
      <c r="G289" s="76">
        <v>110000.0</v>
      </c>
      <c r="H289" s="80">
        <f t="shared" si="22"/>
        <v>2970000</v>
      </c>
      <c r="I289" s="80">
        <f>sum(H289:H291)</f>
        <v>3580000</v>
      </c>
      <c r="J289" s="80"/>
    </row>
    <row r="290" ht="22.5" customHeight="1">
      <c r="A290" s="81"/>
      <c r="B290" s="81"/>
      <c r="C290" s="77" t="s">
        <v>370</v>
      </c>
      <c r="D290" s="78">
        <v>46129.0</v>
      </c>
      <c r="E290" s="76" t="s">
        <v>365</v>
      </c>
      <c r="F290" s="77">
        <v>4.0</v>
      </c>
      <c r="G290" s="76">
        <v>120000.0</v>
      </c>
      <c r="H290" s="80">
        <f t="shared" si="22"/>
        <v>480000</v>
      </c>
      <c r="I290" s="80"/>
      <c r="J290" s="80"/>
    </row>
    <row r="291" ht="22.5" customHeight="1">
      <c r="A291" s="81"/>
      <c r="B291" s="81"/>
      <c r="C291" s="77" t="s">
        <v>370</v>
      </c>
      <c r="D291" s="78">
        <v>46129.0</v>
      </c>
      <c r="E291" s="76" t="s">
        <v>365</v>
      </c>
      <c r="F291" s="77">
        <v>1.0</v>
      </c>
      <c r="G291" s="76">
        <v>130000.0</v>
      </c>
      <c r="H291" s="80">
        <f t="shared" si="22"/>
        <v>130000</v>
      </c>
      <c r="I291" s="80"/>
      <c r="J291" s="80"/>
    </row>
    <row r="292" ht="22.5" customHeight="1">
      <c r="A292" s="81"/>
      <c r="B292" s="81"/>
      <c r="C292" s="77" t="s">
        <v>371</v>
      </c>
      <c r="D292" s="78">
        <v>46132.0</v>
      </c>
      <c r="E292" s="76" t="s">
        <v>222</v>
      </c>
      <c r="F292" s="77">
        <v>13.0</v>
      </c>
      <c r="G292" s="76">
        <v>85000.0</v>
      </c>
      <c r="H292" s="80">
        <f t="shared" si="22"/>
        <v>1105000</v>
      </c>
      <c r="I292" s="80">
        <f>sum(H292:H294)</f>
        <v>1895000</v>
      </c>
      <c r="J292" s="80"/>
    </row>
    <row r="293" ht="22.5" customHeight="1">
      <c r="A293" s="81"/>
      <c r="B293" s="81"/>
      <c r="C293" s="77" t="s">
        <v>371</v>
      </c>
      <c r="D293" s="78">
        <v>46132.0</v>
      </c>
      <c r="E293" s="76" t="s">
        <v>222</v>
      </c>
      <c r="F293" s="77">
        <v>5.0</v>
      </c>
      <c r="G293" s="76">
        <v>95000.0</v>
      </c>
      <c r="H293" s="80">
        <f t="shared" si="22"/>
        <v>475000</v>
      </c>
      <c r="I293" s="80"/>
      <c r="J293" s="80"/>
    </row>
    <row r="294" ht="22.5" customHeight="1">
      <c r="A294" s="81"/>
      <c r="B294" s="81"/>
      <c r="C294" s="77" t="s">
        <v>371</v>
      </c>
      <c r="D294" s="78">
        <v>46132.0</v>
      </c>
      <c r="E294" s="76" t="s">
        <v>222</v>
      </c>
      <c r="F294" s="77">
        <v>3.0</v>
      </c>
      <c r="G294" s="76">
        <v>105000.0</v>
      </c>
      <c r="H294" s="80">
        <f t="shared" si="22"/>
        <v>315000</v>
      </c>
      <c r="I294" s="80"/>
      <c r="J294" s="80"/>
    </row>
    <row r="295" ht="22.5" customHeight="1">
      <c r="A295" s="81"/>
      <c r="B295" s="81"/>
      <c r="C295" s="77" t="s">
        <v>372</v>
      </c>
      <c r="D295" s="78">
        <v>46133.0</v>
      </c>
      <c r="E295" s="77" t="s">
        <v>365</v>
      </c>
      <c r="F295" s="77">
        <v>34.0</v>
      </c>
      <c r="G295" s="76">
        <v>110000.0</v>
      </c>
      <c r="H295" s="80">
        <f t="shared" si="22"/>
        <v>3740000</v>
      </c>
      <c r="I295" s="76">
        <f>sum(H295:H301)</f>
        <v>4700000</v>
      </c>
      <c r="J295" s="80"/>
    </row>
    <row r="296" ht="22.5" customHeight="1">
      <c r="A296" s="81"/>
      <c r="B296" s="81"/>
      <c r="C296" s="77" t="s">
        <v>372</v>
      </c>
      <c r="D296" s="78">
        <v>46133.0</v>
      </c>
      <c r="E296" s="77" t="s">
        <v>365</v>
      </c>
      <c r="F296" s="77">
        <v>1.0</v>
      </c>
      <c r="G296" s="76">
        <v>120000.0</v>
      </c>
      <c r="H296" s="80">
        <f t="shared" si="22"/>
        <v>120000</v>
      </c>
      <c r="I296" s="80"/>
      <c r="J296" s="80"/>
    </row>
    <row r="297" ht="22.5" customHeight="1">
      <c r="A297" s="81"/>
      <c r="B297" s="81"/>
      <c r="C297" s="77" t="s">
        <v>372</v>
      </c>
      <c r="D297" s="78">
        <v>46133.0</v>
      </c>
      <c r="E297" s="77" t="s">
        <v>365</v>
      </c>
      <c r="F297" s="77">
        <v>1.0</v>
      </c>
      <c r="G297" s="76">
        <v>130000.0</v>
      </c>
      <c r="H297" s="80">
        <f t="shared" si="22"/>
        <v>130000</v>
      </c>
      <c r="I297" s="80"/>
      <c r="J297" s="80"/>
    </row>
    <row r="298" ht="22.5" customHeight="1">
      <c r="A298" s="81"/>
      <c r="B298" s="81"/>
      <c r="C298" s="77" t="s">
        <v>372</v>
      </c>
      <c r="D298" s="78">
        <v>46133.0</v>
      </c>
      <c r="E298" s="77" t="s">
        <v>365</v>
      </c>
      <c r="F298" s="77">
        <v>1.0</v>
      </c>
      <c r="G298" s="76">
        <v>150000.0</v>
      </c>
      <c r="H298" s="80">
        <f t="shared" si="22"/>
        <v>150000</v>
      </c>
      <c r="I298" s="80"/>
      <c r="J298" s="80"/>
    </row>
    <row r="299" ht="22.5" customHeight="1">
      <c r="A299" s="81"/>
      <c r="B299" s="81"/>
      <c r="C299" s="77" t="s">
        <v>373</v>
      </c>
      <c r="D299" s="78">
        <v>46133.0</v>
      </c>
      <c r="E299" s="77" t="s">
        <v>365</v>
      </c>
      <c r="F299" s="77">
        <v>1.0</v>
      </c>
      <c r="G299" s="76">
        <v>110000.0</v>
      </c>
      <c r="H299" s="80">
        <f t="shared" si="22"/>
        <v>110000</v>
      </c>
      <c r="I299" s="80"/>
      <c r="J299" s="80"/>
    </row>
    <row r="300" ht="22.5" customHeight="1">
      <c r="A300" s="81"/>
      <c r="B300" s="81"/>
      <c r="C300" s="77" t="s">
        <v>373</v>
      </c>
      <c r="D300" s="78">
        <v>46133.0</v>
      </c>
      <c r="E300" s="77" t="s">
        <v>365</v>
      </c>
      <c r="F300" s="77">
        <v>1.0</v>
      </c>
      <c r="G300" s="76">
        <v>150000.0</v>
      </c>
      <c r="H300" s="80">
        <f t="shared" si="22"/>
        <v>150000</v>
      </c>
      <c r="I300" s="80"/>
      <c r="J300" s="80"/>
    </row>
    <row r="301" ht="22.5" customHeight="1">
      <c r="A301" s="81"/>
      <c r="B301" s="81"/>
      <c r="C301" s="77"/>
      <c r="D301" s="78">
        <v>46133.0</v>
      </c>
      <c r="E301" s="77" t="s">
        <v>162</v>
      </c>
      <c r="F301" s="77">
        <v>10.0</v>
      </c>
      <c r="G301" s="76">
        <v>30000.0</v>
      </c>
      <c r="H301" s="80">
        <f t="shared" si="22"/>
        <v>300000</v>
      </c>
      <c r="I301" s="80"/>
      <c r="J301" s="80"/>
    </row>
    <row r="302" ht="22.5" customHeight="1">
      <c r="A302" s="81"/>
      <c r="B302" s="81"/>
      <c r="C302" s="77" t="s">
        <v>374</v>
      </c>
      <c r="D302" s="78">
        <v>46136.0</v>
      </c>
      <c r="E302" s="76" t="s">
        <v>101</v>
      </c>
      <c r="F302" s="77">
        <v>30.0</v>
      </c>
      <c r="G302" s="76">
        <v>215000.0</v>
      </c>
      <c r="H302" s="80">
        <f t="shared" si="22"/>
        <v>6450000</v>
      </c>
      <c r="I302" s="80">
        <f>sum(H302:H304)</f>
        <v>8370000</v>
      </c>
      <c r="J302" s="80"/>
    </row>
    <row r="303" ht="22.5" customHeight="1">
      <c r="A303" s="81"/>
      <c r="B303" s="81"/>
      <c r="C303" s="77" t="s">
        <v>374</v>
      </c>
      <c r="D303" s="102">
        <f t="shared" ref="D303:D304" si="23">D302</f>
        <v>46136</v>
      </c>
      <c r="E303" s="76" t="s">
        <v>101</v>
      </c>
      <c r="F303" s="77">
        <v>6.0</v>
      </c>
      <c r="G303" s="76">
        <v>225000.0</v>
      </c>
      <c r="H303" s="80">
        <f t="shared" si="22"/>
        <v>1350000</v>
      </c>
      <c r="I303" s="80"/>
      <c r="J303" s="80"/>
    </row>
    <row r="304" ht="22.5" customHeight="1">
      <c r="A304" s="81"/>
      <c r="B304" s="81"/>
      <c r="C304" s="77" t="s">
        <v>295</v>
      </c>
      <c r="D304" s="102">
        <f t="shared" si="23"/>
        <v>46136</v>
      </c>
      <c r="E304" s="76" t="s">
        <v>375</v>
      </c>
      <c r="F304" s="77">
        <v>3.0</v>
      </c>
      <c r="G304" s="76">
        <v>190000.0</v>
      </c>
      <c r="H304" s="80">
        <f t="shared" si="22"/>
        <v>570000</v>
      </c>
      <c r="I304" s="80"/>
      <c r="J304" s="80"/>
    </row>
    <row r="305" ht="22.5" customHeight="1">
      <c r="A305" s="81"/>
      <c r="B305" s="81"/>
      <c r="C305" s="77" t="s">
        <v>301</v>
      </c>
      <c r="D305" s="78">
        <v>46140.0</v>
      </c>
      <c r="E305" s="76" t="s">
        <v>98</v>
      </c>
      <c r="F305" s="77">
        <v>1.0</v>
      </c>
      <c r="G305" s="76">
        <v>250000.0</v>
      </c>
      <c r="H305" s="80">
        <f t="shared" si="22"/>
        <v>250000</v>
      </c>
      <c r="I305" s="80"/>
      <c r="J305" s="80"/>
    </row>
    <row r="306" ht="22.5" customHeight="1">
      <c r="A306" s="81"/>
      <c r="B306" s="81"/>
      <c r="C306" s="77" t="s">
        <v>301</v>
      </c>
      <c r="D306" s="78">
        <v>46140.0</v>
      </c>
      <c r="E306" s="76" t="s">
        <v>98</v>
      </c>
      <c r="F306" s="77">
        <v>1.0</v>
      </c>
      <c r="G306" s="76">
        <v>200000.0</v>
      </c>
      <c r="H306" s="80">
        <f t="shared" si="22"/>
        <v>200000</v>
      </c>
      <c r="I306" s="80"/>
      <c r="J306" s="80"/>
    </row>
    <row r="307" ht="22.5" customHeight="1">
      <c r="A307" s="81"/>
      <c r="B307" s="81"/>
      <c r="C307" s="81"/>
      <c r="D307" s="81"/>
      <c r="E307" s="80"/>
      <c r="F307" s="91"/>
      <c r="G307" s="80"/>
      <c r="H307" s="80">
        <f t="shared" si="22"/>
        <v>0</v>
      </c>
      <c r="I307" s="80"/>
      <c r="J307" s="80"/>
    </row>
    <row r="308" ht="22.5" customHeight="1">
      <c r="A308" s="81"/>
      <c r="B308" s="81"/>
      <c r="C308" s="81"/>
      <c r="D308" s="81"/>
      <c r="E308" s="80"/>
      <c r="F308" s="91"/>
      <c r="G308" s="80"/>
      <c r="H308" s="80">
        <f t="shared" si="22"/>
        <v>0</v>
      </c>
      <c r="I308" s="80"/>
      <c r="J308" s="80"/>
    </row>
    <row r="309" ht="22.5" customHeight="1">
      <c r="A309" s="81"/>
      <c r="B309" s="81"/>
      <c r="C309" s="81"/>
      <c r="D309" s="81"/>
      <c r="E309" s="80"/>
      <c r="F309" s="91"/>
      <c r="G309" s="80"/>
      <c r="H309" s="80">
        <f t="shared" si="22"/>
        <v>0</v>
      </c>
      <c r="I309" s="80"/>
      <c r="J309" s="80"/>
    </row>
    <row r="310" ht="22.5" customHeight="1">
      <c r="A310" s="81"/>
      <c r="B310" s="81"/>
      <c r="C310" s="81"/>
      <c r="D310" s="81"/>
      <c r="E310" s="80"/>
      <c r="F310" s="91"/>
      <c r="G310" s="80"/>
      <c r="H310" s="80">
        <f t="shared" si="22"/>
        <v>0</v>
      </c>
      <c r="I310" s="80"/>
      <c r="J310" s="80"/>
    </row>
    <row r="311" ht="22.5" customHeight="1">
      <c r="A311" s="81"/>
      <c r="B311" s="81"/>
      <c r="C311" s="81"/>
      <c r="D311" s="81"/>
      <c r="E311" s="80"/>
      <c r="F311" s="91"/>
      <c r="G311" s="80"/>
      <c r="H311" s="80">
        <f t="shared" si="22"/>
        <v>0</v>
      </c>
      <c r="I311" s="80"/>
      <c r="J311" s="80"/>
    </row>
    <row r="312" ht="22.5" customHeight="1">
      <c r="A312" s="81"/>
      <c r="B312" s="81"/>
      <c r="C312" s="81"/>
      <c r="D312" s="81"/>
      <c r="E312" s="80"/>
      <c r="F312" s="91"/>
      <c r="G312" s="80"/>
      <c r="H312" s="80">
        <f t="shared" si="22"/>
        <v>0</v>
      </c>
      <c r="I312" s="80"/>
      <c r="J312" s="80"/>
    </row>
    <row r="313" ht="22.5" customHeight="1">
      <c r="A313" s="81"/>
      <c r="B313" s="81"/>
      <c r="C313" s="81"/>
      <c r="D313" s="81"/>
      <c r="E313" s="80"/>
      <c r="F313" s="91"/>
      <c r="G313" s="80"/>
      <c r="H313" s="80">
        <f t="shared" si="22"/>
        <v>0</v>
      </c>
      <c r="I313" s="80"/>
      <c r="J313" s="80"/>
    </row>
    <row r="314" ht="22.5" customHeight="1">
      <c r="A314" s="81"/>
      <c r="B314" s="81"/>
      <c r="C314" s="81"/>
      <c r="D314" s="81"/>
      <c r="E314" s="80"/>
      <c r="F314" s="91"/>
      <c r="G314" s="80"/>
      <c r="H314" s="80">
        <f t="shared" si="22"/>
        <v>0</v>
      </c>
      <c r="I314" s="80"/>
      <c r="J314" s="80"/>
    </row>
    <row r="315" ht="22.5" customHeight="1">
      <c r="A315" s="81"/>
      <c r="B315" s="81"/>
      <c r="C315" s="81"/>
      <c r="D315" s="81"/>
      <c r="E315" s="80"/>
      <c r="F315" s="91"/>
      <c r="G315" s="80"/>
      <c r="H315" s="80"/>
      <c r="I315" s="80"/>
      <c r="J315" s="80"/>
    </row>
    <row r="316" ht="22.5" customHeight="1">
      <c r="A316" s="81"/>
      <c r="B316" s="81"/>
      <c r="C316" s="81"/>
      <c r="D316" s="81"/>
      <c r="E316" s="80"/>
      <c r="F316" s="91"/>
      <c r="G316" s="80"/>
      <c r="H316" s="80"/>
      <c r="I316" s="80"/>
      <c r="J316" s="80"/>
    </row>
    <row r="317" ht="22.5" customHeight="1">
      <c r="A317" s="81"/>
      <c r="B317" s="81"/>
      <c r="C317" s="81"/>
      <c r="D317" s="81"/>
      <c r="E317" s="80"/>
      <c r="F317" s="91"/>
      <c r="G317" s="80"/>
      <c r="H317" s="80"/>
      <c r="I317" s="80"/>
      <c r="J317" s="80"/>
    </row>
    <row r="318" ht="22.5" customHeight="1">
      <c r="A318" s="81"/>
      <c r="B318" s="81"/>
      <c r="C318" s="81"/>
      <c r="D318" s="81"/>
      <c r="E318" s="80"/>
      <c r="F318" s="91"/>
      <c r="G318" s="80"/>
      <c r="H318" s="80"/>
      <c r="I318" s="80"/>
      <c r="J318" s="80"/>
    </row>
    <row r="319" ht="22.5" customHeight="1">
      <c r="A319" s="81"/>
      <c r="B319" s="81"/>
      <c r="C319" s="81"/>
      <c r="D319" s="81"/>
      <c r="E319" s="80"/>
      <c r="F319" s="91"/>
      <c r="G319" s="80"/>
      <c r="H319" s="80"/>
      <c r="I319" s="80"/>
      <c r="J319" s="80"/>
    </row>
    <row r="320" ht="22.5" customHeight="1">
      <c r="A320" s="81"/>
      <c r="B320" s="81"/>
      <c r="C320" s="81"/>
      <c r="D320" s="81"/>
      <c r="E320" s="80"/>
      <c r="F320" s="91"/>
      <c r="G320" s="80"/>
      <c r="H320" s="80"/>
      <c r="I320" s="80"/>
      <c r="J320" s="80"/>
    </row>
    <row r="321" ht="22.5" customHeight="1">
      <c r="A321" s="81"/>
      <c r="B321" s="81"/>
      <c r="C321" s="81"/>
      <c r="D321" s="81"/>
      <c r="E321" s="80"/>
      <c r="F321" s="91"/>
      <c r="G321" s="80"/>
      <c r="H321" s="80"/>
      <c r="I321" s="80"/>
      <c r="J321" s="80"/>
    </row>
    <row r="322" ht="22.5" customHeight="1">
      <c r="A322" s="81"/>
      <c r="B322" s="81"/>
      <c r="C322" s="81"/>
      <c r="D322" s="81"/>
      <c r="E322" s="80"/>
      <c r="F322" s="91"/>
      <c r="G322" s="80"/>
      <c r="H322" s="80"/>
      <c r="I322" s="80"/>
      <c r="J322" s="80"/>
    </row>
    <row r="323" ht="22.5" customHeight="1">
      <c r="A323" s="81"/>
      <c r="B323" s="81"/>
      <c r="C323" s="81"/>
      <c r="D323" s="81"/>
      <c r="E323" s="80"/>
      <c r="F323" s="91"/>
      <c r="G323" s="80"/>
      <c r="H323" s="80"/>
      <c r="I323" s="80"/>
      <c r="J323" s="80"/>
    </row>
    <row r="324" ht="22.5" customHeight="1">
      <c r="A324" s="81"/>
      <c r="B324" s="81"/>
      <c r="C324" s="81"/>
      <c r="D324" s="81"/>
      <c r="E324" s="80"/>
      <c r="F324" s="91"/>
      <c r="G324" s="80"/>
      <c r="H324" s="80"/>
      <c r="I324" s="80"/>
      <c r="J324" s="80"/>
    </row>
    <row r="325" ht="22.5" customHeight="1">
      <c r="A325" s="81"/>
      <c r="B325" s="81"/>
      <c r="C325" s="81"/>
      <c r="D325" s="81"/>
      <c r="E325" s="80"/>
      <c r="F325" s="91"/>
      <c r="G325" s="80"/>
      <c r="H325" s="80"/>
      <c r="I325" s="80"/>
      <c r="J325" s="80"/>
    </row>
    <row r="326" ht="22.5" customHeight="1">
      <c r="A326" s="81"/>
      <c r="B326" s="81"/>
      <c r="C326" s="81"/>
      <c r="D326" s="81"/>
      <c r="E326" s="80"/>
      <c r="F326" s="91"/>
      <c r="G326" s="80"/>
      <c r="H326" s="80"/>
      <c r="I326" s="80"/>
      <c r="J326" s="80"/>
    </row>
    <row r="327" ht="22.5" customHeight="1">
      <c r="A327" s="81"/>
      <c r="B327" s="81"/>
      <c r="C327" s="81"/>
      <c r="D327" s="81"/>
      <c r="E327" s="80"/>
      <c r="F327" s="91"/>
      <c r="G327" s="80"/>
      <c r="H327" s="80"/>
      <c r="I327" s="80"/>
      <c r="J327" s="80"/>
    </row>
    <row r="328" ht="22.5" customHeight="1">
      <c r="A328" s="81"/>
      <c r="B328" s="81"/>
      <c r="C328" s="81"/>
      <c r="D328" s="81"/>
      <c r="E328" s="80"/>
      <c r="F328" s="91"/>
      <c r="G328" s="80"/>
      <c r="H328" s="80"/>
      <c r="I328" s="80"/>
      <c r="J328" s="80"/>
    </row>
    <row r="329" ht="22.5" customHeight="1">
      <c r="A329" s="81"/>
      <c r="B329" s="81"/>
      <c r="C329" s="81"/>
      <c r="D329" s="81"/>
      <c r="E329" s="80"/>
      <c r="F329" s="91"/>
      <c r="G329" s="80"/>
      <c r="H329" s="80"/>
      <c r="I329" s="80"/>
      <c r="J329" s="80"/>
    </row>
    <row r="330" ht="22.5" customHeight="1">
      <c r="A330" s="81"/>
      <c r="B330" s="81"/>
      <c r="C330" s="81"/>
      <c r="D330" s="81"/>
      <c r="E330" s="80"/>
      <c r="F330" s="91"/>
      <c r="G330" s="80"/>
      <c r="H330" s="80"/>
      <c r="I330" s="80"/>
      <c r="J330" s="80"/>
    </row>
    <row r="331" ht="22.5" customHeight="1">
      <c r="A331" s="81"/>
      <c r="B331" s="81"/>
      <c r="C331" s="81"/>
      <c r="D331" s="81"/>
      <c r="E331" s="80"/>
      <c r="F331" s="91"/>
      <c r="G331" s="80"/>
      <c r="H331" s="80"/>
      <c r="I331" s="80"/>
      <c r="J331" s="80"/>
    </row>
    <row r="332" ht="22.5" customHeight="1">
      <c r="A332" s="81"/>
      <c r="B332" s="81"/>
      <c r="C332" s="81"/>
      <c r="D332" s="81"/>
      <c r="E332" s="80"/>
      <c r="F332" s="91"/>
      <c r="G332" s="80"/>
      <c r="H332" s="80"/>
      <c r="I332" s="80"/>
      <c r="J332" s="80"/>
    </row>
    <row r="333" ht="22.5" customHeight="1">
      <c r="A333" s="81"/>
      <c r="B333" s="81"/>
      <c r="C333" s="81"/>
      <c r="D333" s="81"/>
      <c r="E333" s="80"/>
      <c r="F333" s="91"/>
      <c r="G333" s="80"/>
      <c r="H333" s="80"/>
      <c r="I333" s="80"/>
      <c r="J333" s="80"/>
    </row>
    <row r="334" ht="22.5" customHeight="1">
      <c r="A334" s="81"/>
      <c r="B334" s="81"/>
      <c r="C334" s="81"/>
      <c r="D334" s="81"/>
      <c r="E334" s="80"/>
      <c r="F334" s="91"/>
      <c r="G334" s="80"/>
      <c r="H334" s="80"/>
      <c r="I334" s="80"/>
      <c r="J334" s="80"/>
    </row>
    <row r="335" ht="22.5" customHeight="1">
      <c r="A335" s="81"/>
      <c r="B335" s="81"/>
      <c r="C335" s="81"/>
      <c r="D335" s="81"/>
      <c r="E335" s="80"/>
      <c r="F335" s="91"/>
      <c r="G335" s="80"/>
      <c r="H335" s="80"/>
      <c r="I335" s="80"/>
      <c r="J335" s="80"/>
    </row>
    <row r="336" ht="22.5" customHeight="1">
      <c r="A336" s="81"/>
      <c r="B336" s="81"/>
      <c r="C336" s="81"/>
      <c r="D336" s="81"/>
      <c r="E336" s="80"/>
      <c r="F336" s="91"/>
      <c r="G336" s="80"/>
      <c r="H336" s="80"/>
      <c r="I336" s="80"/>
      <c r="J336" s="80"/>
    </row>
    <row r="337" ht="22.5" customHeight="1">
      <c r="A337" s="81"/>
      <c r="B337" s="81"/>
      <c r="C337" s="81"/>
      <c r="D337" s="81"/>
      <c r="E337" s="80"/>
      <c r="F337" s="91"/>
      <c r="G337" s="80"/>
      <c r="H337" s="80"/>
      <c r="I337" s="80"/>
      <c r="J337" s="80"/>
    </row>
    <row r="338" ht="22.5" customHeight="1">
      <c r="A338" s="81"/>
      <c r="B338" s="81"/>
      <c r="C338" s="81"/>
      <c r="D338" s="81"/>
      <c r="E338" s="80"/>
      <c r="F338" s="91"/>
      <c r="G338" s="80"/>
      <c r="H338" s="80"/>
      <c r="I338" s="80"/>
      <c r="J338" s="80"/>
    </row>
    <row r="339" ht="22.5" customHeight="1">
      <c r="A339" s="81"/>
      <c r="B339" s="81"/>
      <c r="C339" s="81"/>
      <c r="D339" s="81"/>
      <c r="E339" s="80"/>
      <c r="F339" s="91"/>
      <c r="G339" s="80"/>
      <c r="H339" s="80"/>
      <c r="I339" s="80"/>
      <c r="J339" s="80"/>
    </row>
    <row r="340" ht="22.5" customHeight="1">
      <c r="A340" s="81"/>
      <c r="B340" s="81"/>
      <c r="C340" s="81"/>
      <c r="D340" s="81"/>
      <c r="E340" s="80"/>
      <c r="F340" s="91"/>
      <c r="G340" s="80"/>
      <c r="H340" s="80"/>
      <c r="I340" s="80"/>
      <c r="J340" s="80"/>
    </row>
    <row r="341" ht="22.5" customHeight="1">
      <c r="A341" s="81"/>
      <c r="B341" s="81"/>
      <c r="C341" s="81"/>
      <c r="D341" s="81"/>
      <c r="E341" s="80"/>
      <c r="F341" s="91"/>
      <c r="G341" s="80"/>
      <c r="H341" s="80"/>
      <c r="I341" s="80"/>
      <c r="J341" s="80"/>
    </row>
    <row r="342" ht="22.5" customHeight="1">
      <c r="A342" s="81"/>
      <c r="B342" s="81"/>
      <c r="C342" s="81"/>
      <c r="D342" s="81"/>
      <c r="E342" s="80"/>
      <c r="F342" s="91"/>
      <c r="G342" s="80"/>
      <c r="H342" s="80"/>
      <c r="I342" s="80"/>
      <c r="J342" s="80"/>
    </row>
    <row r="343" ht="22.5" customHeight="1">
      <c r="A343" s="81"/>
      <c r="B343" s="81"/>
      <c r="C343" s="81"/>
      <c r="D343" s="81"/>
      <c r="E343" s="80"/>
      <c r="F343" s="91"/>
      <c r="G343" s="80"/>
      <c r="H343" s="80"/>
      <c r="I343" s="80"/>
      <c r="J343" s="80"/>
    </row>
    <row r="344" ht="22.5" customHeight="1">
      <c r="A344" s="81"/>
      <c r="B344" s="81"/>
      <c r="C344" s="81"/>
      <c r="D344" s="81"/>
      <c r="E344" s="80"/>
      <c r="F344" s="91"/>
      <c r="G344" s="80"/>
      <c r="H344" s="80"/>
      <c r="I344" s="80"/>
      <c r="J344" s="80"/>
    </row>
    <row r="345" ht="22.5" customHeight="1">
      <c r="A345" s="81"/>
      <c r="B345" s="81"/>
      <c r="C345" s="81"/>
      <c r="D345" s="81"/>
      <c r="E345" s="80"/>
      <c r="F345" s="91"/>
      <c r="G345" s="80"/>
      <c r="H345" s="80"/>
      <c r="I345" s="80"/>
      <c r="J345" s="80"/>
    </row>
    <row r="346" ht="22.5" customHeight="1">
      <c r="A346" s="81"/>
      <c r="B346" s="81"/>
      <c r="C346" s="81"/>
      <c r="D346" s="81"/>
      <c r="E346" s="80"/>
      <c r="F346" s="91"/>
      <c r="G346" s="80"/>
      <c r="H346" s="80"/>
      <c r="I346" s="80"/>
      <c r="J346" s="80"/>
    </row>
    <row r="347" ht="22.5" customHeight="1">
      <c r="A347" s="81"/>
      <c r="B347" s="81"/>
      <c r="C347" s="81"/>
      <c r="D347" s="81"/>
      <c r="E347" s="80"/>
      <c r="F347" s="91"/>
      <c r="G347" s="80"/>
      <c r="H347" s="80"/>
      <c r="I347" s="80"/>
      <c r="J347" s="80"/>
    </row>
    <row r="348" ht="22.5" customHeight="1">
      <c r="A348" s="81"/>
      <c r="B348" s="81"/>
      <c r="C348" s="81"/>
      <c r="D348" s="81"/>
      <c r="E348" s="80"/>
      <c r="F348" s="91"/>
      <c r="G348" s="80"/>
      <c r="H348" s="80"/>
      <c r="I348" s="80"/>
      <c r="J348" s="80"/>
    </row>
    <row r="349" ht="22.5" customHeight="1">
      <c r="A349" s="81"/>
      <c r="B349" s="81"/>
      <c r="C349" s="81"/>
      <c r="D349" s="81"/>
      <c r="E349" s="80"/>
      <c r="F349" s="91"/>
      <c r="G349" s="80"/>
      <c r="H349" s="80"/>
      <c r="I349" s="80"/>
      <c r="J349" s="80"/>
    </row>
    <row r="350" ht="22.5" customHeight="1">
      <c r="A350" s="81"/>
      <c r="B350" s="81"/>
      <c r="C350" s="81"/>
      <c r="D350" s="81"/>
      <c r="E350" s="80"/>
      <c r="F350" s="91"/>
      <c r="G350" s="80"/>
      <c r="H350" s="80"/>
      <c r="I350" s="80"/>
      <c r="J350" s="80"/>
    </row>
    <row r="351" ht="22.5" customHeight="1">
      <c r="A351" s="81"/>
      <c r="B351" s="81"/>
      <c r="C351" s="81"/>
      <c r="D351" s="81"/>
      <c r="E351" s="80"/>
      <c r="F351" s="91"/>
      <c r="G351" s="80"/>
      <c r="H351" s="80"/>
      <c r="I351" s="80"/>
      <c r="J351" s="80"/>
    </row>
    <row r="352" ht="22.5" customHeight="1">
      <c r="A352" s="81"/>
      <c r="B352" s="81"/>
      <c r="C352" s="81"/>
      <c r="D352" s="81"/>
      <c r="E352" s="80"/>
      <c r="F352" s="91"/>
      <c r="G352" s="80"/>
      <c r="H352" s="80"/>
      <c r="I352" s="80"/>
      <c r="J352" s="80"/>
    </row>
    <row r="353" ht="22.5" customHeight="1">
      <c r="A353" s="81"/>
      <c r="B353" s="81"/>
      <c r="C353" s="81"/>
      <c r="D353" s="81"/>
      <c r="E353" s="80"/>
      <c r="F353" s="91"/>
      <c r="G353" s="80"/>
      <c r="H353" s="80"/>
      <c r="I353" s="80"/>
      <c r="J353" s="80"/>
    </row>
    <row r="354" ht="22.5" customHeight="1">
      <c r="A354" s="81"/>
      <c r="B354" s="81"/>
      <c r="C354" s="81"/>
      <c r="D354" s="81"/>
      <c r="E354" s="80"/>
      <c r="F354" s="91"/>
      <c r="G354" s="80"/>
      <c r="H354" s="80"/>
      <c r="I354" s="80"/>
      <c r="J354" s="80"/>
    </row>
    <row r="355" ht="22.5" customHeight="1">
      <c r="A355" s="81"/>
      <c r="B355" s="81"/>
      <c r="C355" s="81"/>
      <c r="D355" s="81"/>
      <c r="E355" s="80"/>
      <c r="F355" s="91"/>
      <c r="G355" s="80"/>
      <c r="H355" s="80"/>
      <c r="I355" s="80"/>
      <c r="J355" s="80"/>
    </row>
    <row r="356" ht="22.5" customHeight="1">
      <c r="A356" s="81"/>
      <c r="B356" s="81"/>
      <c r="C356" s="81"/>
      <c r="D356" s="81"/>
      <c r="E356" s="80"/>
      <c r="F356" s="91"/>
      <c r="G356" s="80"/>
      <c r="H356" s="80"/>
      <c r="I356" s="80"/>
      <c r="J356" s="80"/>
    </row>
    <row r="357" ht="22.5" customHeight="1">
      <c r="A357" s="81"/>
      <c r="B357" s="81"/>
      <c r="C357" s="81"/>
      <c r="D357" s="81"/>
      <c r="E357" s="80"/>
      <c r="F357" s="91"/>
      <c r="G357" s="80"/>
      <c r="H357" s="80"/>
      <c r="I357" s="80"/>
      <c r="J357" s="80"/>
    </row>
    <row r="358" ht="22.5" customHeight="1">
      <c r="A358" s="81"/>
      <c r="B358" s="81"/>
      <c r="C358" s="81"/>
      <c r="D358" s="81"/>
      <c r="E358" s="80"/>
      <c r="F358" s="91"/>
      <c r="G358" s="80"/>
      <c r="H358" s="80"/>
      <c r="I358" s="80"/>
      <c r="J358" s="80"/>
    </row>
    <row r="359" ht="22.5" customHeight="1">
      <c r="A359" s="81"/>
      <c r="B359" s="81"/>
      <c r="C359" s="81"/>
      <c r="D359" s="81"/>
      <c r="E359" s="80"/>
      <c r="F359" s="91"/>
      <c r="G359" s="80"/>
      <c r="H359" s="80"/>
      <c r="I359" s="80"/>
      <c r="J359" s="80"/>
    </row>
    <row r="360" ht="22.5" customHeight="1">
      <c r="A360" s="81"/>
      <c r="B360" s="81"/>
      <c r="C360" s="81"/>
      <c r="D360" s="81"/>
      <c r="E360" s="80"/>
      <c r="F360" s="91"/>
      <c r="G360" s="80"/>
      <c r="H360" s="80"/>
      <c r="I360" s="80"/>
      <c r="J360" s="80"/>
    </row>
    <row r="361" ht="22.5" customHeight="1">
      <c r="A361" s="81"/>
      <c r="B361" s="81"/>
      <c r="C361" s="81"/>
      <c r="D361" s="81"/>
      <c r="E361" s="80"/>
      <c r="F361" s="91"/>
      <c r="G361" s="80"/>
      <c r="H361" s="80"/>
      <c r="I361" s="80"/>
      <c r="J361" s="80"/>
    </row>
    <row r="362" ht="22.5" customHeight="1">
      <c r="A362" s="81"/>
      <c r="B362" s="81"/>
      <c r="C362" s="81"/>
      <c r="D362" s="81"/>
      <c r="E362" s="80"/>
      <c r="F362" s="91"/>
      <c r="G362" s="80"/>
      <c r="H362" s="80"/>
      <c r="I362" s="80"/>
      <c r="J362" s="80"/>
    </row>
    <row r="363" ht="22.5" customHeight="1">
      <c r="A363" s="81"/>
      <c r="B363" s="81"/>
      <c r="C363" s="81"/>
      <c r="D363" s="81"/>
      <c r="E363" s="80"/>
      <c r="F363" s="91"/>
      <c r="G363" s="80"/>
      <c r="H363" s="80"/>
      <c r="I363" s="80"/>
      <c r="J363" s="80"/>
    </row>
    <row r="364" ht="22.5" customHeight="1">
      <c r="A364" s="81"/>
      <c r="B364" s="81"/>
      <c r="C364" s="81"/>
      <c r="D364" s="81"/>
      <c r="E364" s="80"/>
      <c r="F364" s="91"/>
      <c r="G364" s="80"/>
      <c r="H364" s="80"/>
      <c r="I364" s="80"/>
      <c r="J364" s="80"/>
    </row>
    <row r="365" ht="22.5" customHeight="1">
      <c r="A365" s="81"/>
      <c r="B365" s="81"/>
      <c r="C365" s="81"/>
      <c r="D365" s="81"/>
      <c r="E365" s="80"/>
      <c r="F365" s="91"/>
      <c r="G365" s="80"/>
      <c r="H365" s="80"/>
      <c r="I365" s="80"/>
      <c r="J365" s="80"/>
    </row>
    <row r="366" ht="22.5" customHeight="1">
      <c r="A366" s="81"/>
      <c r="B366" s="81"/>
      <c r="C366" s="81"/>
      <c r="D366" s="81"/>
      <c r="E366" s="80"/>
      <c r="F366" s="91"/>
      <c r="G366" s="80"/>
      <c r="H366" s="80"/>
      <c r="I366" s="80"/>
      <c r="J366" s="80"/>
    </row>
    <row r="367" ht="22.5" customHeight="1">
      <c r="A367" s="81"/>
      <c r="B367" s="81"/>
      <c r="C367" s="81"/>
      <c r="D367" s="81"/>
      <c r="E367" s="80"/>
      <c r="F367" s="91"/>
      <c r="G367" s="80"/>
      <c r="H367" s="80"/>
      <c r="I367" s="80"/>
      <c r="J367" s="80"/>
    </row>
    <row r="368" ht="22.5" customHeight="1">
      <c r="A368" s="81"/>
      <c r="B368" s="81"/>
      <c r="C368" s="81"/>
      <c r="D368" s="81"/>
      <c r="E368" s="80"/>
      <c r="F368" s="91"/>
      <c r="G368" s="80"/>
      <c r="H368" s="80"/>
      <c r="I368" s="80"/>
      <c r="J368" s="80"/>
    </row>
    <row r="369" ht="22.5" customHeight="1">
      <c r="A369" s="81"/>
      <c r="B369" s="81"/>
      <c r="C369" s="81"/>
      <c r="D369" s="81"/>
      <c r="E369" s="80"/>
      <c r="F369" s="91"/>
      <c r="G369" s="80"/>
      <c r="H369" s="80"/>
      <c r="I369" s="80"/>
      <c r="J369" s="80"/>
    </row>
    <row r="370" ht="22.5" customHeight="1">
      <c r="A370" s="81"/>
      <c r="B370" s="81"/>
      <c r="C370" s="81"/>
      <c r="D370" s="81"/>
      <c r="E370" s="80"/>
      <c r="F370" s="91"/>
      <c r="G370" s="80"/>
      <c r="H370" s="80"/>
      <c r="I370" s="80"/>
      <c r="J370" s="80"/>
    </row>
    <row r="371" ht="22.5" customHeight="1">
      <c r="A371" s="81"/>
      <c r="B371" s="81"/>
      <c r="C371" s="81"/>
      <c r="D371" s="81"/>
      <c r="E371" s="80"/>
      <c r="F371" s="91"/>
      <c r="G371" s="80"/>
      <c r="H371" s="80"/>
      <c r="I371" s="80"/>
      <c r="J371" s="80"/>
    </row>
    <row r="372" ht="22.5" customHeight="1">
      <c r="A372" s="81"/>
      <c r="B372" s="81"/>
      <c r="C372" s="81"/>
      <c r="D372" s="81"/>
      <c r="E372" s="80"/>
      <c r="F372" s="91"/>
      <c r="G372" s="80"/>
      <c r="H372" s="80"/>
      <c r="I372" s="80"/>
      <c r="J372" s="80"/>
    </row>
    <row r="373" ht="22.5" customHeight="1">
      <c r="A373" s="81"/>
      <c r="B373" s="81"/>
      <c r="C373" s="81"/>
      <c r="D373" s="81"/>
      <c r="E373" s="80"/>
      <c r="F373" s="91"/>
      <c r="G373" s="80"/>
      <c r="H373" s="80"/>
      <c r="I373" s="80"/>
      <c r="J373" s="80"/>
    </row>
    <row r="374" ht="22.5" customHeight="1">
      <c r="A374" s="81"/>
      <c r="B374" s="81"/>
      <c r="C374" s="81"/>
      <c r="D374" s="81"/>
      <c r="E374" s="80"/>
      <c r="F374" s="91"/>
      <c r="G374" s="80"/>
      <c r="H374" s="80"/>
      <c r="I374" s="80"/>
      <c r="J374" s="80"/>
    </row>
    <row r="375" ht="22.5" customHeight="1">
      <c r="A375" s="81"/>
      <c r="B375" s="81"/>
      <c r="C375" s="81"/>
      <c r="D375" s="81"/>
      <c r="E375" s="80"/>
      <c r="F375" s="91"/>
      <c r="G375" s="80"/>
      <c r="H375" s="80"/>
      <c r="I375" s="80"/>
      <c r="J375" s="80"/>
    </row>
    <row r="376" ht="22.5" customHeight="1">
      <c r="A376" s="81"/>
      <c r="B376" s="81"/>
      <c r="C376" s="81"/>
      <c r="D376" s="81"/>
      <c r="E376" s="80"/>
      <c r="F376" s="91"/>
      <c r="G376" s="80"/>
      <c r="H376" s="80"/>
      <c r="I376" s="80"/>
      <c r="J376" s="80"/>
    </row>
    <row r="377" ht="22.5" customHeight="1">
      <c r="A377" s="81"/>
      <c r="B377" s="81"/>
      <c r="C377" s="81"/>
      <c r="D377" s="81"/>
      <c r="E377" s="80"/>
      <c r="F377" s="91"/>
      <c r="G377" s="80"/>
      <c r="H377" s="80"/>
      <c r="I377" s="80"/>
      <c r="J377" s="80"/>
    </row>
    <row r="378" ht="22.5" customHeight="1">
      <c r="A378" s="81"/>
      <c r="B378" s="81"/>
      <c r="C378" s="81"/>
      <c r="D378" s="81"/>
      <c r="E378" s="80"/>
      <c r="F378" s="91"/>
      <c r="G378" s="80"/>
      <c r="H378" s="80"/>
      <c r="I378" s="80"/>
      <c r="J378" s="80"/>
    </row>
    <row r="379" ht="22.5" customHeight="1">
      <c r="A379" s="81"/>
      <c r="B379" s="81"/>
      <c r="C379" s="81"/>
      <c r="D379" s="81"/>
      <c r="E379" s="80"/>
      <c r="F379" s="91"/>
      <c r="G379" s="80"/>
      <c r="H379" s="80"/>
      <c r="I379" s="80"/>
      <c r="J379" s="80"/>
    </row>
    <row r="380" ht="22.5" customHeight="1">
      <c r="A380" s="81"/>
      <c r="B380" s="81"/>
      <c r="C380" s="81"/>
      <c r="D380" s="81"/>
      <c r="E380" s="80"/>
      <c r="F380" s="91"/>
      <c r="G380" s="80"/>
      <c r="H380" s="80"/>
      <c r="I380" s="80"/>
      <c r="J380" s="80"/>
    </row>
    <row r="381" ht="22.5" customHeight="1">
      <c r="A381" s="81"/>
      <c r="B381" s="81"/>
      <c r="C381" s="81"/>
      <c r="D381" s="81"/>
      <c r="E381" s="80"/>
      <c r="F381" s="91"/>
      <c r="G381" s="80"/>
      <c r="H381" s="80"/>
      <c r="I381" s="80"/>
      <c r="J381" s="80"/>
    </row>
    <row r="382" ht="22.5" customHeight="1">
      <c r="A382" s="81"/>
      <c r="B382" s="81"/>
      <c r="C382" s="81"/>
      <c r="D382" s="81"/>
      <c r="E382" s="80"/>
      <c r="F382" s="91"/>
      <c r="G382" s="80"/>
      <c r="H382" s="80"/>
      <c r="I382" s="80"/>
      <c r="J382" s="80"/>
    </row>
    <row r="383" ht="22.5" customHeight="1">
      <c r="A383" s="81"/>
      <c r="B383" s="81"/>
      <c r="C383" s="81"/>
      <c r="D383" s="81"/>
      <c r="E383" s="80"/>
      <c r="F383" s="91"/>
      <c r="G383" s="80"/>
      <c r="H383" s="80"/>
      <c r="I383" s="80"/>
      <c r="J383" s="80"/>
    </row>
    <row r="384" ht="22.5" customHeight="1">
      <c r="A384" s="81"/>
      <c r="B384" s="81"/>
      <c r="C384" s="81"/>
      <c r="D384" s="81"/>
      <c r="E384" s="80"/>
      <c r="F384" s="91"/>
      <c r="G384" s="80"/>
      <c r="H384" s="80"/>
      <c r="I384" s="80"/>
      <c r="J384" s="80"/>
    </row>
    <row r="385" ht="22.5" customHeight="1">
      <c r="A385" s="81"/>
      <c r="B385" s="81"/>
      <c r="C385" s="81"/>
      <c r="D385" s="81"/>
      <c r="E385" s="80"/>
      <c r="F385" s="91"/>
      <c r="G385" s="80"/>
      <c r="H385" s="80"/>
      <c r="I385" s="80"/>
      <c r="J385" s="80"/>
    </row>
    <row r="386" ht="22.5" customHeight="1">
      <c r="A386" s="81"/>
      <c r="B386" s="81"/>
      <c r="C386" s="81"/>
      <c r="D386" s="81"/>
      <c r="E386" s="80"/>
      <c r="F386" s="91"/>
      <c r="G386" s="80"/>
      <c r="H386" s="80"/>
      <c r="I386" s="80"/>
      <c r="J386" s="80"/>
    </row>
    <row r="387" ht="22.5" customHeight="1">
      <c r="A387" s="81"/>
      <c r="B387" s="81"/>
      <c r="C387" s="81"/>
      <c r="D387" s="81"/>
      <c r="E387" s="80"/>
      <c r="F387" s="91"/>
      <c r="G387" s="80"/>
      <c r="H387" s="80"/>
      <c r="I387" s="80"/>
      <c r="J387" s="80"/>
    </row>
    <row r="388" ht="22.5" customHeight="1">
      <c r="A388" s="81"/>
      <c r="B388" s="81"/>
      <c r="C388" s="81"/>
      <c r="D388" s="81"/>
      <c r="E388" s="80"/>
      <c r="F388" s="91"/>
      <c r="G388" s="80"/>
      <c r="H388" s="80"/>
      <c r="I388" s="80"/>
      <c r="J388" s="80"/>
    </row>
    <row r="389" ht="22.5" customHeight="1">
      <c r="A389" s="81"/>
      <c r="B389" s="81"/>
      <c r="C389" s="81"/>
      <c r="D389" s="81"/>
      <c r="E389" s="80"/>
      <c r="F389" s="91"/>
      <c r="G389" s="80"/>
      <c r="H389" s="80"/>
      <c r="I389" s="80"/>
      <c r="J389" s="80"/>
    </row>
    <row r="390" ht="22.5" customHeight="1">
      <c r="A390" s="81"/>
      <c r="B390" s="81"/>
      <c r="C390" s="81"/>
      <c r="D390" s="81"/>
      <c r="E390" s="80"/>
      <c r="F390" s="91"/>
      <c r="G390" s="80"/>
      <c r="H390" s="80"/>
      <c r="I390" s="80"/>
      <c r="J390" s="80"/>
    </row>
    <row r="391" ht="22.5" customHeight="1">
      <c r="A391" s="81"/>
      <c r="B391" s="81"/>
      <c r="C391" s="81"/>
      <c r="D391" s="81"/>
      <c r="E391" s="80"/>
      <c r="F391" s="91"/>
      <c r="G391" s="80"/>
      <c r="H391" s="80"/>
      <c r="I391" s="80"/>
      <c r="J391" s="80"/>
    </row>
    <row r="392" ht="22.5" customHeight="1">
      <c r="A392" s="81"/>
      <c r="B392" s="81"/>
      <c r="C392" s="81"/>
      <c r="D392" s="81"/>
      <c r="E392" s="80"/>
      <c r="F392" s="91"/>
      <c r="G392" s="80"/>
      <c r="H392" s="80"/>
      <c r="I392" s="80"/>
      <c r="J392" s="80"/>
    </row>
    <row r="393" ht="22.5" customHeight="1">
      <c r="A393" s="81"/>
      <c r="B393" s="81"/>
      <c r="C393" s="81"/>
      <c r="D393" s="81"/>
      <c r="E393" s="80"/>
      <c r="F393" s="91"/>
      <c r="G393" s="80"/>
      <c r="H393" s="80"/>
      <c r="I393" s="80"/>
      <c r="J393" s="80"/>
    </row>
    <row r="394" ht="22.5" customHeight="1">
      <c r="A394" s="81"/>
      <c r="B394" s="81"/>
      <c r="C394" s="81"/>
      <c r="D394" s="81"/>
      <c r="E394" s="80"/>
      <c r="F394" s="91"/>
      <c r="G394" s="80"/>
      <c r="H394" s="80"/>
      <c r="I394" s="80"/>
      <c r="J394" s="80"/>
    </row>
    <row r="395" ht="22.5" customHeight="1">
      <c r="A395" s="81"/>
      <c r="B395" s="81"/>
      <c r="C395" s="81"/>
      <c r="D395" s="81"/>
      <c r="E395" s="80"/>
      <c r="F395" s="91"/>
      <c r="G395" s="80"/>
      <c r="H395" s="80"/>
      <c r="I395" s="80"/>
      <c r="J395" s="80"/>
    </row>
    <row r="396" ht="22.5" customHeight="1">
      <c r="A396" s="81"/>
      <c r="B396" s="81"/>
      <c r="C396" s="81"/>
      <c r="D396" s="81"/>
      <c r="E396" s="80"/>
      <c r="F396" s="91"/>
      <c r="G396" s="80"/>
      <c r="H396" s="80"/>
      <c r="I396" s="80"/>
      <c r="J396" s="80"/>
    </row>
    <row r="397" ht="22.5" customHeight="1">
      <c r="A397" s="81"/>
      <c r="B397" s="81"/>
      <c r="C397" s="81"/>
      <c r="D397" s="81"/>
      <c r="E397" s="80"/>
      <c r="F397" s="91"/>
      <c r="G397" s="80"/>
      <c r="H397" s="80"/>
      <c r="I397" s="80"/>
      <c r="J397" s="80"/>
    </row>
    <row r="398" ht="22.5" customHeight="1">
      <c r="A398" s="81"/>
      <c r="B398" s="81"/>
      <c r="C398" s="81"/>
      <c r="D398" s="81"/>
      <c r="E398" s="80"/>
      <c r="F398" s="91"/>
      <c r="G398" s="80"/>
      <c r="H398" s="80"/>
      <c r="I398" s="80"/>
      <c r="J398" s="80"/>
    </row>
    <row r="399" ht="22.5" customHeight="1">
      <c r="A399" s="81"/>
      <c r="B399" s="81"/>
      <c r="C399" s="81"/>
      <c r="D399" s="81"/>
      <c r="E399" s="80"/>
      <c r="F399" s="91"/>
      <c r="G399" s="80"/>
      <c r="H399" s="80"/>
      <c r="I399" s="80"/>
      <c r="J399" s="80"/>
    </row>
    <row r="400" ht="22.5" customHeight="1">
      <c r="A400" s="81"/>
      <c r="B400" s="81"/>
      <c r="C400" s="81"/>
      <c r="D400" s="81"/>
      <c r="E400" s="80"/>
      <c r="F400" s="91"/>
      <c r="G400" s="80"/>
      <c r="H400" s="80"/>
      <c r="I400" s="80"/>
      <c r="J400" s="80"/>
    </row>
    <row r="401" ht="22.5" customHeight="1">
      <c r="A401" s="81"/>
      <c r="B401" s="81"/>
      <c r="C401" s="81"/>
      <c r="D401" s="81"/>
      <c r="E401" s="80"/>
      <c r="F401" s="91"/>
      <c r="G401" s="80"/>
      <c r="H401" s="80"/>
      <c r="I401" s="80"/>
      <c r="J401" s="80"/>
    </row>
    <row r="402" ht="22.5" customHeight="1">
      <c r="A402" s="81"/>
      <c r="B402" s="81"/>
      <c r="C402" s="81"/>
      <c r="D402" s="81"/>
      <c r="E402" s="80"/>
      <c r="F402" s="91"/>
      <c r="G402" s="80"/>
      <c r="H402" s="80"/>
      <c r="I402" s="80"/>
      <c r="J402" s="80"/>
    </row>
    <row r="403" ht="22.5" customHeight="1">
      <c r="A403" s="81"/>
      <c r="B403" s="81"/>
      <c r="C403" s="81"/>
      <c r="D403" s="81"/>
      <c r="E403" s="80"/>
      <c r="F403" s="91"/>
      <c r="G403" s="80"/>
      <c r="H403" s="80"/>
      <c r="I403" s="80"/>
      <c r="J403" s="80"/>
    </row>
    <row r="404" ht="22.5" customHeight="1">
      <c r="A404" s="81"/>
      <c r="B404" s="81"/>
      <c r="C404" s="81"/>
      <c r="D404" s="81"/>
      <c r="E404" s="80"/>
      <c r="F404" s="91"/>
      <c r="G404" s="80"/>
      <c r="H404" s="80"/>
      <c r="I404" s="80"/>
      <c r="J404" s="80"/>
    </row>
    <row r="405" ht="22.5" customHeight="1">
      <c r="A405" s="81"/>
      <c r="B405" s="81"/>
      <c r="C405" s="81"/>
      <c r="D405" s="81"/>
      <c r="E405" s="80"/>
      <c r="F405" s="91"/>
      <c r="G405" s="80"/>
      <c r="H405" s="80"/>
      <c r="I405" s="80"/>
      <c r="J405" s="80"/>
    </row>
    <row r="406" ht="22.5" customHeight="1">
      <c r="A406" s="81"/>
      <c r="B406" s="81"/>
      <c r="C406" s="81"/>
      <c r="D406" s="81"/>
      <c r="E406" s="80"/>
      <c r="F406" s="91"/>
      <c r="G406" s="80"/>
      <c r="H406" s="80"/>
      <c r="I406" s="80"/>
      <c r="J406" s="80"/>
    </row>
    <row r="407" ht="22.5" customHeight="1">
      <c r="A407" s="81"/>
      <c r="B407" s="81"/>
      <c r="C407" s="81"/>
      <c r="D407" s="81"/>
      <c r="E407" s="80"/>
      <c r="F407" s="91"/>
      <c r="G407" s="80"/>
      <c r="H407" s="80"/>
      <c r="I407" s="80"/>
      <c r="J407" s="80"/>
    </row>
    <row r="408" ht="22.5" customHeight="1">
      <c r="A408" s="81"/>
      <c r="B408" s="81"/>
      <c r="C408" s="81"/>
      <c r="D408" s="81"/>
      <c r="E408" s="80"/>
      <c r="F408" s="91"/>
      <c r="G408" s="80"/>
      <c r="H408" s="80"/>
      <c r="I408" s="80"/>
      <c r="J408" s="80"/>
    </row>
    <row r="409" ht="22.5" customHeight="1">
      <c r="A409" s="81"/>
      <c r="B409" s="81"/>
      <c r="C409" s="81"/>
      <c r="D409" s="81"/>
      <c r="E409" s="80"/>
      <c r="F409" s="91"/>
      <c r="G409" s="80"/>
      <c r="H409" s="80"/>
      <c r="I409" s="80"/>
      <c r="J409" s="80"/>
    </row>
    <row r="410" ht="22.5" customHeight="1">
      <c r="A410" s="81"/>
      <c r="B410" s="81"/>
      <c r="C410" s="81"/>
      <c r="D410" s="81"/>
      <c r="E410" s="80"/>
      <c r="F410" s="91"/>
      <c r="G410" s="80"/>
      <c r="H410" s="80"/>
      <c r="I410" s="80"/>
      <c r="J410" s="80"/>
    </row>
    <row r="411" ht="22.5" customHeight="1">
      <c r="A411" s="81"/>
      <c r="B411" s="81"/>
      <c r="C411" s="81"/>
      <c r="D411" s="81"/>
      <c r="E411" s="80"/>
      <c r="F411" s="91"/>
      <c r="G411" s="80"/>
      <c r="H411" s="80"/>
      <c r="I411" s="80"/>
      <c r="J411" s="80"/>
    </row>
    <row r="412" ht="22.5" customHeight="1">
      <c r="A412" s="81"/>
      <c r="B412" s="81"/>
      <c r="C412" s="81"/>
      <c r="D412" s="81"/>
      <c r="E412" s="80"/>
      <c r="F412" s="91"/>
      <c r="G412" s="80"/>
      <c r="H412" s="80"/>
      <c r="I412" s="80"/>
      <c r="J412" s="80"/>
    </row>
    <row r="413" ht="22.5" customHeight="1">
      <c r="A413" s="81"/>
      <c r="B413" s="81"/>
      <c r="C413" s="81"/>
      <c r="D413" s="81"/>
      <c r="E413" s="80"/>
      <c r="F413" s="91"/>
      <c r="G413" s="80"/>
      <c r="H413" s="80"/>
      <c r="I413" s="80"/>
      <c r="J413" s="80"/>
    </row>
    <row r="414" ht="22.5" customHeight="1">
      <c r="A414" s="81"/>
      <c r="B414" s="81"/>
      <c r="C414" s="81"/>
      <c r="D414" s="81"/>
      <c r="E414" s="80"/>
      <c r="F414" s="91"/>
      <c r="G414" s="80"/>
      <c r="H414" s="80"/>
      <c r="I414" s="80"/>
      <c r="J414" s="80"/>
    </row>
    <row r="415" ht="22.5" customHeight="1">
      <c r="A415" s="81"/>
      <c r="B415" s="81"/>
      <c r="C415" s="81"/>
      <c r="D415" s="81"/>
      <c r="E415" s="80"/>
      <c r="F415" s="91"/>
      <c r="G415" s="80"/>
      <c r="H415" s="80"/>
      <c r="I415" s="80"/>
      <c r="J415" s="80"/>
    </row>
    <row r="416" ht="22.5" customHeight="1">
      <c r="A416" s="81"/>
      <c r="B416" s="81"/>
      <c r="C416" s="81"/>
      <c r="D416" s="81"/>
      <c r="E416" s="80"/>
      <c r="F416" s="91"/>
      <c r="G416" s="80"/>
      <c r="H416" s="80"/>
      <c r="I416" s="80"/>
      <c r="J416" s="80"/>
    </row>
    <row r="417" ht="22.5" customHeight="1">
      <c r="A417" s="81"/>
      <c r="B417" s="81"/>
      <c r="C417" s="81"/>
      <c r="D417" s="81"/>
      <c r="E417" s="80"/>
      <c r="F417" s="91"/>
      <c r="G417" s="80"/>
      <c r="H417" s="80"/>
      <c r="I417" s="80"/>
      <c r="J417" s="80"/>
    </row>
    <row r="418" ht="22.5" customHeight="1">
      <c r="A418" s="81"/>
      <c r="B418" s="81"/>
      <c r="C418" s="81"/>
      <c r="D418" s="81"/>
      <c r="E418" s="80"/>
      <c r="F418" s="91"/>
      <c r="G418" s="80"/>
      <c r="H418" s="80"/>
      <c r="I418" s="80"/>
      <c r="J418" s="80"/>
    </row>
    <row r="419" ht="22.5" customHeight="1">
      <c r="A419" s="81"/>
      <c r="B419" s="81"/>
      <c r="C419" s="81"/>
      <c r="D419" s="81"/>
      <c r="E419" s="80"/>
      <c r="F419" s="91"/>
      <c r="G419" s="80"/>
      <c r="H419" s="80"/>
      <c r="I419" s="80"/>
      <c r="J419" s="80"/>
    </row>
    <row r="420" ht="22.5" customHeight="1">
      <c r="A420" s="81"/>
      <c r="B420" s="81"/>
      <c r="C420" s="81"/>
      <c r="D420" s="81"/>
      <c r="E420" s="80"/>
      <c r="F420" s="91"/>
      <c r="G420" s="80"/>
      <c r="H420" s="80"/>
      <c r="I420" s="80"/>
      <c r="J420" s="80"/>
    </row>
    <row r="421" ht="22.5" customHeight="1">
      <c r="A421" s="81"/>
      <c r="B421" s="81"/>
      <c r="C421" s="81"/>
      <c r="D421" s="81"/>
      <c r="E421" s="80"/>
      <c r="F421" s="91"/>
      <c r="G421" s="80"/>
      <c r="H421" s="80"/>
      <c r="I421" s="80"/>
      <c r="J421" s="80"/>
    </row>
    <row r="422" ht="22.5" customHeight="1">
      <c r="A422" s="81"/>
      <c r="B422" s="81"/>
      <c r="C422" s="81"/>
      <c r="D422" s="81"/>
      <c r="E422" s="80"/>
      <c r="F422" s="91"/>
      <c r="G422" s="80"/>
      <c r="H422" s="80"/>
      <c r="I422" s="80"/>
      <c r="J422" s="80"/>
    </row>
    <row r="423" ht="22.5" customHeight="1">
      <c r="A423" s="81"/>
      <c r="B423" s="81"/>
      <c r="C423" s="81"/>
      <c r="D423" s="81"/>
      <c r="E423" s="80"/>
      <c r="F423" s="91"/>
      <c r="G423" s="80"/>
      <c r="H423" s="80"/>
      <c r="I423" s="80"/>
      <c r="J423" s="80"/>
    </row>
    <row r="424" ht="22.5" customHeight="1">
      <c r="A424" s="81"/>
      <c r="B424" s="81"/>
      <c r="C424" s="81"/>
      <c r="D424" s="81"/>
      <c r="E424" s="80"/>
      <c r="F424" s="91"/>
      <c r="G424" s="80"/>
      <c r="H424" s="80"/>
      <c r="I424" s="80"/>
      <c r="J424" s="80"/>
    </row>
    <row r="425" ht="22.5" customHeight="1">
      <c r="A425" s="81"/>
      <c r="B425" s="81"/>
      <c r="C425" s="81"/>
      <c r="D425" s="81"/>
      <c r="E425" s="80"/>
      <c r="F425" s="91"/>
      <c r="G425" s="80"/>
      <c r="H425" s="80"/>
      <c r="I425" s="80"/>
      <c r="J425" s="80"/>
    </row>
    <row r="426" ht="22.5" customHeight="1">
      <c r="A426" s="81"/>
      <c r="B426" s="81"/>
      <c r="C426" s="81"/>
      <c r="D426" s="81"/>
      <c r="E426" s="80"/>
      <c r="F426" s="91"/>
      <c r="G426" s="80"/>
      <c r="H426" s="80"/>
      <c r="I426" s="80"/>
      <c r="J426" s="80"/>
    </row>
    <row r="427" ht="22.5" customHeight="1">
      <c r="A427" s="81"/>
      <c r="B427" s="81"/>
      <c r="C427" s="81"/>
      <c r="D427" s="81"/>
      <c r="E427" s="80"/>
      <c r="F427" s="91"/>
      <c r="G427" s="80"/>
      <c r="H427" s="80"/>
      <c r="I427" s="80"/>
      <c r="J427" s="80"/>
    </row>
    <row r="428" ht="22.5" customHeight="1">
      <c r="A428" s="81"/>
      <c r="B428" s="81"/>
      <c r="C428" s="81"/>
      <c r="D428" s="81"/>
      <c r="E428" s="80"/>
      <c r="F428" s="91"/>
      <c r="G428" s="80"/>
      <c r="H428" s="80"/>
      <c r="I428" s="80"/>
      <c r="J428" s="80"/>
    </row>
    <row r="429" ht="22.5" customHeight="1">
      <c r="A429" s="81"/>
      <c r="B429" s="81"/>
      <c r="C429" s="81"/>
      <c r="D429" s="81"/>
      <c r="E429" s="80"/>
      <c r="F429" s="91"/>
      <c r="G429" s="80"/>
      <c r="H429" s="80"/>
      <c r="I429" s="80"/>
      <c r="J429" s="80"/>
    </row>
    <row r="430" ht="22.5" customHeight="1">
      <c r="A430" s="81"/>
      <c r="B430" s="81"/>
      <c r="C430" s="81"/>
      <c r="D430" s="81"/>
      <c r="E430" s="80"/>
      <c r="F430" s="91"/>
      <c r="G430" s="80"/>
      <c r="H430" s="80"/>
      <c r="I430" s="80"/>
      <c r="J430" s="80"/>
    </row>
    <row r="431" ht="22.5" customHeight="1">
      <c r="A431" s="81"/>
      <c r="B431" s="81"/>
      <c r="C431" s="81"/>
      <c r="D431" s="81"/>
      <c r="E431" s="80"/>
      <c r="F431" s="91"/>
      <c r="G431" s="80"/>
      <c r="H431" s="80"/>
      <c r="I431" s="80"/>
      <c r="J431" s="80"/>
    </row>
    <row r="432" ht="22.5" customHeight="1">
      <c r="A432" s="81"/>
      <c r="B432" s="81"/>
      <c r="C432" s="81"/>
      <c r="D432" s="81"/>
      <c r="E432" s="80"/>
      <c r="F432" s="91"/>
      <c r="G432" s="80"/>
      <c r="H432" s="80"/>
      <c r="I432" s="80"/>
      <c r="J432" s="80"/>
    </row>
    <row r="433" ht="22.5" customHeight="1">
      <c r="A433" s="81"/>
      <c r="B433" s="81"/>
      <c r="C433" s="81"/>
      <c r="D433" s="81"/>
      <c r="E433" s="80"/>
      <c r="F433" s="91"/>
      <c r="G433" s="80"/>
      <c r="H433" s="80"/>
      <c r="I433" s="80"/>
      <c r="J433" s="80"/>
    </row>
    <row r="434" ht="22.5" customHeight="1">
      <c r="A434" s="81"/>
      <c r="B434" s="81"/>
      <c r="C434" s="81"/>
      <c r="D434" s="81"/>
      <c r="E434" s="80"/>
      <c r="F434" s="91"/>
      <c r="G434" s="80"/>
      <c r="H434" s="80"/>
      <c r="I434" s="80"/>
      <c r="J434" s="80"/>
    </row>
    <row r="435" ht="22.5" customHeight="1">
      <c r="A435" s="81"/>
      <c r="B435" s="81"/>
      <c r="C435" s="81"/>
      <c r="D435" s="81"/>
      <c r="E435" s="80"/>
      <c r="F435" s="91"/>
      <c r="G435" s="80"/>
      <c r="H435" s="80"/>
      <c r="I435" s="80"/>
      <c r="J435" s="80"/>
    </row>
    <row r="436" ht="22.5" customHeight="1">
      <c r="A436" s="81"/>
      <c r="B436" s="81"/>
      <c r="C436" s="81"/>
      <c r="D436" s="81"/>
      <c r="E436" s="80"/>
      <c r="F436" s="91"/>
      <c r="G436" s="80"/>
      <c r="H436" s="80"/>
      <c r="I436" s="80"/>
      <c r="J436" s="80"/>
    </row>
    <row r="437" ht="22.5" customHeight="1">
      <c r="A437" s="81"/>
      <c r="B437" s="81"/>
      <c r="C437" s="81"/>
      <c r="D437" s="81"/>
      <c r="E437" s="80"/>
      <c r="F437" s="91"/>
      <c r="G437" s="80"/>
      <c r="H437" s="80"/>
      <c r="I437" s="80"/>
      <c r="J437" s="80"/>
    </row>
    <row r="438" ht="22.5" customHeight="1">
      <c r="A438" s="81"/>
      <c r="B438" s="81"/>
      <c r="C438" s="81"/>
      <c r="D438" s="81"/>
      <c r="E438" s="80"/>
      <c r="F438" s="91"/>
      <c r="G438" s="80"/>
      <c r="H438" s="80"/>
      <c r="I438" s="80"/>
      <c r="J438" s="80"/>
    </row>
    <row r="439" ht="22.5" customHeight="1">
      <c r="A439" s="81"/>
      <c r="B439" s="81"/>
      <c r="C439" s="81"/>
      <c r="D439" s="81"/>
      <c r="E439" s="80"/>
      <c r="F439" s="91"/>
      <c r="G439" s="80"/>
      <c r="H439" s="80"/>
      <c r="I439" s="80"/>
      <c r="J439" s="80"/>
    </row>
    <row r="440" ht="22.5" customHeight="1">
      <c r="A440" s="81"/>
      <c r="B440" s="81"/>
      <c r="C440" s="81"/>
      <c r="D440" s="81"/>
      <c r="E440" s="80"/>
      <c r="F440" s="91"/>
      <c r="G440" s="80"/>
      <c r="H440" s="80"/>
      <c r="I440" s="80"/>
      <c r="J440" s="80"/>
    </row>
    <row r="441" ht="22.5" customHeight="1">
      <c r="A441" s="81"/>
      <c r="B441" s="81"/>
      <c r="C441" s="81"/>
      <c r="D441" s="81"/>
      <c r="E441" s="80"/>
      <c r="F441" s="91"/>
      <c r="G441" s="80"/>
      <c r="H441" s="80"/>
      <c r="I441" s="80"/>
      <c r="J441" s="80"/>
    </row>
    <row r="442" ht="22.5" customHeight="1">
      <c r="A442" s="81"/>
      <c r="B442" s="81"/>
      <c r="C442" s="81"/>
      <c r="D442" s="81"/>
      <c r="E442" s="80"/>
      <c r="F442" s="91"/>
      <c r="G442" s="80"/>
      <c r="H442" s="80"/>
      <c r="I442" s="80"/>
      <c r="J442" s="80"/>
    </row>
    <row r="443" ht="22.5" customHeight="1">
      <c r="A443" s="81"/>
      <c r="B443" s="81"/>
      <c r="C443" s="81"/>
      <c r="D443" s="81"/>
      <c r="E443" s="80"/>
      <c r="F443" s="91"/>
      <c r="G443" s="80"/>
      <c r="H443" s="80"/>
      <c r="I443" s="80"/>
      <c r="J443" s="80"/>
    </row>
    <row r="444" ht="22.5" customHeight="1">
      <c r="A444" s="81"/>
      <c r="B444" s="81"/>
      <c r="C444" s="81"/>
      <c r="D444" s="81"/>
      <c r="E444" s="80"/>
      <c r="F444" s="91"/>
      <c r="G444" s="80"/>
      <c r="H444" s="80"/>
      <c r="I444" s="80"/>
      <c r="J444" s="80"/>
    </row>
    <row r="445" ht="22.5" customHeight="1">
      <c r="A445" s="81"/>
      <c r="B445" s="81"/>
      <c r="C445" s="81"/>
      <c r="D445" s="81"/>
      <c r="E445" s="80"/>
      <c r="F445" s="91"/>
      <c r="G445" s="80"/>
      <c r="H445" s="80"/>
      <c r="I445" s="80"/>
      <c r="J445" s="80"/>
    </row>
    <row r="446" ht="22.5" customHeight="1">
      <c r="A446" s="81"/>
      <c r="B446" s="81"/>
      <c r="C446" s="81"/>
      <c r="D446" s="81"/>
      <c r="E446" s="80"/>
      <c r="F446" s="91"/>
      <c r="G446" s="80"/>
      <c r="H446" s="80"/>
      <c r="I446" s="80"/>
      <c r="J446" s="80"/>
    </row>
    <row r="447" ht="22.5" customHeight="1">
      <c r="A447" s="81"/>
      <c r="B447" s="81"/>
      <c r="C447" s="81"/>
      <c r="D447" s="81"/>
      <c r="E447" s="80"/>
      <c r="F447" s="91"/>
      <c r="G447" s="80"/>
      <c r="H447" s="80"/>
      <c r="I447" s="80"/>
      <c r="J447" s="80"/>
    </row>
    <row r="448" ht="22.5" customHeight="1">
      <c r="A448" s="81"/>
      <c r="B448" s="81"/>
      <c r="C448" s="81"/>
      <c r="D448" s="81"/>
      <c r="E448" s="80"/>
      <c r="F448" s="91"/>
      <c r="G448" s="80"/>
      <c r="H448" s="80"/>
      <c r="I448" s="80"/>
      <c r="J448" s="80"/>
    </row>
    <row r="449" ht="22.5" customHeight="1">
      <c r="A449" s="81"/>
      <c r="B449" s="81"/>
      <c r="C449" s="81"/>
      <c r="D449" s="81"/>
      <c r="E449" s="80"/>
      <c r="F449" s="91"/>
      <c r="G449" s="80"/>
      <c r="H449" s="80"/>
      <c r="I449" s="80"/>
      <c r="J449" s="80"/>
    </row>
    <row r="450" ht="22.5" customHeight="1">
      <c r="A450" s="81"/>
      <c r="B450" s="81"/>
      <c r="C450" s="81"/>
      <c r="D450" s="81"/>
      <c r="E450" s="80"/>
      <c r="F450" s="91"/>
      <c r="G450" s="80"/>
      <c r="H450" s="80"/>
      <c r="I450" s="80"/>
      <c r="J450" s="80"/>
    </row>
    <row r="451" ht="22.5" customHeight="1">
      <c r="A451" s="81"/>
      <c r="B451" s="81"/>
      <c r="C451" s="81"/>
      <c r="D451" s="81"/>
      <c r="E451" s="80"/>
      <c r="F451" s="91"/>
      <c r="G451" s="80"/>
      <c r="H451" s="80"/>
      <c r="I451" s="80"/>
      <c r="J451" s="80"/>
    </row>
    <row r="452" ht="22.5" customHeight="1">
      <c r="A452" s="81"/>
      <c r="B452" s="81"/>
      <c r="C452" s="81"/>
      <c r="D452" s="81"/>
      <c r="E452" s="80"/>
      <c r="F452" s="91"/>
      <c r="G452" s="80"/>
      <c r="H452" s="80"/>
      <c r="I452" s="80"/>
      <c r="J452" s="80"/>
    </row>
    <row r="453" ht="22.5" customHeight="1">
      <c r="A453" s="81"/>
      <c r="B453" s="81"/>
      <c r="C453" s="81"/>
      <c r="D453" s="81"/>
      <c r="E453" s="80"/>
      <c r="F453" s="91"/>
      <c r="G453" s="80"/>
      <c r="H453" s="80"/>
      <c r="I453" s="80"/>
      <c r="J453" s="80"/>
    </row>
    <row r="454" ht="22.5" customHeight="1">
      <c r="A454" s="81"/>
      <c r="B454" s="81"/>
      <c r="C454" s="81"/>
      <c r="D454" s="81"/>
      <c r="E454" s="80"/>
      <c r="F454" s="91"/>
      <c r="G454" s="80"/>
      <c r="H454" s="80"/>
      <c r="I454" s="80"/>
      <c r="J454" s="80"/>
    </row>
    <row r="455" ht="22.5" customHeight="1">
      <c r="A455" s="81"/>
      <c r="B455" s="81"/>
      <c r="C455" s="81"/>
      <c r="D455" s="81"/>
      <c r="E455" s="80"/>
      <c r="F455" s="91"/>
      <c r="G455" s="80"/>
      <c r="H455" s="80"/>
      <c r="I455" s="80"/>
      <c r="J455" s="80"/>
    </row>
    <row r="456" ht="22.5" customHeight="1">
      <c r="A456" s="81"/>
      <c r="B456" s="81"/>
      <c r="C456" s="81"/>
      <c r="D456" s="81"/>
      <c r="E456" s="80"/>
      <c r="F456" s="91"/>
      <c r="G456" s="80"/>
      <c r="H456" s="80"/>
      <c r="I456" s="80"/>
      <c r="J456" s="80"/>
    </row>
    <row r="457" ht="22.5" customHeight="1">
      <c r="A457" s="81"/>
      <c r="B457" s="81"/>
      <c r="C457" s="81"/>
      <c r="D457" s="81"/>
      <c r="E457" s="80"/>
      <c r="F457" s="91"/>
      <c r="G457" s="80"/>
      <c r="H457" s="80"/>
      <c r="I457" s="80"/>
      <c r="J457" s="80"/>
    </row>
    <row r="458" ht="22.5" customHeight="1">
      <c r="A458" s="81"/>
      <c r="B458" s="81"/>
      <c r="C458" s="81"/>
      <c r="D458" s="81"/>
      <c r="E458" s="80"/>
      <c r="F458" s="91"/>
      <c r="G458" s="80"/>
      <c r="H458" s="80"/>
      <c r="I458" s="80"/>
      <c r="J458" s="80"/>
    </row>
    <row r="459" ht="22.5" customHeight="1">
      <c r="A459" s="81"/>
      <c r="B459" s="81"/>
      <c r="C459" s="81"/>
      <c r="D459" s="81"/>
      <c r="E459" s="80"/>
      <c r="F459" s="91"/>
      <c r="G459" s="80"/>
      <c r="H459" s="80"/>
      <c r="I459" s="80"/>
      <c r="J459" s="80"/>
    </row>
    <row r="460" ht="22.5" customHeight="1">
      <c r="A460" s="81"/>
      <c r="B460" s="81"/>
      <c r="C460" s="81"/>
      <c r="D460" s="81"/>
      <c r="E460" s="80"/>
      <c r="F460" s="91"/>
      <c r="G460" s="80"/>
      <c r="H460" s="80"/>
      <c r="I460" s="80"/>
      <c r="J460" s="80"/>
    </row>
    <row r="461" ht="22.5" customHeight="1">
      <c r="A461" s="81"/>
      <c r="B461" s="81"/>
      <c r="C461" s="81"/>
      <c r="D461" s="81"/>
      <c r="E461" s="80"/>
      <c r="F461" s="91"/>
      <c r="G461" s="80"/>
      <c r="H461" s="80"/>
      <c r="I461" s="80"/>
      <c r="J461" s="80"/>
    </row>
    <row r="462" ht="22.5" customHeight="1">
      <c r="A462" s="81"/>
      <c r="B462" s="81"/>
      <c r="C462" s="81"/>
      <c r="D462" s="81"/>
      <c r="E462" s="80"/>
      <c r="F462" s="91"/>
      <c r="G462" s="80"/>
      <c r="H462" s="80"/>
      <c r="I462" s="80"/>
      <c r="J462" s="80"/>
    </row>
    <row r="463" ht="22.5" customHeight="1">
      <c r="A463" s="81"/>
      <c r="B463" s="81"/>
      <c r="C463" s="81"/>
      <c r="D463" s="81"/>
      <c r="E463" s="80"/>
      <c r="F463" s="91"/>
      <c r="G463" s="80"/>
      <c r="H463" s="80"/>
      <c r="I463" s="80"/>
      <c r="J463" s="80"/>
    </row>
    <row r="464" ht="22.5" customHeight="1">
      <c r="A464" s="81"/>
      <c r="B464" s="81"/>
      <c r="C464" s="81"/>
      <c r="D464" s="81"/>
      <c r="E464" s="80"/>
      <c r="F464" s="91"/>
      <c r="G464" s="80"/>
      <c r="H464" s="80"/>
      <c r="I464" s="80"/>
      <c r="J464" s="80"/>
    </row>
    <row r="465" ht="22.5" customHeight="1">
      <c r="A465" s="81"/>
      <c r="B465" s="81"/>
      <c r="C465" s="81"/>
      <c r="D465" s="81"/>
      <c r="E465" s="80"/>
      <c r="F465" s="91"/>
      <c r="G465" s="80"/>
      <c r="H465" s="80"/>
      <c r="I465" s="80"/>
      <c r="J465" s="80"/>
    </row>
    <row r="466" ht="22.5" customHeight="1">
      <c r="A466" s="81"/>
      <c r="B466" s="81"/>
      <c r="C466" s="81"/>
      <c r="D466" s="81"/>
      <c r="E466" s="80"/>
      <c r="F466" s="91"/>
      <c r="G466" s="80"/>
      <c r="H466" s="80"/>
      <c r="I466" s="80"/>
      <c r="J466" s="80"/>
    </row>
    <row r="467" ht="22.5" customHeight="1">
      <c r="A467" s="81"/>
      <c r="B467" s="81"/>
      <c r="C467" s="81"/>
      <c r="D467" s="81"/>
      <c r="E467" s="80"/>
      <c r="F467" s="91"/>
      <c r="G467" s="80"/>
      <c r="H467" s="80"/>
      <c r="I467" s="80"/>
      <c r="J467" s="80"/>
    </row>
    <row r="468" ht="22.5" customHeight="1">
      <c r="A468" s="81"/>
      <c r="B468" s="81"/>
      <c r="C468" s="81"/>
      <c r="D468" s="81"/>
      <c r="E468" s="80"/>
      <c r="F468" s="91"/>
      <c r="G468" s="80"/>
      <c r="H468" s="80"/>
      <c r="I468" s="80"/>
      <c r="J468" s="80"/>
    </row>
    <row r="469" ht="22.5" customHeight="1">
      <c r="A469" s="81"/>
      <c r="B469" s="81"/>
      <c r="C469" s="81"/>
      <c r="D469" s="81"/>
      <c r="E469" s="80"/>
      <c r="F469" s="91"/>
      <c r="G469" s="80"/>
      <c r="H469" s="80"/>
      <c r="I469" s="80"/>
      <c r="J469" s="80"/>
    </row>
    <row r="470" ht="22.5" customHeight="1">
      <c r="A470" s="81"/>
      <c r="B470" s="81"/>
      <c r="C470" s="81"/>
      <c r="D470" s="81"/>
      <c r="E470" s="80"/>
      <c r="F470" s="91"/>
      <c r="G470" s="80"/>
      <c r="H470" s="80"/>
      <c r="I470" s="80"/>
      <c r="J470" s="80"/>
    </row>
    <row r="471" ht="22.5" customHeight="1">
      <c r="A471" s="81"/>
      <c r="B471" s="81"/>
      <c r="C471" s="81"/>
      <c r="D471" s="81"/>
      <c r="E471" s="80"/>
      <c r="F471" s="91"/>
      <c r="G471" s="80"/>
      <c r="H471" s="80"/>
      <c r="I471" s="80"/>
      <c r="J471" s="80"/>
    </row>
    <row r="472" ht="22.5" customHeight="1">
      <c r="A472" s="81"/>
      <c r="B472" s="81"/>
      <c r="C472" s="81"/>
      <c r="D472" s="81"/>
      <c r="E472" s="80"/>
      <c r="F472" s="91"/>
      <c r="G472" s="80"/>
      <c r="H472" s="80"/>
      <c r="I472" s="80"/>
      <c r="J472" s="80"/>
    </row>
    <row r="473" ht="22.5" customHeight="1">
      <c r="A473" s="81"/>
      <c r="B473" s="81"/>
      <c r="C473" s="81"/>
      <c r="D473" s="81"/>
      <c r="E473" s="80"/>
      <c r="F473" s="91"/>
      <c r="G473" s="80"/>
      <c r="H473" s="80"/>
      <c r="I473" s="80"/>
      <c r="J473" s="80"/>
    </row>
    <row r="474" ht="22.5" customHeight="1">
      <c r="A474" s="81"/>
      <c r="B474" s="81"/>
      <c r="C474" s="81"/>
      <c r="D474" s="81"/>
      <c r="E474" s="80"/>
      <c r="F474" s="91"/>
      <c r="G474" s="80"/>
      <c r="H474" s="80"/>
      <c r="I474" s="80"/>
      <c r="J474" s="80"/>
    </row>
    <row r="475" ht="22.5" customHeight="1">
      <c r="A475" s="81"/>
      <c r="B475" s="81"/>
      <c r="C475" s="81"/>
      <c r="D475" s="81"/>
      <c r="E475" s="80"/>
      <c r="F475" s="91"/>
      <c r="G475" s="80"/>
      <c r="H475" s="80"/>
      <c r="I475" s="80"/>
      <c r="J475" s="80"/>
    </row>
    <row r="476" ht="22.5" customHeight="1">
      <c r="A476" s="81"/>
      <c r="B476" s="81"/>
      <c r="C476" s="81"/>
      <c r="D476" s="81"/>
      <c r="E476" s="80"/>
      <c r="F476" s="91"/>
      <c r="G476" s="80"/>
      <c r="H476" s="80"/>
      <c r="I476" s="80"/>
      <c r="J476" s="80"/>
    </row>
    <row r="477" ht="22.5" customHeight="1">
      <c r="A477" s="81"/>
      <c r="B477" s="81"/>
      <c r="C477" s="81"/>
      <c r="D477" s="81"/>
      <c r="E477" s="80"/>
      <c r="F477" s="91"/>
      <c r="G477" s="80"/>
      <c r="H477" s="80"/>
      <c r="I477" s="80"/>
      <c r="J477" s="80"/>
    </row>
    <row r="478" ht="22.5" customHeight="1">
      <c r="A478" s="81"/>
      <c r="B478" s="81"/>
      <c r="C478" s="81"/>
      <c r="D478" s="81"/>
      <c r="E478" s="80"/>
      <c r="F478" s="91"/>
      <c r="G478" s="80"/>
      <c r="H478" s="80"/>
      <c r="I478" s="80"/>
      <c r="J478" s="80"/>
    </row>
    <row r="479" ht="22.5" customHeight="1">
      <c r="A479" s="81"/>
      <c r="B479" s="81"/>
      <c r="C479" s="81"/>
      <c r="D479" s="81"/>
      <c r="E479" s="80"/>
      <c r="F479" s="91"/>
      <c r="G479" s="80"/>
      <c r="H479" s="80"/>
      <c r="I479" s="80"/>
      <c r="J479" s="80"/>
    </row>
    <row r="480" ht="22.5" customHeight="1">
      <c r="A480" s="81"/>
      <c r="B480" s="81"/>
      <c r="C480" s="81"/>
      <c r="D480" s="81"/>
      <c r="E480" s="80"/>
      <c r="F480" s="91"/>
      <c r="G480" s="80"/>
      <c r="H480" s="80"/>
      <c r="I480" s="80"/>
      <c r="J480" s="80"/>
    </row>
    <row r="481" ht="22.5" customHeight="1">
      <c r="A481" s="81"/>
      <c r="B481" s="81"/>
      <c r="C481" s="81"/>
      <c r="D481" s="81"/>
      <c r="E481" s="80"/>
      <c r="F481" s="91"/>
      <c r="G481" s="80"/>
      <c r="H481" s="80"/>
      <c r="I481" s="80"/>
      <c r="J481" s="80"/>
    </row>
    <row r="482" ht="22.5" customHeight="1">
      <c r="A482" s="81"/>
      <c r="B482" s="81"/>
      <c r="C482" s="81"/>
      <c r="D482" s="81"/>
      <c r="E482" s="80"/>
      <c r="F482" s="91"/>
      <c r="G482" s="80"/>
      <c r="H482" s="80"/>
      <c r="I482" s="80"/>
      <c r="J482" s="80"/>
    </row>
    <row r="483" ht="22.5" customHeight="1">
      <c r="A483" s="81"/>
      <c r="B483" s="81"/>
      <c r="C483" s="81"/>
      <c r="D483" s="81"/>
      <c r="E483" s="80"/>
      <c r="F483" s="91"/>
      <c r="G483" s="80"/>
      <c r="H483" s="80"/>
      <c r="I483" s="80"/>
      <c r="J483" s="80"/>
    </row>
    <row r="484" ht="22.5" customHeight="1">
      <c r="A484" s="81"/>
      <c r="B484" s="81"/>
      <c r="C484" s="81"/>
      <c r="D484" s="81"/>
      <c r="E484" s="80"/>
      <c r="F484" s="91"/>
      <c r="G484" s="80"/>
      <c r="H484" s="80"/>
      <c r="I484" s="80"/>
      <c r="J484" s="80"/>
    </row>
    <row r="485" ht="22.5" customHeight="1">
      <c r="A485" s="81"/>
      <c r="B485" s="81"/>
      <c r="C485" s="81"/>
      <c r="D485" s="81"/>
      <c r="E485" s="80"/>
      <c r="F485" s="91"/>
      <c r="G485" s="80"/>
      <c r="H485" s="80"/>
      <c r="I485" s="80"/>
      <c r="J485" s="80"/>
    </row>
    <row r="486" ht="22.5" customHeight="1">
      <c r="A486" s="81"/>
      <c r="B486" s="81"/>
      <c r="C486" s="81"/>
      <c r="D486" s="81"/>
      <c r="E486" s="80"/>
      <c r="F486" s="91"/>
      <c r="G486" s="80"/>
      <c r="H486" s="80"/>
      <c r="I486" s="80"/>
      <c r="J486" s="80"/>
    </row>
    <row r="487" ht="22.5" customHeight="1">
      <c r="A487" s="81"/>
      <c r="B487" s="81"/>
      <c r="C487" s="81"/>
      <c r="D487" s="81"/>
      <c r="E487" s="80"/>
      <c r="F487" s="91"/>
      <c r="G487" s="80"/>
      <c r="H487" s="80"/>
      <c r="I487" s="80"/>
      <c r="J487" s="80"/>
    </row>
    <row r="488" ht="22.5" customHeight="1">
      <c r="A488" s="81"/>
      <c r="B488" s="81"/>
      <c r="C488" s="81"/>
      <c r="D488" s="81"/>
      <c r="E488" s="80"/>
      <c r="F488" s="91"/>
      <c r="G488" s="80"/>
      <c r="H488" s="80"/>
      <c r="I488" s="80"/>
      <c r="J488" s="80"/>
    </row>
    <row r="489" ht="22.5" customHeight="1">
      <c r="A489" s="81"/>
      <c r="B489" s="81"/>
      <c r="C489" s="81"/>
      <c r="D489" s="81"/>
      <c r="E489" s="80"/>
      <c r="F489" s="91"/>
      <c r="G489" s="80"/>
      <c r="H489" s="80"/>
      <c r="I489" s="80"/>
      <c r="J489" s="80"/>
    </row>
    <row r="490" ht="22.5" customHeight="1">
      <c r="A490" s="81"/>
      <c r="B490" s="81"/>
      <c r="C490" s="81"/>
      <c r="D490" s="81"/>
      <c r="E490" s="80"/>
      <c r="F490" s="91"/>
      <c r="G490" s="80"/>
      <c r="H490" s="80"/>
      <c r="I490" s="80"/>
      <c r="J490" s="80"/>
    </row>
    <row r="491" ht="22.5" customHeight="1">
      <c r="A491" s="81"/>
      <c r="B491" s="81"/>
      <c r="C491" s="81"/>
      <c r="D491" s="81"/>
      <c r="E491" s="80"/>
      <c r="F491" s="91"/>
      <c r="G491" s="80"/>
      <c r="H491" s="80"/>
      <c r="I491" s="80"/>
      <c r="J491" s="80"/>
    </row>
    <row r="492" ht="22.5" customHeight="1">
      <c r="A492" s="81"/>
      <c r="B492" s="81"/>
      <c r="C492" s="81"/>
      <c r="D492" s="81"/>
      <c r="E492" s="80"/>
      <c r="F492" s="91"/>
      <c r="G492" s="80"/>
      <c r="H492" s="80"/>
      <c r="I492" s="80"/>
      <c r="J492" s="80"/>
    </row>
    <row r="493" ht="22.5" customHeight="1">
      <c r="A493" s="81"/>
      <c r="B493" s="81"/>
      <c r="C493" s="81"/>
      <c r="D493" s="81"/>
      <c r="E493" s="80"/>
      <c r="F493" s="91"/>
      <c r="G493" s="80"/>
      <c r="H493" s="80"/>
      <c r="I493" s="80"/>
      <c r="J493" s="80"/>
    </row>
    <row r="494" ht="22.5" customHeight="1">
      <c r="A494" s="81"/>
      <c r="B494" s="81"/>
      <c r="C494" s="81"/>
      <c r="D494" s="81"/>
      <c r="E494" s="80"/>
      <c r="F494" s="91"/>
      <c r="G494" s="80"/>
      <c r="H494" s="80"/>
      <c r="I494" s="80"/>
      <c r="J494" s="80"/>
    </row>
    <row r="495" ht="22.5" customHeight="1">
      <c r="A495" s="81"/>
      <c r="B495" s="81"/>
      <c r="C495" s="81"/>
      <c r="D495" s="81"/>
      <c r="E495" s="80"/>
      <c r="F495" s="91"/>
      <c r="G495" s="80"/>
      <c r="H495" s="80"/>
      <c r="I495" s="80"/>
      <c r="J495" s="80"/>
    </row>
    <row r="496" ht="22.5" customHeight="1">
      <c r="A496" s="81"/>
      <c r="B496" s="81"/>
      <c r="C496" s="81"/>
      <c r="D496" s="81"/>
      <c r="E496" s="80"/>
      <c r="F496" s="91"/>
      <c r="G496" s="80"/>
      <c r="H496" s="80"/>
      <c r="I496" s="80"/>
      <c r="J496" s="80"/>
    </row>
    <row r="497" ht="22.5" customHeight="1">
      <c r="A497" s="81"/>
      <c r="B497" s="81"/>
      <c r="C497" s="81"/>
      <c r="D497" s="81"/>
      <c r="E497" s="80"/>
      <c r="F497" s="91"/>
      <c r="G497" s="80"/>
      <c r="H497" s="80"/>
      <c r="I497" s="80"/>
      <c r="J497" s="80"/>
    </row>
    <row r="498" ht="22.5" customHeight="1">
      <c r="A498" s="81"/>
      <c r="B498" s="81"/>
      <c r="C498" s="81"/>
      <c r="D498" s="81"/>
      <c r="E498" s="80"/>
      <c r="F498" s="91"/>
      <c r="G498" s="80"/>
      <c r="H498" s="80"/>
      <c r="I498" s="80"/>
      <c r="J498" s="80"/>
    </row>
    <row r="499" ht="22.5" customHeight="1">
      <c r="A499" s="81"/>
      <c r="B499" s="81"/>
      <c r="C499" s="81"/>
      <c r="D499" s="81"/>
      <c r="E499" s="80"/>
      <c r="F499" s="91"/>
      <c r="G499" s="80"/>
      <c r="H499" s="80"/>
      <c r="I499" s="80"/>
      <c r="J499" s="80"/>
    </row>
    <row r="500" ht="22.5" customHeight="1">
      <c r="A500" s="81"/>
      <c r="B500" s="81"/>
      <c r="C500" s="81"/>
      <c r="D500" s="81"/>
      <c r="E500" s="80"/>
      <c r="F500" s="91"/>
      <c r="G500" s="80"/>
      <c r="H500" s="80"/>
      <c r="I500" s="80"/>
      <c r="J500" s="80"/>
    </row>
    <row r="501" ht="22.5" customHeight="1">
      <c r="A501" s="81"/>
      <c r="B501" s="81"/>
      <c r="C501" s="81"/>
      <c r="D501" s="81"/>
      <c r="E501" s="80"/>
      <c r="F501" s="91"/>
      <c r="G501" s="80"/>
      <c r="H501" s="80"/>
      <c r="I501" s="80"/>
      <c r="J501" s="80"/>
    </row>
    <row r="502" ht="22.5" customHeight="1">
      <c r="A502" s="81"/>
      <c r="B502" s="81"/>
      <c r="C502" s="81"/>
      <c r="D502" s="81"/>
      <c r="E502" s="80"/>
      <c r="F502" s="91"/>
      <c r="G502" s="80"/>
      <c r="H502" s="80"/>
      <c r="I502" s="80"/>
      <c r="J502" s="80"/>
    </row>
    <row r="503" ht="22.5" customHeight="1">
      <c r="A503" s="81"/>
      <c r="B503" s="81"/>
      <c r="C503" s="81"/>
      <c r="D503" s="81"/>
      <c r="E503" s="80"/>
      <c r="F503" s="91"/>
      <c r="G503" s="80"/>
      <c r="H503" s="80"/>
      <c r="I503" s="80"/>
      <c r="J503" s="80"/>
    </row>
    <row r="504" ht="22.5" customHeight="1">
      <c r="A504" s="81"/>
      <c r="B504" s="81"/>
      <c r="C504" s="81"/>
      <c r="D504" s="81"/>
      <c r="E504" s="80"/>
      <c r="F504" s="91"/>
      <c r="G504" s="80"/>
      <c r="H504" s="80"/>
      <c r="I504" s="80"/>
      <c r="J504" s="80"/>
    </row>
    <row r="505" ht="22.5" customHeight="1">
      <c r="A505" s="81"/>
      <c r="B505" s="81"/>
      <c r="C505" s="81"/>
      <c r="D505" s="81"/>
      <c r="E505" s="80"/>
      <c r="F505" s="91"/>
      <c r="G505" s="80"/>
      <c r="H505" s="80"/>
      <c r="I505" s="80"/>
      <c r="J505" s="80"/>
    </row>
    <row r="506" ht="22.5" customHeight="1">
      <c r="A506" s="81"/>
      <c r="B506" s="81"/>
      <c r="C506" s="81"/>
      <c r="D506" s="81"/>
      <c r="E506" s="80"/>
      <c r="F506" s="91"/>
      <c r="G506" s="80"/>
      <c r="H506" s="80"/>
      <c r="I506" s="80"/>
      <c r="J506" s="80"/>
    </row>
    <row r="507" ht="22.5" customHeight="1">
      <c r="A507" s="81"/>
      <c r="B507" s="81"/>
      <c r="C507" s="81"/>
      <c r="D507" s="81"/>
      <c r="E507" s="80"/>
      <c r="F507" s="91"/>
      <c r="G507" s="80"/>
      <c r="H507" s="80"/>
      <c r="I507" s="80"/>
      <c r="J507" s="80"/>
    </row>
    <row r="508" ht="22.5" customHeight="1">
      <c r="A508" s="81"/>
      <c r="B508" s="81"/>
      <c r="C508" s="81"/>
      <c r="D508" s="81"/>
      <c r="E508" s="80"/>
      <c r="F508" s="91"/>
      <c r="G508" s="80"/>
      <c r="H508" s="80"/>
      <c r="I508" s="80"/>
      <c r="J508" s="80"/>
    </row>
    <row r="509" ht="22.5" customHeight="1">
      <c r="A509" s="81"/>
      <c r="B509" s="81"/>
      <c r="C509" s="81"/>
      <c r="D509" s="81"/>
      <c r="E509" s="80"/>
      <c r="F509" s="91"/>
      <c r="G509" s="80"/>
      <c r="H509" s="80"/>
      <c r="I509" s="80"/>
      <c r="J509" s="80"/>
    </row>
    <row r="510" ht="22.5" customHeight="1">
      <c r="A510" s="81"/>
      <c r="B510" s="81"/>
      <c r="C510" s="81"/>
      <c r="D510" s="81"/>
      <c r="E510" s="80"/>
      <c r="F510" s="91"/>
      <c r="G510" s="80"/>
      <c r="H510" s="80"/>
      <c r="I510" s="80"/>
      <c r="J510" s="80"/>
    </row>
    <row r="511" ht="22.5" customHeight="1">
      <c r="A511" s="81"/>
      <c r="B511" s="81"/>
      <c r="C511" s="81"/>
      <c r="D511" s="81"/>
      <c r="E511" s="80"/>
      <c r="F511" s="91"/>
      <c r="G511" s="80"/>
      <c r="H511" s="80"/>
      <c r="I511" s="80"/>
      <c r="J511" s="80"/>
    </row>
    <row r="512" ht="22.5" customHeight="1">
      <c r="A512" s="81"/>
      <c r="B512" s="81"/>
      <c r="C512" s="81"/>
      <c r="D512" s="81"/>
      <c r="E512" s="80"/>
      <c r="F512" s="91"/>
      <c r="G512" s="80"/>
      <c r="H512" s="80"/>
      <c r="I512" s="80"/>
      <c r="J512" s="80"/>
    </row>
    <row r="513" ht="22.5" customHeight="1">
      <c r="A513" s="81"/>
      <c r="B513" s="81"/>
      <c r="C513" s="81"/>
      <c r="D513" s="81"/>
      <c r="E513" s="80"/>
      <c r="F513" s="91"/>
      <c r="G513" s="80"/>
      <c r="H513" s="80"/>
      <c r="I513" s="80"/>
      <c r="J513" s="80"/>
    </row>
    <row r="514" ht="22.5" customHeight="1">
      <c r="A514" s="81"/>
      <c r="B514" s="81"/>
      <c r="C514" s="81"/>
      <c r="D514" s="81"/>
      <c r="E514" s="80"/>
      <c r="F514" s="91"/>
      <c r="G514" s="80"/>
      <c r="H514" s="80"/>
      <c r="I514" s="80"/>
      <c r="J514" s="80"/>
    </row>
    <row r="515" ht="22.5" customHeight="1">
      <c r="A515" s="81"/>
      <c r="B515" s="81"/>
      <c r="C515" s="81"/>
      <c r="D515" s="81"/>
      <c r="E515" s="80"/>
      <c r="F515" s="91"/>
      <c r="G515" s="80"/>
      <c r="H515" s="80"/>
      <c r="I515" s="80"/>
      <c r="J515" s="80"/>
    </row>
    <row r="516" ht="22.5" customHeight="1">
      <c r="A516" s="81"/>
      <c r="B516" s="81"/>
      <c r="C516" s="81"/>
      <c r="D516" s="81"/>
      <c r="E516" s="80"/>
      <c r="F516" s="91"/>
      <c r="G516" s="80"/>
      <c r="H516" s="80"/>
      <c r="I516" s="80"/>
      <c r="J516" s="80"/>
    </row>
    <row r="517" ht="22.5" customHeight="1">
      <c r="A517" s="81"/>
      <c r="B517" s="81"/>
      <c r="C517" s="81"/>
      <c r="D517" s="81"/>
      <c r="E517" s="80"/>
      <c r="F517" s="91"/>
      <c r="G517" s="80"/>
      <c r="H517" s="80"/>
      <c r="I517" s="80"/>
      <c r="J517" s="80"/>
    </row>
    <row r="518" ht="22.5" customHeight="1">
      <c r="A518" s="81"/>
      <c r="B518" s="81"/>
      <c r="C518" s="81"/>
      <c r="D518" s="81"/>
      <c r="E518" s="80"/>
      <c r="F518" s="91"/>
      <c r="G518" s="80"/>
      <c r="H518" s="80"/>
      <c r="I518" s="80"/>
      <c r="J518" s="80"/>
    </row>
    <row r="519" ht="22.5" customHeight="1">
      <c r="A519" s="81"/>
      <c r="B519" s="81"/>
      <c r="C519" s="81"/>
      <c r="D519" s="81"/>
      <c r="E519" s="80"/>
      <c r="F519" s="91"/>
      <c r="G519" s="80"/>
      <c r="H519" s="80"/>
      <c r="I519" s="80"/>
      <c r="J519" s="80"/>
    </row>
    <row r="520" ht="22.5" customHeight="1">
      <c r="A520" s="81"/>
      <c r="B520" s="81"/>
      <c r="C520" s="81"/>
      <c r="D520" s="81"/>
      <c r="E520" s="80"/>
      <c r="F520" s="91"/>
      <c r="G520" s="80"/>
      <c r="H520" s="80"/>
      <c r="I520" s="80"/>
      <c r="J520" s="80"/>
    </row>
    <row r="521" ht="22.5" customHeight="1">
      <c r="A521" s="81"/>
      <c r="B521" s="81"/>
      <c r="C521" s="81"/>
      <c r="D521" s="81"/>
      <c r="E521" s="80"/>
      <c r="F521" s="91"/>
      <c r="G521" s="80"/>
      <c r="H521" s="80"/>
      <c r="I521" s="80"/>
      <c r="J521" s="80"/>
    </row>
    <row r="522" ht="22.5" customHeight="1">
      <c r="A522" s="81"/>
      <c r="B522" s="81"/>
      <c r="C522" s="81"/>
      <c r="D522" s="81"/>
      <c r="E522" s="80"/>
      <c r="F522" s="91"/>
      <c r="G522" s="80"/>
      <c r="H522" s="80"/>
      <c r="I522" s="80"/>
      <c r="J522" s="80"/>
    </row>
    <row r="523" ht="22.5" customHeight="1">
      <c r="A523" s="81"/>
      <c r="B523" s="81"/>
      <c r="C523" s="81"/>
      <c r="D523" s="81"/>
      <c r="E523" s="80"/>
      <c r="F523" s="91"/>
      <c r="G523" s="80"/>
      <c r="H523" s="80"/>
      <c r="I523" s="80"/>
      <c r="J523" s="80"/>
    </row>
    <row r="524" ht="22.5" customHeight="1">
      <c r="A524" s="81"/>
      <c r="B524" s="81"/>
      <c r="C524" s="81"/>
      <c r="D524" s="81"/>
      <c r="E524" s="80"/>
      <c r="F524" s="91"/>
      <c r="G524" s="80"/>
      <c r="H524" s="80"/>
      <c r="I524" s="80"/>
      <c r="J524" s="80"/>
    </row>
    <row r="525" ht="22.5" customHeight="1">
      <c r="A525" s="81"/>
      <c r="B525" s="81"/>
      <c r="C525" s="81"/>
      <c r="D525" s="81"/>
      <c r="E525" s="80"/>
      <c r="F525" s="91"/>
      <c r="G525" s="80"/>
      <c r="H525" s="80"/>
      <c r="I525" s="80"/>
      <c r="J525" s="80"/>
    </row>
    <row r="526" ht="22.5" customHeight="1">
      <c r="A526" s="81"/>
      <c r="B526" s="81"/>
      <c r="C526" s="81"/>
      <c r="D526" s="81"/>
      <c r="E526" s="80"/>
      <c r="F526" s="91"/>
      <c r="G526" s="80"/>
      <c r="H526" s="80"/>
      <c r="I526" s="80"/>
      <c r="J526" s="80"/>
    </row>
    <row r="527" ht="22.5" customHeight="1">
      <c r="A527" s="81"/>
      <c r="B527" s="81"/>
      <c r="C527" s="81"/>
      <c r="D527" s="81"/>
      <c r="E527" s="80"/>
      <c r="F527" s="91"/>
      <c r="G527" s="80"/>
      <c r="H527" s="80"/>
      <c r="I527" s="80"/>
      <c r="J527" s="80"/>
    </row>
    <row r="528" ht="22.5" customHeight="1">
      <c r="A528" s="81"/>
      <c r="B528" s="81"/>
      <c r="C528" s="81"/>
      <c r="D528" s="81"/>
      <c r="E528" s="80"/>
      <c r="F528" s="91"/>
      <c r="G528" s="80"/>
      <c r="H528" s="80"/>
      <c r="I528" s="80"/>
      <c r="J528" s="80"/>
    </row>
    <row r="529" ht="22.5" customHeight="1">
      <c r="A529" s="81"/>
      <c r="B529" s="81"/>
      <c r="C529" s="81"/>
      <c r="D529" s="81"/>
      <c r="E529" s="80"/>
      <c r="F529" s="91"/>
      <c r="G529" s="80"/>
      <c r="H529" s="80"/>
      <c r="I529" s="80"/>
      <c r="J529" s="80"/>
    </row>
    <row r="530" ht="22.5" customHeight="1">
      <c r="A530" s="81"/>
      <c r="B530" s="81"/>
      <c r="C530" s="81"/>
      <c r="D530" s="81"/>
      <c r="E530" s="80"/>
      <c r="F530" s="91"/>
      <c r="G530" s="80"/>
      <c r="H530" s="80"/>
      <c r="I530" s="80"/>
      <c r="J530" s="80"/>
    </row>
    <row r="531" ht="22.5" customHeight="1">
      <c r="A531" s="81"/>
      <c r="B531" s="81"/>
      <c r="C531" s="81"/>
      <c r="D531" s="81"/>
      <c r="E531" s="80"/>
      <c r="F531" s="91"/>
      <c r="G531" s="80"/>
      <c r="H531" s="80"/>
      <c r="I531" s="80"/>
      <c r="J531" s="80"/>
    </row>
    <row r="532" ht="22.5" customHeight="1">
      <c r="A532" s="81"/>
      <c r="B532" s="81"/>
      <c r="C532" s="81"/>
      <c r="D532" s="81"/>
      <c r="E532" s="80"/>
      <c r="F532" s="91"/>
      <c r="G532" s="80"/>
      <c r="H532" s="80"/>
      <c r="I532" s="80"/>
      <c r="J532" s="80"/>
    </row>
    <row r="533" ht="22.5" customHeight="1">
      <c r="A533" s="81"/>
      <c r="B533" s="81"/>
      <c r="C533" s="81"/>
      <c r="D533" s="81"/>
      <c r="E533" s="80"/>
      <c r="F533" s="91"/>
      <c r="G533" s="80"/>
      <c r="H533" s="80"/>
      <c r="I533" s="80"/>
      <c r="J533" s="80"/>
    </row>
    <row r="534" ht="22.5" customHeight="1">
      <c r="A534" s="81"/>
      <c r="B534" s="81"/>
      <c r="C534" s="81"/>
      <c r="D534" s="81"/>
      <c r="E534" s="80"/>
      <c r="F534" s="91"/>
      <c r="G534" s="80"/>
      <c r="H534" s="80"/>
      <c r="I534" s="80"/>
      <c r="J534" s="80"/>
    </row>
    <row r="535" ht="22.5" customHeight="1">
      <c r="A535" s="81"/>
      <c r="B535" s="81"/>
      <c r="C535" s="81"/>
      <c r="D535" s="81"/>
      <c r="E535" s="80"/>
      <c r="F535" s="91"/>
      <c r="G535" s="80"/>
      <c r="H535" s="80"/>
      <c r="I535" s="80"/>
      <c r="J535" s="80"/>
    </row>
    <row r="536" ht="22.5" customHeight="1">
      <c r="A536" s="81"/>
      <c r="B536" s="81"/>
      <c r="C536" s="81"/>
      <c r="D536" s="81"/>
      <c r="E536" s="80"/>
      <c r="F536" s="91"/>
      <c r="G536" s="80"/>
      <c r="H536" s="80"/>
      <c r="I536" s="80"/>
      <c r="J536" s="80"/>
    </row>
    <row r="537" ht="22.5" customHeight="1">
      <c r="A537" s="81"/>
      <c r="B537" s="81"/>
      <c r="C537" s="81"/>
      <c r="D537" s="81"/>
      <c r="E537" s="80"/>
      <c r="F537" s="91"/>
      <c r="G537" s="80"/>
      <c r="H537" s="80"/>
      <c r="I537" s="80"/>
      <c r="J537" s="80"/>
    </row>
    <row r="538" ht="22.5" customHeight="1">
      <c r="A538" s="81"/>
      <c r="B538" s="81"/>
      <c r="C538" s="81"/>
      <c r="D538" s="81"/>
      <c r="E538" s="80"/>
      <c r="F538" s="91"/>
      <c r="G538" s="80"/>
      <c r="H538" s="80"/>
      <c r="I538" s="80"/>
      <c r="J538" s="80"/>
    </row>
    <row r="539" ht="22.5" customHeight="1">
      <c r="A539" s="81"/>
      <c r="B539" s="81"/>
      <c r="C539" s="81"/>
      <c r="D539" s="81"/>
      <c r="E539" s="80"/>
      <c r="F539" s="91"/>
      <c r="G539" s="80"/>
      <c r="H539" s="80"/>
      <c r="I539" s="80"/>
      <c r="J539" s="80"/>
    </row>
    <row r="540" ht="22.5" customHeight="1">
      <c r="A540" s="81"/>
      <c r="B540" s="81"/>
      <c r="C540" s="81"/>
      <c r="D540" s="81"/>
      <c r="E540" s="80"/>
      <c r="F540" s="91"/>
      <c r="G540" s="80"/>
      <c r="H540" s="80"/>
      <c r="I540" s="80"/>
      <c r="J540" s="80"/>
    </row>
    <row r="541" ht="22.5" customHeight="1">
      <c r="A541" s="81"/>
      <c r="B541" s="81"/>
      <c r="C541" s="81"/>
      <c r="D541" s="81"/>
      <c r="E541" s="80"/>
      <c r="F541" s="91"/>
      <c r="G541" s="80"/>
      <c r="H541" s="80"/>
      <c r="I541" s="80"/>
      <c r="J541" s="80"/>
    </row>
    <row r="542" ht="22.5" customHeight="1">
      <c r="A542" s="81"/>
      <c r="B542" s="81"/>
      <c r="C542" s="81"/>
      <c r="D542" s="81"/>
      <c r="E542" s="80"/>
      <c r="F542" s="91"/>
      <c r="G542" s="80"/>
      <c r="H542" s="80"/>
      <c r="I542" s="80"/>
      <c r="J542" s="80"/>
    </row>
    <row r="543" ht="22.5" customHeight="1">
      <c r="A543" s="81"/>
      <c r="B543" s="81"/>
      <c r="C543" s="81"/>
      <c r="D543" s="81"/>
      <c r="E543" s="80"/>
      <c r="F543" s="91"/>
      <c r="G543" s="80"/>
      <c r="H543" s="80"/>
      <c r="I543" s="80"/>
      <c r="J543" s="80"/>
    </row>
    <row r="544" ht="22.5" customHeight="1">
      <c r="A544" s="81"/>
      <c r="B544" s="81"/>
      <c r="C544" s="81"/>
      <c r="D544" s="81"/>
      <c r="E544" s="80"/>
      <c r="F544" s="91"/>
      <c r="G544" s="80"/>
      <c r="H544" s="80"/>
      <c r="I544" s="80"/>
      <c r="J544" s="80"/>
    </row>
    <row r="545" ht="22.5" customHeight="1">
      <c r="A545" s="81"/>
      <c r="B545" s="81"/>
      <c r="C545" s="81"/>
      <c r="D545" s="81"/>
      <c r="E545" s="80"/>
      <c r="F545" s="91"/>
      <c r="G545" s="80"/>
      <c r="H545" s="80"/>
      <c r="I545" s="80"/>
      <c r="J545" s="80"/>
    </row>
    <row r="546" ht="22.5" customHeight="1">
      <c r="A546" s="81"/>
      <c r="B546" s="81"/>
      <c r="C546" s="81"/>
      <c r="D546" s="81"/>
      <c r="E546" s="80"/>
      <c r="F546" s="91"/>
      <c r="G546" s="80"/>
      <c r="H546" s="80"/>
      <c r="I546" s="80"/>
      <c r="J546" s="80"/>
    </row>
    <row r="547" ht="22.5" customHeight="1">
      <c r="A547" s="81"/>
      <c r="B547" s="81"/>
      <c r="C547" s="81"/>
      <c r="D547" s="81"/>
      <c r="E547" s="80"/>
      <c r="F547" s="91"/>
      <c r="G547" s="80"/>
      <c r="H547" s="80"/>
      <c r="I547" s="80"/>
      <c r="J547" s="80"/>
    </row>
    <row r="548" ht="22.5" customHeight="1">
      <c r="A548" s="81"/>
      <c r="B548" s="81"/>
      <c r="C548" s="81"/>
      <c r="D548" s="81"/>
      <c r="E548" s="80"/>
      <c r="F548" s="91"/>
      <c r="G548" s="80"/>
      <c r="H548" s="80"/>
      <c r="I548" s="80"/>
      <c r="J548" s="80"/>
    </row>
    <row r="549" ht="22.5" customHeight="1">
      <c r="A549" s="81"/>
      <c r="B549" s="81"/>
      <c r="C549" s="81"/>
      <c r="D549" s="81"/>
      <c r="E549" s="80"/>
      <c r="F549" s="91"/>
      <c r="G549" s="80"/>
      <c r="H549" s="80"/>
      <c r="I549" s="80"/>
      <c r="J549" s="80"/>
    </row>
    <row r="550" ht="22.5" customHeight="1">
      <c r="A550" s="81"/>
      <c r="B550" s="81"/>
      <c r="C550" s="81"/>
      <c r="D550" s="81"/>
      <c r="E550" s="80"/>
      <c r="F550" s="91"/>
      <c r="G550" s="80"/>
      <c r="H550" s="80"/>
      <c r="I550" s="80"/>
      <c r="J550" s="80"/>
    </row>
    <row r="551" ht="22.5" customHeight="1">
      <c r="A551" s="81"/>
      <c r="B551" s="81"/>
      <c r="C551" s="81"/>
      <c r="D551" s="81"/>
      <c r="E551" s="80"/>
      <c r="F551" s="91"/>
      <c r="G551" s="80"/>
      <c r="H551" s="80"/>
      <c r="I551" s="80"/>
      <c r="J551" s="80"/>
    </row>
    <row r="552" ht="22.5" customHeight="1">
      <c r="A552" s="81"/>
      <c r="B552" s="81"/>
      <c r="C552" s="81"/>
      <c r="D552" s="81"/>
      <c r="E552" s="80"/>
      <c r="F552" s="91"/>
      <c r="G552" s="80"/>
      <c r="H552" s="80"/>
      <c r="I552" s="80"/>
      <c r="J552" s="80"/>
    </row>
    <row r="553" ht="22.5" customHeight="1">
      <c r="A553" s="81"/>
      <c r="B553" s="81"/>
      <c r="C553" s="81"/>
      <c r="D553" s="81"/>
      <c r="E553" s="80"/>
      <c r="F553" s="91"/>
      <c r="G553" s="80"/>
      <c r="H553" s="80"/>
      <c r="I553" s="80"/>
      <c r="J553" s="80"/>
    </row>
    <row r="554" ht="22.5" customHeight="1">
      <c r="A554" s="81"/>
      <c r="B554" s="81"/>
      <c r="C554" s="81"/>
      <c r="D554" s="81"/>
      <c r="E554" s="80"/>
      <c r="F554" s="91"/>
      <c r="G554" s="80"/>
      <c r="H554" s="80"/>
      <c r="I554" s="80"/>
      <c r="J554" s="80"/>
    </row>
    <row r="555" ht="22.5" customHeight="1">
      <c r="A555" s="81"/>
      <c r="B555" s="81"/>
      <c r="C555" s="81"/>
      <c r="D555" s="81"/>
      <c r="E555" s="80"/>
      <c r="F555" s="91"/>
      <c r="G555" s="80"/>
      <c r="H555" s="80"/>
      <c r="I555" s="80"/>
      <c r="J555" s="80"/>
    </row>
    <row r="556" ht="22.5" customHeight="1">
      <c r="A556" s="81"/>
      <c r="B556" s="81"/>
      <c r="C556" s="81"/>
      <c r="D556" s="81"/>
      <c r="E556" s="80"/>
      <c r="F556" s="91"/>
      <c r="G556" s="80"/>
      <c r="H556" s="80"/>
      <c r="I556" s="80"/>
      <c r="J556" s="80"/>
    </row>
    <row r="557" ht="22.5" customHeight="1">
      <c r="A557" s="81"/>
      <c r="B557" s="81"/>
      <c r="C557" s="81"/>
      <c r="D557" s="81"/>
      <c r="E557" s="80"/>
      <c r="F557" s="91"/>
      <c r="G557" s="80"/>
      <c r="H557" s="80"/>
      <c r="I557" s="80"/>
      <c r="J557" s="80"/>
    </row>
    <row r="558" ht="22.5" customHeight="1">
      <c r="A558" s="81"/>
      <c r="B558" s="81"/>
      <c r="C558" s="81"/>
      <c r="D558" s="81"/>
      <c r="E558" s="80"/>
      <c r="F558" s="91"/>
      <c r="G558" s="80"/>
      <c r="H558" s="80"/>
      <c r="I558" s="80"/>
      <c r="J558" s="80"/>
    </row>
    <row r="559" ht="22.5" customHeight="1">
      <c r="A559" s="81"/>
      <c r="B559" s="81"/>
      <c r="C559" s="81"/>
      <c r="D559" s="81"/>
      <c r="E559" s="80"/>
      <c r="F559" s="91"/>
      <c r="G559" s="80"/>
      <c r="H559" s="80"/>
      <c r="I559" s="80"/>
      <c r="J559" s="80"/>
    </row>
    <row r="560" ht="22.5" customHeight="1">
      <c r="A560" s="81"/>
      <c r="B560" s="81"/>
      <c r="C560" s="81"/>
      <c r="D560" s="81"/>
      <c r="E560" s="80"/>
      <c r="F560" s="91"/>
      <c r="G560" s="80"/>
      <c r="H560" s="80"/>
      <c r="I560" s="80"/>
      <c r="J560" s="80"/>
    </row>
    <row r="561" ht="22.5" customHeight="1">
      <c r="A561" s="81"/>
      <c r="B561" s="81"/>
      <c r="C561" s="81"/>
      <c r="D561" s="81"/>
      <c r="E561" s="80"/>
      <c r="F561" s="91"/>
      <c r="G561" s="80"/>
      <c r="H561" s="80"/>
      <c r="I561" s="80"/>
      <c r="J561" s="80"/>
    </row>
    <row r="562" ht="22.5" customHeight="1">
      <c r="A562" s="81"/>
      <c r="B562" s="81"/>
      <c r="C562" s="81"/>
      <c r="D562" s="81"/>
      <c r="E562" s="80"/>
      <c r="F562" s="91"/>
      <c r="G562" s="80"/>
      <c r="H562" s="80"/>
      <c r="I562" s="80"/>
      <c r="J562" s="80"/>
    </row>
    <row r="563" ht="22.5" customHeight="1">
      <c r="A563" s="81"/>
      <c r="B563" s="81"/>
      <c r="C563" s="81"/>
      <c r="D563" s="81"/>
      <c r="E563" s="80"/>
      <c r="F563" s="91"/>
      <c r="G563" s="80"/>
      <c r="H563" s="80"/>
      <c r="I563" s="80"/>
      <c r="J563" s="80"/>
    </row>
    <row r="564" ht="22.5" customHeight="1">
      <c r="A564" s="81"/>
      <c r="B564" s="81"/>
      <c r="C564" s="81"/>
      <c r="D564" s="81"/>
      <c r="E564" s="80"/>
      <c r="F564" s="91"/>
      <c r="G564" s="80"/>
      <c r="H564" s="80"/>
      <c r="I564" s="80"/>
      <c r="J564" s="80"/>
    </row>
    <row r="565" ht="22.5" customHeight="1">
      <c r="A565" s="81"/>
      <c r="B565" s="81"/>
      <c r="C565" s="81"/>
      <c r="D565" s="81"/>
      <c r="E565" s="80"/>
      <c r="F565" s="91"/>
      <c r="G565" s="80"/>
      <c r="H565" s="80"/>
      <c r="I565" s="80"/>
      <c r="J565" s="80"/>
    </row>
    <row r="566" ht="22.5" customHeight="1">
      <c r="A566" s="81"/>
      <c r="B566" s="81"/>
      <c r="C566" s="81"/>
      <c r="D566" s="81"/>
      <c r="E566" s="80"/>
      <c r="F566" s="91"/>
      <c r="G566" s="80"/>
      <c r="H566" s="80"/>
      <c r="I566" s="80"/>
      <c r="J566" s="80"/>
    </row>
    <row r="567" ht="22.5" customHeight="1">
      <c r="A567" s="81"/>
      <c r="B567" s="81"/>
      <c r="C567" s="81"/>
      <c r="D567" s="81"/>
      <c r="E567" s="80"/>
      <c r="F567" s="91"/>
      <c r="G567" s="80"/>
      <c r="H567" s="80"/>
      <c r="I567" s="80"/>
      <c r="J567" s="80"/>
    </row>
    <row r="568" ht="22.5" customHeight="1">
      <c r="A568" s="81"/>
      <c r="B568" s="81"/>
      <c r="C568" s="81"/>
      <c r="D568" s="81"/>
      <c r="E568" s="80"/>
      <c r="F568" s="91"/>
      <c r="G568" s="80"/>
      <c r="H568" s="80"/>
      <c r="I568" s="80"/>
      <c r="J568" s="80"/>
    </row>
    <row r="569" ht="22.5" customHeight="1">
      <c r="A569" s="81"/>
      <c r="B569" s="81"/>
      <c r="C569" s="81"/>
      <c r="D569" s="81"/>
      <c r="E569" s="80"/>
      <c r="F569" s="91"/>
      <c r="G569" s="80"/>
      <c r="H569" s="80"/>
      <c r="I569" s="80"/>
      <c r="J569" s="80"/>
    </row>
    <row r="570" ht="22.5" customHeight="1">
      <c r="A570" s="81"/>
      <c r="B570" s="81"/>
      <c r="C570" s="81"/>
      <c r="D570" s="81"/>
      <c r="E570" s="80"/>
      <c r="F570" s="91"/>
      <c r="G570" s="80"/>
      <c r="H570" s="80"/>
      <c r="I570" s="80"/>
      <c r="J570" s="80"/>
    </row>
    <row r="571" ht="22.5" customHeight="1">
      <c r="A571" s="81"/>
      <c r="B571" s="81"/>
      <c r="C571" s="81"/>
      <c r="D571" s="81"/>
      <c r="E571" s="80"/>
      <c r="F571" s="91"/>
      <c r="G571" s="80"/>
      <c r="H571" s="80"/>
      <c r="I571" s="80"/>
      <c r="J571" s="80"/>
    </row>
    <row r="572" ht="22.5" customHeight="1">
      <c r="A572" s="81"/>
      <c r="B572" s="81"/>
      <c r="C572" s="81"/>
      <c r="D572" s="81"/>
      <c r="E572" s="80"/>
      <c r="F572" s="91"/>
      <c r="G572" s="80"/>
      <c r="H572" s="80"/>
      <c r="I572" s="80"/>
      <c r="J572" s="80"/>
    </row>
    <row r="573" ht="22.5" customHeight="1">
      <c r="A573" s="81"/>
      <c r="B573" s="81"/>
      <c r="C573" s="81"/>
      <c r="D573" s="81"/>
      <c r="E573" s="80"/>
      <c r="F573" s="91"/>
      <c r="G573" s="80"/>
      <c r="H573" s="80"/>
      <c r="I573" s="80"/>
      <c r="J573" s="80"/>
    </row>
    <row r="574" ht="22.5" customHeight="1">
      <c r="A574" s="81"/>
      <c r="B574" s="81"/>
      <c r="C574" s="81"/>
      <c r="D574" s="81"/>
      <c r="E574" s="80"/>
      <c r="F574" s="91"/>
      <c r="G574" s="80"/>
      <c r="H574" s="80"/>
      <c r="I574" s="80"/>
      <c r="J574" s="80"/>
    </row>
    <row r="575" ht="22.5" customHeight="1">
      <c r="A575" s="81"/>
      <c r="B575" s="81"/>
      <c r="C575" s="81"/>
      <c r="D575" s="81"/>
      <c r="E575" s="80"/>
      <c r="F575" s="91"/>
      <c r="G575" s="80"/>
      <c r="H575" s="80"/>
      <c r="I575" s="80"/>
      <c r="J575" s="80"/>
    </row>
    <row r="576" ht="22.5" customHeight="1">
      <c r="A576" s="81"/>
      <c r="B576" s="81"/>
      <c r="C576" s="81"/>
      <c r="D576" s="81"/>
      <c r="E576" s="80"/>
      <c r="F576" s="91"/>
      <c r="G576" s="80"/>
      <c r="H576" s="80"/>
      <c r="I576" s="80"/>
      <c r="J576" s="80"/>
    </row>
    <row r="577" ht="22.5" customHeight="1">
      <c r="A577" s="81"/>
      <c r="B577" s="81"/>
      <c r="C577" s="81"/>
      <c r="D577" s="81"/>
      <c r="E577" s="80"/>
      <c r="F577" s="91"/>
      <c r="G577" s="80"/>
      <c r="H577" s="80"/>
      <c r="I577" s="80"/>
      <c r="J577" s="80"/>
    </row>
    <row r="578" ht="22.5" customHeight="1">
      <c r="A578" s="81"/>
      <c r="B578" s="81"/>
      <c r="C578" s="81"/>
      <c r="D578" s="81"/>
      <c r="E578" s="80"/>
      <c r="F578" s="91"/>
      <c r="G578" s="80"/>
      <c r="H578" s="80"/>
      <c r="I578" s="80"/>
      <c r="J578" s="80"/>
    </row>
    <row r="579" ht="22.5" customHeight="1">
      <c r="A579" s="81"/>
      <c r="B579" s="81"/>
      <c r="C579" s="81"/>
      <c r="D579" s="81"/>
      <c r="E579" s="80"/>
      <c r="F579" s="91"/>
      <c r="G579" s="80"/>
      <c r="H579" s="80"/>
      <c r="I579" s="80"/>
      <c r="J579" s="80"/>
    </row>
    <row r="580" ht="22.5" customHeight="1">
      <c r="A580" s="81"/>
      <c r="B580" s="81"/>
      <c r="C580" s="81"/>
      <c r="D580" s="81"/>
      <c r="E580" s="80"/>
      <c r="F580" s="91"/>
      <c r="G580" s="80"/>
      <c r="H580" s="80"/>
      <c r="I580" s="80"/>
      <c r="J580" s="80"/>
    </row>
    <row r="581" ht="22.5" customHeight="1">
      <c r="A581" s="81"/>
      <c r="B581" s="81"/>
      <c r="C581" s="81"/>
      <c r="D581" s="81"/>
      <c r="E581" s="80"/>
      <c r="F581" s="91"/>
      <c r="G581" s="80"/>
      <c r="H581" s="80"/>
      <c r="I581" s="80"/>
      <c r="J581" s="80"/>
    </row>
    <row r="582" ht="22.5" customHeight="1">
      <c r="A582" s="81"/>
      <c r="B582" s="81"/>
      <c r="C582" s="81"/>
      <c r="D582" s="81"/>
      <c r="E582" s="80"/>
      <c r="F582" s="91"/>
      <c r="G582" s="80"/>
      <c r="H582" s="80"/>
      <c r="I582" s="80"/>
      <c r="J582" s="80"/>
    </row>
    <row r="583" ht="22.5" customHeight="1">
      <c r="A583" s="81"/>
      <c r="B583" s="81"/>
      <c r="C583" s="81"/>
      <c r="D583" s="81"/>
      <c r="E583" s="80"/>
      <c r="F583" s="91"/>
      <c r="G583" s="80"/>
      <c r="H583" s="80"/>
      <c r="I583" s="80"/>
      <c r="J583" s="80"/>
    </row>
    <row r="584" ht="22.5" customHeight="1">
      <c r="A584" s="81"/>
      <c r="B584" s="81"/>
      <c r="C584" s="81"/>
      <c r="D584" s="81"/>
      <c r="E584" s="80"/>
      <c r="F584" s="91"/>
      <c r="G584" s="80"/>
      <c r="H584" s="80"/>
      <c r="I584" s="80"/>
      <c r="J584" s="80"/>
    </row>
    <row r="585" ht="22.5" customHeight="1">
      <c r="A585" s="81"/>
      <c r="B585" s="81"/>
      <c r="C585" s="81"/>
      <c r="D585" s="81"/>
      <c r="E585" s="80"/>
      <c r="F585" s="91"/>
      <c r="G585" s="80"/>
      <c r="H585" s="80"/>
      <c r="I585" s="80"/>
      <c r="J585" s="80"/>
    </row>
    <row r="586" ht="22.5" customHeight="1">
      <c r="A586" s="81"/>
      <c r="B586" s="81"/>
      <c r="C586" s="81"/>
      <c r="D586" s="81"/>
      <c r="E586" s="80"/>
      <c r="F586" s="91"/>
      <c r="G586" s="80"/>
      <c r="H586" s="80"/>
      <c r="I586" s="80"/>
      <c r="J586" s="80"/>
    </row>
    <row r="587" ht="22.5" customHeight="1">
      <c r="A587" s="81"/>
      <c r="B587" s="81"/>
      <c r="C587" s="81"/>
      <c r="D587" s="81"/>
      <c r="E587" s="80"/>
      <c r="F587" s="91"/>
      <c r="G587" s="80"/>
      <c r="H587" s="80"/>
      <c r="I587" s="80"/>
      <c r="J587" s="80"/>
    </row>
    <row r="588" ht="22.5" customHeight="1">
      <c r="A588" s="81"/>
      <c r="B588" s="81"/>
      <c r="C588" s="81"/>
      <c r="D588" s="81"/>
      <c r="E588" s="80"/>
      <c r="F588" s="91"/>
      <c r="G588" s="80"/>
      <c r="H588" s="80"/>
      <c r="I588" s="80"/>
      <c r="J588" s="80"/>
    </row>
    <row r="589" ht="22.5" customHeight="1">
      <c r="A589" s="81"/>
      <c r="B589" s="81"/>
      <c r="C589" s="81"/>
      <c r="D589" s="81"/>
      <c r="E589" s="80"/>
      <c r="F589" s="91"/>
      <c r="G589" s="80"/>
      <c r="H589" s="80"/>
      <c r="I589" s="80"/>
      <c r="J589" s="80"/>
    </row>
    <row r="590" ht="22.5" customHeight="1">
      <c r="A590" s="81"/>
      <c r="B590" s="81"/>
      <c r="C590" s="81"/>
      <c r="D590" s="81"/>
      <c r="E590" s="80"/>
      <c r="F590" s="91"/>
      <c r="G590" s="80"/>
      <c r="H590" s="80"/>
      <c r="I590" s="80"/>
      <c r="J590" s="80"/>
    </row>
    <row r="591" ht="22.5" customHeight="1">
      <c r="A591" s="81"/>
      <c r="B591" s="81"/>
      <c r="C591" s="81"/>
      <c r="D591" s="81"/>
      <c r="E591" s="80"/>
      <c r="F591" s="91"/>
      <c r="G591" s="80"/>
      <c r="H591" s="80"/>
      <c r="I591" s="80"/>
      <c r="J591" s="80"/>
    </row>
    <row r="592" ht="22.5" customHeight="1">
      <c r="A592" s="81"/>
      <c r="B592" s="81"/>
      <c r="C592" s="81"/>
      <c r="D592" s="81"/>
      <c r="E592" s="80"/>
      <c r="F592" s="91"/>
      <c r="G592" s="80"/>
      <c r="H592" s="80"/>
      <c r="I592" s="80"/>
      <c r="J592" s="80"/>
    </row>
    <row r="593" ht="22.5" customHeight="1">
      <c r="A593" s="81"/>
      <c r="B593" s="81"/>
      <c r="C593" s="81"/>
      <c r="D593" s="81"/>
      <c r="E593" s="80"/>
      <c r="F593" s="91"/>
      <c r="G593" s="80"/>
      <c r="H593" s="80"/>
      <c r="I593" s="80"/>
      <c r="J593" s="80"/>
    </row>
    <row r="594" ht="22.5" customHeight="1">
      <c r="A594" s="81"/>
      <c r="B594" s="81"/>
      <c r="C594" s="81"/>
      <c r="D594" s="81"/>
      <c r="E594" s="80"/>
      <c r="F594" s="91"/>
      <c r="G594" s="80"/>
      <c r="H594" s="80"/>
      <c r="I594" s="80"/>
      <c r="J594" s="80"/>
    </row>
    <row r="595" ht="22.5" customHeight="1">
      <c r="A595" s="81"/>
      <c r="B595" s="81"/>
      <c r="C595" s="81"/>
      <c r="D595" s="81"/>
      <c r="E595" s="80"/>
      <c r="F595" s="91"/>
      <c r="G595" s="80"/>
      <c r="H595" s="80"/>
      <c r="I595" s="80"/>
      <c r="J595" s="80"/>
    </row>
    <row r="596" ht="22.5" customHeight="1">
      <c r="A596" s="81"/>
      <c r="B596" s="81"/>
      <c r="C596" s="81"/>
      <c r="D596" s="81"/>
      <c r="E596" s="80"/>
      <c r="F596" s="91"/>
      <c r="G596" s="80"/>
      <c r="H596" s="80"/>
      <c r="I596" s="80"/>
      <c r="J596" s="80"/>
    </row>
    <row r="597" ht="22.5" customHeight="1">
      <c r="A597" s="81"/>
      <c r="B597" s="81"/>
      <c r="C597" s="81"/>
      <c r="D597" s="81"/>
      <c r="E597" s="80"/>
      <c r="F597" s="91"/>
      <c r="G597" s="80"/>
      <c r="H597" s="80"/>
      <c r="I597" s="80"/>
      <c r="J597" s="80"/>
    </row>
    <row r="598" ht="22.5" customHeight="1">
      <c r="A598" s="81"/>
      <c r="B598" s="81"/>
      <c r="C598" s="81"/>
      <c r="D598" s="81"/>
      <c r="E598" s="80"/>
      <c r="F598" s="91"/>
      <c r="G598" s="80"/>
      <c r="H598" s="80"/>
      <c r="I598" s="80"/>
      <c r="J598" s="80"/>
    </row>
    <row r="599" ht="22.5" customHeight="1">
      <c r="A599" s="81"/>
      <c r="B599" s="81"/>
      <c r="C599" s="81"/>
      <c r="D599" s="81"/>
      <c r="E599" s="80"/>
      <c r="F599" s="91"/>
      <c r="G599" s="80"/>
      <c r="H599" s="80"/>
      <c r="I599" s="80"/>
      <c r="J599" s="80"/>
    </row>
    <row r="600" ht="22.5" customHeight="1">
      <c r="A600" s="81"/>
      <c r="B600" s="81"/>
      <c r="C600" s="81"/>
      <c r="D600" s="81"/>
      <c r="E600" s="80"/>
      <c r="F600" s="91"/>
      <c r="G600" s="80"/>
      <c r="H600" s="80"/>
      <c r="I600" s="80"/>
      <c r="J600" s="80"/>
    </row>
    <row r="601" ht="22.5" customHeight="1">
      <c r="A601" s="81"/>
      <c r="B601" s="81"/>
      <c r="C601" s="81"/>
      <c r="D601" s="81"/>
      <c r="E601" s="80"/>
      <c r="F601" s="91"/>
      <c r="G601" s="80"/>
      <c r="H601" s="80"/>
      <c r="I601" s="80"/>
      <c r="J601" s="80"/>
    </row>
    <row r="602" ht="22.5" customHeight="1">
      <c r="A602" s="81"/>
      <c r="B602" s="81"/>
      <c r="C602" s="81"/>
      <c r="D602" s="81"/>
      <c r="E602" s="80"/>
      <c r="F602" s="91"/>
      <c r="G602" s="80"/>
      <c r="H602" s="80"/>
      <c r="I602" s="80"/>
      <c r="J602" s="80"/>
    </row>
    <row r="603" ht="22.5" customHeight="1">
      <c r="A603" s="81"/>
      <c r="B603" s="81"/>
      <c r="C603" s="81"/>
      <c r="D603" s="81"/>
      <c r="E603" s="80"/>
      <c r="F603" s="91"/>
      <c r="G603" s="80"/>
      <c r="H603" s="80"/>
      <c r="I603" s="80"/>
      <c r="J603" s="80"/>
    </row>
    <row r="604" ht="22.5" customHeight="1">
      <c r="A604" s="81"/>
      <c r="B604" s="81"/>
      <c r="C604" s="81"/>
      <c r="D604" s="81"/>
      <c r="E604" s="80"/>
      <c r="F604" s="91"/>
      <c r="G604" s="80"/>
      <c r="H604" s="80"/>
      <c r="I604" s="80"/>
      <c r="J604" s="80"/>
    </row>
    <row r="605" ht="22.5" customHeight="1">
      <c r="A605" s="81"/>
      <c r="B605" s="81"/>
      <c r="C605" s="81"/>
      <c r="D605" s="81"/>
      <c r="E605" s="80"/>
      <c r="F605" s="91"/>
      <c r="G605" s="80"/>
      <c r="H605" s="80"/>
      <c r="I605" s="80"/>
      <c r="J605" s="80"/>
    </row>
    <row r="606" ht="22.5" customHeight="1">
      <c r="A606" s="81"/>
      <c r="B606" s="81"/>
      <c r="C606" s="81"/>
      <c r="D606" s="81"/>
      <c r="E606" s="80"/>
      <c r="F606" s="91"/>
      <c r="G606" s="80"/>
      <c r="H606" s="80"/>
      <c r="I606" s="80"/>
      <c r="J606" s="80"/>
    </row>
    <row r="607" ht="22.5" customHeight="1">
      <c r="A607" s="81"/>
      <c r="B607" s="81"/>
      <c r="C607" s="81"/>
      <c r="D607" s="81"/>
      <c r="E607" s="80"/>
      <c r="F607" s="91"/>
      <c r="G607" s="80"/>
      <c r="H607" s="80"/>
      <c r="I607" s="80"/>
      <c r="J607" s="80"/>
    </row>
    <row r="608" ht="22.5" customHeight="1">
      <c r="A608" s="81"/>
      <c r="B608" s="81"/>
      <c r="C608" s="81"/>
      <c r="D608" s="81"/>
      <c r="E608" s="80"/>
      <c r="F608" s="91"/>
      <c r="G608" s="80"/>
      <c r="H608" s="80"/>
      <c r="I608" s="80"/>
      <c r="J608" s="80"/>
    </row>
    <row r="609" ht="22.5" customHeight="1">
      <c r="A609" s="81"/>
      <c r="B609" s="81"/>
      <c r="C609" s="81"/>
      <c r="D609" s="81"/>
      <c r="E609" s="80"/>
      <c r="F609" s="91"/>
      <c r="G609" s="80"/>
      <c r="H609" s="80"/>
      <c r="I609" s="80"/>
      <c r="J609" s="80"/>
    </row>
    <row r="610" ht="22.5" customHeight="1">
      <c r="A610" s="81"/>
      <c r="B610" s="81"/>
      <c r="C610" s="81"/>
      <c r="D610" s="81"/>
      <c r="E610" s="80"/>
      <c r="F610" s="91"/>
      <c r="G610" s="80"/>
      <c r="H610" s="80"/>
      <c r="I610" s="80"/>
      <c r="J610" s="80"/>
    </row>
    <row r="611" ht="22.5" customHeight="1">
      <c r="A611" s="81"/>
      <c r="B611" s="81"/>
      <c r="C611" s="81"/>
      <c r="D611" s="81"/>
      <c r="E611" s="80"/>
      <c r="F611" s="91"/>
      <c r="G611" s="80"/>
      <c r="H611" s="80"/>
      <c r="I611" s="80"/>
      <c r="J611" s="80"/>
    </row>
    <row r="612" ht="22.5" customHeight="1">
      <c r="A612" s="81"/>
      <c r="B612" s="81"/>
      <c r="C612" s="81"/>
      <c r="D612" s="81"/>
      <c r="E612" s="80"/>
      <c r="F612" s="91"/>
      <c r="G612" s="80"/>
      <c r="H612" s="80"/>
      <c r="I612" s="80"/>
      <c r="J612" s="80"/>
    </row>
    <row r="613" ht="22.5" customHeight="1">
      <c r="A613" s="81"/>
      <c r="B613" s="81"/>
      <c r="C613" s="81"/>
      <c r="D613" s="81"/>
      <c r="E613" s="80"/>
      <c r="F613" s="91"/>
      <c r="G613" s="80"/>
      <c r="H613" s="80"/>
      <c r="I613" s="80"/>
      <c r="J613" s="80"/>
    </row>
    <row r="614" ht="22.5" customHeight="1">
      <c r="A614" s="81"/>
      <c r="B614" s="81"/>
      <c r="C614" s="81"/>
      <c r="D614" s="81"/>
      <c r="E614" s="80"/>
      <c r="F614" s="91"/>
      <c r="G614" s="80"/>
      <c r="H614" s="80"/>
      <c r="I614" s="80"/>
      <c r="J614" s="80"/>
    </row>
    <row r="615" ht="22.5" customHeight="1">
      <c r="A615" s="81"/>
      <c r="B615" s="81"/>
      <c r="C615" s="81"/>
      <c r="D615" s="81"/>
      <c r="E615" s="80"/>
      <c r="F615" s="91"/>
      <c r="G615" s="80"/>
      <c r="H615" s="80"/>
      <c r="I615" s="80"/>
      <c r="J615" s="80"/>
    </row>
    <row r="616" ht="22.5" customHeight="1">
      <c r="A616" s="81"/>
      <c r="B616" s="81"/>
      <c r="C616" s="81"/>
      <c r="D616" s="81"/>
      <c r="E616" s="80"/>
      <c r="F616" s="91"/>
      <c r="G616" s="80"/>
      <c r="H616" s="80"/>
      <c r="I616" s="80"/>
      <c r="J616" s="80"/>
    </row>
    <row r="617" ht="22.5" customHeight="1">
      <c r="A617" s="81"/>
      <c r="B617" s="81"/>
      <c r="C617" s="81"/>
      <c r="D617" s="81"/>
      <c r="E617" s="80"/>
      <c r="F617" s="91"/>
      <c r="G617" s="80"/>
      <c r="H617" s="80"/>
      <c r="I617" s="80"/>
      <c r="J617" s="80"/>
    </row>
    <row r="618" ht="22.5" customHeight="1">
      <c r="A618" s="81"/>
      <c r="B618" s="81"/>
      <c r="C618" s="81"/>
      <c r="D618" s="81"/>
      <c r="E618" s="80"/>
      <c r="F618" s="91"/>
      <c r="G618" s="80"/>
      <c r="H618" s="80"/>
      <c r="I618" s="80"/>
      <c r="J618" s="80"/>
    </row>
    <row r="619" ht="22.5" customHeight="1">
      <c r="A619" s="81"/>
      <c r="B619" s="81"/>
      <c r="C619" s="81"/>
      <c r="D619" s="81"/>
      <c r="E619" s="80"/>
      <c r="F619" s="91"/>
      <c r="G619" s="80"/>
      <c r="H619" s="80"/>
      <c r="I619" s="80"/>
      <c r="J619" s="80"/>
    </row>
    <row r="620" ht="22.5" customHeight="1">
      <c r="A620" s="81"/>
      <c r="B620" s="81"/>
      <c r="C620" s="81"/>
      <c r="D620" s="81"/>
      <c r="E620" s="80"/>
      <c r="F620" s="91"/>
      <c r="G620" s="80"/>
      <c r="H620" s="80"/>
      <c r="I620" s="80"/>
      <c r="J620" s="80"/>
    </row>
    <row r="621" ht="22.5" customHeight="1">
      <c r="A621" s="81"/>
      <c r="B621" s="81"/>
      <c r="C621" s="81"/>
      <c r="D621" s="81"/>
      <c r="E621" s="80"/>
      <c r="F621" s="91"/>
      <c r="G621" s="80"/>
      <c r="H621" s="80"/>
      <c r="I621" s="80"/>
      <c r="J621" s="80"/>
    </row>
    <row r="622" ht="22.5" customHeight="1">
      <c r="A622" s="81"/>
      <c r="B622" s="81"/>
      <c r="C622" s="81"/>
      <c r="D622" s="81"/>
      <c r="E622" s="80"/>
      <c r="F622" s="91"/>
      <c r="G622" s="80"/>
      <c r="H622" s="80"/>
      <c r="I622" s="80"/>
      <c r="J622" s="80"/>
    </row>
    <row r="623" ht="22.5" customHeight="1">
      <c r="A623" s="81"/>
      <c r="B623" s="81"/>
      <c r="C623" s="81"/>
      <c r="D623" s="81"/>
      <c r="E623" s="80"/>
      <c r="F623" s="91"/>
      <c r="G623" s="80"/>
      <c r="H623" s="80"/>
      <c r="I623" s="80"/>
      <c r="J623" s="80"/>
    </row>
    <row r="624" ht="22.5" customHeight="1">
      <c r="A624" s="81"/>
      <c r="B624" s="81"/>
      <c r="C624" s="81"/>
      <c r="D624" s="81"/>
      <c r="E624" s="80"/>
      <c r="F624" s="91"/>
      <c r="G624" s="80"/>
      <c r="H624" s="80"/>
      <c r="I624" s="80"/>
      <c r="J624" s="80"/>
    </row>
    <row r="625" ht="22.5" customHeight="1">
      <c r="A625" s="81"/>
      <c r="B625" s="81"/>
      <c r="C625" s="81"/>
      <c r="D625" s="81"/>
      <c r="E625" s="80"/>
      <c r="F625" s="91"/>
      <c r="G625" s="80"/>
      <c r="H625" s="80"/>
      <c r="I625" s="80"/>
      <c r="J625" s="80"/>
    </row>
    <row r="626" ht="22.5" customHeight="1">
      <c r="A626" s="81"/>
      <c r="B626" s="81"/>
      <c r="C626" s="81"/>
      <c r="D626" s="81"/>
      <c r="E626" s="80"/>
      <c r="F626" s="91"/>
      <c r="G626" s="80"/>
      <c r="H626" s="80"/>
      <c r="I626" s="80"/>
      <c r="J626" s="80"/>
    </row>
    <row r="627" ht="22.5" customHeight="1">
      <c r="A627" s="81"/>
      <c r="B627" s="81"/>
      <c r="C627" s="81"/>
      <c r="D627" s="81"/>
      <c r="E627" s="80"/>
      <c r="F627" s="91"/>
      <c r="G627" s="80"/>
      <c r="H627" s="80"/>
      <c r="I627" s="80"/>
      <c r="J627" s="80"/>
    </row>
    <row r="628" ht="22.5" customHeight="1">
      <c r="A628" s="81"/>
      <c r="B628" s="81"/>
      <c r="C628" s="81"/>
      <c r="D628" s="81"/>
      <c r="E628" s="80"/>
      <c r="F628" s="91"/>
      <c r="G628" s="80"/>
      <c r="H628" s="80"/>
      <c r="I628" s="80"/>
      <c r="J628" s="80"/>
    </row>
    <row r="629" ht="22.5" customHeight="1">
      <c r="A629" s="81"/>
      <c r="B629" s="81"/>
      <c r="C629" s="81"/>
      <c r="D629" s="81"/>
      <c r="E629" s="80"/>
      <c r="F629" s="91"/>
      <c r="G629" s="80"/>
      <c r="H629" s="80"/>
      <c r="I629" s="80"/>
      <c r="J629" s="80"/>
    </row>
    <row r="630" ht="22.5" customHeight="1">
      <c r="A630" s="81"/>
      <c r="B630" s="81"/>
      <c r="C630" s="81"/>
      <c r="D630" s="81"/>
      <c r="E630" s="80"/>
      <c r="F630" s="91"/>
      <c r="G630" s="80"/>
      <c r="H630" s="80"/>
      <c r="I630" s="80"/>
      <c r="J630" s="80"/>
    </row>
    <row r="631" ht="22.5" customHeight="1">
      <c r="A631" s="81"/>
      <c r="B631" s="81"/>
      <c r="C631" s="81"/>
      <c r="D631" s="81"/>
      <c r="E631" s="80"/>
      <c r="F631" s="91"/>
      <c r="G631" s="80"/>
      <c r="H631" s="80"/>
      <c r="I631" s="80"/>
      <c r="J631" s="80"/>
    </row>
    <row r="632" ht="22.5" customHeight="1">
      <c r="A632" s="81"/>
      <c r="B632" s="81"/>
      <c r="C632" s="81"/>
      <c r="D632" s="81"/>
      <c r="E632" s="80"/>
      <c r="F632" s="91"/>
      <c r="G632" s="80"/>
      <c r="H632" s="80"/>
      <c r="I632" s="80"/>
      <c r="J632" s="80"/>
    </row>
    <row r="633" ht="22.5" customHeight="1">
      <c r="A633" s="81"/>
      <c r="B633" s="81"/>
      <c r="C633" s="81"/>
      <c r="D633" s="81"/>
      <c r="E633" s="80"/>
      <c r="F633" s="91"/>
      <c r="G633" s="80"/>
      <c r="H633" s="80"/>
      <c r="I633" s="80"/>
      <c r="J633" s="80"/>
    </row>
    <row r="634" ht="22.5" customHeight="1">
      <c r="A634" s="81"/>
      <c r="B634" s="81"/>
      <c r="C634" s="81"/>
      <c r="D634" s="81"/>
      <c r="E634" s="80"/>
      <c r="F634" s="91"/>
      <c r="G634" s="80"/>
      <c r="H634" s="80"/>
      <c r="I634" s="80"/>
      <c r="J634" s="80"/>
    </row>
    <row r="635" ht="22.5" customHeight="1">
      <c r="A635" s="81"/>
      <c r="B635" s="81"/>
      <c r="C635" s="81"/>
      <c r="D635" s="81"/>
      <c r="E635" s="80"/>
      <c r="F635" s="91"/>
      <c r="G635" s="80"/>
      <c r="H635" s="80"/>
      <c r="I635" s="80"/>
      <c r="J635" s="80"/>
    </row>
    <row r="636" ht="22.5" customHeight="1">
      <c r="A636" s="81"/>
      <c r="B636" s="81"/>
      <c r="C636" s="81"/>
      <c r="D636" s="81"/>
      <c r="E636" s="80"/>
      <c r="F636" s="91"/>
      <c r="G636" s="80"/>
      <c r="H636" s="80"/>
      <c r="I636" s="80"/>
      <c r="J636" s="80"/>
    </row>
    <row r="637" ht="22.5" customHeight="1">
      <c r="A637" s="81"/>
      <c r="B637" s="81"/>
      <c r="C637" s="81"/>
      <c r="D637" s="81"/>
      <c r="E637" s="80"/>
      <c r="F637" s="91"/>
      <c r="G637" s="80"/>
      <c r="H637" s="80"/>
      <c r="I637" s="80"/>
      <c r="J637" s="80"/>
    </row>
    <row r="638" ht="22.5" customHeight="1">
      <c r="A638" s="81"/>
      <c r="B638" s="81"/>
      <c r="C638" s="81"/>
      <c r="D638" s="81"/>
      <c r="E638" s="80"/>
      <c r="F638" s="91"/>
      <c r="G638" s="80"/>
      <c r="H638" s="80"/>
      <c r="I638" s="80"/>
      <c r="J638" s="80"/>
    </row>
    <row r="639" ht="22.5" customHeight="1">
      <c r="A639" s="81"/>
      <c r="B639" s="81"/>
      <c r="C639" s="81"/>
      <c r="D639" s="81"/>
      <c r="E639" s="80"/>
      <c r="F639" s="91"/>
      <c r="G639" s="80"/>
      <c r="H639" s="80"/>
      <c r="I639" s="80"/>
      <c r="J639" s="80"/>
    </row>
    <row r="640" ht="22.5" customHeight="1">
      <c r="A640" s="81"/>
      <c r="B640" s="81"/>
      <c r="C640" s="81"/>
      <c r="D640" s="81"/>
      <c r="E640" s="80"/>
      <c r="F640" s="91"/>
      <c r="G640" s="80"/>
      <c r="H640" s="80"/>
      <c r="I640" s="80"/>
      <c r="J640" s="80"/>
    </row>
    <row r="641" ht="22.5" customHeight="1">
      <c r="A641" s="81"/>
      <c r="B641" s="81"/>
      <c r="C641" s="81"/>
      <c r="D641" s="81"/>
      <c r="E641" s="80"/>
      <c r="F641" s="91"/>
      <c r="G641" s="80"/>
      <c r="H641" s="80"/>
      <c r="I641" s="80"/>
      <c r="J641" s="80"/>
    </row>
    <row r="642" ht="22.5" customHeight="1">
      <c r="A642" s="81"/>
      <c r="B642" s="81"/>
      <c r="C642" s="81"/>
      <c r="D642" s="81"/>
      <c r="E642" s="80"/>
      <c r="F642" s="91"/>
      <c r="G642" s="80"/>
      <c r="H642" s="80"/>
      <c r="I642" s="80"/>
      <c r="J642" s="80"/>
    </row>
    <row r="643" ht="22.5" customHeight="1">
      <c r="A643" s="81"/>
      <c r="B643" s="81"/>
      <c r="C643" s="81"/>
      <c r="D643" s="81"/>
      <c r="E643" s="80"/>
      <c r="F643" s="91"/>
      <c r="G643" s="80"/>
      <c r="H643" s="80"/>
      <c r="I643" s="80"/>
      <c r="J643" s="80"/>
    </row>
    <row r="644" ht="22.5" customHeight="1">
      <c r="A644" s="81"/>
      <c r="B644" s="81"/>
      <c r="C644" s="81"/>
      <c r="D644" s="81"/>
      <c r="E644" s="80"/>
      <c r="F644" s="91"/>
      <c r="G644" s="80"/>
      <c r="H644" s="80"/>
      <c r="I644" s="80"/>
      <c r="J644" s="80"/>
    </row>
    <row r="645" ht="22.5" customHeight="1">
      <c r="A645" s="81"/>
      <c r="B645" s="81"/>
      <c r="C645" s="81"/>
      <c r="D645" s="81"/>
      <c r="E645" s="80"/>
      <c r="F645" s="91"/>
      <c r="G645" s="80"/>
      <c r="H645" s="80"/>
      <c r="I645" s="80"/>
      <c r="J645" s="80"/>
    </row>
    <row r="646" ht="22.5" customHeight="1">
      <c r="A646" s="81"/>
      <c r="B646" s="81"/>
      <c r="C646" s="81"/>
      <c r="D646" s="81"/>
      <c r="E646" s="80"/>
      <c r="F646" s="91"/>
      <c r="G646" s="80"/>
      <c r="H646" s="80"/>
      <c r="I646" s="80"/>
      <c r="J646" s="80"/>
    </row>
    <row r="647" ht="22.5" customHeight="1">
      <c r="A647" s="81"/>
      <c r="B647" s="81"/>
      <c r="C647" s="81"/>
      <c r="D647" s="81"/>
      <c r="E647" s="80"/>
      <c r="F647" s="91"/>
      <c r="G647" s="80"/>
      <c r="H647" s="80"/>
      <c r="I647" s="80"/>
      <c r="J647" s="80"/>
    </row>
    <row r="648" ht="22.5" customHeight="1">
      <c r="A648" s="81"/>
      <c r="B648" s="81"/>
      <c r="C648" s="81"/>
      <c r="D648" s="81"/>
      <c r="E648" s="80"/>
      <c r="F648" s="91"/>
      <c r="G648" s="80"/>
      <c r="H648" s="80"/>
      <c r="I648" s="80"/>
      <c r="J648" s="80"/>
    </row>
    <row r="649" ht="22.5" customHeight="1">
      <c r="A649" s="81"/>
      <c r="B649" s="81"/>
      <c r="C649" s="81"/>
      <c r="D649" s="81"/>
      <c r="E649" s="80"/>
      <c r="F649" s="91"/>
      <c r="G649" s="80"/>
      <c r="H649" s="80"/>
      <c r="I649" s="80"/>
      <c r="J649" s="80"/>
    </row>
    <row r="650" ht="22.5" customHeight="1">
      <c r="A650" s="81"/>
      <c r="B650" s="81"/>
      <c r="C650" s="81"/>
      <c r="D650" s="81"/>
      <c r="E650" s="80"/>
      <c r="F650" s="91"/>
      <c r="G650" s="80"/>
      <c r="H650" s="80"/>
      <c r="I650" s="80"/>
      <c r="J650" s="80"/>
    </row>
    <row r="651" ht="22.5" customHeight="1">
      <c r="A651" s="81"/>
      <c r="B651" s="81"/>
      <c r="C651" s="81"/>
      <c r="D651" s="81"/>
      <c r="E651" s="80"/>
      <c r="F651" s="91"/>
      <c r="G651" s="80"/>
      <c r="H651" s="80"/>
      <c r="I651" s="80"/>
      <c r="J651" s="80"/>
    </row>
    <row r="652" ht="22.5" customHeight="1">
      <c r="A652" s="81"/>
      <c r="B652" s="81"/>
      <c r="C652" s="81"/>
      <c r="D652" s="81"/>
      <c r="E652" s="80"/>
      <c r="F652" s="91"/>
      <c r="G652" s="80"/>
      <c r="H652" s="80"/>
      <c r="I652" s="80"/>
      <c r="J652" s="80"/>
    </row>
    <row r="653" ht="22.5" customHeight="1">
      <c r="A653" s="81"/>
      <c r="B653" s="81"/>
      <c r="C653" s="81"/>
      <c r="D653" s="81"/>
      <c r="E653" s="80"/>
      <c r="F653" s="91"/>
      <c r="G653" s="80"/>
      <c r="H653" s="80"/>
      <c r="I653" s="80"/>
      <c r="J653" s="80"/>
    </row>
    <row r="654" ht="22.5" customHeight="1">
      <c r="A654" s="81"/>
      <c r="B654" s="81"/>
      <c r="C654" s="81"/>
      <c r="D654" s="81"/>
      <c r="E654" s="80"/>
      <c r="F654" s="91"/>
      <c r="G654" s="80"/>
      <c r="H654" s="80"/>
      <c r="I654" s="80"/>
      <c r="J654" s="80"/>
    </row>
    <row r="655" ht="22.5" customHeight="1">
      <c r="A655" s="81"/>
      <c r="B655" s="81"/>
      <c r="C655" s="81"/>
      <c r="D655" s="81"/>
      <c r="E655" s="80"/>
      <c r="F655" s="91"/>
      <c r="G655" s="80"/>
      <c r="H655" s="80"/>
      <c r="I655" s="80"/>
      <c r="J655" s="80"/>
    </row>
    <row r="656" ht="22.5" customHeight="1">
      <c r="A656" s="81"/>
      <c r="B656" s="81"/>
      <c r="C656" s="81"/>
      <c r="D656" s="81"/>
      <c r="E656" s="80"/>
      <c r="F656" s="91"/>
      <c r="G656" s="80"/>
      <c r="H656" s="80"/>
      <c r="I656" s="80"/>
      <c r="J656" s="80"/>
    </row>
    <row r="657" ht="22.5" customHeight="1">
      <c r="A657" s="81"/>
      <c r="B657" s="81"/>
      <c r="C657" s="81"/>
      <c r="D657" s="81"/>
      <c r="E657" s="80"/>
      <c r="F657" s="91"/>
      <c r="G657" s="80"/>
      <c r="H657" s="80"/>
      <c r="I657" s="80"/>
      <c r="J657" s="80"/>
    </row>
    <row r="658" ht="22.5" customHeight="1">
      <c r="A658" s="81"/>
      <c r="B658" s="81"/>
      <c r="C658" s="81"/>
      <c r="D658" s="81"/>
      <c r="E658" s="80"/>
      <c r="F658" s="91"/>
      <c r="G658" s="80"/>
      <c r="H658" s="80"/>
      <c r="I658" s="80"/>
      <c r="J658" s="80"/>
    </row>
    <row r="659" ht="22.5" customHeight="1">
      <c r="A659" s="81"/>
      <c r="B659" s="81"/>
      <c r="C659" s="81"/>
      <c r="D659" s="81"/>
      <c r="E659" s="80"/>
      <c r="F659" s="91"/>
      <c r="G659" s="80"/>
      <c r="H659" s="80"/>
      <c r="I659" s="80"/>
      <c r="J659" s="80"/>
    </row>
    <row r="660" ht="22.5" customHeight="1">
      <c r="A660" s="81"/>
      <c r="B660" s="81"/>
      <c r="C660" s="81"/>
      <c r="D660" s="81"/>
      <c r="E660" s="80"/>
      <c r="F660" s="91"/>
      <c r="G660" s="80"/>
      <c r="H660" s="80"/>
      <c r="I660" s="80"/>
      <c r="J660" s="80"/>
    </row>
    <row r="661" ht="22.5" customHeight="1">
      <c r="A661" s="81"/>
      <c r="B661" s="81"/>
      <c r="C661" s="81"/>
      <c r="D661" s="81"/>
      <c r="E661" s="80"/>
      <c r="F661" s="91"/>
      <c r="G661" s="80"/>
      <c r="H661" s="80"/>
      <c r="I661" s="80"/>
      <c r="J661" s="80"/>
    </row>
    <row r="662" ht="22.5" customHeight="1">
      <c r="A662" s="81"/>
      <c r="B662" s="81"/>
      <c r="C662" s="81"/>
      <c r="D662" s="81"/>
      <c r="E662" s="80"/>
      <c r="F662" s="91"/>
      <c r="G662" s="80"/>
      <c r="H662" s="80"/>
      <c r="I662" s="80"/>
      <c r="J662" s="80"/>
    </row>
    <row r="663" ht="22.5" customHeight="1">
      <c r="A663" s="81"/>
      <c r="B663" s="81"/>
      <c r="C663" s="81"/>
      <c r="D663" s="81"/>
      <c r="E663" s="80"/>
      <c r="F663" s="91"/>
      <c r="G663" s="80"/>
      <c r="H663" s="80"/>
      <c r="I663" s="80"/>
      <c r="J663" s="80"/>
    </row>
    <row r="664" ht="22.5" customHeight="1">
      <c r="A664" s="81"/>
      <c r="B664" s="81"/>
      <c r="C664" s="81"/>
      <c r="D664" s="81"/>
      <c r="E664" s="80"/>
      <c r="F664" s="91"/>
      <c r="G664" s="80"/>
      <c r="H664" s="80"/>
      <c r="I664" s="80"/>
      <c r="J664" s="80"/>
    </row>
    <row r="665" ht="22.5" customHeight="1">
      <c r="A665" s="81"/>
      <c r="B665" s="81"/>
      <c r="C665" s="81"/>
      <c r="D665" s="81"/>
      <c r="E665" s="80"/>
      <c r="F665" s="91"/>
      <c r="G665" s="80"/>
      <c r="H665" s="80"/>
      <c r="I665" s="80"/>
      <c r="J665" s="80"/>
    </row>
    <row r="666" ht="22.5" customHeight="1">
      <c r="A666" s="81"/>
      <c r="B666" s="81"/>
      <c r="C666" s="81"/>
      <c r="D666" s="81"/>
      <c r="E666" s="80"/>
      <c r="F666" s="91"/>
      <c r="G666" s="80"/>
      <c r="H666" s="80"/>
      <c r="I666" s="80"/>
      <c r="J666" s="80"/>
    </row>
    <row r="667" ht="22.5" customHeight="1">
      <c r="A667" s="81"/>
      <c r="B667" s="81"/>
      <c r="C667" s="81"/>
      <c r="D667" s="81"/>
      <c r="E667" s="80"/>
      <c r="F667" s="91"/>
      <c r="G667" s="80"/>
      <c r="H667" s="80"/>
      <c r="I667" s="80"/>
      <c r="J667" s="80"/>
    </row>
    <row r="668" ht="22.5" customHeight="1">
      <c r="A668" s="81"/>
      <c r="B668" s="81"/>
      <c r="C668" s="81"/>
      <c r="D668" s="81"/>
      <c r="E668" s="80"/>
      <c r="F668" s="91"/>
      <c r="G668" s="80"/>
      <c r="H668" s="80"/>
      <c r="I668" s="80"/>
      <c r="J668" s="80"/>
    </row>
    <row r="669" ht="22.5" customHeight="1">
      <c r="A669" s="81"/>
      <c r="B669" s="81"/>
      <c r="C669" s="81"/>
      <c r="D669" s="81"/>
      <c r="E669" s="80"/>
      <c r="F669" s="91"/>
      <c r="G669" s="80"/>
      <c r="H669" s="80"/>
      <c r="I669" s="80"/>
      <c r="J669" s="80"/>
    </row>
    <row r="670" ht="22.5" customHeight="1">
      <c r="A670" s="81"/>
      <c r="B670" s="81"/>
      <c r="C670" s="81"/>
      <c r="D670" s="81"/>
      <c r="E670" s="80"/>
      <c r="F670" s="91"/>
      <c r="G670" s="80"/>
      <c r="H670" s="80"/>
      <c r="I670" s="80"/>
      <c r="J670" s="80"/>
    </row>
    <row r="671" ht="22.5" customHeight="1">
      <c r="A671" s="81"/>
      <c r="B671" s="81"/>
      <c r="C671" s="81"/>
      <c r="D671" s="81"/>
      <c r="E671" s="80"/>
      <c r="F671" s="91"/>
      <c r="G671" s="80"/>
      <c r="H671" s="80"/>
      <c r="I671" s="80"/>
      <c r="J671" s="80"/>
    </row>
    <row r="672" ht="22.5" customHeight="1">
      <c r="A672" s="81"/>
      <c r="B672" s="81"/>
      <c r="C672" s="81"/>
      <c r="D672" s="81"/>
      <c r="E672" s="80"/>
      <c r="F672" s="91"/>
      <c r="G672" s="80"/>
      <c r="H672" s="80"/>
      <c r="I672" s="80"/>
      <c r="J672" s="80"/>
    </row>
    <row r="673" ht="22.5" customHeight="1">
      <c r="A673" s="81"/>
      <c r="B673" s="81"/>
      <c r="C673" s="81"/>
      <c r="D673" s="81"/>
      <c r="E673" s="80"/>
      <c r="F673" s="91"/>
      <c r="G673" s="80"/>
      <c r="H673" s="80"/>
      <c r="I673" s="80"/>
      <c r="J673" s="80"/>
    </row>
    <row r="674" ht="22.5" customHeight="1">
      <c r="A674" s="81"/>
      <c r="B674" s="81"/>
      <c r="C674" s="81"/>
      <c r="D674" s="81"/>
      <c r="E674" s="80"/>
      <c r="F674" s="91"/>
      <c r="G674" s="80"/>
      <c r="H674" s="80"/>
      <c r="I674" s="80"/>
      <c r="J674" s="80"/>
    </row>
    <row r="675" ht="22.5" customHeight="1">
      <c r="A675" s="81"/>
      <c r="B675" s="81"/>
      <c r="C675" s="81"/>
      <c r="D675" s="81"/>
      <c r="E675" s="80"/>
      <c r="F675" s="91"/>
      <c r="G675" s="80"/>
      <c r="H675" s="80"/>
      <c r="I675" s="80"/>
      <c r="J675" s="80"/>
    </row>
    <row r="676" ht="22.5" customHeight="1">
      <c r="A676" s="81"/>
      <c r="B676" s="81"/>
      <c r="C676" s="81"/>
      <c r="D676" s="81"/>
      <c r="E676" s="80"/>
      <c r="F676" s="91"/>
      <c r="G676" s="80"/>
      <c r="H676" s="80"/>
      <c r="I676" s="80"/>
      <c r="J676" s="80"/>
    </row>
    <row r="677" ht="22.5" customHeight="1">
      <c r="A677" s="81"/>
      <c r="B677" s="81"/>
      <c r="C677" s="81"/>
      <c r="D677" s="81"/>
      <c r="E677" s="80"/>
      <c r="F677" s="91"/>
      <c r="G677" s="80"/>
      <c r="H677" s="80"/>
      <c r="I677" s="80"/>
      <c r="J677" s="80"/>
    </row>
    <row r="678" ht="22.5" customHeight="1">
      <c r="A678" s="81"/>
      <c r="B678" s="81"/>
      <c r="C678" s="81"/>
      <c r="D678" s="81"/>
      <c r="E678" s="80"/>
      <c r="F678" s="91"/>
      <c r="G678" s="80"/>
      <c r="H678" s="80"/>
      <c r="I678" s="80"/>
      <c r="J678" s="80"/>
    </row>
    <row r="679" ht="22.5" customHeight="1">
      <c r="A679" s="81"/>
      <c r="B679" s="81"/>
      <c r="C679" s="81"/>
      <c r="D679" s="81"/>
      <c r="E679" s="80"/>
      <c r="F679" s="91"/>
      <c r="G679" s="80"/>
      <c r="H679" s="80"/>
      <c r="I679" s="80"/>
      <c r="J679" s="80"/>
    </row>
    <row r="680" ht="22.5" customHeight="1">
      <c r="A680" s="81"/>
      <c r="B680" s="81"/>
      <c r="C680" s="81"/>
      <c r="D680" s="81"/>
      <c r="E680" s="80"/>
      <c r="F680" s="91"/>
      <c r="G680" s="80"/>
      <c r="H680" s="80"/>
      <c r="I680" s="80"/>
      <c r="J680" s="80"/>
    </row>
    <row r="681" ht="22.5" customHeight="1">
      <c r="A681" s="81"/>
      <c r="B681" s="81"/>
      <c r="C681" s="81"/>
      <c r="D681" s="81"/>
      <c r="E681" s="80"/>
      <c r="F681" s="91"/>
      <c r="G681" s="80"/>
      <c r="H681" s="80"/>
      <c r="I681" s="80"/>
      <c r="J681" s="80"/>
    </row>
    <row r="682" ht="22.5" customHeight="1">
      <c r="A682" s="81"/>
      <c r="B682" s="81"/>
      <c r="C682" s="81"/>
      <c r="D682" s="81"/>
      <c r="E682" s="80"/>
      <c r="F682" s="91"/>
      <c r="G682" s="80"/>
      <c r="H682" s="80"/>
      <c r="I682" s="80"/>
      <c r="J682" s="80"/>
    </row>
    <row r="683" ht="22.5" customHeight="1">
      <c r="A683" s="81"/>
      <c r="B683" s="81"/>
      <c r="C683" s="81"/>
      <c r="D683" s="81"/>
      <c r="E683" s="80"/>
      <c r="F683" s="91"/>
      <c r="G683" s="80"/>
      <c r="H683" s="80"/>
      <c r="I683" s="80"/>
      <c r="J683" s="80"/>
    </row>
    <row r="684" ht="22.5" customHeight="1">
      <c r="A684" s="81"/>
      <c r="B684" s="81"/>
      <c r="C684" s="81"/>
      <c r="D684" s="81"/>
      <c r="E684" s="80"/>
      <c r="F684" s="91"/>
      <c r="G684" s="80"/>
      <c r="H684" s="80"/>
      <c r="I684" s="80"/>
      <c r="J684" s="80"/>
    </row>
    <row r="685" ht="22.5" customHeight="1">
      <c r="A685" s="81"/>
      <c r="B685" s="81"/>
      <c r="C685" s="81"/>
      <c r="D685" s="81"/>
      <c r="E685" s="80"/>
      <c r="F685" s="91"/>
      <c r="G685" s="80"/>
      <c r="H685" s="80"/>
      <c r="I685" s="80"/>
      <c r="J685" s="80"/>
    </row>
    <row r="686" ht="22.5" customHeight="1">
      <c r="A686" s="81"/>
      <c r="B686" s="81"/>
      <c r="C686" s="81"/>
      <c r="D686" s="81"/>
      <c r="E686" s="80"/>
      <c r="F686" s="91"/>
      <c r="G686" s="80"/>
      <c r="H686" s="80"/>
      <c r="I686" s="80"/>
      <c r="J686" s="80"/>
    </row>
    <row r="687" ht="22.5" customHeight="1">
      <c r="A687" s="81"/>
      <c r="B687" s="81"/>
      <c r="C687" s="81"/>
      <c r="D687" s="81"/>
      <c r="E687" s="80"/>
      <c r="F687" s="91"/>
      <c r="G687" s="80"/>
      <c r="H687" s="80"/>
      <c r="I687" s="80"/>
      <c r="J687" s="80"/>
    </row>
    <row r="688" ht="22.5" customHeight="1">
      <c r="A688" s="81"/>
      <c r="B688" s="81"/>
      <c r="C688" s="81"/>
      <c r="D688" s="81"/>
      <c r="E688" s="80"/>
      <c r="F688" s="91"/>
      <c r="G688" s="80"/>
      <c r="H688" s="80"/>
      <c r="I688" s="80"/>
      <c r="J688" s="80"/>
    </row>
    <row r="689" ht="22.5" customHeight="1">
      <c r="A689" s="81"/>
      <c r="B689" s="81"/>
      <c r="C689" s="81"/>
      <c r="D689" s="81"/>
      <c r="E689" s="80"/>
      <c r="F689" s="91"/>
      <c r="G689" s="80"/>
      <c r="H689" s="80"/>
      <c r="I689" s="80"/>
      <c r="J689" s="80"/>
    </row>
    <row r="690" ht="22.5" customHeight="1">
      <c r="A690" s="81"/>
      <c r="B690" s="81"/>
      <c r="C690" s="81"/>
      <c r="D690" s="81"/>
      <c r="E690" s="80"/>
      <c r="F690" s="91"/>
      <c r="G690" s="80"/>
      <c r="H690" s="80"/>
      <c r="I690" s="80"/>
      <c r="J690" s="80"/>
    </row>
    <row r="691" ht="22.5" customHeight="1">
      <c r="A691" s="81"/>
      <c r="B691" s="81"/>
      <c r="C691" s="81"/>
      <c r="D691" s="81"/>
      <c r="E691" s="80"/>
      <c r="F691" s="91"/>
      <c r="G691" s="80"/>
      <c r="H691" s="80"/>
      <c r="I691" s="80"/>
      <c r="J691" s="80"/>
    </row>
    <row r="692" ht="22.5" customHeight="1">
      <c r="A692" s="81"/>
      <c r="B692" s="81"/>
      <c r="C692" s="81"/>
      <c r="D692" s="81"/>
      <c r="E692" s="80"/>
      <c r="F692" s="91"/>
      <c r="G692" s="80"/>
      <c r="H692" s="80"/>
      <c r="I692" s="80"/>
      <c r="J692" s="80"/>
    </row>
    <row r="693" ht="22.5" customHeight="1">
      <c r="A693" s="81"/>
      <c r="B693" s="81"/>
      <c r="C693" s="81"/>
      <c r="D693" s="81"/>
      <c r="E693" s="80"/>
      <c r="F693" s="91"/>
      <c r="G693" s="80"/>
      <c r="H693" s="80"/>
      <c r="I693" s="80"/>
      <c r="J693" s="80"/>
    </row>
    <row r="694" ht="22.5" customHeight="1">
      <c r="A694" s="81"/>
      <c r="B694" s="81"/>
      <c r="C694" s="81"/>
      <c r="D694" s="81"/>
      <c r="E694" s="80"/>
      <c r="F694" s="91"/>
      <c r="G694" s="80"/>
      <c r="H694" s="80"/>
      <c r="I694" s="80"/>
      <c r="J694" s="80"/>
    </row>
    <row r="695" ht="22.5" customHeight="1">
      <c r="A695" s="81"/>
      <c r="B695" s="81"/>
      <c r="C695" s="81"/>
      <c r="D695" s="81"/>
      <c r="E695" s="80"/>
      <c r="F695" s="91"/>
      <c r="G695" s="80"/>
      <c r="H695" s="80"/>
      <c r="I695" s="80"/>
      <c r="J695" s="80"/>
    </row>
    <row r="696" ht="22.5" customHeight="1">
      <c r="A696" s="81"/>
      <c r="B696" s="81"/>
      <c r="C696" s="81"/>
      <c r="D696" s="81"/>
      <c r="E696" s="80"/>
      <c r="F696" s="91"/>
      <c r="G696" s="80"/>
      <c r="H696" s="80"/>
      <c r="I696" s="80"/>
      <c r="J696" s="80"/>
    </row>
    <row r="697" ht="22.5" customHeight="1">
      <c r="A697" s="81"/>
      <c r="B697" s="81"/>
      <c r="C697" s="81"/>
      <c r="D697" s="81"/>
      <c r="E697" s="80"/>
      <c r="F697" s="91"/>
      <c r="G697" s="80"/>
      <c r="H697" s="80"/>
      <c r="I697" s="80"/>
      <c r="J697" s="80"/>
    </row>
    <row r="698" ht="22.5" customHeight="1">
      <c r="A698" s="81"/>
      <c r="B698" s="81"/>
      <c r="C698" s="81"/>
      <c r="D698" s="81"/>
      <c r="E698" s="80"/>
      <c r="F698" s="91"/>
      <c r="G698" s="80"/>
      <c r="H698" s="80"/>
      <c r="I698" s="80"/>
      <c r="J698" s="80"/>
    </row>
    <row r="699" ht="22.5" customHeight="1">
      <c r="A699" s="81"/>
      <c r="B699" s="81"/>
      <c r="C699" s="81"/>
      <c r="D699" s="81"/>
      <c r="E699" s="80"/>
      <c r="F699" s="91"/>
      <c r="G699" s="80"/>
      <c r="H699" s="80"/>
      <c r="I699" s="80"/>
      <c r="J699" s="80"/>
    </row>
    <row r="700" ht="22.5" customHeight="1">
      <c r="A700" s="81"/>
      <c r="B700" s="81"/>
      <c r="C700" s="81"/>
      <c r="D700" s="81"/>
      <c r="E700" s="80"/>
      <c r="F700" s="91"/>
      <c r="G700" s="80"/>
      <c r="H700" s="80"/>
      <c r="I700" s="80"/>
      <c r="J700" s="80"/>
    </row>
    <row r="701" ht="22.5" customHeight="1">
      <c r="A701" s="81"/>
      <c r="B701" s="81"/>
      <c r="C701" s="81"/>
      <c r="D701" s="81"/>
      <c r="E701" s="80"/>
      <c r="F701" s="91"/>
      <c r="G701" s="80"/>
      <c r="H701" s="80"/>
      <c r="I701" s="80"/>
      <c r="J701" s="80"/>
    </row>
    <row r="702" ht="22.5" customHeight="1">
      <c r="A702" s="81"/>
      <c r="B702" s="81"/>
      <c r="C702" s="81"/>
      <c r="D702" s="81"/>
      <c r="E702" s="80"/>
      <c r="F702" s="91"/>
      <c r="G702" s="80"/>
      <c r="H702" s="80"/>
      <c r="I702" s="80"/>
      <c r="J702" s="80"/>
    </row>
    <row r="703" ht="22.5" customHeight="1">
      <c r="A703" s="81"/>
      <c r="B703" s="81"/>
      <c r="C703" s="81"/>
      <c r="D703" s="81"/>
      <c r="E703" s="80"/>
      <c r="F703" s="91"/>
      <c r="G703" s="80"/>
      <c r="H703" s="80"/>
      <c r="I703" s="80"/>
      <c r="J703" s="80"/>
    </row>
    <row r="704" ht="22.5" customHeight="1">
      <c r="A704" s="81"/>
      <c r="B704" s="81"/>
      <c r="C704" s="81"/>
      <c r="D704" s="81"/>
      <c r="E704" s="80"/>
      <c r="F704" s="91"/>
      <c r="G704" s="80"/>
      <c r="H704" s="80"/>
      <c r="I704" s="80"/>
      <c r="J704" s="80"/>
    </row>
    <row r="705" ht="22.5" customHeight="1">
      <c r="A705" s="81"/>
      <c r="B705" s="81"/>
      <c r="C705" s="81"/>
      <c r="D705" s="81"/>
      <c r="E705" s="80"/>
      <c r="F705" s="91"/>
      <c r="G705" s="80"/>
      <c r="H705" s="80"/>
      <c r="I705" s="80"/>
      <c r="J705" s="80"/>
    </row>
    <row r="706" ht="22.5" customHeight="1">
      <c r="A706" s="81"/>
      <c r="B706" s="81"/>
      <c r="C706" s="81"/>
      <c r="D706" s="81"/>
      <c r="E706" s="80"/>
      <c r="F706" s="91"/>
      <c r="G706" s="80"/>
      <c r="H706" s="80"/>
      <c r="I706" s="80"/>
      <c r="J706" s="80"/>
    </row>
    <row r="707" ht="22.5" customHeight="1">
      <c r="A707" s="81"/>
      <c r="B707" s="81"/>
      <c r="C707" s="81"/>
      <c r="D707" s="81"/>
      <c r="E707" s="80"/>
      <c r="F707" s="91"/>
      <c r="G707" s="80"/>
      <c r="H707" s="80"/>
      <c r="I707" s="80"/>
      <c r="J707" s="80"/>
    </row>
    <row r="708" ht="22.5" customHeight="1">
      <c r="A708" s="81"/>
      <c r="B708" s="81"/>
      <c r="C708" s="81"/>
      <c r="D708" s="81"/>
      <c r="E708" s="80"/>
      <c r="F708" s="91"/>
      <c r="G708" s="80"/>
      <c r="H708" s="80"/>
      <c r="I708" s="80"/>
      <c r="J708" s="80"/>
    </row>
    <row r="709" ht="22.5" customHeight="1">
      <c r="A709" s="81"/>
      <c r="B709" s="81"/>
      <c r="C709" s="81"/>
      <c r="D709" s="81"/>
      <c r="E709" s="80"/>
      <c r="F709" s="91"/>
      <c r="G709" s="80"/>
      <c r="H709" s="80"/>
      <c r="I709" s="80"/>
      <c r="J709" s="80"/>
    </row>
    <row r="710" ht="22.5" customHeight="1">
      <c r="A710" s="81"/>
      <c r="B710" s="81"/>
      <c r="C710" s="81"/>
      <c r="D710" s="81"/>
      <c r="E710" s="80"/>
      <c r="F710" s="91"/>
      <c r="G710" s="80"/>
      <c r="H710" s="80"/>
      <c r="I710" s="80"/>
      <c r="J710" s="80"/>
    </row>
    <row r="711" ht="22.5" customHeight="1">
      <c r="A711" s="81"/>
      <c r="B711" s="81"/>
      <c r="C711" s="81"/>
      <c r="D711" s="81"/>
      <c r="E711" s="80"/>
      <c r="F711" s="91"/>
      <c r="G711" s="80"/>
      <c r="H711" s="80"/>
      <c r="I711" s="80"/>
      <c r="J711" s="80"/>
    </row>
    <row r="712" ht="22.5" customHeight="1">
      <c r="A712" s="81"/>
      <c r="B712" s="81"/>
      <c r="C712" s="81"/>
      <c r="D712" s="81"/>
      <c r="E712" s="80"/>
      <c r="F712" s="91"/>
      <c r="G712" s="80"/>
      <c r="H712" s="80"/>
      <c r="I712" s="80"/>
      <c r="J712" s="80"/>
    </row>
    <row r="713" ht="22.5" customHeight="1">
      <c r="A713" s="81"/>
      <c r="B713" s="81"/>
      <c r="C713" s="81"/>
      <c r="D713" s="81"/>
      <c r="E713" s="80"/>
      <c r="F713" s="91"/>
      <c r="G713" s="80"/>
      <c r="H713" s="80"/>
      <c r="I713" s="80"/>
      <c r="J713" s="80"/>
    </row>
    <row r="714" ht="22.5" customHeight="1">
      <c r="A714" s="81"/>
      <c r="B714" s="81"/>
      <c r="C714" s="81"/>
      <c r="D714" s="81"/>
      <c r="E714" s="80"/>
      <c r="F714" s="91"/>
      <c r="G714" s="80"/>
      <c r="H714" s="80"/>
      <c r="I714" s="80"/>
      <c r="J714" s="80"/>
    </row>
    <row r="715" ht="22.5" customHeight="1">
      <c r="A715" s="81"/>
      <c r="B715" s="81"/>
      <c r="C715" s="81"/>
      <c r="D715" s="81"/>
      <c r="E715" s="80"/>
      <c r="F715" s="91"/>
      <c r="G715" s="80"/>
      <c r="H715" s="80"/>
      <c r="I715" s="80"/>
      <c r="J715" s="80"/>
    </row>
    <row r="716" ht="22.5" customHeight="1">
      <c r="A716" s="81"/>
      <c r="B716" s="81"/>
      <c r="C716" s="81"/>
      <c r="D716" s="81"/>
      <c r="E716" s="80"/>
      <c r="F716" s="91"/>
      <c r="G716" s="80"/>
      <c r="H716" s="80"/>
      <c r="I716" s="80"/>
      <c r="J716" s="80"/>
    </row>
    <row r="717" ht="22.5" customHeight="1">
      <c r="A717" s="81"/>
      <c r="B717" s="81"/>
      <c r="C717" s="81"/>
      <c r="D717" s="81"/>
      <c r="E717" s="80"/>
      <c r="F717" s="91"/>
      <c r="G717" s="80"/>
      <c r="H717" s="80"/>
      <c r="I717" s="80"/>
      <c r="J717" s="80"/>
    </row>
    <row r="718" ht="22.5" customHeight="1">
      <c r="A718" s="81"/>
      <c r="B718" s="81"/>
      <c r="C718" s="81"/>
      <c r="D718" s="81"/>
      <c r="E718" s="80"/>
      <c r="F718" s="91"/>
      <c r="G718" s="80"/>
      <c r="H718" s="80"/>
      <c r="I718" s="80"/>
      <c r="J718" s="80"/>
    </row>
    <row r="719" ht="22.5" customHeight="1">
      <c r="A719" s="81"/>
      <c r="B719" s="81"/>
      <c r="C719" s="81"/>
      <c r="D719" s="81"/>
      <c r="E719" s="80"/>
      <c r="F719" s="91"/>
      <c r="G719" s="80"/>
      <c r="H719" s="80"/>
      <c r="I719" s="80"/>
      <c r="J719" s="80"/>
    </row>
    <row r="720" ht="22.5" customHeight="1">
      <c r="A720" s="81"/>
      <c r="B720" s="81"/>
      <c r="C720" s="81"/>
      <c r="D720" s="81"/>
      <c r="E720" s="80"/>
      <c r="F720" s="91"/>
      <c r="G720" s="80"/>
      <c r="H720" s="80"/>
      <c r="I720" s="80"/>
      <c r="J720" s="80"/>
    </row>
    <row r="721" ht="22.5" customHeight="1">
      <c r="A721" s="81"/>
      <c r="B721" s="81"/>
      <c r="C721" s="81"/>
      <c r="D721" s="81"/>
      <c r="E721" s="80"/>
      <c r="F721" s="91"/>
      <c r="G721" s="80"/>
      <c r="H721" s="80"/>
      <c r="I721" s="80"/>
      <c r="J721" s="80"/>
    </row>
    <row r="722" ht="22.5" customHeight="1">
      <c r="A722" s="81"/>
      <c r="B722" s="81"/>
      <c r="C722" s="81"/>
      <c r="D722" s="81"/>
      <c r="E722" s="80"/>
      <c r="F722" s="91"/>
      <c r="G722" s="80"/>
      <c r="H722" s="80"/>
      <c r="I722" s="80"/>
      <c r="J722" s="80"/>
    </row>
    <row r="723" ht="22.5" customHeight="1">
      <c r="A723" s="81"/>
      <c r="B723" s="81"/>
      <c r="C723" s="81"/>
      <c r="D723" s="81"/>
      <c r="E723" s="80"/>
      <c r="F723" s="91"/>
      <c r="G723" s="80"/>
      <c r="H723" s="80"/>
      <c r="I723" s="80"/>
      <c r="J723" s="80"/>
    </row>
    <row r="724" ht="22.5" customHeight="1">
      <c r="A724" s="81"/>
      <c r="B724" s="81"/>
      <c r="C724" s="81"/>
      <c r="D724" s="81"/>
      <c r="E724" s="80"/>
      <c r="F724" s="91"/>
      <c r="G724" s="80"/>
      <c r="H724" s="80"/>
      <c r="I724" s="80"/>
      <c r="J724" s="80"/>
    </row>
    <row r="725" ht="22.5" customHeight="1">
      <c r="A725" s="81"/>
      <c r="B725" s="81"/>
      <c r="C725" s="81"/>
      <c r="D725" s="81"/>
      <c r="E725" s="80"/>
      <c r="F725" s="91"/>
      <c r="G725" s="80"/>
      <c r="H725" s="80"/>
      <c r="I725" s="80"/>
      <c r="J725" s="80"/>
    </row>
    <row r="726" ht="22.5" customHeight="1">
      <c r="A726" s="81"/>
      <c r="B726" s="81"/>
      <c r="C726" s="81"/>
      <c r="D726" s="81"/>
      <c r="E726" s="80"/>
      <c r="F726" s="91"/>
      <c r="G726" s="80"/>
      <c r="H726" s="80"/>
      <c r="I726" s="80"/>
      <c r="J726" s="80"/>
    </row>
    <row r="727" ht="22.5" customHeight="1">
      <c r="A727" s="81"/>
      <c r="B727" s="81"/>
      <c r="C727" s="81"/>
      <c r="D727" s="81"/>
      <c r="E727" s="80"/>
      <c r="F727" s="91"/>
      <c r="G727" s="80"/>
      <c r="H727" s="80"/>
      <c r="I727" s="80"/>
      <c r="J727" s="80"/>
    </row>
    <row r="728" ht="22.5" customHeight="1">
      <c r="A728" s="81"/>
      <c r="B728" s="81"/>
      <c r="C728" s="81"/>
      <c r="D728" s="81"/>
      <c r="E728" s="80"/>
      <c r="F728" s="91"/>
      <c r="G728" s="80"/>
      <c r="H728" s="80"/>
      <c r="I728" s="80"/>
      <c r="J728" s="80"/>
    </row>
    <row r="729" ht="22.5" customHeight="1">
      <c r="A729" s="81"/>
      <c r="B729" s="81"/>
      <c r="C729" s="81"/>
      <c r="D729" s="81"/>
      <c r="E729" s="80"/>
      <c r="F729" s="91"/>
      <c r="G729" s="80"/>
      <c r="H729" s="80"/>
      <c r="I729" s="80"/>
      <c r="J729" s="80"/>
    </row>
    <row r="730" ht="22.5" customHeight="1">
      <c r="A730" s="81"/>
      <c r="B730" s="81"/>
      <c r="C730" s="81"/>
      <c r="D730" s="81"/>
      <c r="E730" s="80"/>
      <c r="F730" s="91"/>
      <c r="G730" s="80"/>
      <c r="H730" s="80"/>
      <c r="I730" s="80"/>
      <c r="J730" s="80"/>
    </row>
    <row r="731" ht="22.5" customHeight="1">
      <c r="A731" s="81"/>
      <c r="B731" s="81"/>
      <c r="C731" s="81"/>
      <c r="D731" s="81"/>
      <c r="E731" s="80"/>
      <c r="F731" s="91"/>
      <c r="G731" s="80"/>
      <c r="H731" s="80"/>
      <c r="I731" s="80"/>
      <c r="J731" s="80"/>
    </row>
    <row r="732" ht="22.5" customHeight="1">
      <c r="A732" s="81"/>
      <c r="B732" s="81"/>
      <c r="C732" s="81"/>
      <c r="D732" s="81"/>
      <c r="E732" s="80"/>
      <c r="F732" s="91"/>
      <c r="G732" s="80"/>
      <c r="H732" s="80"/>
      <c r="I732" s="80"/>
      <c r="J732" s="80"/>
    </row>
    <row r="733" ht="22.5" customHeight="1">
      <c r="A733" s="81"/>
      <c r="B733" s="81"/>
      <c r="C733" s="81"/>
      <c r="D733" s="81"/>
      <c r="E733" s="80"/>
      <c r="F733" s="91"/>
      <c r="G733" s="80"/>
      <c r="H733" s="80"/>
      <c r="I733" s="80"/>
      <c r="J733" s="80"/>
    </row>
    <row r="734" ht="22.5" customHeight="1">
      <c r="A734" s="81"/>
      <c r="B734" s="81"/>
      <c r="C734" s="81"/>
      <c r="D734" s="81"/>
      <c r="E734" s="80"/>
      <c r="F734" s="91"/>
      <c r="G734" s="80"/>
      <c r="H734" s="80"/>
      <c r="I734" s="80"/>
      <c r="J734" s="80"/>
    </row>
    <row r="735" ht="22.5" customHeight="1">
      <c r="A735" s="81"/>
      <c r="B735" s="81"/>
      <c r="C735" s="81"/>
      <c r="D735" s="81"/>
      <c r="E735" s="80"/>
      <c r="F735" s="91"/>
      <c r="G735" s="80"/>
      <c r="H735" s="80"/>
      <c r="I735" s="80"/>
      <c r="J735" s="80"/>
    </row>
    <row r="736" ht="22.5" customHeight="1">
      <c r="A736" s="81"/>
      <c r="B736" s="81"/>
      <c r="C736" s="81"/>
      <c r="D736" s="81"/>
      <c r="E736" s="80"/>
      <c r="F736" s="91"/>
      <c r="G736" s="80"/>
      <c r="H736" s="80"/>
      <c r="I736" s="80"/>
      <c r="J736" s="80"/>
    </row>
    <row r="737" ht="22.5" customHeight="1">
      <c r="A737" s="81"/>
      <c r="B737" s="81"/>
      <c r="C737" s="81"/>
      <c r="D737" s="81"/>
      <c r="E737" s="80"/>
      <c r="F737" s="91"/>
      <c r="G737" s="80"/>
      <c r="H737" s="80"/>
      <c r="I737" s="80"/>
      <c r="J737" s="80"/>
    </row>
    <row r="738" ht="22.5" customHeight="1">
      <c r="A738" s="81"/>
      <c r="B738" s="81"/>
      <c r="C738" s="81"/>
      <c r="D738" s="81"/>
      <c r="E738" s="80"/>
      <c r="F738" s="91"/>
      <c r="G738" s="80"/>
      <c r="H738" s="80"/>
      <c r="I738" s="80"/>
      <c r="J738" s="80"/>
    </row>
    <row r="739" ht="22.5" customHeight="1">
      <c r="A739" s="81"/>
      <c r="B739" s="81"/>
      <c r="C739" s="81"/>
      <c r="D739" s="81"/>
      <c r="E739" s="80"/>
      <c r="F739" s="91"/>
      <c r="G739" s="80"/>
      <c r="H739" s="80"/>
      <c r="I739" s="80"/>
      <c r="J739" s="80"/>
    </row>
    <row r="740" ht="22.5" customHeight="1">
      <c r="A740" s="81"/>
      <c r="B740" s="81"/>
      <c r="C740" s="81"/>
      <c r="D740" s="81"/>
      <c r="E740" s="80"/>
      <c r="F740" s="91"/>
      <c r="G740" s="80"/>
      <c r="H740" s="80"/>
      <c r="I740" s="80"/>
      <c r="J740" s="80"/>
    </row>
    <row r="741" ht="22.5" customHeight="1">
      <c r="A741" s="81"/>
      <c r="B741" s="81"/>
      <c r="C741" s="81"/>
      <c r="D741" s="81"/>
      <c r="E741" s="80"/>
      <c r="F741" s="91"/>
      <c r="G741" s="80"/>
      <c r="H741" s="80"/>
      <c r="I741" s="80"/>
      <c r="J741" s="80"/>
    </row>
    <row r="742" ht="22.5" customHeight="1">
      <c r="A742" s="81"/>
      <c r="B742" s="81"/>
      <c r="C742" s="81"/>
      <c r="D742" s="81"/>
      <c r="E742" s="80"/>
      <c r="F742" s="91"/>
      <c r="G742" s="80"/>
      <c r="H742" s="80"/>
      <c r="I742" s="80"/>
      <c r="J742" s="80"/>
    </row>
    <row r="743" ht="22.5" customHeight="1">
      <c r="A743" s="81"/>
      <c r="B743" s="81"/>
      <c r="C743" s="81"/>
      <c r="D743" s="81"/>
      <c r="E743" s="80"/>
      <c r="F743" s="91"/>
      <c r="G743" s="80"/>
      <c r="H743" s="80"/>
      <c r="I743" s="80"/>
      <c r="J743" s="80"/>
    </row>
    <row r="744" ht="22.5" customHeight="1">
      <c r="A744" s="81"/>
      <c r="B744" s="81"/>
      <c r="C744" s="81"/>
      <c r="D744" s="81"/>
      <c r="E744" s="80"/>
      <c r="F744" s="91"/>
      <c r="G744" s="80"/>
      <c r="H744" s="80"/>
      <c r="I744" s="80"/>
      <c r="J744" s="80"/>
    </row>
    <row r="745" ht="22.5" customHeight="1">
      <c r="A745" s="81"/>
      <c r="B745" s="81"/>
      <c r="C745" s="81"/>
      <c r="D745" s="81"/>
      <c r="E745" s="80"/>
      <c r="F745" s="91"/>
      <c r="G745" s="80"/>
      <c r="H745" s="80"/>
      <c r="I745" s="80"/>
      <c r="J745" s="80"/>
    </row>
    <row r="746" ht="22.5" customHeight="1">
      <c r="A746" s="81"/>
      <c r="B746" s="81"/>
      <c r="C746" s="81"/>
      <c r="D746" s="81"/>
      <c r="E746" s="80"/>
      <c r="F746" s="91"/>
      <c r="G746" s="80"/>
      <c r="H746" s="80"/>
      <c r="I746" s="80"/>
      <c r="J746" s="80"/>
    </row>
    <row r="747" ht="22.5" customHeight="1">
      <c r="A747" s="81"/>
      <c r="B747" s="81"/>
      <c r="C747" s="81"/>
      <c r="D747" s="81"/>
      <c r="E747" s="80"/>
      <c r="F747" s="91"/>
      <c r="G747" s="80"/>
      <c r="H747" s="80"/>
      <c r="I747" s="80"/>
      <c r="J747" s="80"/>
    </row>
    <row r="748" ht="22.5" customHeight="1">
      <c r="A748" s="81"/>
      <c r="B748" s="81"/>
      <c r="C748" s="81"/>
      <c r="D748" s="81"/>
      <c r="E748" s="80"/>
      <c r="F748" s="91"/>
      <c r="G748" s="80"/>
      <c r="H748" s="80"/>
      <c r="I748" s="80"/>
      <c r="J748" s="80"/>
    </row>
    <row r="749" ht="22.5" customHeight="1">
      <c r="A749" s="81"/>
      <c r="B749" s="81"/>
      <c r="C749" s="81"/>
      <c r="D749" s="81"/>
      <c r="E749" s="80"/>
      <c r="F749" s="91"/>
      <c r="G749" s="80"/>
      <c r="H749" s="80"/>
      <c r="I749" s="80"/>
      <c r="J749" s="80"/>
    </row>
    <row r="750" ht="22.5" customHeight="1">
      <c r="A750" s="81"/>
      <c r="B750" s="81"/>
      <c r="C750" s="81"/>
      <c r="D750" s="81"/>
      <c r="E750" s="80"/>
      <c r="F750" s="91"/>
      <c r="G750" s="80"/>
      <c r="H750" s="80"/>
      <c r="I750" s="80"/>
      <c r="J750" s="80"/>
    </row>
    <row r="751" ht="22.5" customHeight="1">
      <c r="A751" s="81"/>
      <c r="B751" s="81"/>
      <c r="C751" s="81"/>
      <c r="D751" s="81"/>
      <c r="E751" s="80"/>
      <c r="F751" s="91"/>
      <c r="G751" s="80"/>
      <c r="H751" s="80"/>
      <c r="I751" s="80"/>
      <c r="J751" s="80"/>
    </row>
    <row r="752" ht="22.5" customHeight="1">
      <c r="A752" s="81"/>
      <c r="B752" s="81"/>
      <c r="C752" s="81"/>
      <c r="D752" s="81"/>
      <c r="E752" s="80"/>
      <c r="F752" s="91"/>
      <c r="G752" s="80"/>
      <c r="H752" s="80"/>
      <c r="I752" s="80"/>
      <c r="J752" s="80"/>
    </row>
    <row r="753" ht="22.5" customHeight="1">
      <c r="A753" s="81"/>
      <c r="B753" s="81"/>
      <c r="C753" s="81"/>
      <c r="D753" s="81"/>
      <c r="E753" s="80"/>
      <c r="F753" s="91"/>
      <c r="G753" s="80"/>
      <c r="H753" s="80"/>
      <c r="I753" s="80"/>
      <c r="J753" s="80"/>
    </row>
    <row r="754" ht="22.5" customHeight="1">
      <c r="A754" s="81"/>
      <c r="B754" s="81"/>
      <c r="C754" s="81"/>
      <c r="D754" s="81"/>
      <c r="E754" s="80"/>
      <c r="F754" s="91"/>
      <c r="G754" s="80"/>
      <c r="H754" s="80"/>
      <c r="I754" s="80"/>
      <c r="J754" s="80"/>
    </row>
    <row r="755" ht="22.5" customHeight="1">
      <c r="A755" s="81"/>
      <c r="B755" s="81"/>
      <c r="C755" s="81"/>
      <c r="D755" s="81"/>
      <c r="E755" s="80"/>
      <c r="F755" s="91"/>
      <c r="G755" s="80"/>
      <c r="H755" s="80"/>
      <c r="I755" s="80"/>
      <c r="J755" s="80"/>
    </row>
    <row r="756" ht="22.5" customHeight="1">
      <c r="A756" s="81"/>
      <c r="B756" s="81"/>
      <c r="C756" s="81"/>
      <c r="D756" s="81"/>
      <c r="E756" s="80"/>
      <c r="F756" s="91"/>
      <c r="G756" s="80"/>
      <c r="H756" s="80"/>
      <c r="I756" s="80"/>
      <c r="J756" s="80"/>
    </row>
    <row r="757" ht="22.5" customHeight="1">
      <c r="A757" s="81"/>
      <c r="B757" s="81"/>
      <c r="C757" s="81"/>
      <c r="D757" s="81"/>
      <c r="E757" s="80"/>
      <c r="F757" s="91"/>
      <c r="G757" s="80"/>
      <c r="H757" s="80"/>
      <c r="I757" s="80"/>
      <c r="J757" s="80"/>
    </row>
    <row r="758" ht="22.5" customHeight="1">
      <c r="A758" s="81"/>
      <c r="B758" s="81"/>
      <c r="C758" s="81"/>
      <c r="D758" s="81"/>
      <c r="E758" s="80"/>
      <c r="F758" s="91"/>
      <c r="G758" s="80"/>
      <c r="H758" s="80"/>
      <c r="I758" s="80"/>
      <c r="J758" s="80"/>
    </row>
    <row r="759" ht="22.5" customHeight="1">
      <c r="A759" s="81"/>
      <c r="B759" s="81"/>
      <c r="C759" s="81"/>
      <c r="D759" s="81"/>
      <c r="E759" s="80"/>
      <c r="F759" s="91"/>
      <c r="G759" s="80"/>
      <c r="H759" s="80"/>
      <c r="I759" s="80"/>
      <c r="J759" s="80"/>
    </row>
    <row r="760" ht="22.5" customHeight="1">
      <c r="A760" s="81"/>
      <c r="B760" s="81"/>
      <c r="C760" s="81"/>
      <c r="D760" s="81"/>
      <c r="E760" s="80"/>
      <c r="F760" s="91"/>
      <c r="G760" s="80"/>
      <c r="H760" s="80"/>
      <c r="I760" s="80"/>
      <c r="J760" s="80"/>
    </row>
    <row r="761" ht="22.5" customHeight="1">
      <c r="A761" s="81"/>
      <c r="B761" s="81"/>
      <c r="C761" s="81"/>
      <c r="D761" s="81"/>
      <c r="E761" s="80"/>
      <c r="F761" s="91"/>
      <c r="G761" s="80"/>
      <c r="H761" s="80"/>
      <c r="I761" s="80"/>
      <c r="J761" s="80"/>
    </row>
    <row r="762" ht="22.5" customHeight="1">
      <c r="A762" s="81"/>
      <c r="B762" s="81"/>
      <c r="C762" s="81"/>
      <c r="D762" s="81"/>
      <c r="E762" s="80"/>
      <c r="F762" s="91"/>
      <c r="G762" s="80"/>
      <c r="H762" s="80"/>
      <c r="I762" s="80"/>
      <c r="J762" s="80"/>
    </row>
    <row r="763" ht="22.5" customHeight="1">
      <c r="A763" s="81"/>
      <c r="B763" s="81"/>
      <c r="C763" s="81"/>
      <c r="D763" s="81"/>
      <c r="E763" s="80"/>
      <c r="F763" s="91"/>
      <c r="G763" s="80"/>
      <c r="H763" s="80"/>
      <c r="I763" s="80"/>
      <c r="J763" s="80"/>
    </row>
    <row r="764" ht="22.5" customHeight="1">
      <c r="A764" s="81"/>
      <c r="B764" s="81"/>
      <c r="C764" s="81"/>
      <c r="D764" s="81"/>
      <c r="E764" s="80"/>
      <c r="F764" s="91"/>
      <c r="G764" s="80"/>
      <c r="H764" s="80"/>
      <c r="I764" s="80"/>
      <c r="J764" s="80"/>
    </row>
    <row r="765" ht="22.5" customHeight="1">
      <c r="A765" s="81"/>
      <c r="B765" s="81"/>
      <c r="C765" s="81"/>
      <c r="D765" s="81"/>
      <c r="E765" s="80"/>
      <c r="F765" s="91"/>
      <c r="G765" s="80"/>
      <c r="H765" s="80"/>
      <c r="I765" s="80"/>
      <c r="J765" s="80"/>
    </row>
    <row r="766" ht="22.5" customHeight="1">
      <c r="A766" s="81"/>
      <c r="B766" s="81"/>
      <c r="C766" s="81"/>
      <c r="D766" s="81"/>
      <c r="E766" s="80"/>
      <c r="F766" s="91"/>
      <c r="G766" s="80"/>
      <c r="H766" s="80"/>
      <c r="I766" s="80"/>
      <c r="J766" s="80"/>
    </row>
    <row r="767" ht="22.5" customHeight="1">
      <c r="A767" s="81"/>
      <c r="B767" s="81"/>
      <c r="C767" s="81"/>
      <c r="D767" s="81"/>
      <c r="E767" s="80"/>
      <c r="F767" s="91"/>
      <c r="G767" s="80"/>
      <c r="H767" s="80"/>
      <c r="I767" s="80"/>
      <c r="J767" s="80"/>
    </row>
    <row r="768" ht="22.5" customHeight="1">
      <c r="A768" s="81"/>
      <c r="B768" s="81"/>
      <c r="C768" s="81"/>
      <c r="D768" s="81"/>
      <c r="E768" s="80"/>
      <c r="F768" s="91"/>
      <c r="G768" s="80"/>
      <c r="H768" s="80"/>
      <c r="I768" s="80"/>
      <c r="J768" s="80"/>
    </row>
    <row r="769" ht="22.5" customHeight="1">
      <c r="A769" s="81"/>
      <c r="B769" s="81"/>
      <c r="C769" s="81"/>
      <c r="D769" s="81"/>
      <c r="E769" s="80"/>
      <c r="F769" s="91"/>
      <c r="G769" s="80"/>
      <c r="H769" s="80"/>
      <c r="I769" s="80"/>
      <c r="J769" s="80"/>
    </row>
    <row r="770" ht="22.5" customHeight="1">
      <c r="A770" s="81"/>
      <c r="B770" s="81"/>
      <c r="C770" s="81"/>
      <c r="D770" s="81"/>
      <c r="E770" s="80"/>
      <c r="F770" s="91"/>
      <c r="G770" s="80"/>
      <c r="H770" s="80"/>
      <c r="I770" s="80"/>
      <c r="J770" s="80"/>
    </row>
    <row r="771" ht="22.5" customHeight="1">
      <c r="A771" s="81"/>
      <c r="B771" s="81"/>
      <c r="C771" s="81"/>
      <c r="D771" s="81"/>
      <c r="E771" s="80"/>
      <c r="F771" s="91"/>
      <c r="G771" s="80"/>
      <c r="H771" s="80"/>
      <c r="I771" s="80"/>
      <c r="J771" s="80"/>
    </row>
    <row r="772" ht="22.5" customHeight="1">
      <c r="A772" s="81"/>
      <c r="B772" s="81"/>
      <c r="C772" s="81"/>
      <c r="D772" s="81"/>
      <c r="E772" s="80"/>
      <c r="F772" s="91"/>
      <c r="G772" s="80"/>
      <c r="H772" s="80"/>
      <c r="I772" s="80"/>
      <c r="J772" s="80"/>
    </row>
    <row r="773" ht="22.5" customHeight="1">
      <c r="A773" s="81"/>
      <c r="B773" s="81"/>
      <c r="C773" s="81"/>
      <c r="D773" s="81"/>
      <c r="E773" s="80"/>
      <c r="F773" s="91"/>
      <c r="G773" s="80"/>
      <c r="H773" s="80"/>
      <c r="I773" s="80"/>
      <c r="J773" s="80"/>
    </row>
    <row r="774" ht="22.5" customHeight="1">
      <c r="A774" s="81"/>
      <c r="B774" s="81"/>
      <c r="C774" s="81"/>
      <c r="D774" s="81"/>
      <c r="E774" s="80"/>
      <c r="F774" s="91"/>
      <c r="G774" s="80"/>
      <c r="H774" s="80"/>
      <c r="I774" s="80"/>
      <c r="J774" s="80"/>
    </row>
    <row r="775" ht="22.5" customHeight="1">
      <c r="A775" s="81"/>
      <c r="B775" s="81"/>
      <c r="C775" s="81"/>
      <c r="D775" s="81"/>
      <c r="E775" s="80"/>
      <c r="F775" s="91"/>
      <c r="G775" s="80"/>
      <c r="H775" s="80"/>
      <c r="I775" s="80"/>
      <c r="J775" s="80"/>
    </row>
    <row r="776" ht="22.5" customHeight="1">
      <c r="A776" s="81"/>
      <c r="B776" s="81"/>
      <c r="C776" s="81"/>
      <c r="D776" s="81"/>
      <c r="E776" s="80"/>
      <c r="F776" s="91"/>
      <c r="G776" s="80"/>
      <c r="H776" s="80"/>
      <c r="I776" s="80"/>
      <c r="J776" s="80"/>
    </row>
    <row r="777" ht="22.5" customHeight="1">
      <c r="A777" s="81"/>
      <c r="B777" s="81"/>
      <c r="C777" s="81"/>
      <c r="D777" s="81"/>
      <c r="E777" s="80"/>
      <c r="F777" s="91"/>
      <c r="G777" s="80"/>
      <c r="H777" s="80"/>
      <c r="I777" s="80"/>
      <c r="J777" s="80"/>
    </row>
    <row r="778" ht="22.5" customHeight="1">
      <c r="A778" s="81"/>
      <c r="B778" s="81"/>
      <c r="C778" s="81"/>
      <c r="D778" s="81"/>
      <c r="E778" s="80"/>
      <c r="F778" s="91"/>
      <c r="G778" s="80"/>
      <c r="H778" s="80"/>
      <c r="I778" s="80"/>
      <c r="J778" s="80"/>
    </row>
    <row r="779" ht="22.5" customHeight="1">
      <c r="A779" s="81"/>
      <c r="B779" s="81"/>
      <c r="C779" s="81"/>
      <c r="D779" s="81"/>
      <c r="E779" s="80"/>
      <c r="F779" s="91"/>
      <c r="G779" s="80"/>
      <c r="H779" s="80"/>
      <c r="I779" s="80"/>
      <c r="J779" s="80"/>
    </row>
    <row r="780" ht="22.5" customHeight="1">
      <c r="A780" s="81"/>
      <c r="B780" s="81"/>
      <c r="C780" s="81"/>
      <c r="D780" s="81"/>
      <c r="E780" s="80"/>
      <c r="F780" s="91"/>
      <c r="G780" s="80"/>
      <c r="H780" s="80"/>
      <c r="I780" s="80"/>
      <c r="J780" s="80"/>
    </row>
    <row r="781" ht="22.5" customHeight="1">
      <c r="A781" s="81"/>
      <c r="B781" s="81"/>
      <c r="C781" s="81"/>
      <c r="D781" s="81"/>
      <c r="E781" s="80"/>
      <c r="F781" s="91"/>
      <c r="G781" s="80"/>
      <c r="H781" s="80"/>
      <c r="I781" s="80"/>
      <c r="J781" s="80"/>
    </row>
    <row r="782" ht="22.5" customHeight="1">
      <c r="A782" s="81"/>
      <c r="B782" s="81"/>
      <c r="C782" s="81"/>
      <c r="D782" s="81"/>
      <c r="E782" s="80"/>
      <c r="F782" s="91"/>
      <c r="G782" s="80"/>
      <c r="H782" s="80"/>
      <c r="I782" s="80"/>
      <c r="J782" s="80"/>
    </row>
    <row r="783" ht="22.5" customHeight="1">
      <c r="A783" s="81"/>
      <c r="B783" s="81"/>
      <c r="C783" s="81"/>
      <c r="D783" s="81"/>
      <c r="E783" s="80"/>
      <c r="F783" s="91"/>
      <c r="G783" s="80"/>
      <c r="H783" s="80"/>
      <c r="I783" s="80"/>
      <c r="J783" s="80"/>
    </row>
    <row r="784" ht="22.5" customHeight="1">
      <c r="A784" s="81"/>
      <c r="B784" s="81"/>
      <c r="C784" s="81"/>
      <c r="D784" s="81"/>
      <c r="E784" s="80"/>
      <c r="F784" s="91"/>
      <c r="G784" s="80"/>
      <c r="H784" s="80"/>
      <c r="I784" s="80"/>
      <c r="J784" s="80"/>
    </row>
    <row r="785" ht="22.5" customHeight="1">
      <c r="A785" s="81"/>
      <c r="B785" s="81"/>
      <c r="C785" s="81"/>
      <c r="D785" s="81"/>
      <c r="E785" s="80"/>
      <c r="F785" s="91"/>
      <c r="G785" s="80"/>
      <c r="H785" s="80"/>
      <c r="I785" s="80"/>
      <c r="J785" s="80"/>
    </row>
    <row r="786" ht="22.5" customHeight="1">
      <c r="A786" s="81"/>
      <c r="B786" s="81"/>
      <c r="C786" s="81"/>
      <c r="D786" s="81"/>
      <c r="E786" s="80"/>
      <c r="F786" s="91"/>
      <c r="G786" s="80"/>
      <c r="H786" s="80"/>
      <c r="I786" s="80"/>
      <c r="J786" s="80"/>
    </row>
    <row r="787" ht="22.5" customHeight="1">
      <c r="A787" s="81"/>
      <c r="B787" s="81"/>
      <c r="C787" s="81"/>
      <c r="D787" s="81"/>
      <c r="E787" s="80"/>
      <c r="F787" s="91"/>
      <c r="G787" s="80"/>
      <c r="H787" s="80"/>
      <c r="I787" s="80"/>
      <c r="J787" s="80"/>
    </row>
    <row r="788" ht="22.5" customHeight="1">
      <c r="A788" s="81"/>
      <c r="B788" s="81"/>
      <c r="C788" s="81"/>
      <c r="D788" s="81"/>
      <c r="E788" s="80"/>
      <c r="F788" s="91"/>
      <c r="G788" s="80"/>
      <c r="H788" s="80"/>
      <c r="I788" s="80"/>
      <c r="J788" s="80"/>
    </row>
    <row r="789" ht="22.5" customHeight="1">
      <c r="A789" s="81"/>
      <c r="B789" s="81"/>
      <c r="C789" s="81"/>
      <c r="D789" s="81"/>
      <c r="E789" s="80"/>
      <c r="F789" s="91"/>
      <c r="G789" s="80"/>
      <c r="H789" s="80"/>
      <c r="I789" s="80"/>
      <c r="J789" s="80"/>
    </row>
    <row r="790" ht="22.5" customHeight="1">
      <c r="A790" s="81"/>
      <c r="B790" s="81"/>
      <c r="C790" s="81"/>
      <c r="D790" s="81"/>
      <c r="E790" s="80"/>
      <c r="F790" s="91"/>
      <c r="G790" s="80"/>
      <c r="H790" s="80"/>
      <c r="I790" s="80"/>
      <c r="J790" s="80"/>
    </row>
    <row r="791" ht="22.5" customHeight="1">
      <c r="A791" s="81"/>
      <c r="B791" s="81"/>
      <c r="C791" s="81"/>
      <c r="D791" s="81"/>
      <c r="E791" s="80"/>
      <c r="F791" s="91"/>
      <c r="G791" s="80"/>
      <c r="H791" s="80"/>
      <c r="I791" s="80"/>
      <c r="J791" s="80"/>
    </row>
    <row r="792" ht="22.5" customHeight="1">
      <c r="A792" s="81"/>
      <c r="B792" s="81"/>
      <c r="C792" s="81"/>
      <c r="D792" s="81"/>
      <c r="E792" s="80"/>
      <c r="F792" s="91"/>
      <c r="G792" s="80"/>
      <c r="H792" s="80"/>
      <c r="I792" s="80"/>
      <c r="J792" s="80"/>
    </row>
    <row r="793" ht="22.5" customHeight="1">
      <c r="A793" s="81"/>
      <c r="B793" s="81"/>
      <c r="C793" s="81"/>
      <c r="D793" s="81"/>
      <c r="E793" s="80"/>
      <c r="F793" s="91"/>
      <c r="G793" s="80"/>
      <c r="H793" s="80"/>
      <c r="I793" s="80"/>
      <c r="J793" s="80"/>
    </row>
    <row r="794" ht="22.5" customHeight="1">
      <c r="A794" s="81"/>
      <c r="B794" s="81"/>
      <c r="C794" s="81"/>
      <c r="D794" s="81"/>
      <c r="E794" s="80"/>
      <c r="F794" s="91"/>
      <c r="G794" s="80"/>
      <c r="H794" s="80"/>
      <c r="I794" s="80"/>
      <c r="J794" s="80"/>
    </row>
    <row r="795" ht="22.5" customHeight="1">
      <c r="A795" s="81"/>
      <c r="B795" s="81"/>
      <c r="C795" s="81"/>
      <c r="D795" s="81"/>
      <c r="E795" s="80"/>
      <c r="F795" s="91"/>
      <c r="G795" s="80"/>
      <c r="H795" s="80"/>
      <c r="I795" s="80"/>
      <c r="J795" s="80"/>
    </row>
    <row r="796" ht="22.5" customHeight="1">
      <c r="A796" s="81"/>
      <c r="B796" s="81"/>
      <c r="C796" s="81"/>
      <c r="D796" s="81"/>
      <c r="E796" s="80"/>
      <c r="F796" s="91"/>
      <c r="G796" s="80"/>
      <c r="H796" s="80"/>
      <c r="I796" s="80"/>
      <c r="J796" s="80"/>
    </row>
    <row r="797" ht="22.5" customHeight="1">
      <c r="A797" s="81"/>
      <c r="B797" s="81"/>
      <c r="C797" s="81"/>
      <c r="D797" s="81"/>
      <c r="E797" s="80"/>
      <c r="F797" s="91"/>
      <c r="G797" s="80"/>
      <c r="H797" s="80"/>
      <c r="I797" s="80"/>
      <c r="J797" s="80"/>
    </row>
    <row r="798" ht="22.5" customHeight="1">
      <c r="A798" s="81"/>
      <c r="B798" s="81"/>
      <c r="C798" s="81"/>
      <c r="D798" s="81"/>
      <c r="E798" s="80"/>
      <c r="F798" s="91"/>
      <c r="G798" s="80"/>
      <c r="H798" s="80"/>
      <c r="I798" s="80"/>
      <c r="J798" s="80"/>
    </row>
    <row r="799" ht="22.5" customHeight="1">
      <c r="A799" s="81"/>
      <c r="B799" s="81"/>
      <c r="C799" s="81"/>
      <c r="D799" s="81"/>
      <c r="E799" s="80"/>
      <c r="F799" s="91"/>
      <c r="G799" s="80"/>
      <c r="H799" s="80"/>
      <c r="I799" s="80"/>
      <c r="J799" s="80"/>
    </row>
    <row r="800" ht="22.5" customHeight="1">
      <c r="A800" s="81"/>
      <c r="B800" s="81"/>
      <c r="C800" s="81"/>
      <c r="D800" s="81"/>
      <c r="E800" s="80"/>
      <c r="F800" s="91"/>
      <c r="G800" s="80"/>
      <c r="H800" s="80"/>
      <c r="I800" s="80"/>
      <c r="J800" s="80"/>
    </row>
    <row r="801" ht="22.5" customHeight="1">
      <c r="A801" s="81"/>
      <c r="B801" s="81"/>
      <c r="C801" s="81"/>
      <c r="D801" s="81"/>
      <c r="E801" s="80"/>
      <c r="F801" s="91"/>
      <c r="G801" s="80"/>
      <c r="H801" s="80"/>
      <c r="I801" s="80"/>
      <c r="J801" s="80"/>
    </row>
    <row r="802" ht="22.5" customHeight="1">
      <c r="A802" s="81"/>
      <c r="B802" s="81"/>
      <c r="C802" s="81"/>
      <c r="D802" s="81"/>
      <c r="E802" s="80"/>
      <c r="F802" s="91"/>
      <c r="G802" s="80"/>
      <c r="H802" s="80"/>
      <c r="I802" s="80"/>
      <c r="J802" s="80"/>
    </row>
    <row r="803" ht="22.5" customHeight="1">
      <c r="A803" s="81"/>
      <c r="B803" s="81"/>
      <c r="C803" s="81"/>
      <c r="D803" s="81"/>
      <c r="E803" s="80"/>
      <c r="F803" s="91"/>
      <c r="G803" s="80"/>
      <c r="H803" s="80"/>
      <c r="I803" s="80"/>
      <c r="J803" s="80"/>
    </row>
    <row r="804" ht="22.5" customHeight="1">
      <c r="A804" s="81"/>
      <c r="B804" s="81"/>
      <c r="C804" s="81"/>
      <c r="D804" s="81"/>
      <c r="E804" s="80"/>
      <c r="F804" s="91"/>
      <c r="G804" s="80"/>
      <c r="H804" s="80"/>
      <c r="I804" s="80"/>
      <c r="J804" s="80"/>
    </row>
    <row r="805" ht="22.5" customHeight="1">
      <c r="A805" s="81"/>
      <c r="B805" s="81"/>
      <c r="C805" s="81"/>
      <c r="D805" s="81"/>
      <c r="E805" s="80"/>
      <c r="F805" s="91"/>
      <c r="G805" s="80"/>
      <c r="H805" s="80"/>
      <c r="I805" s="80"/>
      <c r="J805" s="80"/>
    </row>
    <row r="806" ht="22.5" customHeight="1">
      <c r="A806" s="81"/>
      <c r="B806" s="81"/>
      <c r="C806" s="81"/>
      <c r="D806" s="81"/>
      <c r="E806" s="80"/>
      <c r="F806" s="91"/>
      <c r="G806" s="80"/>
      <c r="H806" s="80"/>
      <c r="I806" s="80"/>
      <c r="J806" s="80"/>
    </row>
    <row r="807" ht="22.5" customHeight="1">
      <c r="A807" s="81"/>
      <c r="B807" s="81"/>
      <c r="C807" s="81"/>
      <c r="D807" s="81"/>
      <c r="E807" s="80"/>
      <c r="F807" s="91"/>
      <c r="G807" s="80"/>
      <c r="H807" s="80"/>
      <c r="I807" s="80"/>
      <c r="J807" s="80"/>
    </row>
    <row r="808" ht="22.5" customHeight="1">
      <c r="A808" s="81"/>
      <c r="B808" s="81"/>
      <c r="C808" s="81"/>
      <c r="D808" s="81"/>
      <c r="E808" s="80"/>
      <c r="F808" s="91"/>
      <c r="G808" s="80"/>
      <c r="H808" s="80"/>
      <c r="I808" s="80"/>
      <c r="J808" s="80"/>
    </row>
    <row r="809" ht="22.5" customHeight="1">
      <c r="A809" s="81"/>
      <c r="B809" s="81"/>
      <c r="C809" s="81"/>
      <c r="D809" s="81"/>
      <c r="E809" s="80"/>
      <c r="F809" s="91"/>
      <c r="G809" s="80"/>
      <c r="H809" s="80"/>
      <c r="I809" s="80"/>
      <c r="J809" s="80"/>
    </row>
    <row r="810" ht="22.5" customHeight="1">
      <c r="A810" s="81"/>
      <c r="B810" s="81"/>
      <c r="C810" s="81"/>
      <c r="D810" s="81"/>
      <c r="E810" s="80"/>
      <c r="F810" s="91"/>
      <c r="G810" s="80"/>
      <c r="H810" s="80"/>
      <c r="I810" s="80"/>
      <c r="J810" s="80"/>
    </row>
    <row r="811" ht="22.5" customHeight="1">
      <c r="A811" s="81"/>
      <c r="B811" s="81"/>
      <c r="C811" s="81"/>
      <c r="D811" s="81"/>
      <c r="E811" s="80"/>
      <c r="F811" s="91"/>
      <c r="G811" s="80"/>
      <c r="H811" s="80"/>
      <c r="I811" s="80"/>
      <c r="J811" s="80"/>
    </row>
    <row r="812" ht="22.5" customHeight="1">
      <c r="A812" s="81"/>
      <c r="B812" s="81"/>
      <c r="C812" s="81"/>
      <c r="D812" s="81"/>
      <c r="E812" s="80"/>
      <c r="F812" s="91"/>
      <c r="G812" s="80"/>
      <c r="H812" s="80"/>
      <c r="I812" s="80"/>
      <c r="J812" s="80"/>
    </row>
    <row r="813" ht="22.5" customHeight="1">
      <c r="A813" s="81"/>
      <c r="B813" s="81"/>
      <c r="C813" s="81"/>
      <c r="D813" s="81"/>
      <c r="E813" s="80"/>
      <c r="F813" s="91"/>
      <c r="G813" s="80"/>
      <c r="H813" s="80"/>
      <c r="I813" s="80"/>
      <c r="J813" s="80"/>
    </row>
    <row r="814" ht="22.5" customHeight="1">
      <c r="A814" s="81"/>
      <c r="B814" s="81"/>
      <c r="C814" s="81"/>
      <c r="D814" s="81"/>
      <c r="E814" s="80"/>
      <c r="F814" s="91"/>
      <c r="G814" s="80"/>
      <c r="H814" s="80"/>
      <c r="I814" s="80"/>
      <c r="J814" s="80"/>
    </row>
    <row r="815" ht="22.5" customHeight="1">
      <c r="A815" s="81"/>
      <c r="B815" s="81"/>
      <c r="C815" s="81"/>
      <c r="D815" s="81"/>
      <c r="E815" s="80"/>
      <c r="F815" s="91"/>
      <c r="G815" s="80"/>
      <c r="H815" s="80"/>
      <c r="I815" s="80"/>
      <c r="J815" s="80"/>
    </row>
    <row r="816" ht="22.5" customHeight="1">
      <c r="A816" s="81"/>
      <c r="B816" s="81"/>
      <c r="C816" s="81"/>
      <c r="D816" s="81"/>
      <c r="E816" s="80"/>
      <c r="F816" s="91"/>
      <c r="G816" s="80"/>
      <c r="H816" s="80"/>
      <c r="I816" s="80"/>
      <c r="J816" s="80"/>
    </row>
    <row r="817" ht="22.5" customHeight="1">
      <c r="A817" s="81"/>
      <c r="B817" s="81"/>
      <c r="C817" s="81"/>
      <c r="D817" s="81"/>
      <c r="E817" s="80"/>
      <c r="F817" s="91"/>
      <c r="G817" s="80"/>
      <c r="H817" s="80"/>
      <c r="I817" s="80"/>
      <c r="J817" s="80"/>
    </row>
    <row r="818" ht="22.5" customHeight="1">
      <c r="A818" s="81"/>
      <c r="B818" s="81"/>
      <c r="C818" s="81"/>
      <c r="D818" s="81"/>
      <c r="E818" s="80"/>
      <c r="F818" s="91"/>
      <c r="G818" s="80"/>
      <c r="H818" s="80"/>
      <c r="I818" s="80"/>
      <c r="J818" s="80"/>
    </row>
    <row r="819" ht="22.5" customHeight="1">
      <c r="A819" s="81"/>
      <c r="B819" s="81"/>
      <c r="C819" s="81"/>
      <c r="D819" s="81"/>
      <c r="E819" s="80"/>
      <c r="F819" s="91"/>
      <c r="G819" s="80"/>
      <c r="H819" s="80"/>
      <c r="I819" s="80"/>
      <c r="J819" s="80"/>
    </row>
    <row r="820" ht="22.5" customHeight="1">
      <c r="A820" s="81"/>
      <c r="B820" s="81"/>
      <c r="C820" s="81"/>
      <c r="D820" s="81"/>
      <c r="E820" s="80"/>
      <c r="F820" s="91"/>
      <c r="G820" s="80"/>
      <c r="H820" s="80"/>
      <c r="I820" s="80"/>
      <c r="J820" s="80"/>
    </row>
    <row r="821" ht="22.5" customHeight="1">
      <c r="A821" s="81"/>
      <c r="B821" s="81"/>
      <c r="C821" s="81"/>
      <c r="D821" s="81"/>
      <c r="E821" s="80"/>
      <c r="F821" s="91"/>
      <c r="G821" s="80"/>
      <c r="H821" s="80"/>
      <c r="I821" s="80"/>
      <c r="J821" s="80"/>
    </row>
    <row r="822" ht="22.5" customHeight="1">
      <c r="A822" s="81"/>
      <c r="B822" s="81"/>
      <c r="C822" s="81"/>
      <c r="D822" s="81"/>
      <c r="E822" s="80"/>
      <c r="F822" s="91"/>
      <c r="G822" s="80"/>
      <c r="H822" s="80"/>
      <c r="I822" s="80"/>
      <c r="J822" s="80"/>
    </row>
    <row r="823" ht="22.5" customHeight="1">
      <c r="A823" s="81"/>
      <c r="B823" s="81"/>
      <c r="C823" s="81"/>
      <c r="D823" s="81"/>
      <c r="E823" s="80"/>
      <c r="F823" s="91"/>
      <c r="G823" s="80"/>
      <c r="H823" s="80"/>
      <c r="I823" s="80"/>
      <c r="J823" s="80"/>
    </row>
    <row r="824" ht="22.5" customHeight="1">
      <c r="A824" s="81"/>
      <c r="B824" s="81"/>
      <c r="C824" s="81"/>
      <c r="D824" s="81"/>
      <c r="E824" s="80"/>
      <c r="F824" s="91"/>
      <c r="G824" s="80"/>
      <c r="H824" s="80"/>
      <c r="I824" s="80"/>
      <c r="J824" s="80"/>
    </row>
    <row r="825" ht="22.5" customHeight="1">
      <c r="A825" s="81"/>
      <c r="B825" s="81"/>
      <c r="C825" s="81"/>
      <c r="D825" s="81"/>
      <c r="E825" s="80"/>
      <c r="F825" s="91"/>
      <c r="G825" s="80"/>
      <c r="H825" s="80"/>
      <c r="I825" s="80"/>
      <c r="J825" s="80"/>
    </row>
    <row r="826" ht="22.5" customHeight="1">
      <c r="A826" s="81"/>
      <c r="B826" s="81"/>
      <c r="C826" s="81"/>
      <c r="D826" s="81"/>
      <c r="E826" s="80"/>
      <c r="F826" s="91"/>
      <c r="G826" s="80"/>
      <c r="H826" s="80"/>
      <c r="I826" s="80"/>
      <c r="J826" s="80"/>
    </row>
    <row r="827" ht="22.5" customHeight="1">
      <c r="A827" s="81"/>
      <c r="B827" s="81"/>
      <c r="C827" s="81"/>
      <c r="D827" s="81"/>
      <c r="E827" s="80"/>
      <c r="F827" s="91"/>
      <c r="G827" s="80"/>
      <c r="H827" s="80"/>
      <c r="I827" s="80"/>
      <c r="J827" s="80"/>
    </row>
    <row r="828" ht="22.5" customHeight="1">
      <c r="A828" s="81"/>
      <c r="B828" s="81"/>
      <c r="C828" s="81"/>
      <c r="D828" s="81"/>
      <c r="E828" s="80"/>
      <c r="F828" s="91"/>
      <c r="G828" s="80"/>
      <c r="H828" s="80"/>
      <c r="I828" s="80"/>
      <c r="J828" s="80"/>
    </row>
    <row r="829" ht="22.5" customHeight="1">
      <c r="A829" s="81"/>
      <c r="B829" s="81"/>
      <c r="C829" s="81"/>
      <c r="D829" s="81"/>
      <c r="E829" s="80"/>
      <c r="F829" s="91"/>
      <c r="G829" s="80"/>
      <c r="H829" s="80"/>
      <c r="I829" s="80"/>
      <c r="J829" s="80"/>
    </row>
    <row r="830" ht="22.5" customHeight="1">
      <c r="A830" s="81"/>
      <c r="B830" s="81"/>
      <c r="C830" s="81"/>
      <c r="D830" s="81"/>
      <c r="E830" s="80"/>
      <c r="F830" s="91"/>
      <c r="G830" s="80"/>
      <c r="H830" s="80"/>
      <c r="I830" s="80"/>
      <c r="J830" s="80"/>
    </row>
    <row r="831" ht="22.5" customHeight="1">
      <c r="A831" s="81"/>
      <c r="B831" s="81"/>
      <c r="C831" s="81"/>
      <c r="D831" s="81"/>
      <c r="E831" s="80"/>
      <c r="F831" s="91"/>
      <c r="G831" s="80"/>
      <c r="H831" s="80"/>
      <c r="I831" s="80"/>
      <c r="J831" s="80"/>
    </row>
    <row r="832" ht="22.5" customHeight="1">
      <c r="A832" s="81"/>
      <c r="B832" s="81"/>
      <c r="C832" s="81"/>
      <c r="D832" s="81"/>
      <c r="E832" s="80"/>
      <c r="F832" s="91"/>
      <c r="G832" s="80"/>
      <c r="H832" s="80"/>
      <c r="I832" s="80"/>
      <c r="J832" s="80"/>
    </row>
    <row r="833" ht="22.5" customHeight="1">
      <c r="A833" s="81"/>
      <c r="B833" s="81"/>
      <c r="C833" s="81"/>
      <c r="D833" s="81"/>
      <c r="E833" s="80"/>
      <c r="F833" s="91"/>
      <c r="G833" s="80"/>
      <c r="H833" s="80"/>
      <c r="I833" s="80"/>
      <c r="J833" s="80"/>
    </row>
    <row r="834" ht="22.5" customHeight="1">
      <c r="A834" s="81"/>
      <c r="B834" s="81"/>
      <c r="C834" s="81"/>
      <c r="D834" s="81"/>
      <c r="E834" s="80"/>
      <c r="F834" s="91"/>
      <c r="G834" s="80"/>
      <c r="H834" s="80"/>
      <c r="I834" s="80"/>
      <c r="J834" s="80"/>
    </row>
    <row r="835" ht="22.5" customHeight="1">
      <c r="A835" s="81"/>
      <c r="B835" s="81"/>
      <c r="C835" s="81"/>
      <c r="D835" s="81"/>
      <c r="E835" s="80"/>
      <c r="F835" s="91"/>
      <c r="G835" s="80"/>
      <c r="H835" s="80"/>
      <c r="I835" s="80"/>
      <c r="J835" s="80"/>
    </row>
    <row r="836" ht="22.5" customHeight="1">
      <c r="A836" s="81"/>
      <c r="B836" s="81"/>
      <c r="C836" s="81"/>
      <c r="D836" s="81"/>
      <c r="E836" s="80"/>
      <c r="F836" s="91"/>
      <c r="G836" s="80"/>
      <c r="H836" s="80"/>
      <c r="I836" s="80"/>
      <c r="J836" s="80"/>
    </row>
    <row r="837" ht="22.5" customHeight="1">
      <c r="A837" s="81"/>
      <c r="B837" s="81"/>
      <c r="C837" s="81"/>
      <c r="D837" s="81"/>
      <c r="E837" s="80"/>
      <c r="F837" s="91"/>
      <c r="G837" s="80"/>
      <c r="H837" s="80"/>
      <c r="I837" s="80"/>
      <c r="J837" s="80"/>
    </row>
    <row r="838" ht="22.5" customHeight="1">
      <c r="A838" s="81"/>
      <c r="B838" s="81"/>
      <c r="C838" s="81"/>
      <c r="D838" s="81"/>
      <c r="E838" s="80"/>
      <c r="F838" s="91"/>
      <c r="G838" s="80"/>
      <c r="H838" s="80"/>
      <c r="I838" s="80"/>
      <c r="J838" s="80"/>
    </row>
    <row r="839" ht="22.5" customHeight="1">
      <c r="A839" s="81"/>
      <c r="B839" s="81"/>
      <c r="C839" s="81"/>
      <c r="D839" s="81"/>
      <c r="E839" s="80"/>
      <c r="F839" s="91"/>
      <c r="G839" s="80"/>
      <c r="H839" s="80"/>
      <c r="I839" s="80"/>
      <c r="J839" s="80"/>
    </row>
    <row r="840" ht="22.5" customHeight="1">
      <c r="A840" s="81"/>
      <c r="B840" s="81"/>
      <c r="C840" s="81"/>
      <c r="D840" s="81"/>
      <c r="E840" s="80"/>
      <c r="F840" s="91"/>
      <c r="G840" s="80"/>
      <c r="H840" s="80"/>
      <c r="I840" s="80"/>
      <c r="J840" s="80"/>
    </row>
    <row r="841" ht="22.5" customHeight="1">
      <c r="A841" s="81"/>
      <c r="B841" s="81"/>
      <c r="C841" s="81"/>
      <c r="D841" s="81"/>
      <c r="E841" s="80"/>
      <c r="F841" s="91"/>
      <c r="G841" s="80"/>
      <c r="H841" s="80"/>
      <c r="I841" s="80"/>
      <c r="J841" s="80"/>
    </row>
    <row r="842" ht="22.5" customHeight="1">
      <c r="A842" s="81"/>
      <c r="B842" s="81"/>
      <c r="C842" s="81"/>
      <c r="D842" s="81"/>
      <c r="E842" s="80"/>
      <c r="F842" s="91"/>
      <c r="G842" s="80"/>
      <c r="H842" s="80"/>
      <c r="I842" s="80"/>
      <c r="J842" s="80"/>
    </row>
    <row r="843" ht="22.5" customHeight="1">
      <c r="A843" s="81"/>
      <c r="B843" s="81"/>
      <c r="C843" s="81"/>
      <c r="D843" s="81"/>
      <c r="E843" s="80"/>
      <c r="F843" s="91"/>
      <c r="G843" s="80"/>
      <c r="H843" s="80"/>
      <c r="I843" s="80"/>
      <c r="J843" s="80"/>
    </row>
    <row r="844" ht="22.5" customHeight="1">
      <c r="A844" s="81"/>
      <c r="B844" s="81"/>
      <c r="C844" s="81"/>
      <c r="D844" s="81"/>
      <c r="E844" s="80"/>
      <c r="F844" s="91"/>
      <c r="G844" s="80"/>
      <c r="H844" s="80"/>
      <c r="I844" s="80"/>
      <c r="J844" s="80"/>
    </row>
    <row r="845" ht="22.5" customHeight="1">
      <c r="A845" s="81"/>
      <c r="B845" s="81"/>
      <c r="C845" s="81"/>
      <c r="D845" s="81"/>
      <c r="E845" s="80"/>
      <c r="F845" s="91"/>
      <c r="G845" s="80"/>
      <c r="H845" s="80"/>
      <c r="I845" s="80"/>
      <c r="J845" s="80"/>
    </row>
    <row r="846" ht="22.5" customHeight="1">
      <c r="A846" s="81"/>
      <c r="B846" s="81"/>
      <c r="C846" s="81"/>
      <c r="D846" s="81"/>
      <c r="E846" s="80"/>
      <c r="F846" s="91"/>
      <c r="G846" s="80"/>
      <c r="H846" s="80"/>
      <c r="I846" s="80"/>
      <c r="J846" s="80"/>
    </row>
    <row r="847" ht="22.5" customHeight="1">
      <c r="A847" s="81"/>
      <c r="B847" s="81"/>
      <c r="C847" s="81"/>
      <c r="D847" s="81"/>
      <c r="E847" s="80"/>
      <c r="F847" s="91"/>
      <c r="G847" s="80"/>
      <c r="H847" s="80"/>
      <c r="I847" s="80"/>
      <c r="J847" s="80"/>
    </row>
    <row r="848" ht="22.5" customHeight="1">
      <c r="A848" s="81"/>
      <c r="B848" s="81"/>
      <c r="C848" s="81"/>
      <c r="D848" s="81"/>
      <c r="E848" s="80"/>
      <c r="F848" s="91"/>
      <c r="G848" s="80"/>
      <c r="H848" s="80"/>
      <c r="I848" s="80"/>
      <c r="J848" s="80"/>
    </row>
    <row r="849" ht="22.5" customHeight="1">
      <c r="A849" s="81"/>
      <c r="B849" s="81"/>
      <c r="C849" s="81"/>
      <c r="D849" s="81"/>
      <c r="E849" s="80"/>
      <c r="F849" s="91"/>
      <c r="G849" s="80"/>
      <c r="H849" s="80"/>
      <c r="I849" s="80"/>
      <c r="J849" s="80"/>
    </row>
    <row r="850" ht="22.5" customHeight="1">
      <c r="A850" s="81"/>
      <c r="B850" s="81"/>
      <c r="C850" s="81"/>
      <c r="D850" s="81"/>
      <c r="E850" s="80"/>
      <c r="F850" s="91"/>
      <c r="G850" s="80"/>
      <c r="H850" s="80"/>
      <c r="I850" s="80"/>
      <c r="J850" s="80"/>
    </row>
    <row r="851" ht="22.5" customHeight="1">
      <c r="A851" s="81"/>
      <c r="B851" s="81"/>
      <c r="C851" s="81"/>
      <c r="D851" s="81"/>
      <c r="E851" s="80"/>
      <c r="F851" s="91"/>
      <c r="G851" s="80"/>
      <c r="H851" s="80"/>
      <c r="I851" s="80"/>
      <c r="J851" s="80"/>
    </row>
    <row r="852" ht="22.5" customHeight="1">
      <c r="A852" s="81"/>
      <c r="B852" s="81"/>
      <c r="C852" s="81"/>
      <c r="D852" s="81"/>
      <c r="E852" s="80"/>
      <c r="F852" s="91"/>
      <c r="G852" s="80"/>
      <c r="H852" s="80"/>
      <c r="I852" s="80"/>
      <c r="J852" s="80"/>
    </row>
    <row r="853" ht="22.5" customHeight="1">
      <c r="A853" s="81"/>
      <c r="B853" s="81"/>
      <c r="C853" s="81"/>
      <c r="D853" s="81"/>
      <c r="E853" s="80"/>
      <c r="F853" s="91"/>
      <c r="G853" s="80"/>
      <c r="H853" s="80"/>
      <c r="I853" s="80"/>
      <c r="J853" s="80"/>
    </row>
    <row r="854" ht="22.5" customHeight="1">
      <c r="A854" s="81"/>
      <c r="B854" s="81"/>
      <c r="C854" s="81"/>
      <c r="D854" s="81"/>
      <c r="E854" s="80"/>
      <c r="F854" s="91"/>
      <c r="G854" s="80"/>
      <c r="H854" s="80"/>
      <c r="I854" s="80"/>
      <c r="J854" s="80"/>
    </row>
    <row r="855" ht="22.5" customHeight="1">
      <c r="A855" s="81"/>
      <c r="B855" s="81"/>
      <c r="C855" s="81"/>
      <c r="D855" s="81"/>
      <c r="E855" s="80"/>
      <c r="F855" s="91"/>
      <c r="G855" s="80"/>
      <c r="H855" s="80"/>
      <c r="I855" s="80"/>
      <c r="J855" s="80"/>
    </row>
    <row r="856" ht="22.5" customHeight="1">
      <c r="A856" s="81"/>
      <c r="B856" s="81"/>
      <c r="C856" s="81"/>
      <c r="D856" s="81"/>
      <c r="E856" s="80"/>
      <c r="F856" s="91"/>
      <c r="G856" s="80"/>
      <c r="H856" s="80"/>
      <c r="I856" s="80"/>
      <c r="J856" s="80"/>
    </row>
    <row r="857" ht="22.5" customHeight="1">
      <c r="A857" s="81"/>
      <c r="B857" s="81"/>
      <c r="C857" s="81"/>
      <c r="D857" s="81"/>
      <c r="E857" s="80"/>
      <c r="F857" s="91"/>
      <c r="G857" s="80"/>
      <c r="H857" s="80"/>
      <c r="I857" s="80"/>
      <c r="J857" s="80"/>
    </row>
    <row r="858" ht="22.5" customHeight="1">
      <c r="A858" s="81"/>
      <c r="B858" s="81"/>
      <c r="C858" s="81"/>
      <c r="D858" s="81"/>
      <c r="E858" s="80"/>
      <c r="F858" s="91"/>
      <c r="G858" s="80"/>
      <c r="H858" s="80"/>
      <c r="I858" s="80"/>
      <c r="J858" s="80"/>
    </row>
    <row r="859" ht="22.5" customHeight="1">
      <c r="A859" s="81"/>
      <c r="B859" s="81"/>
      <c r="C859" s="81"/>
      <c r="D859" s="81"/>
      <c r="E859" s="80"/>
      <c r="F859" s="91"/>
      <c r="G859" s="80"/>
      <c r="H859" s="80"/>
      <c r="I859" s="80"/>
      <c r="J859" s="80"/>
    </row>
    <row r="860" ht="22.5" customHeight="1">
      <c r="A860" s="81"/>
      <c r="B860" s="81"/>
      <c r="C860" s="81"/>
      <c r="D860" s="81"/>
      <c r="E860" s="80"/>
      <c r="F860" s="91"/>
      <c r="G860" s="80"/>
      <c r="H860" s="80"/>
      <c r="I860" s="80"/>
      <c r="J860" s="80"/>
    </row>
    <row r="861" ht="22.5" customHeight="1">
      <c r="A861" s="81"/>
      <c r="B861" s="81"/>
      <c r="C861" s="81"/>
      <c r="D861" s="81"/>
      <c r="E861" s="80"/>
      <c r="F861" s="91"/>
      <c r="G861" s="80"/>
      <c r="H861" s="80"/>
      <c r="I861" s="80"/>
      <c r="J861" s="80"/>
    </row>
    <row r="862" ht="22.5" customHeight="1">
      <c r="A862" s="81"/>
      <c r="B862" s="81"/>
      <c r="C862" s="81"/>
      <c r="D862" s="81"/>
      <c r="E862" s="80"/>
      <c r="F862" s="91"/>
      <c r="G862" s="80"/>
      <c r="H862" s="80"/>
      <c r="I862" s="80"/>
      <c r="J862" s="80"/>
    </row>
    <row r="863" ht="22.5" customHeight="1">
      <c r="A863" s="81"/>
      <c r="B863" s="81"/>
      <c r="C863" s="81"/>
      <c r="D863" s="81"/>
      <c r="E863" s="80"/>
      <c r="F863" s="91"/>
      <c r="G863" s="80"/>
      <c r="H863" s="80"/>
      <c r="I863" s="80"/>
      <c r="J863" s="80"/>
    </row>
    <row r="864" ht="22.5" customHeight="1">
      <c r="A864" s="81"/>
      <c r="B864" s="81"/>
      <c r="C864" s="81"/>
      <c r="D864" s="81"/>
      <c r="E864" s="80"/>
      <c r="F864" s="91"/>
      <c r="G864" s="80"/>
      <c r="H864" s="80"/>
      <c r="I864" s="80"/>
      <c r="J864" s="80"/>
    </row>
    <row r="865" ht="22.5" customHeight="1">
      <c r="A865" s="81"/>
      <c r="B865" s="81"/>
      <c r="C865" s="81"/>
      <c r="D865" s="81"/>
      <c r="E865" s="80"/>
      <c r="F865" s="91"/>
      <c r="G865" s="80"/>
      <c r="H865" s="80"/>
      <c r="I865" s="80"/>
      <c r="J865" s="80"/>
    </row>
    <row r="866" ht="22.5" customHeight="1">
      <c r="A866" s="81"/>
      <c r="B866" s="81"/>
      <c r="C866" s="81"/>
      <c r="D866" s="81"/>
      <c r="E866" s="80"/>
      <c r="F866" s="91"/>
      <c r="G866" s="80"/>
      <c r="H866" s="80"/>
      <c r="I866" s="80"/>
      <c r="J866" s="80"/>
    </row>
    <row r="867" ht="22.5" customHeight="1">
      <c r="A867" s="81"/>
      <c r="B867" s="81"/>
      <c r="C867" s="81"/>
      <c r="D867" s="81"/>
      <c r="E867" s="80"/>
      <c r="F867" s="91"/>
      <c r="G867" s="80"/>
      <c r="H867" s="80"/>
      <c r="I867" s="80"/>
      <c r="J867" s="80"/>
    </row>
    <row r="868" ht="22.5" customHeight="1">
      <c r="A868" s="81"/>
      <c r="B868" s="81"/>
      <c r="C868" s="81"/>
      <c r="D868" s="81"/>
      <c r="E868" s="80"/>
      <c r="F868" s="91"/>
      <c r="G868" s="80"/>
      <c r="H868" s="80"/>
      <c r="I868" s="80"/>
      <c r="J868" s="80"/>
    </row>
    <row r="869" ht="22.5" customHeight="1">
      <c r="A869" s="81"/>
      <c r="B869" s="81"/>
      <c r="C869" s="81"/>
      <c r="D869" s="81"/>
      <c r="E869" s="80"/>
      <c r="F869" s="91"/>
      <c r="G869" s="80"/>
      <c r="H869" s="80"/>
      <c r="I869" s="80"/>
      <c r="J869" s="80"/>
    </row>
    <row r="870" ht="22.5" customHeight="1">
      <c r="A870" s="81"/>
      <c r="B870" s="81"/>
      <c r="C870" s="81"/>
      <c r="D870" s="81"/>
      <c r="E870" s="80"/>
      <c r="F870" s="91"/>
      <c r="G870" s="80"/>
      <c r="H870" s="80"/>
      <c r="I870" s="80"/>
      <c r="J870" s="80"/>
    </row>
    <row r="871" ht="22.5" customHeight="1">
      <c r="A871" s="81"/>
      <c r="B871" s="81"/>
      <c r="C871" s="81"/>
      <c r="D871" s="81"/>
      <c r="E871" s="80"/>
      <c r="F871" s="91"/>
      <c r="G871" s="80"/>
      <c r="H871" s="80"/>
      <c r="I871" s="80"/>
      <c r="J871" s="80"/>
    </row>
    <row r="872" ht="22.5" customHeight="1">
      <c r="A872" s="81"/>
      <c r="B872" s="81"/>
      <c r="C872" s="81"/>
      <c r="D872" s="81"/>
      <c r="E872" s="80"/>
      <c r="F872" s="91"/>
      <c r="G872" s="80"/>
      <c r="H872" s="80"/>
      <c r="I872" s="80"/>
      <c r="J872" s="80"/>
    </row>
    <row r="873" ht="22.5" customHeight="1">
      <c r="A873" s="81"/>
      <c r="B873" s="81"/>
      <c r="C873" s="81"/>
      <c r="D873" s="81"/>
      <c r="E873" s="80"/>
      <c r="F873" s="91"/>
      <c r="G873" s="80"/>
      <c r="H873" s="80"/>
      <c r="I873" s="80"/>
      <c r="J873" s="80"/>
    </row>
    <row r="874" ht="22.5" customHeight="1">
      <c r="A874" s="81"/>
      <c r="B874" s="81"/>
      <c r="C874" s="81"/>
      <c r="D874" s="81"/>
      <c r="E874" s="80"/>
      <c r="F874" s="91"/>
      <c r="G874" s="80"/>
      <c r="H874" s="80"/>
      <c r="I874" s="80"/>
      <c r="J874" s="80"/>
    </row>
    <row r="875" ht="22.5" customHeight="1">
      <c r="A875" s="81"/>
      <c r="B875" s="81"/>
      <c r="C875" s="81"/>
      <c r="D875" s="81"/>
      <c r="E875" s="80"/>
      <c r="F875" s="91"/>
      <c r="G875" s="80"/>
      <c r="H875" s="80"/>
      <c r="I875" s="80"/>
      <c r="J875" s="80"/>
    </row>
    <row r="876" ht="22.5" customHeight="1">
      <c r="A876" s="81"/>
      <c r="B876" s="81"/>
      <c r="C876" s="81"/>
      <c r="D876" s="81"/>
      <c r="E876" s="80"/>
      <c r="F876" s="91"/>
      <c r="G876" s="80"/>
      <c r="H876" s="80"/>
      <c r="I876" s="80"/>
      <c r="J876" s="80"/>
    </row>
    <row r="877" ht="22.5" customHeight="1">
      <c r="A877" s="81"/>
      <c r="B877" s="81"/>
      <c r="C877" s="81"/>
      <c r="D877" s="81"/>
      <c r="E877" s="80"/>
      <c r="F877" s="91"/>
      <c r="G877" s="80"/>
      <c r="H877" s="80"/>
      <c r="I877" s="80"/>
      <c r="J877" s="80"/>
    </row>
    <row r="878" ht="22.5" customHeight="1">
      <c r="A878" s="81"/>
      <c r="B878" s="81"/>
      <c r="C878" s="81"/>
      <c r="D878" s="81"/>
      <c r="E878" s="80"/>
      <c r="F878" s="91"/>
      <c r="G878" s="80"/>
      <c r="H878" s="80"/>
      <c r="I878" s="80"/>
      <c r="J878" s="80"/>
    </row>
    <row r="879" ht="22.5" customHeight="1">
      <c r="A879" s="81"/>
      <c r="B879" s="81"/>
      <c r="C879" s="81"/>
      <c r="D879" s="81"/>
      <c r="E879" s="80"/>
      <c r="F879" s="91"/>
      <c r="G879" s="80"/>
      <c r="H879" s="80"/>
      <c r="I879" s="80"/>
      <c r="J879" s="80"/>
    </row>
    <row r="880" ht="22.5" customHeight="1">
      <c r="A880" s="81"/>
      <c r="B880" s="81"/>
      <c r="C880" s="81"/>
      <c r="D880" s="81"/>
      <c r="E880" s="80"/>
      <c r="F880" s="91"/>
      <c r="G880" s="80"/>
      <c r="H880" s="80"/>
      <c r="I880" s="80"/>
      <c r="J880" s="80"/>
    </row>
    <row r="881" ht="22.5" customHeight="1">
      <c r="A881" s="81"/>
      <c r="B881" s="81"/>
      <c r="C881" s="81"/>
      <c r="D881" s="81"/>
      <c r="E881" s="80"/>
      <c r="F881" s="91"/>
      <c r="G881" s="80"/>
      <c r="H881" s="80"/>
      <c r="I881" s="80"/>
      <c r="J881" s="80"/>
    </row>
    <row r="882" ht="22.5" customHeight="1">
      <c r="A882" s="81"/>
      <c r="B882" s="81"/>
      <c r="C882" s="81"/>
      <c r="D882" s="81"/>
      <c r="E882" s="80"/>
      <c r="F882" s="91"/>
      <c r="G882" s="80"/>
      <c r="H882" s="80"/>
      <c r="I882" s="80"/>
      <c r="J882" s="80"/>
    </row>
    <row r="883" ht="22.5" customHeight="1">
      <c r="A883" s="81"/>
      <c r="B883" s="81"/>
      <c r="C883" s="81"/>
      <c r="D883" s="81"/>
      <c r="E883" s="80"/>
      <c r="F883" s="91"/>
      <c r="G883" s="80"/>
      <c r="H883" s="80"/>
      <c r="I883" s="80"/>
      <c r="J883" s="80"/>
    </row>
    <row r="884" ht="22.5" customHeight="1">
      <c r="A884" s="81"/>
      <c r="B884" s="81"/>
      <c r="C884" s="81"/>
      <c r="D884" s="81"/>
      <c r="E884" s="80"/>
      <c r="F884" s="91"/>
      <c r="G884" s="80"/>
      <c r="H884" s="80"/>
      <c r="I884" s="80"/>
      <c r="J884" s="80"/>
    </row>
    <row r="885" ht="22.5" customHeight="1">
      <c r="A885" s="81"/>
      <c r="B885" s="81"/>
      <c r="C885" s="81"/>
      <c r="D885" s="81"/>
      <c r="E885" s="80"/>
      <c r="F885" s="91"/>
      <c r="G885" s="80"/>
      <c r="H885" s="80"/>
      <c r="I885" s="80"/>
      <c r="J885" s="80"/>
    </row>
    <row r="886" ht="22.5" customHeight="1">
      <c r="A886" s="81"/>
      <c r="B886" s="81"/>
      <c r="C886" s="81"/>
      <c r="D886" s="81"/>
      <c r="E886" s="80"/>
      <c r="F886" s="91"/>
      <c r="G886" s="80"/>
      <c r="H886" s="80"/>
      <c r="I886" s="80"/>
      <c r="J886" s="80"/>
    </row>
    <row r="887" ht="22.5" customHeight="1">
      <c r="A887" s="81"/>
      <c r="B887" s="81"/>
      <c r="C887" s="81"/>
      <c r="D887" s="81"/>
      <c r="E887" s="80"/>
      <c r="F887" s="91"/>
      <c r="G887" s="80"/>
      <c r="H887" s="80"/>
      <c r="I887" s="80"/>
      <c r="J887" s="80"/>
    </row>
    <row r="888" ht="22.5" customHeight="1">
      <c r="A888" s="81"/>
      <c r="B888" s="81"/>
      <c r="C888" s="81"/>
      <c r="D888" s="81"/>
      <c r="E888" s="80"/>
      <c r="F888" s="91"/>
      <c r="G888" s="80"/>
      <c r="H888" s="80"/>
      <c r="I888" s="80"/>
      <c r="J888" s="80"/>
    </row>
    <row r="889" ht="22.5" customHeight="1">
      <c r="A889" s="81"/>
      <c r="B889" s="81"/>
      <c r="C889" s="81"/>
      <c r="D889" s="81"/>
      <c r="E889" s="80"/>
      <c r="F889" s="91"/>
      <c r="G889" s="80"/>
      <c r="H889" s="80"/>
      <c r="I889" s="80"/>
      <c r="J889" s="80"/>
    </row>
    <row r="890" ht="22.5" customHeight="1">
      <c r="A890" s="81"/>
      <c r="B890" s="81"/>
      <c r="C890" s="81"/>
      <c r="D890" s="81"/>
      <c r="E890" s="80"/>
      <c r="F890" s="91"/>
      <c r="G890" s="80"/>
      <c r="H890" s="80"/>
      <c r="I890" s="80"/>
      <c r="J890" s="80"/>
    </row>
    <row r="891" ht="22.5" customHeight="1">
      <c r="A891" s="81"/>
      <c r="B891" s="81"/>
      <c r="C891" s="81"/>
      <c r="D891" s="81"/>
      <c r="E891" s="80"/>
      <c r="F891" s="91"/>
      <c r="G891" s="80"/>
      <c r="H891" s="80"/>
      <c r="I891" s="80"/>
      <c r="J891" s="80"/>
    </row>
    <row r="892" ht="22.5" customHeight="1">
      <c r="A892" s="81"/>
      <c r="B892" s="81"/>
      <c r="C892" s="81"/>
      <c r="D892" s="81"/>
      <c r="E892" s="80"/>
      <c r="F892" s="91"/>
      <c r="G892" s="80"/>
      <c r="H892" s="80"/>
      <c r="I892" s="80"/>
      <c r="J892" s="80"/>
    </row>
    <row r="893" ht="22.5" customHeight="1">
      <c r="A893" s="81"/>
      <c r="B893" s="81"/>
      <c r="C893" s="81"/>
      <c r="D893" s="81"/>
      <c r="E893" s="80"/>
      <c r="F893" s="91"/>
      <c r="G893" s="80"/>
      <c r="H893" s="80"/>
      <c r="I893" s="80"/>
      <c r="J893" s="80"/>
    </row>
    <row r="894" ht="22.5" customHeight="1">
      <c r="A894" s="81"/>
      <c r="B894" s="81"/>
      <c r="C894" s="81"/>
      <c r="D894" s="81"/>
      <c r="E894" s="80"/>
      <c r="F894" s="91"/>
      <c r="G894" s="80"/>
      <c r="H894" s="80"/>
      <c r="I894" s="80"/>
      <c r="J894" s="80"/>
    </row>
    <row r="895" ht="22.5" customHeight="1">
      <c r="A895" s="81"/>
      <c r="B895" s="81"/>
      <c r="C895" s="81"/>
      <c r="D895" s="81"/>
      <c r="E895" s="80"/>
      <c r="F895" s="91"/>
      <c r="G895" s="80"/>
      <c r="H895" s="80"/>
      <c r="I895" s="80"/>
      <c r="J895" s="80"/>
    </row>
    <row r="896" ht="22.5" customHeight="1">
      <c r="A896" s="81"/>
      <c r="B896" s="81"/>
      <c r="C896" s="81"/>
      <c r="D896" s="81"/>
      <c r="E896" s="80"/>
      <c r="F896" s="91"/>
      <c r="G896" s="80"/>
      <c r="H896" s="80"/>
      <c r="I896" s="80"/>
      <c r="J896" s="80"/>
    </row>
    <row r="897" ht="22.5" customHeight="1">
      <c r="A897" s="81"/>
      <c r="B897" s="81"/>
      <c r="C897" s="81"/>
      <c r="D897" s="81"/>
      <c r="E897" s="80"/>
      <c r="F897" s="91"/>
      <c r="G897" s="80"/>
      <c r="H897" s="80"/>
      <c r="I897" s="80"/>
      <c r="J897" s="80"/>
    </row>
    <row r="898" ht="22.5" customHeight="1">
      <c r="A898" s="81"/>
      <c r="B898" s="81"/>
      <c r="C898" s="81"/>
      <c r="D898" s="81"/>
      <c r="E898" s="80"/>
      <c r="F898" s="91"/>
      <c r="G898" s="80"/>
      <c r="H898" s="80"/>
      <c r="I898" s="80"/>
      <c r="J898" s="80"/>
    </row>
    <row r="899" ht="22.5" customHeight="1">
      <c r="A899" s="81"/>
      <c r="B899" s="81"/>
      <c r="C899" s="81"/>
      <c r="D899" s="81"/>
      <c r="E899" s="80"/>
      <c r="F899" s="91"/>
      <c r="G899" s="80"/>
      <c r="H899" s="80"/>
      <c r="I899" s="80"/>
      <c r="J899" s="80"/>
    </row>
    <row r="900" ht="22.5" customHeight="1">
      <c r="A900" s="81"/>
      <c r="B900" s="81"/>
      <c r="C900" s="81"/>
      <c r="D900" s="81"/>
      <c r="E900" s="80"/>
      <c r="F900" s="91"/>
      <c r="G900" s="80"/>
      <c r="H900" s="80"/>
      <c r="I900" s="80"/>
      <c r="J900" s="80"/>
    </row>
    <row r="901" ht="22.5" customHeight="1">
      <c r="A901" s="81"/>
      <c r="B901" s="81"/>
      <c r="C901" s="81"/>
      <c r="D901" s="81"/>
      <c r="E901" s="80"/>
      <c r="F901" s="91"/>
      <c r="G901" s="80"/>
      <c r="H901" s="80"/>
      <c r="I901" s="80"/>
      <c r="J901" s="80"/>
    </row>
    <row r="902" ht="22.5" customHeight="1">
      <c r="A902" s="81"/>
      <c r="B902" s="81"/>
      <c r="C902" s="81"/>
      <c r="D902" s="81"/>
      <c r="E902" s="80"/>
      <c r="F902" s="91"/>
      <c r="G902" s="80"/>
      <c r="H902" s="80"/>
      <c r="I902" s="80"/>
      <c r="J902" s="80"/>
    </row>
    <row r="903" ht="22.5" customHeight="1">
      <c r="A903" s="81"/>
      <c r="B903" s="81"/>
      <c r="C903" s="81"/>
      <c r="D903" s="81"/>
      <c r="E903" s="80"/>
      <c r="F903" s="91"/>
      <c r="G903" s="80"/>
      <c r="H903" s="80"/>
      <c r="I903" s="80"/>
      <c r="J903" s="80"/>
    </row>
    <row r="904" ht="22.5" customHeight="1">
      <c r="A904" s="81"/>
      <c r="B904" s="81"/>
      <c r="C904" s="81"/>
      <c r="D904" s="81"/>
      <c r="E904" s="80"/>
      <c r="F904" s="91"/>
      <c r="G904" s="80"/>
      <c r="H904" s="80"/>
      <c r="I904" s="80"/>
      <c r="J904" s="80"/>
    </row>
    <row r="905" ht="22.5" customHeight="1">
      <c r="A905" s="81"/>
      <c r="B905" s="81"/>
      <c r="C905" s="81"/>
      <c r="D905" s="81"/>
      <c r="E905" s="80"/>
      <c r="F905" s="91"/>
      <c r="G905" s="80"/>
      <c r="H905" s="80"/>
      <c r="I905" s="80"/>
      <c r="J905" s="80"/>
    </row>
    <row r="906" ht="22.5" customHeight="1">
      <c r="A906" s="81"/>
      <c r="B906" s="81"/>
      <c r="C906" s="81"/>
      <c r="D906" s="81"/>
      <c r="E906" s="80"/>
      <c r="F906" s="91"/>
      <c r="G906" s="80"/>
      <c r="H906" s="80"/>
      <c r="I906" s="80"/>
      <c r="J906" s="80"/>
    </row>
    <row r="907" ht="22.5" customHeight="1">
      <c r="A907" s="81"/>
      <c r="B907" s="81"/>
      <c r="C907" s="81"/>
      <c r="D907" s="81"/>
      <c r="E907" s="80"/>
      <c r="F907" s="91"/>
      <c r="G907" s="80"/>
      <c r="H907" s="80"/>
      <c r="I907" s="80"/>
      <c r="J907" s="80"/>
    </row>
    <row r="908" ht="22.5" customHeight="1">
      <c r="A908" s="81"/>
      <c r="B908" s="81"/>
      <c r="C908" s="81"/>
      <c r="D908" s="81"/>
      <c r="E908" s="80"/>
      <c r="F908" s="91"/>
      <c r="G908" s="80"/>
      <c r="H908" s="80"/>
      <c r="I908" s="80"/>
      <c r="J908" s="80"/>
    </row>
    <row r="909" ht="22.5" customHeight="1">
      <c r="A909" s="81"/>
      <c r="B909" s="81"/>
      <c r="C909" s="81"/>
      <c r="D909" s="81"/>
      <c r="E909" s="80"/>
      <c r="F909" s="91"/>
      <c r="G909" s="80"/>
      <c r="H909" s="80"/>
      <c r="I909" s="80"/>
      <c r="J909" s="80"/>
    </row>
    <row r="910" ht="22.5" customHeight="1">
      <c r="A910" s="81"/>
      <c r="B910" s="81"/>
      <c r="C910" s="81"/>
      <c r="D910" s="81"/>
      <c r="E910" s="80"/>
      <c r="F910" s="91"/>
      <c r="G910" s="80"/>
      <c r="H910" s="80"/>
      <c r="I910" s="80"/>
      <c r="J910" s="80"/>
    </row>
    <row r="911" ht="22.5" customHeight="1">
      <c r="A911" s="81"/>
      <c r="B911" s="81"/>
      <c r="C911" s="81"/>
      <c r="D911" s="81"/>
      <c r="E911" s="80"/>
      <c r="F911" s="91"/>
      <c r="G911" s="80"/>
      <c r="H911" s="80"/>
      <c r="I911" s="80"/>
      <c r="J911" s="80"/>
    </row>
    <row r="912" ht="22.5" customHeight="1">
      <c r="A912" s="81"/>
      <c r="B912" s="81"/>
      <c r="C912" s="81"/>
      <c r="D912" s="81"/>
      <c r="E912" s="80"/>
      <c r="F912" s="91"/>
      <c r="G912" s="80"/>
      <c r="H912" s="80"/>
      <c r="I912" s="80"/>
      <c r="J912" s="80"/>
    </row>
    <row r="913" ht="22.5" customHeight="1">
      <c r="A913" s="81"/>
      <c r="B913" s="81"/>
      <c r="C913" s="81"/>
      <c r="D913" s="81"/>
      <c r="E913" s="80"/>
      <c r="F913" s="91"/>
      <c r="G913" s="80"/>
      <c r="H913" s="80"/>
      <c r="I913" s="80"/>
      <c r="J913" s="80"/>
    </row>
    <row r="914" ht="22.5" customHeight="1">
      <c r="A914" s="81"/>
      <c r="B914" s="81"/>
      <c r="C914" s="81"/>
      <c r="D914" s="81"/>
      <c r="E914" s="80"/>
      <c r="F914" s="91"/>
      <c r="G914" s="80"/>
      <c r="H914" s="80"/>
      <c r="I914" s="80"/>
      <c r="J914" s="80"/>
    </row>
    <row r="915" ht="22.5" customHeight="1">
      <c r="A915" s="81"/>
      <c r="B915" s="81"/>
      <c r="C915" s="81"/>
      <c r="D915" s="81"/>
      <c r="E915" s="80"/>
      <c r="F915" s="91"/>
      <c r="G915" s="80"/>
      <c r="H915" s="80"/>
      <c r="I915" s="80"/>
      <c r="J915" s="80"/>
    </row>
    <row r="916" ht="22.5" customHeight="1">
      <c r="A916" s="81"/>
      <c r="B916" s="81"/>
      <c r="C916" s="81"/>
      <c r="D916" s="81"/>
      <c r="E916" s="80"/>
      <c r="F916" s="91"/>
      <c r="G916" s="80"/>
      <c r="H916" s="80"/>
      <c r="I916" s="80"/>
      <c r="J916" s="80"/>
    </row>
    <row r="917" ht="22.5" customHeight="1">
      <c r="A917" s="81"/>
      <c r="B917" s="81"/>
      <c r="C917" s="81"/>
      <c r="D917" s="81"/>
      <c r="E917" s="80"/>
      <c r="F917" s="91"/>
      <c r="G917" s="80"/>
      <c r="H917" s="80"/>
      <c r="I917" s="80"/>
      <c r="J917" s="80"/>
    </row>
    <row r="918" ht="22.5" customHeight="1">
      <c r="A918" s="81"/>
      <c r="B918" s="81"/>
      <c r="C918" s="81"/>
      <c r="D918" s="81"/>
      <c r="E918" s="80"/>
      <c r="F918" s="91"/>
      <c r="G918" s="80"/>
      <c r="H918" s="80"/>
      <c r="I918" s="80"/>
      <c r="J918" s="80"/>
    </row>
    <row r="919" ht="22.5" customHeight="1">
      <c r="A919" s="81"/>
      <c r="B919" s="81"/>
      <c r="C919" s="81"/>
      <c r="D919" s="81"/>
      <c r="E919" s="80"/>
      <c r="F919" s="91"/>
      <c r="G919" s="80"/>
      <c r="H919" s="80"/>
      <c r="I919" s="80"/>
      <c r="J919" s="80"/>
    </row>
    <row r="920" ht="22.5" customHeight="1">
      <c r="A920" s="81"/>
      <c r="B920" s="81"/>
      <c r="C920" s="81"/>
      <c r="D920" s="81"/>
      <c r="E920" s="80"/>
      <c r="F920" s="91"/>
      <c r="G920" s="80"/>
      <c r="H920" s="80"/>
      <c r="I920" s="80"/>
      <c r="J920" s="80"/>
    </row>
    <row r="921" ht="22.5" customHeight="1">
      <c r="A921" s="81"/>
      <c r="B921" s="81"/>
      <c r="C921" s="81"/>
      <c r="D921" s="81"/>
      <c r="E921" s="80"/>
      <c r="F921" s="91"/>
      <c r="G921" s="80"/>
      <c r="H921" s="80"/>
      <c r="I921" s="80"/>
      <c r="J921" s="80"/>
    </row>
    <row r="922" ht="22.5" customHeight="1">
      <c r="A922" s="81"/>
      <c r="B922" s="81"/>
      <c r="C922" s="81"/>
      <c r="D922" s="81"/>
      <c r="E922" s="80"/>
      <c r="F922" s="91"/>
      <c r="G922" s="80"/>
      <c r="H922" s="80"/>
      <c r="I922" s="80"/>
      <c r="J922" s="80"/>
    </row>
    <row r="923" ht="22.5" customHeight="1">
      <c r="A923" s="81"/>
      <c r="B923" s="81"/>
      <c r="C923" s="81"/>
      <c r="D923" s="81"/>
      <c r="E923" s="80"/>
      <c r="F923" s="91"/>
      <c r="G923" s="80"/>
      <c r="H923" s="80"/>
      <c r="I923" s="80"/>
      <c r="J923" s="80"/>
    </row>
    <row r="924" ht="22.5" customHeight="1">
      <c r="A924" s="81"/>
      <c r="B924" s="81"/>
      <c r="C924" s="81"/>
      <c r="D924" s="81"/>
      <c r="E924" s="80"/>
      <c r="F924" s="91"/>
      <c r="G924" s="80"/>
      <c r="H924" s="80"/>
      <c r="I924" s="80"/>
      <c r="J924" s="80"/>
    </row>
    <row r="925" ht="22.5" customHeight="1">
      <c r="A925" s="81"/>
      <c r="B925" s="81"/>
      <c r="C925" s="81"/>
      <c r="D925" s="81"/>
      <c r="E925" s="80"/>
      <c r="F925" s="91"/>
      <c r="G925" s="80"/>
      <c r="H925" s="80"/>
      <c r="I925" s="80"/>
      <c r="J925" s="80"/>
    </row>
    <row r="926" ht="22.5" customHeight="1">
      <c r="A926" s="81"/>
      <c r="B926" s="81"/>
      <c r="C926" s="81"/>
      <c r="D926" s="81"/>
      <c r="E926" s="80"/>
      <c r="F926" s="91"/>
      <c r="G926" s="80"/>
      <c r="H926" s="80"/>
      <c r="I926" s="80"/>
      <c r="J926" s="80"/>
    </row>
    <row r="927" ht="22.5" customHeight="1">
      <c r="A927" s="81"/>
      <c r="B927" s="81"/>
      <c r="C927" s="81"/>
      <c r="D927" s="81"/>
      <c r="E927" s="80"/>
      <c r="F927" s="91"/>
      <c r="G927" s="80"/>
      <c r="H927" s="80"/>
      <c r="I927" s="80"/>
      <c r="J927" s="80"/>
    </row>
    <row r="928" ht="22.5" customHeight="1">
      <c r="A928" s="81"/>
      <c r="B928" s="81"/>
      <c r="C928" s="81"/>
      <c r="D928" s="81"/>
      <c r="E928" s="80"/>
      <c r="F928" s="91"/>
      <c r="G928" s="80"/>
      <c r="H928" s="80"/>
      <c r="I928" s="80"/>
      <c r="J928" s="80"/>
    </row>
    <row r="929" ht="22.5" customHeight="1">
      <c r="A929" s="81"/>
      <c r="B929" s="81"/>
      <c r="C929" s="81"/>
      <c r="D929" s="81"/>
      <c r="E929" s="80"/>
      <c r="F929" s="91"/>
      <c r="G929" s="80"/>
      <c r="H929" s="80"/>
      <c r="I929" s="80"/>
      <c r="J929" s="80"/>
    </row>
    <row r="930" ht="22.5" customHeight="1">
      <c r="A930" s="81"/>
      <c r="B930" s="81"/>
      <c r="C930" s="81"/>
      <c r="D930" s="81"/>
      <c r="E930" s="80"/>
      <c r="F930" s="91"/>
      <c r="G930" s="80"/>
      <c r="H930" s="80"/>
      <c r="I930" s="80"/>
      <c r="J930" s="80"/>
    </row>
    <row r="931" ht="22.5" customHeight="1">
      <c r="A931" s="81"/>
      <c r="B931" s="81"/>
      <c r="C931" s="81"/>
      <c r="D931" s="81"/>
      <c r="E931" s="80"/>
      <c r="F931" s="91"/>
      <c r="G931" s="80"/>
      <c r="H931" s="80"/>
      <c r="I931" s="80"/>
      <c r="J931" s="80"/>
    </row>
    <row r="932" ht="22.5" customHeight="1">
      <c r="A932" s="81"/>
      <c r="B932" s="81"/>
      <c r="C932" s="81"/>
      <c r="D932" s="81"/>
      <c r="E932" s="80"/>
      <c r="F932" s="91"/>
      <c r="G932" s="80"/>
      <c r="H932" s="80"/>
      <c r="I932" s="80"/>
      <c r="J932" s="80"/>
    </row>
    <row r="933" ht="22.5" customHeight="1">
      <c r="A933" s="81"/>
      <c r="B933" s="81"/>
      <c r="C933" s="81"/>
      <c r="D933" s="81"/>
      <c r="E933" s="80"/>
      <c r="F933" s="91"/>
      <c r="G933" s="80"/>
      <c r="H933" s="80"/>
      <c r="I933" s="80"/>
      <c r="J933" s="80"/>
    </row>
    <row r="934" ht="22.5" customHeight="1">
      <c r="A934" s="81"/>
      <c r="B934" s="81"/>
      <c r="C934" s="81"/>
      <c r="D934" s="81"/>
      <c r="E934" s="80"/>
      <c r="F934" s="91"/>
      <c r="G934" s="80"/>
      <c r="H934" s="80"/>
      <c r="I934" s="80"/>
      <c r="J934" s="80"/>
    </row>
    <row r="935" ht="22.5" customHeight="1">
      <c r="A935" s="81"/>
      <c r="B935" s="81"/>
      <c r="C935" s="81"/>
      <c r="D935" s="81"/>
      <c r="E935" s="80"/>
      <c r="F935" s="91"/>
      <c r="G935" s="80"/>
      <c r="H935" s="80"/>
      <c r="I935" s="80"/>
      <c r="J935" s="80"/>
    </row>
    <row r="936" ht="22.5" customHeight="1">
      <c r="A936" s="81"/>
      <c r="B936" s="81"/>
      <c r="C936" s="81"/>
      <c r="D936" s="81"/>
      <c r="E936" s="80"/>
      <c r="F936" s="91"/>
      <c r="G936" s="80"/>
      <c r="H936" s="80"/>
      <c r="I936" s="80"/>
      <c r="J936" s="80"/>
    </row>
    <row r="937" ht="22.5" customHeight="1">
      <c r="A937" s="81"/>
      <c r="B937" s="81"/>
      <c r="C937" s="81"/>
      <c r="D937" s="81"/>
      <c r="E937" s="80"/>
      <c r="F937" s="91"/>
      <c r="G937" s="80"/>
      <c r="H937" s="80"/>
      <c r="I937" s="80"/>
      <c r="J937" s="80"/>
    </row>
    <row r="938" ht="22.5" customHeight="1">
      <c r="A938" s="81"/>
      <c r="B938" s="81"/>
      <c r="C938" s="81"/>
      <c r="D938" s="81"/>
      <c r="E938" s="80"/>
      <c r="F938" s="91"/>
      <c r="G938" s="80"/>
      <c r="H938" s="80"/>
      <c r="I938" s="80"/>
      <c r="J938" s="80"/>
    </row>
    <row r="939" ht="22.5" customHeight="1">
      <c r="A939" s="81"/>
      <c r="B939" s="81"/>
      <c r="C939" s="81"/>
      <c r="D939" s="81"/>
      <c r="E939" s="80"/>
      <c r="F939" s="91"/>
      <c r="G939" s="80"/>
      <c r="H939" s="80"/>
      <c r="I939" s="80"/>
      <c r="J939" s="80"/>
    </row>
    <row r="940" ht="22.5" customHeight="1">
      <c r="A940" s="81"/>
      <c r="B940" s="81"/>
      <c r="C940" s="81"/>
      <c r="D940" s="81"/>
      <c r="E940" s="80"/>
      <c r="F940" s="91"/>
      <c r="G940" s="80"/>
      <c r="H940" s="80"/>
      <c r="I940" s="80"/>
      <c r="J940" s="80"/>
    </row>
    <row r="941" ht="22.5" customHeight="1">
      <c r="A941" s="81"/>
      <c r="B941" s="81"/>
      <c r="C941" s="81"/>
      <c r="D941" s="81"/>
      <c r="E941" s="80"/>
      <c r="F941" s="91"/>
      <c r="G941" s="80"/>
      <c r="H941" s="80"/>
      <c r="I941" s="80"/>
      <c r="J941" s="80"/>
    </row>
    <row r="942" ht="22.5" customHeight="1">
      <c r="A942" s="81"/>
      <c r="B942" s="81"/>
      <c r="C942" s="81"/>
      <c r="D942" s="81"/>
      <c r="E942" s="80"/>
      <c r="F942" s="91"/>
      <c r="G942" s="80"/>
      <c r="H942" s="80"/>
      <c r="I942" s="80"/>
      <c r="J942" s="80"/>
    </row>
    <row r="943" ht="22.5" customHeight="1">
      <c r="A943" s="81"/>
      <c r="B943" s="81"/>
      <c r="C943" s="81"/>
      <c r="D943" s="81"/>
      <c r="E943" s="80"/>
      <c r="F943" s="91"/>
      <c r="G943" s="80"/>
      <c r="H943" s="80"/>
      <c r="I943" s="80"/>
      <c r="J943" s="80"/>
    </row>
    <row r="944" ht="22.5" customHeight="1">
      <c r="A944" s="81"/>
      <c r="B944" s="81"/>
      <c r="C944" s="81"/>
      <c r="D944" s="81"/>
      <c r="E944" s="80"/>
      <c r="F944" s="91"/>
      <c r="G944" s="80"/>
      <c r="H944" s="80"/>
      <c r="I944" s="80"/>
      <c r="J944" s="80"/>
    </row>
    <row r="945" ht="22.5" customHeight="1">
      <c r="A945" s="81"/>
      <c r="B945" s="81"/>
      <c r="C945" s="81"/>
      <c r="D945" s="81"/>
      <c r="E945" s="80"/>
      <c r="F945" s="91"/>
      <c r="G945" s="80"/>
      <c r="H945" s="80"/>
      <c r="I945" s="80"/>
      <c r="J945" s="80"/>
    </row>
    <row r="946" ht="22.5" customHeight="1">
      <c r="A946" s="81"/>
      <c r="B946" s="81"/>
      <c r="C946" s="81"/>
      <c r="D946" s="81"/>
      <c r="E946" s="80"/>
      <c r="F946" s="91"/>
      <c r="G946" s="80"/>
      <c r="H946" s="80"/>
      <c r="I946" s="80"/>
      <c r="J946" s="80"/>
    </row>
    <row r="947" ht="22.5" customHeight="1">
      <c r="A947" s="81"/>
      <c r="B947" s="81"/>
      <c r="C947" s="81"/>
      <c r="D947" s="81"/>
      <c r="E947" s="80"/>
      <c r="F947" s="91"/>
      <c r="G947" s="80"/>
      <c r="H947" s="80"/>
      <c r="I947" s="80"/>
      <c r="J947" s="80"/>
    </row>
    <row r="948" ht="22.5" customHeight="1">
      <c r="A948" s="81"/>
      <c r="B948" s="81"/>
      <c r="C948" s="81"/>
      <c r="D948" s="81"/>
      <c r="E948" s="80"/>
      <c r="F948" s="91"/>
      <c r="G948" s="80"/>
      <c r="H948" s="80"/>
      <c r="I948" s="80"/>
      <c r="J948" s="80"/>
    </row>
    <row r="949" ht="22.5" customHeight="1">
      <c r="A949" s="81"/>
      <c r="B949" s="81"/>
      <c r="C949" s="81"/>
      <c r="D949" s="81"/>
      <c r="E949" s="80"/>
      <c r="F949" s="91"/>
      <c r="G949" s="80"/>
      <c r="H949" s="80"/>
      <c r="I949" s="80"/>
      <c r="J949" s="80"/>
    </row>
    <row r="950" ht="22.5" customHeight="1">
      <c r="A950" s="81"/>
      <c r="B950" s="81"/>
      <c r="C950" s="81"/>
      <c r="D950" s="81"/>
      <c r="E950" s="80"/>
      <c r="F950" s="91"/>
      <c r="G950" s="80"/>
      <c r="H950" s="80"/>
      <c r="I950" s="80"/>
      <c r="J950" s="80"/>
    </row>
    <row r="951" ht="22.5" customHeight="1">
      <c r="A951" s="81"/>
      <c r="B951" s="81"/>
      <c r="C951" s="81"/>
      <c r="D951" s="81"/>
      <c r="E951" s="80"/>
      <c r="F951" s="91"/>
      <c r="G951" s="80"/>
      <c r="H951" s="80"/>
      <c r="I951" s="80"/>
      <c r="J951" s="80"/>
    </row>
    <row r="952" ht="22.5" customHeight="1">
      <c r="A952" s="81"/>
      <c r="B952" s="81"/>
      <c r="C952" s="81"/>
      <c r="D952" s="81"/>
      <c r="E952" s="80"/>
      <c r="F952" s="91"/>
      <c r="G952" s="80"/>
      <c r="H952" s="80"/>
      <c r="I952" s="80"/>
      <c r="J952" s="80"/>
    </row>
    <row r="953" ht="22.5" customHeight="1">
      <c r="A953" s="81"/>
      <c r="B953" s="81"/>
      <c r="C953" s="81"/>
      <c r="D953" s="81"/>
      <c r="E953" s="80"/>
      <c r="F953" s="91"/>
      <c r="G953" s="80"/>
      <c r="H953" s="80"/>
      <c r="I953" s="80"/>
      <c r="J953" s="80"/>
    </row>
    <row r="954" ht="22.5" customHeight="1">
      <c r="A954" s="81"/>
      <c r="B954" s="81"/>
      <c r="C954" s="81"/>
      <c r="D954" s="81"/>
      <c r="E954" s="80"/>
      <c r="F954" s="91"/>
      <c r="G954" s="80"/>
      <c r="H954" s="80"/>
      <c r="I954" s="80"/>
      <c r="J954" s="80"/>
    </row>
    <row r="955" ht="22.5" customHeight="1">
      <c r="A955" s="81"/>
      <c r="B955" s="81"/>
      <c r="C955" s="81"/>
      <c r="D955" s="81"/>
      <c r="E955" s="80"/>
      <c r="F955" s="91"/>
      <c r="G955" s="80"/>
      <c r="H955" s="80"/>
      <c r="I955" s="80"/>
      <c r="J955" s="80"/>
    </row>
    <row r="956" ht="22.5" customHeight="1">
      <c r="A956" s="81"/>
      <c r="B956" s="81"/>
      <c r="C956" s="81"/>
      <c r="D956" s="81"/>
      <c r="E956" s="80"/>
      <c r="F956" s="91"/>
      <c r="G956" s="80"/>
      <c r="H956" s="80"/>
      <c r="I956" s="80"/>
      <c r="J956" s="80"/>
    </row>
    <row r="957" ht="22.5" customHeight="1">
      <c r="A957" s="81"/>
      <c r="B957" s="81"/>
      <c r="C957" s="81"/>
      <c r="D957" s="81"/>
      <c r="E957" s="80"/>
      <c r="F957" s="91"/>
      <c r="G957" s="80"/>
      <c r="H957" s="80"/>
      <c r="I957" s="80"/>
      <c r="J957" s="80"/>
    </row>
    <row r="958" ht="22.5" customHeight="1">
      <c r="A958" s="81"/>
      <c r="B958" s="81"/>
      <c r="C958" s="81"/>
      <c r="D958" s="81"/>
      <c r="E958" s="80"/>
      <c r="F958" s="91"/>
      <c r="G958" s="80"/>
      <c r="H958" s="80"/>
      <c r="I958" s="80"/>
      <c r="J958" s="80"/>
    </row>
    <row r="959" ht="22.5" customHeight="1">
      <c r="A959" s="81"/>
      <c r="B959" s="81"/>
      <c r="C959" s="81"/>
      <c r="D959" s="81"/>
      <c r="E959" s="80"/>
      <c r="F959" s="91"/>
      <c r="G959" s="80"/>
      <c r="H959" s="80"/>
      <c r="I959" s="80"/>
      <c r="J959" s="80"/>
    </row>
    <row r="960" ht="22.5" customHeight="1">
      <c r="A960" s="81"/>
      <c r="B960" s="81"/>
      <c r="C960" s="81"/>
      <c r="D960" s="81"/>
      <c r="E960" s="80"/>
      <c r="F960" s="91"/>
      <c r="G960" s="80"/>
      <c r="H960" s="80"/>
      <c r="I960" s="80"/>
      <c r="J960" s="80"/>
    </row>
    <row r="961" ht="22.5" customHeight="1">
      <c r="A961" s="81"/>
      <c r="B961" s="81"/>
      <c r="C961" s="81"/>
      <c r="D961" s="81"/>
      <c r="E961" s="80"/>
      <c r="F961" s="91"/>
      <c r="G961" s="80"/>
      <c r="H961" s="80"/>
      <c r="I961" s="80"/>
      <c r="J961" s="80"/>
    </row>
    <row r="962" ht="22.5" customHeight="1">
      <c r="A962" s="81"/>
      <c r="B962" s="81"/>
      <c r="C962" s="81"/>
      <c r="D962" s="81"/>
      <c r="E962" s="80"/>
      <c r="F962" s="91"/>
      <c r="G962" s="80"/>
      <c r="H962" s="80"/>
      <c r="I962" s="80"/>
      <c r="J962" s="80"/>
    </row>
    <row r="963" ht="22.5" customHeight="1">
      <c r="A963" s="81"/>
      <c r="B963" s="81"/>
      <c r="C963" s="81"/>
      <c r="D963" s="81"/>
      <c r="E963" s="80"/>
      <c r="F963" s="91"/>
      <c r="G963" s="80"/>
      <c r="H963" s="80"/>
      <c r="I963" s="80"/>
      <c r="J963" s="80"/>
    </row>
    <row r="964" ht="22.5" customHeight="1">
      <c r="A964" s="81"/>
      <c r="B964" s="81"/>
      <c r="C964" s="81"/>
      <c r="D964" s="81"/>
      <c r="E964" s="80"/>
      <c r="F964" s="91"/>
      <c r="G964" s="80"/>
      <c r="H964" s="80"/>
      <c r="I964" s="80"/>
      <c r="J964" s="80"/>
    </row>
    <row r="965" ht="22.5" customHeight="1">
      <c r="A965" s="81"/>
      <c r="B965" s="81"/>
      <c r="C965" s="81"/>
      <c r="D965" s="81"/>
      <c r="E965" s="80"/>
      <c r="F965" s="91"/>
      <c r="G965" s="80"/>
      <c r="H965" s="80"/>
      <c r="I965" s="80"/>
      <c r="J965" s="80"/>
    </row>
    <row r="966" ht="22.5" customHeight="1">
      <c r="A966" s="81"/>
      <c r="B966" s="81"/>
      <c r="C966" s="81"/>
      <c r="D966" s="81"/>
      <c r="E966" s="80"/>
      <c r="F966" s="91"/>
      <c r="G966" s="80"/>
      <c r="H966" s="80"/>
      <c r="I966" s="80"/>
      <c r="J966" s="80"/>
    </row>
    <row r="967" ht="22.5" customHeight="1">
      <c r="A967" s="81"/>
      <c r="B967" s="81"/>
      <c r="C967" s="81"/>
      <c r="D967" s="81"/>
      <c r="E967" s="80"/>
      <c r="F967" s="91"/>
      <c r="G967" s="80"/>
      <c r="H967" s="80"/>
      <c r="I967" s="80"/>
      <c r="J967" s="80"/>
    </row>
    <row r="968" ht="22.5" customHeight="1">
      <c r="A968" s="81"/>
      <c r="B968" s="81"/>
      <c r="C968" s="81"/>
      <c r="D968" s="81"/>
      <c r="E968" s="80"/>
      <c r="F968" s="91"/>
      <c r="G968" s="80"/>
      <c r="H968" s="80"/>
      <c r="I968" s="80"/>
      <c r="J968" s="80"/>
    </row>
    <row r="969" ht="22.5" customHeight="1">
      <c r="A969" s="81"/>
      <c r="B969" s="81"/>
      <c r="C969" s="81"/>
      <c r="D969" s="81"/>
      <c r="E969" s="80"/>
      <c r="F969" s="91"/>
      <c r="G969" s="80"/>
      <c r="H969" s="80"/>
      <c r="I969" s="80"/>
      <c r="J969" s="80"/>
    </row>
    <row r="970" ht="22.5" customHeight="1">
      <c r="A970" s="81"/>
      <c r="B970" s="81"/>
      <c r="C970" s="81"/>
      <c r="D970" s="81"/>
      <c r="E970" s="80"/>
      <c r="F970" s="91"/>
      <c r="G970" s="80"/>
      <c r="H970" s="80"/>
      <c r="I970" s="80"/>
      <c r="J970" s="80"/>
    </row>
    <row r="971" ht="22.5" customHeight="1">
      <c r="A971" s="81"/>
      <c r="B971" s="81"/>
      <c r="C971" s="81"/>
      <c r="D971" s="81"/>
      <c r="E971" s="80"/>
      <c r="F971" s="91"/>
      <c r="G971" s="80"/>
      <c r="H971" s="80"/>
      <c r="I971" s="80"/>
      <c r="J971" s="80"/>
    </row>
    <row r="972" ht="22.5" customHeight="1">
      <c r="A972" s="81"/>
      <c r="B972" s="81"/>
      <c r="C972" s="81"/>
      <c r="D972" s="81"/>
      <c r="E972" s="80"/>
      <c r="F972" s="91"/>
      <c r="G972" s="80"/>
      <c r="H972" s="80"/>
      <c r="I972" s="80"/>
      <c r="J972" s="80"/>
    </row>
    <row r="973" ht="22.5" customHeight="1">
      <c r="A973" s="81"/>
      <c r="B973" s="81"/>
      <c r="C973" s="81"/>
      <c r="D973" s="81"/>
      <c r="E973" s="80"/>
      <c r="F973" s="91"/>
      <c r="G973" s="80"/>
      <c r="H973" s="80"/>
      <c r="I973" s="80"/>
      <c r="J973" s="80"/>
    </row>
    <row r="974" ht="22.5" customHeight="1">
      <c r="A974" s="81"/>
      <c r="B974" s="81"/>
      <c r="C974" s="81"/>
      <c r="D974" s="81"/>
      <c r="E974" s="80"/>
      <c r="F974" s="91"/>
      <c r="G974" s="80"/>
      <c r="H974" s="80"/>
      <c r="I974" s="80"/>
      <c r="J974" s="80"/>
    </row>
    <row r="975" ht="22.5" customHeight="1">
      <c r="A975" s="81"/>
      <c r="B975" s="81"/>
      <c r="C975" s="81"/>
      <c r="D975" s="81"/>
      <c r="E975" s="80"/>
      <c r="F975" s="91"/>
      <c r="G975" s="80"/>
      <c r="H975" s="80"/>
      <c r="I975" s="80"/>
      <c r="J975" s="80"/>
    </row>
    <row r="976" ht="22.5" customHeight="1">
      <c r="A976" s="81"/>
      <c r="B976" s="81"/>
      <c r="C976" s="81"/>
      <c r="D976" s="81"/>
      <c r="E976" s="80"/>
      <c r="F976" s="91"/>
      <c r="G976" s="80"/>
      <c r="H976" s="80"/>
      <c r="I976" s="80"/>
      <c r="J976" s="80"/>
    </row>
    <row r="977" ht="22.5" customHeight="1">
      <c r="A977" s="81"/>
      <c r="B977" s="81"/>
      <c r="C977" s="81"/>
      <c r="D977" s="81"/>
      <c r="E977" s="80"/>
      <c r="F977" s="91"/>
      <c r="G977" s="80"/>
      <c r="H977" s="80"/>
      <c r="I977" s="80"/>
      <c r="J977" s="80"/>
    </row>
    <row r="978" ht="22.5" customHeight="1">
      <c r="A978" s="81"/>
      <c r="B978" s="81"/>
      <c r="C978" s="81"/>
      <c r="D978" s="81"/>
      <c r="E978" s="80"/>
      <c r="F978" s="91"/>
      <c r="G978" s="80"/>
      <c r="H978" s="80"/>
      <c r="I978" s="80"/>
      <c r="J978" s="80"/>
    </row>
    <row r="979" ht="22.5" customHeight="1">
      <c r="A979" s="81"/>
      <c r="B979" s="81"/>
      <c r="C979" s="81"/>
      <c r="D979" s="81"/>
      <c r="E979" s="80"/>
      <c r="F979" s="91"/>
      <c r="G979" s="80"/>
      <c r="H979" s="80"/>
      <c r="I979" s="80"/>
      <c r="J979" s="80"/>
    </row>
    <row r="980" ht="22.5" customHeight="1">
      <c r="A980" s="81"/>
      <c r="B980" s="81"/>
      <c r="C980" s="81"/>
      <c r="D980" s="81"/>
      <c r="E980" s="80"/>
      <c r="F980" s="91"/>
      <c r="G980" s="80"/>
      <c r="H980" s="80"/>
      <c r="I980" s="80"/>
      <c r="J980" s="80"/>
    </row>
    <row r="981" ht="22.5" customHeight="1">
      <c r="A981" s="81"/>
      <c r="B981" s="81"/>
      <c r="C981" s="81"/>
      <c r="D981" s="81"/>
      <c r="E981" s="80"/>
      <c r="F981" s="91"/>
      <c r="G981" s="80"/>
      <c r="H981" s="80"/>
      <c r="I981" s="80"/>
      <c r="J981" s="80"/>
    </row>
    <row r="982" ht="22.5" customHeight="1">
      <c r="A982" s="81"/>
      <c r="B982" s="81"/>
      <c r="C982" s="81"/>
      <c r="D982" s="81"/>
      <c r="E982" s="80"/>
      <c r="F982" s="91"/>
      <c r="G982" s="80"/>
      <c r="H982" s="80"/>
      <c r="I982" s="80"/>
      <c r="J982" s="80"/>
    </row>
    <row r="983" ht="22.5" customHeight="1">
      <c r="A983" s="81"/>
      <c r="B983" s="81"/>
      <c r="C983" s="81"/>
      <c r="D983" s="81"/>
      <c r="E983" s="80"/>
      <c r="F983" s="91"/>
      <c r="G983" s="80"/>
      <c r="H983" s="80"/>
      <c r="I983" s="80"/>
      <c r="J983" s="80"/>
    </row>
    <row r="984" ht="22.5" customHeight="1">
      <c r="A984" s="81"/>
      <c r="B984" s="81"/>
      <c r="C984" s="81"/>
      <c r="D984" s="81"/>
      <c r="E984" s="80"/>
      <c r="F984" s="91"/>
      <c r="G984" s="80"/>
      <c r="H984" s="80"/>
      <c r="I984" s="80"/>
      <c r="J984" s="80"/>
    </row>
    <row r="985" ht="22.5" customHeight="1">
      <c r="A985" s="81"/>
      <c r="B985" s="81"/>
      <c r="C985" s="81"/>
      <c r="D985" s="81"/>
      <c r="E985" s="80"/>
      <c r="F985" s="91"/>
      <c r="G985" s="80"/>
      <c r="H985" s="80"/>
      <c r="I985" s="80"/>
      <c r="J985" s="80"/>
    </row>
    <row r="986" ht="22.5" customHeight="1">
      <c r="A986" s="81"/>
      <c r="B986" s="81"/>
      <c r="C986" s="81"/>
      <c r="D986" s="81"/>
      <c r="E986" s="80"/>
      <c r="F986" s="91"/>
      <c r="G986" s="80"/>
      <c r="H986" s="80"/>
      <c r="I986" s="80"/>
      <c r="J986" s="80"/>
    </row>
    <row r="987" ht="22.5" customHeight="1">
      <c r="A987" s="81"/>
      <c r="B987" s="81"/>
      <c r="C987" s="81"/>
      <c r="D987" s="81"/>
      <c r="E987" s="80"/>
      <c r="F987" s="91"/>
      <c r="G987" s="80"/>
      <c r="H987" s="80"/>
      <c r="I987" s="80"/>
      <c r="J987" s="80"/>
    </row>
    <row r="988" ht="22.5" customHeight="1">
      <c r="A988" s="81"/>
      <c r="B988" s="81"/>
      <c r="C988" s="81"/>
      <c r="D988" s="81"/>
      <c r="E988" s="80"/>
      <c r="F988" s="91"/>
      <c r="G988" s="80"/>
      <c r="H988" s="80"/>
      <c r="I988" s="80"/>
      <c r="J988" s="80"/>
    </row>
    <row r="989" ht="22.5" customHeight="1">
      <c r="A989" s="81"/>
      <c r="B989" s="81"/>
      <c r="C989" s="81"/>
      <c r="D989" s="81"/>
      <c r="E989" s="80"/>
      <c r="F989" s="91"/>
      <c r="G989" s="80"/>
      <c r="H989" s="80"/>
      <c r="I989" s="80"/>
      <c r="J989" s="80"/>
    </row>
    <row r="990" ht="22.5" customHeight="1">
      <c r="A990" s="81"/>
      <c r="B990" s="81"/>
      <c r="C990" s="81"/>
      <c r="D990" s="81"/>
      <c r="E990" s="80"/>
      <c r="F990" s="91"/>
      <c r="G990" s="80"/>
      <c r="H990" s="80"/>
      <c r="I990" s="80"/>
      <c r="J990" s="80"/>
    </row>
    <row r="991" ht="22.5" customHeight="1">
      <c r="A991" s="81"/>
      <c r="B991" s="81"/>
      <c r="C991" s="81"/>
      <c r="D991" s="81"/>
      <c r="E991" s="80"/>
      <c r="F991" s="91"/>
      <c r="G991" s="80"/>
      <c r="H991" s="80"/>
      <c r="I991" s="80"/>
      <c r="J991" s="80"/>
    </row>
    <row r="992" ht="22.5" customHeight="1">
      <c r="A992" s="81"/>
      <c r="B992" s="81"/>
      <c r="C992" s="81"/>
      <c r="D992" s="81"/>
      <c r="E992" s="80"/>
      <c r="F992" s="91"/>
      <c r="G992" s="80"/>
      <c r="H992" s="80"/>
      <c r="I992" s="80"/>
      <c r="J992" s="80"/>
    </row>
    <row r="993" ht="22.5" customHeight="1">
      <c r="A993" s="81"/>
      <c r="B993" s="81"/>
      <c r="C993" s="81"/>
      <c r="D993" s="81"/>
      <c r="E993" s="80"/>
      <c r="F993" s="91"/>
      <c r="G993" s="80"/>
      <c r="H993" s="80"/>
      <c r="I993" s="80"/>
      <c r="J993" s="80"/>
    </row>
    <row r="994" ht="22.5" customHeight="1">
      <c r="A994" s="81"/>
      <c r="B994" s="81"/>
      <c r="C994" s="81"/>
      <c r="D994" s="81"/>
      <c r="E994" s="80"/>
      <c r="F994" s="91"/>
      <c r="G994" s="80"/>
      <c r="H994" s="80"/>
      <c r="I994" s="80"/>
      <c r="J994" s="80"/>
    </row>
    <row r="995" ht="22.5" customHeight="1">
      <c r="A995" s="81"/>
      <c r="B995" s="81"/>
      <c r="C995" s="81"/>
      <c r="D995" s="81"/>
      <c r="E995" s="80"/>
      <c r="F995" s="91"/>
      <c r="G995" s="80"/>
      <c r="H995" s="80"/>
      <c r="I995" s="80"/>
      <c r="J995" s="80"/>
    </row>
    <row r="996" ht="22.5" customHeight="1">
      <c r="A996" s="81"/>
      <c r="B996" s="81"/>
      <c r="C996" s="81"/>
      <c r="D996" s="81"/>
      <c r="E996" s="80"/>
      <c r="F996" s="91"/>
      <c r="G996" s="80"/>
      <c r="H996" s="80"/>
      <c r="I996" s="80"/>
      <c r="J996" s="80"/>
    </row>
    <row r="997" ht="22.5" customHeight="1">
      <c r="A997" s="81"/>
      <c r="B997" s="81"/>
      <c r="C997" s="81"/>
      <c r="D997" s="81"/>
      <c r="E997" s="80"/>
      <c r="F997" s="91"/>
      <c r="G997" s="80"/>
      <c r="H997" s="80"/>
      <c r="I997" s="80"/>
      <c r="J997" s="80"/>
    </row>
    <row r="998" ht="22.5" customHeight="1">
      <c r="A998" s="81"/>
      <c r="B998" s="81"/>
      <c r="C998" s="81"/>
      <c r="D998" s="81"/>
      <c r="E998" s="80"/>
      <c r="F998" s="91"/>
      <c r="G998" s="80"/>
      <c r="H998" s="80"/>
      <c r="I998" s="80"/>
      <c r="J998" s="80"/>
    </row>
    <row r="999" ht="22.5" customHeight="1">
      <c r="A999" s="81"/>
      <c r="B999" s="81"/>
      <c r="C999" s="81"/>
      <c r="D999" s="81"/>
      <c r="E999" s="80"/>
      <c r="F999" s="91"/>
      <c r="G999" s="80"/>
      <c r="H999" s="80"/>
      <c r="I999" s="80"/>
      <c r="J999" s="80"/>
    </row>
    <row r="1000" ht="22.5" customHeight="1">
      <c r="A1000" s="81"/>
      <c r="B1000" s="81"/>
      <c r="C1000" s="81"/>
      <c r="D1000" s="81"/>
      <c r="E1000" s="80"/>
      <c r="F1000" s="91"/>
      <c r="G1000" s="80"/>
      <c r="H1000" s="80"/>
      <c r="I1000" s="80"/>
      <c r="J1000" s="80"/>
    </row>
    <row r="1001" ht="22.5" customHeight="1">
      <c r="A1001" s="81"/>
      <c r="B1001" s="81"/>
      <c r="C1001" s="81"/>
      <c r="D1001" s="81"/>
      <c r="E1001" s="80"/>
      <c r="F1001" s="91"/>
      <c r="G1001" s="80"/>
      <c r="H1001" s="80"/>
      <c r="I1001" s="80"/>
      <c r="J1001" s="80"/>
    </row>
    <row r="1002" ht="22.5" customHeight="1">
      <c r="A1002" s="81"/>
      <c r="B1002" s="81"/>
      <c r="C1002" s="81"/>
      <c r="D1002" s="81"/>
      <c r="E1002" s="80"/>
      <c r="F1002" s="91"/>
      <c r="G1002" s="80"/>
      <c r="H1002" s="80"/>
      <c r="I1002" s="80"/>
      <c r="J1002" s="80"/>
    </row>
    <row r="1003" ht="22.5" customHeight="1">
      <c r="A1003" s="81"/>
      <c r="B1003" s="81"/>
      <c r="C1003" s="81"/>
      <c r="D1003" s="81"/>
      <c r="E1003" s="80"/>
      <c r="F1003" s="91"/>
      <c r="G1003" s="80"/>
      <c r="H1003" s="80"/>
      <c r="I1003" s="80"/>
      <c r="J1003" s="80"/>
    </row>
    <row r="1004" ht="22.5" customHeight="1">
      <c r="A1004" s="81"/>
      <c r="B1004" s="81"/>
      <c r="C1004" s="81"/>
      <c r="D1004" s="81"/>
      <c r="E1004" s="80"/>
      <c r="F1004" s="91"/>
      <c r="G1004" s="80"/>
      <c r="H1004" s="80"/>
      <c r="I1004" s="80"/>
      <c r="J1004" s="80"/>
    </row>
    <row r="1005" ht="22.5" customHeight="1">
      <c r="A1005" s="81"/>
      <c r="B1005" s="81"/>
      <c r="C1005" s="81"/>
      <c r="D1005" s="81"/>
      <c r="E1005" s="80"/>
      <c r="F1005" s="91"/>
      <c r="G1005" s="80"/>
      <c r="H1005" s="80"/>
      <c r="I1005" s="80"/>
      <c r="J1005" s="80"/>
    </row>
    <row r="1006" ht="22.5" customHeight="1">
      <c r="A1006" s="81"/>
      <c r="B1006" s="81"/>
      <c r="C1006" s="81"/>
      <c r="D1006" s="81"/>
      <c r="E1006" s="80"/>
      <c r="F1006" s="91"/>
      <c r="G1006" s="80"/>
      <c r="H1006" s="80"/>
      <c r="I1006" s="80"/>
      <c r="J1006" s="80"/>
    </row>
    <row r="1007" ht="22.5" customHeight="1">
      <c r="A1007" s="81"/>
      <c r="B1007" s="81"/>
      <c r="C1007" s="81"/>
      <c r="D1007" s="81"/>
      <c r="E1007" s="80"/>
      <c r="F1007" s="91"/>
      <c r="G1007" s="80"/>
      <c r="H1007" s="80"/>
      <c r="I1007" s="80"/>
      <c r="J1007" s="80"/>
    </row>
    <row r="1008" ht="22.5" customHeight="1">
      <c r="A1008" s="81"/>
      <c r="B1008" s="81"/>
      <c r="C1008" s="81"/>
      <c r="D1008" s="81"/>
      <c r="E1008" s="80"/>
      <c r="F1008" s="91"/>
      <c r="G1008" s="80"/>
      <c r="H1008" s="80"/>
      <c r="I1008" s="80"/>
      <c r="J1008" s="80"/>
    </row>
    <row r="1009" ht="22.5" customHeight="1">
      <c r="A1009" s="81"/>
      <c r="B1009" s="81"/>
      <c r="C1009" s="81"/>
      <c r="D1009" s="81"/>
      <c r="E1009" s="80"/>
      <c r="F1009" s="91"/>
      <c r="G1009" s="80"/>
      <c r="H1009" s="80"/>
      <c r="I1009" s="80"/>
      <c r="J1009" s="80"/>
    </row>
    <row r="1010" ht="22.5" customHeight="1">
      <c r="A1010" s="81"/>
      <c r="B1010" s="81"/>
      <c r="C1010" s="81"/>
      <c r="D1010" s="81"/>
      <c r="E1010" s="80"/>
      <c r="F1010" s="91"/>
      <c r="G1010" s="80"/>
      <c r="H1010" s="80"/>
      <c r="I1010" s="80"/>
      <c r="J1010" s="80"/>
    </row>
    <row r="1011" ht="22.5" customHeight="1">
      <c r="A1011" s="81"/>
      <c r="B1011" s="81"/>
      <c r="C1011" s="81"/>
      <c r="D1011" s="81"/>
      <c r="E1011" s="80"/>
      <c r="F1011" s="91"/>
      <c r="G1011" s="80"/>
      <c r="H1011" s="80"/>
      <c r="I1011" s="80"/>
      <c r="J1011" s="80"/>
    </row>
    <row r="1012" ht="22.5" customHeight="1">
      <c r="A1012" s="81"/>
      <c r="B1012" s="81"/>
      <c r="C1012" s="81"/>
      <c r="D1012" s="81"/>
      <c r="E1012" s="80"/>
      <c r="F1012" s="91"/>
      <c r="G1012" s="80"/>
      <c r="H1012" s="80"/>
      <c r="I1012" s="80"/>
      <c r="J1012" s="80"/>
    </row>
    <row r="1013" ht="22.5" customHeight="1">
      <c r="A1013" s="81"/>
      <c r="B1013" s="81"/>
      <c r="C1013" s="81"/>
      <c r="D1013" s="81"/>
      <c r="E1013" s="80"/>
      <c r="F1013" s="91"/>
      <c r="G1013" s="80"/>
      <c r="H1013" s="80"/>
      <c r="I1013" s="80"/>
      <c r="J1013" s="80"/>
    </row>
    <row r="1014" ht="22.5" customHeight="1">
      <c r="A1014" s="81"/>
      <c r="B1014" s="81"/>
      <c r="C1014" s="81"/>
      <c r="D1014" s="81"/>
      <c r="E1014" s="80"/>
      <c r="F1014" s="91"/>
      <c r="G1014" s="80"/>
      <c r="H1014" s="80"/>
      <c r="I1014" s="80"/>
      <c r="J1014" s="80"/>
    </row>
    <row r="1015" ht="22.5" customHeight="1">
      <c r="A1015" s="81"/>
      <c r="B1015" s="81"/>
      <c r="C1015" s="81"/>
      <c r="D1015" s="81"/>
      <c r="E1015" s="80"/>
      <c r="F1015" s="91"/>
      <c r="G1015" s="80"/>
      <c r="H1015" s="80"/>
      <c r="I1015" s="80"/>
      <c r="J1015" s="80"/>
    </row>
    <row r="1016" ht="22.5" customHeight="1">
      <c r="A1016" s="81"/>
      <c r="B1016" s="81"/>
      <c r="C1016" s="81"/>
      <c r="D1016" s="81"/>
      <c r="E1016" s="80"/>
      <c r="F1016" s="91"/>
      <c r="G1016" s="80"/>
      <c r="H1016" s="80"/>
      <c r="I1016" s="80"/>
      <c r="J1016" s="80"/>
    </row>
    <row r="1017" ht="22.5" customHeight="1">
      <c r="A1017" s="81"/>
      <c r="B1017" s="81"/>
      <c r="C1017" s="81"/>
      <c r="D1017" s="81"/>
      <c r="E1017" s="80"/>
      <c r="F1017" s="91"/>
      <c r="G1017" s="80"/>
      <c r="H1017" s="80"/>
      <c r="I1017" s="80"/>
      <c r="J1017" s="80"/>
    </row>
    <row r="1018" ht="22.5" customHeight="1">
      <c r="A1018" s="81"/>
      <c r="B1018" s="81"/>
      <c r="C1018" s="81"/>
      <c r="D1018" s="81"/>
      <c r="E1018" s="80"/>
      <c r="F1018" s="91"/>
      <c r="G1018" s="80"/>
      <c r="H1018" s="80"/>
      <c r="I1018" s="80"/>
      <c r="J1018" s="80"/>
    </row>
    <row r="1019" ht="22.5" customHeight="1">
      <c r="A1019" s="81"/>
      <c r="B1019" s="81"/>
      <c r="C1019" s="81"/>
      <c r="D1019" s="81"/>
      <c r="E1019" s="80"/>
      <c r="F1019" s="91"/>
      <c r="G1019" s="80"/>
      <c r="H1019" s="80"/>
      <c r="I1019" s="80"/>
      <c r="J1019" s="80"/>
    </row>
    <row r="1020" ht="22.5" customHeight="1">
      <c r="A1020" s="81"/>
      <c r="B1020" s="81"/>
      <c r="C1020" s="81"/>
      <c r="D1020" s="81"/>
      <c r="E1020" s="80"/>
      <c r="F1020" s="91"/>
      <c r="G1020" s="80"/>
      <c r="H1020" s="80"/>
      <c r="I1020" s="80"/>
      <c r="J1020" s="80"/>
    </row>
    <row r="1021" ht="22.5" customHeight="1">
      <c r="A1021" s="81"/>
      <c r="B1021" s="81"/>
      <c r="C1021" s="81"/>
      <c r="D1021" s="81"/>
      <c r="E1021" s="80"/>
      <c r="F1021" s="91"/>
      <c r="G1021" s="80"/>
      <c r="H1021" s="80"/>
      <c r="I1021" s="80"/>
      <c r="J1021" s="80"/>
    </row>
    <row r="1022" ht="22.5" customHeight="1">
      <c r="A1022" s="81"/>
      <c r="B1022" s="81"/>
      <c r="C1022" s="81"/>
      <c r="D1022" s="81"/>
      <c r="E1022" s="80"/>
      <c r="F1022" s="91"/>
      <c r="G1022" s="80"/>
      <c r="H1022" s="80"/>
      <c r="I1022" s="80"/>
      <c r="J1022" s="80"/>
    </row>
    <row r="1023" ht="22.5" customHeight="1">
      <c r="A1023" s="81"/>
      <c r="B1023" s="81"/>
      <c r="C1023" s="81"/>
      <c r="D1023" s="81"/>
      <c r="E1023" s="80"/>
      <c r="F1023" s="91"/>
      <c r="G1023" s="80"/>
      <c r="H1023" s="80"/>
      <c r="I1023" s="80"/>
      <c r="J1023" s="80"/>
    </row>
    <row r="1024" ht="22.5" customHeight="1">
      <c r="A1024" s="81"/>
      <c r="B1024" s="81"/>
      <c r="C1024" s="81"/>
      <c r="D1024" s="81"/>
      <c r="E1024" s="80"/>
      <c r="F1024" s="91"/>
      <c r="G1024" s="80"/>
      <c r="H1024" s="80"/>
      <c r="I1024" s="80"/>
      <c r="J1024" s="80"/>
    </row>
    <row r="1025" ht="22.5" customHeight="1">
      <c r="A1025" s="81"/>
      <c r="B1025" s="81"/>
      <c r="C1025" s="81"/>
      <c r="D1025" s="81"/>
      <c r="E1025" s="80"/>
      <c r="F1025" s="91"/>
      <c r="G1025" s="80"/>
      <c r="H1025" s="80"/>
      <c r="I1025" s="80"/>
      <c r="J1025" s="80"/>
    </row>
    <row r="1026" ht="22.5" customHeight="1">
      <c r="A1026" s="81"/>
      <c r="B1026" s="81"/>
      <c r="C1026" s="81"/>
      <c r="D1026" s="81"/>
      <c r="E1026" s="80"/>
      <c r="F1026" s="91"/>
      <c r="G1026" s="80"/>
      <c r="H1026" s="80"/>
      <c r="I1026" s="80"/>
      <c r="J1026" s="80"/>
    </row>
    <row r="1027" ht="22.5" customHeight="1">
      <c r="A1027" s="81"/>
      <c r="B1027" s="81"/>
      <c r="C1027" s="81"/>
      <c r="D1027" s="81"/>
      <c r="E1027" s="80"/>
      <c r="F1027" s="91"/>
      <c r="G1027" s="80"/>
      <c r="H1027" s="80"/>
      <c r="I1027" s="80"/>
      <c r="J1027" s="80"/>
    </row>
    <row r="1028" ht="22.5" customHeight="1">
      <c r="A1028" s="81"/>
      <c r="B1028" s="81"/>
      <c r="C1028" s="81"/>
      <c r="D1028" s="81"/>
      <c r="E1028" s="80"/>
      <c r="F1028" s="91"/>
      <c r="G1028" s="80"/>
      <c r="H1028" s="80"/>
      <c r="I1028" s="80"/>
      <c r="J1028" s="80"/>
    </row>
    <row r="1029" ht="22.5" customHeight="1">
      <c r="A1029" s="81"/>
      <c r="B1029" s="81"/>
      <c r="C1029" s="81"/>
      <c r="D1029" s="81"/>
      <c r="E1029" s="80"/>
      <c r="F1029" s="91"/>
      <c r="G1029" s="80"/>
      <c r="H1029" s="80"/>
      <c r="I1029" s="80"/>
      <c r="J1029" s="80"/>
    </row>
    <row r="1030" ht="22.5" customHeight="1">
      <c r="A1030" s="81"/>
      <c r="B1030" s="81"/>
      <c r="C1030" s="81"/>
      <c r="D1030" s="81"/>
      <c r="E1030" s="80"/>
      <c r="F1030" s="91"/>
      <c r="G1030" s="80"/>
      <c r="H1030" s="80"/>
      <c r="I1030" s="80"/>
      <c r="J1030" s="80"/>
    </row>
    <row r="1031" ht="22.5" customHeight="1">
      <c r="A1031" s="81"/>
      <c r="B1031" s="81"/>
      <c r="C1031" s="81"/>
      <c r="D1031" s="81"/>
      <c r="E1031" s="80"/>
      <c r="F1031" s="91"/>
      <c r="G1031" s="80"/>
      <c r="H1031" s="80"/>
      <c r="I1031" s="80"/>
      <c r="J1031" s="80"/>
    </row>
    <row r="1032" ht="22.5" customHeight="1">
      <c r="A1032" s="81"/>
      <c r="B1032" s="81"/>
      <c r="C1032" s="81"/>
      <c r="D1032" s="81"/>
      <c r="E1032" s="80"/>
      <c r="F1032" s="91"/>
      <c r="G1032" s="80"/>
      <c r="H1032" s="80"/>
      <c r="I1032" s="80"/>
      <c r="J1032" s="80"/>
    </row>
    <row r="1033" ht="22.5" customHeight="1">
      <c r="A1033" s="81"/>
      <c r="B1033" s="81"/>
      <c r="C1033" s="81"/>
      <c r="D1033" s="81"/>
      <c r="E1033" s="80"/>
      <c r="F1033" s="91"/>
      <c r="G1033" s="80"/>
      <c r="H1033" s="80"/>
      <c r="I1033" s="80"/>
      <c r="J1033" s="80"/>
    </row>
    <row r="1034" ht="22.5" customHeight="1">
      <c r="A1034" s="81"/>
      <c r="B1034" s="81"/>
      <c r="C1034" s="81"/>
      <c r="D1034" s="81"/>
      <c r="E1034" s="80"/>
      <c r="F1034" s="91"/>
      <c r="G1034" s="80"/>
      <c r="H1034" s="80"/>
      <c r="I1034" s="80"/>
      <c r="J1034" s="80"/>
    </row>
    <row r="1035" ht="22.5" customHeight="1">
      <c r="A1035" s="81"/>
      <c r="B1035" s="81"/>
      <c r="C1035" s="81"/>
      <c r="D1035" s="81"/>
      <c r="E1035" s="80"/>
      <c r="F1035" s="91"/>
      <c r="G1035" s="80"/>
      <c r="H1035" s="80"/>
      <c r="I1035" s="80"/>
      <c r="J1035" s="80"/>
    </row>
    <row r="1036" ht="22.5" customHeight="1">
      <c r="A1036" s="81"/>
      <c r="B1036" s="81"/>
      <c r="C1036" s="81"/>
      <c r="D1036" s="81"/>
      <c r="E1036" s="80"/>
      <c r="F1036" s="91"/>
      <c r="G1036" s="80"/>
      <c r="H1036" s="80"/>
      <c r="I1036" s="80"/>
      <c r="J1036" s="80"/>
    </row>
    <row r="1037" ht="22.5" customHeight="1">
      <c r="A1037" s="81"/>
      <c r="B1037" s="81"/>
      <c r="C1037" s="81"/>
      <c r="D1037" s="81"/>
      <c r="E1037" s="80"/>
      <c r="F1037" s="91"/>
      <c r="G1037" s="80"/>
      <c r="H1037" s="80"/>
      <c r="I1037" s="80"/>
      <c r="J1037" s="80"/>
    </row>
    <row r="1038" ht="22.5" customHeight="1">
      <c r="A1038" s="81"/>
      <c r="B1038" s="81"/>
      <c r="C1038" s="81"/>
      <c r="D1038" s="81"/>
      <c r="E1038" s="80"/>
      <c r="F1038" s="91"/>
      <c r="G1038" s="80"/>
      <c r="H1038" s="80"/>
      <c r="I1038" s="80"/>
      <c r="J1038" s="80"/>
    </row>
    <row r="1039" ht="22.5" customHeight="1">
      <c r="A1039" s="81"/>
      <c r="B1039" s="81"/>
      <c r="C1039" s="81"/>
      <c r="D1039" s="81"/>
      <c r="E1039" s="80"/>
      <c r="F1039" s="91"/>
      <c r="G1039" s="80"/>
      <c r="H1039" s="80"/>
      <c r="I1039" s="80"/>
      <c r="J1039" s="80"/>
    </row>
    <row r="1040" ht="22.5" customHeight="1">
      <c r="A1040" s="81"/>
      <c r="B1040" s="81"/>
      <c r="C1040" s="81"/>
      <c r="D1040" s="81"/>
      <c r="E1040" s="80"/>
      <c r="F1040" s="91"/>
      <c r="G1040" s="80"/>
      <c r="H1040" s="80"/>
      <c r="I1040" s="80"/>
      <c r="J1040" s="80"/>
    </row>
    <row r="1041" ht="22.5" customHeight="1">
      <c r="A1041" s="81"/>
      <c r="B1041" s="81"/>
      <c r="C1041" s="81"/>
      <c r="D1041" s="81"/>
      <c r="E1041" s="80"/>
      <c r="F1041" s="91"/>
      <c r="G1041" s="80"/>
      <c r="H1041" s="80"/>
      <c r="I1041" s="80"/>
      <c r="J1041" s="80"/>
    </row>
    <row r="1042" ht="22.5" customHeight="1">
      <c r="A1042" s="81"/>
      <c r="B1042" s="81"/>
      <c r="C1042" s="81"/>
      <c r="D1042" s="81"/>
      <c r="E1042" s="80"/>
      <c r="F1042" s="91"/>
      <c r="G1042" s="80"/>
      <c r="H1042" s="80"/>
      <c r="I1042" s="80"/>
      <c r="J1042" s="80"/>
    </row>
    <row r="1043" ht="22.5" customHeight="1">
      <c r="A1043" s="81"/>
      <c r="B1043" s="81"/>
      <c r="C1043" s="81"/>
      <c r="D1043" s="81"/>
      <c r="E1043" s="80"/>
      <c r="F1043" s="91"/>
      <c r="G1043" s="80"/>
      <c r="H1043" s="80"/>
      <c r="I1043" s="80"/>
      <c r="J1043" s="80"/>
    </row>
    <row r="1044" ht="22.5" customHeight="1">
      <c r="A1044" s="81"/>
      <c r="B1044" s="81"/>
      <c r="C1044" s="81"/>
      <c r="D1044" s="81"/>
      <c r="E1044" s="80"/>
      <c r="F1044" s="91"/>
      <c r="G1044" s="80"/>
      <c r="H1044" s="80"/>
      <c r="I1044" s="80"/>
      <c r="J1044" s="80"/>
    </row>
    <row r="1045" ht="22.5" customHeight="1">
      <c r="A1045" s="81"/>
      <c r="B1045" s="81"/>
      <c r="C1045" s="81"/>
      <c r="D1045" s="81"/>
      <c r="E1045" s="80"/>
      <c r="F1045" s="91"/>
      <c r="G1045" s="80"/>
      <c r="H1045" s="80"/>
      <c r="I1045" s="80"/>
      <c r="J1045" s="80"/>
    </row>
    <row r="1046" ht="22.5" customHeight="1">
      <c r="A1046" s="81"/>
      <c r="B1046" s="81"/>
      <c r="C1046" s="81"/>
      <c r="D1046" s="81"/>
      <c r="E1046" s="80"/>
      <c r="F1046" s="91"/>
      <c r="G1046" s="80"/>
      <c r="H1046" s="80"/>
      <c r="I1046" s="80"/>
      <c r="J1046" s="80"/>
    </row>
    <row r="1047" ht="22.5" customHeight="1">
      <c r="A1047" s="81"/>
      <c r="B1047" s="81"/>
      <c r="C1047" s="81"/>
      <c r="D1047" s="81"/>
      <c r="E1047" s="80"/>
      <c r="F1047" s="91"/>
      <c r="G1047" s="80"/>
      <c r="H1047" s="80"/>
      <c r="I1047" s="80"/>
      <c r="J1047" s="80"/>
    </row>
    <row r="1048" ht="22.5" customHeight="1">
      <c r="A1048" s="81"/>
      <c r="B1048" s="81"/>
      <c r="C1048" s="81"/>
      <c r="D1048" s="81"/>
      <c r="E1048" s="80"/>
      <c r="F1048" s="91"/>
      <c r="G1048" s="80"/>
      <c r="H1048" s="80"/>
      <c r="I1048" s="80"/>
      <c r="J1048" s="80"/>
    </row>
    <row r="1049" ht="22.5" customHeight="1">
      <c r="A1049" s="81"/>
      <c r="B1049" s="81"/>
      <c r="C1049" s="81"/>
      <c r="D1049" s="81"/>
      <c r="E1049" s="80"/>
      <c r="F1049" s="91"/>
      <c r="G1049" s="80"/>
      <c r="H1049" s="80"/>
      <c r="I1049" s="80"/>
      <c r="J1049" s="80"/>
    </row>
    <row r="1050" ht="22.5" customHeight="1">
      <c r="A1050" s="81"/>
      <c r="B1050" s="81"/>
      <c r="C1050" s="81"/>
      <c r="D1050" s="81"/>
      <c r="E1050" s="80"/>
      <c r="F1050" s="91"/>
      <c r="G1050" s="80"/>
      <c r="H1050" s="80"/>
      <c r="I1050" s="80"/>
      <c r="J1050" s="80"/>
    </row>
    <row r="1051" ht="22.5" customHeight="1">
      <c r="A1051" s="81"/>
      <c r="B1051" s="81"/>
      <c r="C1051" s="81"/>
      <c r="D1051" s="81"/>
      <c r="E1051" s="80"/>
      <c r="F1051" s="91"/>
      <c r="G1051" s="80"/>
      <c r="H1051" s="80"/>
      <c r="I1051" s="80"/>
      <c r="J1051" s="80"/>
    </row>
    <row r="1052" ht="22.5" customHeight="1">
      <c r="A1052" s="81"/>
      <c r="B1052" s="81"/>
      <c r="C1052" s="81"/>
      <c r="D1052" s="81"/>
      <c r="E1052" s="80"/>
      <c r="F1052" s="91"/>
      <c r="G1052" s="80"/>
      <c r="H1052" s="80"/>
      <c r="I1052" s="80"/>
      <c r="J1052" s="80"/>
    </row>
    <row r="1053" ht="22.5" customHeight="1">
      <c r="A1053" s="81"/>
      <c r="B1053" s="81"/>
      <c r="C1053" s="81"/>
      <c r="D1053" s="81"/>
      <c r="E1053" s="80"/>
      <c r="F1053" s="91"/>
      <c r="G1053" s="80"/>
      <c r="H1053" s="80"/>
      <c r="I1053" s="80"/>
      <c r="J1053" s="80"/>
    </row>
    <row r="1054" ht="22.5" customHeight="1">
      <c r="A1054" s="81"/>
      <c r="B1054" s="81"/>
      <c r="C1054" s="81"/>
      <c r="D1054" s="81"/>
      <c r="E1054" s="80"/>
      <c r="F1054" s="91"/>
      <c r="G1054" s="80"/>
      <c r="H1054" s="80"/>
      <c r="I1054" s="80"/>
      <c r="J1054" s="80"/>
    </row>
    <row r="1055" ht="22.5" customHeight="1">
      <c r="A1055" s="81"/>
      <c r="B1055" s="81"/>
      <c r="C1055" s="81"/>
      <c r="D1055" s="81"/>
      <c r="E1055" s="80"/>
      <c r="F1055" s="91"/>
      <c r="G1055" s="80"/>
      <c r="H1055" s="80"/>
      <c r="I1055" s="80"/>
      <c r="J1055" s="80"/>
    </row>
    <row r="1056" ht="22.5" customHeight="1">
      <c r="A1056" s="81"/>
      <c r="B1056" s="81"/>
      <c r="C1056" s="81"/>
      <c r="D1056" s="81"/>
      <c r="E1056" s="80"/>
      <c r="F1056" s="91"/>
      <c r="G1056" s="80"/>
      <c r="H1056" s="80"/>
      <c r="I1056" s="80"/>
      <c r="J1056" s="80"/>
    </row>
    <row r="1057" ht="22.5" customHeight="1">
      <c r="A1057" s="81"/>
      <c r="B1057" s="81"/>
      <c r="C1057" s="81"/>
      <c r="D1057" s="81"/>
      <c r="E1057" s="80"/>
      <c r="F1057" s="91"/>
      <c r="G1057" s="80"/>
      <c r="H1057" s="80"/>
      <c r="I1057" s="80"/>
      <c r="J1057" s="80"/>
    </row>
    <row r="1058" ht="22.5" customHeight="1">
      <c r="A1058" s="81"/>
      <c r="B1058" s="81"/>
      <c r="C1058" s="81"/>
      <c r="D1058" s="81"/>
      <c r="E1058" s="80"/>
      <c r="F1058" s="91"/>
      <c r="G1058" s="80"/>
      <c r="H1058" s="80"/>
      <c r="I1058" s="80"/>
      <c r="J1058" s="80"/>
    </row>
    <row r="1059" ht="22.5" customHeight="1">
      <c r="A1059" s="81"/>
      <c r="B1059" s="81"/>
      <c r="C1059" s="81"/>
      <c r="D1059" s="81"/>
      <c r="E1059" s="80"/>
      <c r="F1059" s="91"/>
      <c r="G1059" s="80"/>
      <c r="H1059" s="80"/>
      <c r="I1059" s="80"/>
      <c r="J1059" s="80"/>
    </row>
    <row r="1060" ht="22.5" customHeight="1">
      <c r="A1060" s="81"/>
      <c r="B1060" s="81"/>
      <c r="C1060" s="81"/>
      <c r="D1060" s="81"/>
      <c r="E1060" s="80"/>
      <c r="F1060" s="91"/>
      <c r="G1060" s="80"/>
      <c r="H1060" s="80"/>
      <c r="I1060" s="80"/>
      <c r="J1060" s="80"/>
    </row>
    <row r="1061" ht="22.5" customHeight="1">
      <c r="A1061" s="81"/>
      <c r="B1061" s="81"/>
      <c r="C1061" s="81"/>
      <c r="D1061" s="81"/>
      <c r="E1061" s="80"/>
      <c r="F1061" s="91"/>
      <c r="G1061" s="80"/>
      <c r="H1061" s="80"/>
      <c r="I1061" s="80"/>
      <c r="J1061" s="80"/>
    </row>
    <row r="1062" ht="22.5" customHeight="1">
      <c r="A1062" s="81"/>
      <c r="B1062" s="81"/>
      <c r="C1062" s="81"/>
      <c r="D1062" s="81"/>
      <c r="E1062" s="80"/>
      <c r="F1062" s="91"/>
      <c r="G1062" s="80"/>
      <c r="H1062" s="80"/>
      <c r="I1062" s="80"/>
      <c r="J1062" s="80"/>
    </row>
    <row r="1063" ht="22.5" customHeight="1">
      <c r="A1063" s="81"/>
      <c r="B1063" s="81"/>
      <c r="C1063" s="81"/>
      <c r="D1063" s="81"/>
      <c r="E1063" s="80"/>
      <c r="F1063" s="91"/>
      <c r="G1063" s="80"/>
      <c r="H1063" s="80"/>
      <c r="I1063" s="80"/>
      <c r="J1063" s="80"/>
    </row>
    <row r="1064" ht="22.5" customHeight="1">
      <c r="A1064" s="81"/>
      <c r="B1064" s="81"/>
      <c r="C1064" s="81"/>
      <c r="D1064" s="81"/>
      <c r="E1064" s="80"/>
      <c r="F1064" s="91"/>
      <c r="G1064" s="80"/>
      <c r="H1064" s="80"/>
      <c r="I1064" s="80"/>
      <c r="J1064" s="80"/>
    </row>
    <row r="1065" ht="22.5" customHeight="1">
      <c r="A1065" s="81"/>
      <c r="B1065" s="81"/>
      <c r="C1065" s="81"/>
      <c r="D1065" s="81"/>
      <c r="E1065" s="80"/>
      <c r="F1065" s="91"/>
      <c r="G1065" s="80"/>
      <c r="H1065" s="80"/>
      <c r="I1065" s="80"/>
      <c r="J1065" s="80"/>
    </row>
    <row r="1066" ht="22.5" customHeight="1">
      <c r="A1066" s="81"/>
      <c r="B1066" s="81"/>
      <c r="C1066" s="81"/>
      <c r="D1066" s="81"/>
      <c r="E1066" s="80"/>
      <c r="F1066" s="91"/>
      <c r="G1066" s="80"/>
      <c r="H1066" s="80"/>
      <c r="I1066" s="80"/>
      <c r="J1066" s="80"/>
    </row>
    <row r="1067" ht="22.5" customHeight="1">
      <c r="A1067" s="81"/>
      <c r="B1067" s="81"/>
      <c r="C1067" s="81"/>
      <c r="D1067" s="81"/>
      <c r="E1067" s="80"/>
      <c r="F1067" s="91"/>
      <c r="G1067" s="80"/>
      <c r="H1067" s="80"/>
      <c r="I1067" s="80"/>
      <c r="J1067" s="80"/>
    </row>
    <row r="1068" ht="22.5" customHeight="1">
      <c r="A1068" s="81"/>
      <c r="B1068" s="81"/>
      <c r="C1068" s="81"/>
      <c r="D1068" s="81"/>
      <c r="E1068" s="80"/>
      <c r="F1068" s="91"/>
      <c r="G1068" s="80"/>
      <c r="H1068" s="80"/>
      <c r="I1068" s="80"/>
      <c r="J1068" s="80"/>
    </row>
    <row r="1069" ht="22.5" customHeight="1">
      <c r="A1069" s="81"/>
      <c r="B1069" s="81"/>
      <c r="C1069" s="81"/>
      <c r="D1069" s="81"/>
      <c r="E1069" s="80"/>
      <c r="F1069" s="91"/>
      <c r="G1069" s="80"/>
      <c r="H1069" s="80"/>
      <c r="I1069" s="80"/>
      <c r="J1069" s="80"/>
    </row>
    <row r="1070" ht="22.5" customHeight="1">
      <c r="A1070" s="81"/>
      <c r="B1070" s="81"/>
      <c r="C1070" s="81"/>
      <c r="D1070" s="81"/>
      <c r="E1070" s="80"/>
      <c r="F1070" s="91"/>
      <c r="G1070" s="80"/>
      <c r="H1070" s="80"/>
      <c r="I1070" s="80"/>
      <c r="J1070" s="80"/>
    </row>
    <row r="1071" ht="22.5" customHeight="1">
      <c r="A1071" s="81"/>
      <c r="B1071" s="81"/>
      <c r="C1071" s="81"/>
      <c r="D1071" s="81"/>
      <c r="E1071" s="80"/>
      <c r="F1071" s="91"/>
      <c r="G1071" s="80"/>
      <c r="H1071" s="80"/>
      <c r="I1071" s="80"/>
      <c r="J1071" s="80"/>
    </row>
    <row r="1072" ht="22.5" customHeight="1">
      <c r="A1072" s="81"/>
      <c r="B1072" s="81"/>
      <c r="C1072" s="81"/>
      <c r="D1072" s="81"/>
      <c r="E1072" s="80"/>
      <c r="F1072" s="91"/>
      <c r="G1072" s="80"/>
      <c r="H1072" s="80"/>
      <c r="I1072" s="80"/>
      <c r="J1072" s="80"/>
    </row>
    <row r="1073" ht="22.5" customHeight="1">
      <c r="A1073" s="81"/>
      <c r="B1073" s="81"/>
      <c r="C1073" s="81"/>
      <c r="D1073" s="81"/>
      <c r="E1073" s="80"/>
      <c r="F1073" s="91"/>
      <c r="G1073" s="80"/>
      <c r="H1073" s="80"/>
      <c r="I1073" s="80"/>
      <c r="J1073" s="80"/>
    </row>
    <row r="1074" ht="22.5" customHeight="1">
      <c r="A1074" s="81"/>
      <c r="B1074" s="81"/>
      <c r="C1074" s="81"/>
      <c r="D1074" s="81"/>
      <c r="E1074" s="80"/>
      <c r="F1074" s="91"/>
      <c r="G1074" s="80"/>
      <c r="H1074" s="80"/>
      <c r="I1074" s="80"/>
      <c r="J1074" s="80"/>
    </row>
    <row r="1075" ht="22.5" customHeight="1">
      <c r="A1075" s="81"/>
      <c r="B1075" s="81"/>
      <c r="C1075" s="81"/>
      <c r="D1075" s="81"/>
      <c r="E1075" s="80"/>
      <c r="F1075" s="91"/>
      <c r="G1075" s="80"/>
      <c r="H1075" s="80"/>
      <c r="I1075" s="80"/>
      <c r="J1075" s="80"/>
    </row>
    <row r="1076" ht="22.5" customHeight="1">
      <c r="A1076" s="81"/>
      <c r="B1076" s="81"/>
      <c r="C1076" s="81"/>
      <c r="D1076" s="81"/>
      <c r="E1076" s="80"/>
      <c r="F1076" s="91"/>
      <c r="G1076" s="80"/>
      <c r="H1076" s="80"/>
      <c r="I1076" s="80"/>
      <c r="J1076" s="80"/>
    </row>
    <row r="1077" ht="22.5" customHeight="1">
      <c r="A1077" s="81"/>
      <c r="B1077" s="81"/>
      <c r="C1077" s="81"/>
      <c r="D1077" s="81"/>
      <c r="E1077" s="80"/>
      <c r="F1077" s="91"/>
      <c r="G1077" s="80"/>
      <c r="H1077" s="80"/>
      <c r="I1077" s="80"/>
      <c r="J1077" s="80"/>
    </row>
    <row r="1078" ht="22.5" customHeight="1">
      <c r="A1078" s="81"/>
      <c r="B1078" s="81"/>
      <c r="C1078" s="81"/>
      <c r="D1078" s="81"/>
      <c r="E1078" s="80"/>
      <c r="F1078" s="91"/>
      <c r="G1078" s="80"/>
      <c r="H1078" s="80"/>
      <c r="I1078" s="80"/>
      <c r="J1078" s="80"/>
    </row>
    <row r="1079" ht="22.5" customHeight="1">
      <c r="A1079" s="81"/>
      <c r="B1079" s="81"/>
      <c r="C1079" s="81"/>
      <c r="D1079" s="81"/>
      <c r="E1079" s="80"/>
      <c r="F1079" s="91"/>
      <c r="G1079" s="80"/>
      <c r="H1079" s="80"/>
      <c r="I1079" s="80"/>
      <c r="J1079" s="80"/>
    </row>
    <row r="1080" ht="22.5" customHeight="1">
      <c r="A1080" s="81"/>
      <c r="B1080" s="81"/>
      <c r="C1080" s="81"/>
      <c r="D1080" s="81"/>
      <c r="E1080" s="80"/>
      <c r="F1080" s="91"/>
      <c r="G1080" s="80"/>
      <c r="H1080" s="80"/>
      <c r="I1080" s="80"/>
      <c r="J1080" s="80"/>
    </row>
    <row r="1081" ht="22.5" customHeight="1">
      <c r="A1081" s="81"/>
      <c r="B1081" s="81"/>
      <c r="C1081" s="81"/>
      <c r="D1081" s="81"/>
      <c r="E1081" s="80"/>
      <c r="F1081" s="91"/>
      <c r="G1081" s="80"/>
      <c r="H1081" s="80"/>
      <c r="I1081" s="80"/>
      <c r="J1081" s="80"/>
    </row>
    <row r="1082" ht="22.5" customHeight="1">
      <c r="A1082" s="81"/>
      <c r="B1082" s="81"/>
      <c r="C1082" s="81"/>
      <c r="D1082" s="81"/>
      <c r="E1082" s="80"/>
      <c r="F1082" s="91"/>
      <c r="G1082" s="80"/>
      <c r="H1082" s="80"/>
      <c r="I1082" s="80"/>
      <c r="J1082" s="80"/>
    </row>
    <row r="1083" ht="22.5" customHeight="1">
      <c r="A1083" s="81"/>
      <c r="B1083" s="81"/>
      <c r="C1083" s="81"/>
      <c r="D1083" s="81"/>
      <c r="E1083" s="80"/>
      <c r="F1083" s="91"/>
      <c r="G1083" s="80"/>
      <c r="H1083" s="80"/>
      <c r="I1083" s="80"/>
      <c r="J1083" s="80"/>
    </row>
    <row r="1084" ht="22.5" customHeight="1">
      <c r="A1084" s="81"/>
      <c r="B1084" s="81"/>
      <c r="C1084" s="81"/>
      <c r="D1084" s="81"/>
      <c r="E1084" s="80"/>
      <c r="F1084" s="91"/>
      <c r="G1084" s="80"/>
      <c r="H1084" s="80"/>
      <c r="I1084" s="80"/>
      <c r="J1084" s="80"/>
    </row>
    <row r="1085" ht="22.5" customHeight="1">
      <c r="A1085" s="81"/>
      <c r="B1085" s="81"/>
      <c r="C1085" s="81"/>
      <c r="D1085" s="81"/>
      <c r="E1085" s="80"/>
      <c r="F1085" s="91"/>
      <c r="G1085" s="80"/>
      <c r="H1085" s="80"/>
      <c r="I1085" s="80"/>
      <c r="J1085" s="80"/>
    </row>
    <row r="1086" ht="22.5" customHeight="1">
      <c r="A1086" s="81"/>
      <c r="B1086" s="81"/>
      <c r="C1086" s="81"/>
      <c r="D1086" s="81"/>
      <c r="E1086" s="80"/>
      <c r="F1086" s="91"/>
      <c r="G1086" s="80"/>
      <c r="H1086" s="80"/>
      <c r="I1086" s="80"/>
      <c r="J1086" s="80"/>
    </row>
    <row r="1087" ht="22.5" customHeight="1">
      <c r="A1087" s="81"/>
      <c r="B1087" s="81"/>
      <c r="C1087" s="81"/>
      <c r="D1087" s="81"/>
      <c r="E1087" s="80"/>
      <c r="F1087" s="91"/>
      <c r="G1087" s="80"/>
      <c r="H1087" s="80"/>
      <c r="I1087" s="80"/>
      <c r="J1087" s="80"/>
    </row>
    <row r="1088" ht="22.5" customHeight="1">
      <c r="A1088" s="81"/>
      <c r="B1088" s="81"/>
      <c r="C1088" s="81"/>
      <c r="D1088" s="81"/>
      <c r="E1088" s="80"/>
      <c r="F1088" s="91"/>
      <c r="G1088" s="80"/>
      <c r="H1088" s="80"/>
      <c r="I1088" s="80"/>
      <c r="J1088" s="80"/>
    </row>
    <row r="1089" ht="22.5" customHeight="1">
      <c r="A1089" s="81"/>
      <c r="B1089" s="81"/>
      <c r="C1089" s="81"/>
      <c r="D1089" s="81"/>
      <c r="E1089" s="80"/>
      <c r="F1089" s="91"/>
      <c r="G1089" s="80"/>
      <c r="H1089" s="80"/>
      <c r="I1089" s="80"/>
      <c r="J1089" s="80"/>
    </row>
    <row r="1090" ht="22.5" customHeight="1">
      <c r="A1090" s="81"/>
      <c r="B1090" s="81"/>
      <c r="C1090" s="81"/>
      <c r="D1090" s="81"/>
      <c r="E1090" s="80"/>
      <c r="F1090" s="91"/>
      <c r="G1090" s="80"/>
      <c r="H1090" s="80"/>
      <c r="I1090" s="80"/>
      <c r="J1090" s="80"/>
    </row>
    <row r="1091" ht="22.5" customHeight="1">
      <c r="A1091" s="81"/>
      <c r="B1091" s="81"/>
      <c r="C1091" s="81"/>
      <c r="D1091" s="81"/>
      <c r="E1091" s="80"/>
      <c r="F1091" s="91"/>
      <c r="G1091" s="80"/>
      <c r="H1091" s="80"/>
      <c r="I1091" s="80"/>
      <c r="J1091" s="80"/>
    </row>
    <row r="1092" ht="22.5" customHeight="1">
      <c r="A1092" s="81"/>
      <c r="B1092" s="81"/>
      <c r="C1092" s="81"/>
      <c r="D1092" s="81"/>
      <c r="E1092" s="80"/>
      <c r="F1092" s="91"/>
      <c r="G1092" s="80"/>
      <c r="H1092" s="80"/>
      <c r="I1092" s="80"/>
      <c r="J1092" s="80"/>
    </row>
    <row r="1093" ht="22.5" customHeight="1">
      <c r="A1093" s="81"/>
      <c r="B1093" s="81"/>
      <c r="C1093" s="81"/>
      <c r="D1093" s="81"/>
      <c r="E1093" s="80"/>
      <c r="F1093" s="91"/>
      <c r="G1093" s="80"/>
      <c r="H1093" s="80"/>
      <c r="I1093" s="80"/>
      <c r="J1093" s="80"/>
    </row>
    <row r="1094" ht="22.5" customHeight="1">
      <c r="A1094" s="81"/>
      <c r="B1094" s="81"/>
      <c r="C1094" s="81"/>
      <c r="D1094" s="81"/>
      <c r="E1094" s="80"/>
      <c r="F1094" s="91"/>
      <c r="G1094" s="80"/>
      <c r="H1094" s="80"/>
      <c r="I1094" s="80"/>
      <c r="J1094" s="80"/>
    </row>
    <row r="1095" ht="22.5" customHeight="1">
      <c r="A1095" s="81"/>
      <c r="B1095" s="81"/>
      <c r="C1095" s="81"/>
      <c r="D1095" s="81"/>
      <c r="E1095" s="80"/>
      <c r="F1095" s="91"/>
      <c r="G1095" s="80"/>
      <c r="H1095" s="80"/>
      <c r="I1095" s="80"/>
      <c r="J1095" s="80"/>
    </row>
    <row r="1096" ht="22.5" customHeight="1">
      <c r="A1096" s="81"/>
      <c r="B1096" s="81"/>
      <c r="C1096" s="81"/>
      <c r="D1096" s="81"/>
      <c r="E1096" s="80"/>
      <c r="F1096" s="91"/>
      <c r="G1096" s="80"/>
      <c r="H1096" s="80"/>
      <c r="I1096" s="80"/>
      <c r="J1096" s="80"/>
    </row>
    <row r="1097" ht="22.5" customHeight="1">
      <c r="A1097" s="81"/>
      <c r="B1097" s="81"/>
      <c r="C1097" s="81"/>
      <c r="D1097" s="81"/>
      <c r="E1097" s="80"/>
      <c r="F1097" s="91"/>
      <c r="G1097" s="80"/>
      <c r="H1097" s="80"/>
      <c r="I1097" s="80"/>
      <c r="J1097" s="80"/>
    </row>
    <row r="1098" ht="22.5" customHeight="1">
      <c r="A1098" s="81"/>
      <c r="B1098" s="81"/>
      <c r="C1098" s="81"/>
      <c r="D1098" s="81"/>
      <c r="E1098" s="80"/>
      <c r="F1098" s="91"/>
      <c r="G1098" s="80"/>
      <c r="H1098" s="80"/>
      <c r="I1098" s="80"/>
      <c r="J1098" s="80"/>
    </row>
    <row r="1099" ht="22.5" customHeight="1">
      <c r="A1099" s="81"/>
      <c r="B1099" s="81"/>
      <c r="C1099" s="81"/>
      <c r="D1099" s="81"/>
      <c r="E1099" s="80"/>
      <c r="F1099" s="91"/>
      <c r="G1099" s="80"/>
      <c r="H1099" s="80"/>
      <c r="I1099" s="80"/>
      <c r="J1099" s="80"/>
    </row>
    <row r="1100" ht="22.5" customHeight="1">
      <c r="A1100" s="81"/>
      <c r="B1100" s="81"/>
      <c r="C1100" s="81"/>
      <c r="D1100" s="81"/>
      <c r="E1100" s="80"/>
      <c r="F1100" s="91"/>
      <c r="G1100" s="80"/>
      <c r="H1100" s="80"/>
      <c r="I1100" s="80"/>
      <c r="J1100" s="80"/>
    </row>
    <row r="1101" ht="22.5" customHeight="1">
      <c r="A1101" s="81"/>
      <c r="B1101" s="81"/>
      <c r="C1101" s="81"/>
      <c r="D1101" s="81"/>
      <c r="E1101" s="80"/>
      <c r="F1101" s="91"/>
      <c r="G1101" s="80"/>
      <c r="H1101" s="80"/>
      <c r="I1101" s="80"/>
      <c r="J1101" s="80"/>
    </row>
    <row r="1102" ht="22.5" customHeight="1">
      <c r="A1102" s="81"/>
      <c r="B1102" s="81"/>
      <c r="C1102" s="81"/>
      <c r="D1102" s="81"/>
      <c r="E1102" s="80"/>
      <c r="F1102" s="91"/>
      <c r="G1102" s="80"/>
      <c r="H1102" s="80"/>
      <c r="I1102" s="80"/>
      <c r="J1102" s="80"/>
    </row>
    <row r="1103" ht="22.5" customHeight="1">
      <c r="A1103" s="81"/>
      <c r="B1103" s="81"/>
      <c r="C1103" s="81"/>
      <c r="D1103" s="81"/>
      <c r="E1103" s="80"/>
      <c r="F1103" s="91"/>
      <c r="G1103" s="80"/>
      <c r="H1103" s="80"/>
      <c r="I1103" s="80"/>
      <c r="J1103" s="80"/>
    </row>
    <row r="1104" ht="22.5" customHeight="1">
      <c r="A1104" s="81"/>
      <c r="B1104" s="81"/>
      <c r="C1104" s="81"/>
      <c r="D1104" s="81"/>
      <c r="E1104" s="80"/>
      <c r="F1104" s="91"/>
      <c r="G1104" s="80"/>
      <c r="H1104" s="80"/>
      <c r="I1104" s="80"/>
      <c r="J1104" s="80"/>
    </row>
    <row r="1105" ht="22.5" customHeight="1">
      <c r="A1105" s="81"/>
      <c r="B1105" s="81"/>
      <c r="C1105" s="81"/>
      <c r="D1105" s="81"/>
      <c r="E1105" s="80"/>
      <c r="F1105" s="91"/>
      <c r="G1105" s="80"/>
      <c r="H1105" s="80"/>
      <c r="I1105" s="80"/>
      <c r="J1105" s="80"/>
    </row>
    <row r="1106" ht="22.5" customHeight="1">
      <c r="A1106" s="81"/>
      <c r="B1106" s="81"/>
      <c r="C1106" s="81"/>
      <c r="D1106" s="81"/>
      <c r="E1106" s="80"/>
      <c r="F1106" s="91"/>
      <c r="G1106" s="80"/>
      <c r="H1106" s="80"/>
      <c r="I1106" s="80"/>
      <c r="J1106" s="80"/>
    </row>
    <row r="1107" ht="22.5" customHeight="1">
      <c r="A1107" s="81"/>
      <c r="B1107" s="81"/>
      <c r="C1107" s="81"/>
      <c r="D1107" s="81"/>
      <c r="E1107" s="80"/>
      <c r="F1107" s="91"/>
      <c r="G1107" s="80"/>
      <c r="H1107" s="80"/>
      <c r="I1107" s="80"/>
      <c r="J1107" s="80"/>
    </row>
    <row r="1108" ht="22.5" customHeight="1">
      <c r="A1108" s="81"/>
      <c r="B1108" s="81"/>
      <c r="C1108" s="81"/>
      <c r="D1108" s="81"/>
      <c r="E1108" s="80"/>
      <c r="F1108" s="91"/>
      <c r="G1108" s="80"/>
      <c r="H1108" s="80"/>
      <c r="I1108" s="80"/>
      <c r="J1108" s="80"/>
    </row>
    <row r="1109" ht="22.5" customHeight="1">
      <c r="A1109" s="81"/>
      <c r="B1109" s="81"/>
      <c r="C1109" s="81"/>
      <c r="D1109" s="81"/>
      <c r="E1109" s="80"/>
      <c r="F1109" s="91"/>
      <c r="G1109" s="80"/>
      <c r="H1109" s="80"/>
      <c r="I1109" s="80"/>
      <c r="J1109" s="80"/>
    </row>
    <row r="1110" ht="22.5" customHeight="1">
      <c r="A1110" s="81"/>
      <c r="B1110" s="81"/>
      <c r="C1110" s="81"/>
      <c r="D1110" s="81"/>
      <c r="E1110" s="80"/>
      <c r="F1110" s="91"/>
      <c r="G1110" s="80"/>
      <c r="H1110" s="80"/>
      <c r="I1110" s="80"/>
      <c r="J1110" s="80"/>
    </row>
    <row r="1111" ht="22.5" customHeight="1">
      <c r="A1111" s="81"/>
      <c r="B1111" s="81"/>
      <c r="C1111" s="81"/>
      <c r="D1111" s="81"/>
      <c r="E1111" s="80"/>
      <c r="F1111" s="91"/>
      <c r="G1111" s="80"/>
      <c r="H1111" s="80"/>
      <c r="I1111" s="80"/>
      <c r="J1111" s="80"/>
    </row>
    <row r="1112" ht="22.5" customHeight="1">
      <c r="A1112" s="81"/>
      <c r="B1112" s="81"/>
      <c r="C1112" s="81"/>
      <c r="D1112" s="81"/>
      <c r="E1112" s="80"/>
      <c r="F1112" s="91"/>
      <c r="G1112" s="80"/>
      <c r="H1112" s="80"/>
      <c r="I1112" s="80"/>
      <c r="J1112" s="80"/>
    </row>
    <row r="1113" ht="22.5" customHeight="1">
      <c r="A1113" s="81"/>
      <c r="B1113" s="81"/>
      <c r="C1113" s="81"/>
      <c r="D1113" s="81"/>
      <c r="E1113" s="80"/>
      <c r="F1113" s="91"/>
      <c r="G1113" s="80"/>
      <c r="H1113" s="80"/>
      <c r="I1113" s="80"/>
      <c r="J1113" s="80"/>
    </row>
    <row r="1114" ht="22.5" customHeight="1">
      <c r="A1114" s="81"/>
      <c r="B1114" s="81"/>
      <c r="C1114" s="81"/>
      <c r="D1114" s="81"/>
      <c r="E1114" s="80"/>
      <c r="F1114" s="91"/>
      <c r="G1114" s="80"/>
      <c r="H1114" s="80"/>
      <c r="I1114" s="80"/>
      <c r="J1114" s="80"/>
    </row>
    <row r="1115" ht="22.5" customHeight="1">
      <c r="A1115" s="81"/>
      <c r="B1115" s="81"/>
      <c r="C1115" s="81"/>
      <c r="D1115" s="81"/>
      <c r="E1115" s="80"/>
      <c r="F1115" s="91"/>
      <c r="G1115" s="80"/>
      <c r="H1115" s="80"/>
      <c r="I1115" s="80"/>
      <c r="J1115" s="80"/>
    </row>
    <row r="1116" ht="22.5" customHeight="1">
      <c r="A1116" s="81"/>
      <c r="B1116" s="81"/>
      <c r="C1116" s="81"/>
      <c r="D1116" s="81"/>
      <c r="E1116" s="80"/>
      <c r="F1116" s="91"/>
      <c r="G1116" s="80"/>
      <c r="H1116" s="80"/>
      <c r="I1116" s="80"/>
      <c r="J1116" s="80"/>
    </row>
    <row r="1117" ht="22.5" customHeight="1">
      <c r="A1117" s="81"/>
      <c r="B1117" s="81"/>
      <c r="C1117" s="81"/>
      <c r="D1117" s="81"/>
      <c r="E1117" s="80"/>
      <c r="F1117" s="91"/>
      <c r="G1117" s="80"/>
      <c r="H1117" s="80"/>
      <c r="I1117" s="80"/>
      <c r="J1117" s="80"/>
    </row>
    <row r="1118" ht="22.5" customHeight="1">
      <c r="A1118" s="81"/>
      <c r="B1118" s="81"/>
      <c r="C1118" s="81"/>
      <c r="D1118" s="81"/>
      <c r="E1118" s="80"/>
      <c r="F1118" s="91"/>
      <c r="G1118" s="80"/>
      <c r="H1118" s="80"/>
      <c r="I1118" s="80"/>
      <c r="J1118" s="80"/>
    </row>
    <row r="1119" ht="22.5" customHeight="1">
      <c r="A1119" s="81"/>
      <c r="B1119" s="81"/>
      <c r="C1119" s="81"/>
      <c r="D1119" s="81"/>
      <c r="E1119" s="80"/>
      <c r="F1119" s="91"/>
      <c r="G1119" s="80"/>
      <c r="H1119" s="80"/>
      <c r="I1119" s="80"/>
      <c r="J1119" s="80"/>
    </row>
    <row r="1120" ht="22.5" customHeight="1">
      <c r="A1120" s="81"/>
      <c r="B1120" s="81"/>
      <c r="C1120" s="81"/>
      <c r="D1120" s="81"/>
      <c r="E1120" s="80"/>
      <c r="F1120" s="91"/>
      <c r="G1120" s="80"/>
      <c r="H1120" s="80"/>
      <c r="I1120" s="80"/>
      <c r="J1120" s="80"/>
    </row>
    <row r="1121" ht="22.5" customHeight="1">
      <c r="A1121" s="81"/>
      <c r="B1121" s="81"/>
      <c r="C1121" s="81"/>
      <c r="D1121" s="81"/>
      <c r="E1121" s="80"/>
      <c r="F1121" s="91"/>
      <c r="G1121" s="80"/>
      <c r="H1121" s="80"/>
      <c r="I1121" s="80"/>
      <c r="J1121" s="80"/>
    </row>
    <row r="1122" ht="22.5" customHeight="1">
      <c r="A1122" s="81"/>
      <c r="B1122" s="81"/>
      <c r="C1122" s="81"/>
      <c r="D1122" s="81"/>
      <c r="E1122" s="80"/>
      <c r="F1122" s="91"/>
      <c r="G1122" s="80"/>
      <c r="H1122" s="80"/>
      <c r="I1122" s="80"/>
      <c r="J1122" s="80"/>
    </row>
    <row r="1123" ht="22.5" customHeight="1">
      <c r="A1123" s="81"/>
      <c r="B1123" s="81"/>
      <c r="C1123" s="81"/>
      <c r="D1123" s="81"/>
      <c r="E1123" s="80"/>
      <c r="F1123" s="91"/>
      <c r="G1123" s="80"/>
      <c r="H1123" s="80"/>
      <c r="I1123" s="80"/>
      <c r="J1123" s="80"/>
    </row>
    <row r="1124" ht="22.5" customHeight="1">
      <c r="A1124" s="81"/>
      <c r="B1124" s="81"/>
      <c r="C1124" s="81"/>
      <c r="D1124" s="81"/>
      <c r="E1124" s="80"/>
      <c r="F1124" s="91"/>
      <c r="G1124" s="80"/>
      <c r="H1124" s="80"/>
      <c r="I1124" s="80"/>
      <c r="J1124" s="80"/>
    </row>
    <row r="1125" ht="22.5" customHeight="1">
      <c r="A1125" s="81"/>
      <c r="B1125" s="81"/>
      <c r="C1125" s="81"/>
      <c r="D1125" s="81"/>
      <c r="E1125" s="80"/>
      <c r="F1125" s="91"/>
      <c r="G1125" s="80"/>
      <c r="H1125" s="80"/>
      <c r="I1125" s="80"/>
      <c r="J1125" s="80"/>
    </row>
    <row r="1126" ht="22.5" customHeight="1">
      <c r="A1126" s="81"/>
      <c r="B1126" s="81"/>
      <c r="C1126" s="81"/>
      <c r="D1126" s="81"/>
      <c r="E1126" s="80"/>
      <c r="F1126" s="91"/>
      <c r="G1126" s="80"/>
      <c r="H1126" s="80"/>
      <c r="I1126" s="80"/>
      <c r="J1126" s="80"/>
    </row>
    <row r="1127" ht="22.5" customHeight="1">
      <c r="A1127" s="81"/>
      <c r="B1127" s="81"/>
      <c r="C1127" s="81"/>
      <c r="D1127" s="81"/>
      <c r="E1127" s="80"/>
      <c r="F1127" s="91"/>
      <c r="G1127" s="80"/>
      <c r="H1127" s="80"/>
      <c r="I1127" s="80"/>
      <c r="J1127" s="80"/>
    </row>
    <row r="1128" ht="22.5" customHeight="1">
      <c r="A1128" s="81"/>
      <c r="B1128" s="81"/>
      <c r="C1128" s="81"/>
      <c r="D1128" s="81"/>
      <c r="E1128" s="80"/>
      <c r="F1128" s="91"/>
      <c r="G1128" s="80"/>
      <c r="H1128" s="80"/>
      <c r="I1128" s="80"/>
      <c r="J1128" s="80"/>
    </row>
    <row r="1129" ht="22.5" customHeight="1">
      <c r="A1129" s="81"/>
      <c r="B1129" s="81"/>
      <c r="C1129" s="81"/>
      <c r="D1129" s="81"/>
      <c r="E1129" s="80"/>
      <c r="F1129" s="91"/>
      <c r="G1129" s="80"/>
      <c r="H1129" s="80"/>
      <c r="I1129" s="80"/>
      <c r="J1129" s="80"/>
    </row>
    <row r="1130" ht="22.5" customHeight="1">
      <c r="A1130" s="81"/>
      <c r="B1130" s="81"/>
      <c r="C1130" s="81"/>
      <c r="D1130" s="81"/>
      <c r="E1130" s="80"/>
      <c r="F1130" s="91"/>
      <c r="G1130" s="80"/>
      <c r="H1130" s="80"/>
      <c r="I1130" s="80"/>
      <c r="J1130" s="80"/>
    </row>
    <row r="1131" ht="22.5" customHeight="1">
      <c r="A1131" s="81"/>
      <c r="B1131" s="81"/>
      <c r="C1131" s="81"/>
      <c r="D1131" s="81"/>
      <c r="E1131" s="80"/>
      <c r="F1131" s="91"/>
      <c r="G1131" s="80"/>
      <c r="H1131" s="80"/>
      <c r="I1131" s="80"/>
      <c r="J1131" s="80"/>
    </row>
    <row r="1132" ht="22.5" customHeight="1">
      <c r="A1132" s="81"/>
      <c r="B1132" s="81"/>
      <c r="C1132" s="81"/>
      <c r="D1132" s="81"/>
      <c r="E1132" s="80"/>
      <c r="F1132" s="91"/>
      <c r="G1132" s="80"/>
      <c r="H1132" s="80"/>
      <c r="I1132" s="80"/>
      <c r="J1132" s="80"/>
    </row>
    <row r="1133" ht="22.5" customHeight="1">
      <c r="A1133" s="81"/>
      <c r="B1133" s="81"/>
      <c r="C1133" s="81"/>
      <c r="D1133" s="81"/>
      <c r="E1133" s="80"/>
      <c r="F1133" s="91"/>
      <c r="G1133" s="80"/>
      <c r="H1133" s="80"/>
      <c r="I1133" s="80"/>
      <c r="J1133" s="80"/>
    </row>
    <row r="1134" ht="22.5" customHeight="1">
      <c r="A1134" s="81"/>
      <c r="B1134" s="81"/>
      <c r="C1134" s="81"/>
      <c r="D1134" s="81"/>
      <c r="E1134" s="80"/>
      <c r="F1134" s="91"/>
      <c r="G1134" s="80"/>
      <c r="H1134" s="80"/>
      <c r="I1134" s="80"/>
      <c r="J1134" s="80"/>
    </row>
    <row r="1135" ht="22.5" customHeight="1">
      <c r="A1135" s="81"/>
      <c r="B1135" s="81"/>
      <c r="C1135" s="81"/>
      <c r="D1135" s="81"/>
      <c r="E1135" s="80"/>
      <c r="F1135" s="91"/>
      <c r="G1135" s="80"/>
      <c r="H1135" s="80"/>
      <c r="I1135" s="80"/>
      <c r="J1135" s="80"/>
    </row>
    <row r="1136" ht="22.5" customHeight="1">
      <c r="A1136" s="81"/>
      <c r="B1136" s="81"/>
      <c r="C1136" s="81"/>
      <c r="D1136" s="81"/>
      <c r="E1136" s="80"/>
      <c r="F1136" s="91"/>
      <c r="G1136" s="80"/>
      <c r="H1136" s="80"/>
      <c r="I1136" s="80"/>
      <c r="J1136" s="80"/>
    </row>
    <row r="1137" ht="22.5" customHeight="1">
      <c r="A1137" s="81"/>
      <c r="B1137" s="81"/>
      <c r="C1137" s="81"/>
      <c r="D1137" s="81"/>
      <c r="E1137" s="80"/>
      <c r="F1137" s="91"/>
      <c r="G1137" s="80"/>
      <c r="H1137" s="80"/>
      <c r="I1137" s="80"/>
      <c r="J1137" s="80"/>
    </row>
    <row r="1138" ht="22.5" customHeight="1">
      <c r="A1138" s="81"/>
      <c r="B1138" s="81"/>
      <c r="C1138" s="81"/>
      <c r="D1138" s="81"/>
      <c r="E1138" s="80"/>
      <c r="F1138" s="91"/>
      <c r="G1138" s="80"/>
      <c r="H1138" s="80"/>
      <c r="I1138" s="80"/>
      <c r="J1138" s="80"/>
    </row>
    <row r="1139" ht="22.5" customHeight="1">
      <c r="A1139" s="81"/>
      <c r="B1139" s="81"/>
      <c r="C1139" s="81"/>
      <c r="D1139" s="81"/>
      <c r="E1139" s="80"/>
      <c r="F1139" s="91"/>
      <c r="G1139" s="80"/>
      <c r="H1139" s="80"/>
      <c r="I1139" s="80"/>
      <c r="J1139" s="80"/>
    </row>
    <row r="1140">
      <c r="I1140" s="103"/>
    </row>
    <row r="1141">
      <c r="I1141" s="103"/>
    </row>
    <row r="1142">
      <c r="I1142" s="103"/>
    </row>
    <row r="1143">
      <c r="I1143" s="103"/>
    </row>
    <row r="1144">
      <c r="I1144" s="103"/>
    </row>
    <row r="1145">
      <c r="I1145" s="103"/>
    </row>
    <row r="1146">
      <c r="I1146" s="103"/>
    </row>
    <row r="1147">
      <c r="I1147" s="103"/>
    </row>
    <row r="1148">
      <c r="I1148" s="103"/>
    </row>
    <row r="1149">
      <c r="I1149" s="103"/>
    </row>
    <row r="1150">
      <c r="I1150" s="103"/>
    </row>
  </sheetData>
  <dataValidations>
    <dataValidation type="custom" allowBlank="1" showDropDown="1" sqref="H2:H1139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0.5"/>
    <col customWidth="1" min="4" max="5" width="22.38"/>
    <col customWidth="1" min="11" max="12" width="16.75"/>
  </cols>
  <sheetData>
    <row r="2">
      <c r="A2" s="23"/>
      <c r="B2" s="104" t="s">
        <v>376</v>
      </c>
      <c r="C2" s="105" t="s">
        <v>377</v>
      </c>
      <c r="D2" s="106"/>
      <c r="E2" s="106"/>
      <c r="F2" s="106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104" t="s">
        <v>378</v>
      </c>
      <c r="C3" s="105" t="s">
        <v>379</v>
      </c>
      <c r="D3" s="106"/>
      <c r="E3" s="106"/>
      <c r="F3" s="10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3"/>
      <c r="B4" s="104" t="s">
        <v>380</v>
      </c>
      <c r="C4" s="107" t="s">
        <v>381</v>
      </c>
      <c r="D4" s="106"/>
      <c r="E4" s="106"/>
      <c r="F4" s="10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3"/>
      <c r="B5" s="104" t="s">
        <v>382</v>
      </c>
      <c r="C5" s="108">
        <v>1.0E8</v>
      </c>
      <c r="D5" s="106"/>
      <c r="E5" s="106"/>
      <c r="F5" s="10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3"/>
      <c r="B6" s="104" t="s">
        <v>383</v>
      </c>
      <c r="C6" s="109">
        <f>C5/30</f>
        <v>3333333.333</v>
      </c>
      <c r="D6" s="106"/>
      <c r="E6" s="106"/>
      <c r="F6" s="10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B7" s="110" t="s">
        <v>384</v>
      </c>
      <c r="C7" s="111" t="s">
        <v>385</v>
      </c>
      <c r="D7" s="3"/>
      <c r="E7" s="3"/>
      <c r="K7" s="110" t="s">
        <v>386</v>
      </c>
      <c r="L7" s="110" t="s">
        <v>387</v>
      </c>
    </row>
    <row r="8">
      <c r="B8" s="112"/>
      <c r="C8" s="111" t="s">
        <v>388</v>
      </c>
      <c r="D8" s="3"/>
      <c r="E8" s="3"/>
      <c r="K8" s="112"/>
      <c r="L8" s="112"/>
    </row>
    <row r="9">
      <c r="B9" s="7"/>
      <c r="C9" s="113" t="s">
        <v>389</v>
      </c>
      <c r="D9" s="113" t="s">
        <v>390</v>
      </c>
      <c r="E9" s="113" t="s">
        <v>386</v>
      </c>
      <c r="K9" s="7"/>
      <c r="L9" s="7"/>
    </row>
    <row r="10">
      <c r="B10" s="114">
        <v>1.0</v>
      </c>
      <c r="C10" s="115">
        <f t="shared" ref="C10:C39" si="1">$C$6</f>
        <v>3333333.333</v>
      </c>
      <c r="D10" s="116">
        <f>SUMIF('BULAN BERJALAN BANUA'!D:D,$L10,'BULAN BERJALAN BANUA'!H:H)</f>
        <v>130000</v>
      </c>
      <c r="E10" s="116">
        <f>SUMIF('BULAN BERJALAN BANUA'!$D:$D,$K10,'BULAN BERJALAN BANUA'!$H:$H)</f>
        <v>0</v>
      </c>
      <c r="K10" s="117" t="str">
        <f t="array" ref="K10">SEQUENCE(
  DAY(EOMONTH(DATE(2025, MATCH(K$7, {"JANUARI";"FEBRUARI";"MARET";"APRIL";"MEI";"JUNI";"JULI";"AGUSTUS";"SEPTEMBER";"OKTOBER";"NOVEMBER";"DESEMBER"}, 0), 1), 0)),
  1,
  DATE(2025, MATCH(K$1, {"JANUARI";"FEBRUARI";"MARET";"APRIL";"MEI";"JUNI";"JULI";"AGUSTUS";"SEPTEMBER";"OKTOBER";"NOVEMBER";"DESEMBER"}, 0), 1),
  1
)</f>
        <v>#N/A</v>
      </c>
      <c r="L10" s="117">
        <v>45962.0</v>
      </c>
    </row>
    <row r="11">
      <c r="B11" s="118">
        <v>2.0</v>
      </c>
      <c r="C11" s="115">
        <f t="shared" si="1"/>
        <v>3333333.333</v>
      </c>
      <c r="D11" s="116">
        <f>SUMIF('BULAN BERJALAN BANUA'!D:D,$L11,'BULAN BERJALAN BANUA'!H:H)</f>
        <v>0</v>
      </c>
      <c r="E11" s="116">
        <f>SUMIF('BULAN BERJALAN BANUA'!$D:$D,$K11,'BULAN BERJALAN BANUA'!$H:$H)</f>
        <v>0</v>
      </c>
      <c r="K11" s="117">
        <v>45932.0</v>
      </c>
      <c r="L11" s="117">
        <v>45963.0</v>
      </c>
    </row>
    <row r="12">
      <c r="B12" s="114">
        <v>3.0</v>
      </c>
      <c r="C12" s="115">
        <f t="shared" si="1"/>
        <v>3333333.333</v>
      </c>
      <c r="D12" s="116">
        <f>SUMIF('BULAN BERJALAN BANUA'!D:D,$L12,'BULAN BERJALAN BANUA'!H:H)</f>
        <v>0</v>
      </c>
      <c r="E12" s="116">
        <f>SUMIF('BULAN BERJALAN BANUA'!$D:$D,$K12,'BULAN BERJALAN BANUA'!$H:$H)</f>
        <v>0</v>
      </c>
      <c r="K12" s="117">
        <v>45933.0</v>
      </c>
      <c r="L12" s="117">
        <v>45964.0</v>
      </c>
    </row>
    <row r="13">
      <c r="B13" s="118">
        <v>4.0</v>
      </c>
      <c r="C13" s="115">
        <f t="shared" si="1"/>
        <v>3333333.333</v>
      </c>
      <c r="D13" s="116">
        <f>SUMIF('BULAN BERJALAN BANUA'!D:D,$L13,'BULAN BERJALAN BANUA'!H:H)</f>
        <v>200000</v>
      </c>
      <c r="E13" s="116">
        <f>SUMIF('BULAN BERJALAN BANUA'!$D:$D,$K13,'BULAN BERJALAN BANUA'!$H:$H)</f>
        <v>0</v>
      </c>
      <c r="K13" s="117">
        <v>45934.0</v>
      </c>
      <c r="L13" s="117">
        <v>45965.0</v>
      </c>
    </row>
    <row r="14">
      <c r="B14" s="114">
        <v>5.0</v>
      </c>
      <c r="C14" s="115">
        <f t="shared" si="1"/>
        <v>3333333.333</v>
      </c>
      <c r="D14" s="116">
        <f>SUMIF('BULAN BERJALAN BANUA'!D:D,$L14,'BULAN BERJALAN BANUA'!H:H)</f>
        <v>0</v>
      </c>
      <c r="E14" s="116">
        <f>SUMIF('BULAN BERJALAN BANUA'!$D:$D,$K14,'BULAN BERJALAN BANUA'!$H:$H)</f>
        <v>0</v>
      </c>
      <c r="K14" s="117">
        <v>45935.0</v>
      </c>
      <c r="L14" s="117">
        <v>45966.0</v>
      </c>
    </row>
    <row r="15">
      <c r="B15" s="118">
        <v>6.0</v>
      </c>
      <c r="C15" s="115">
        <f t="shared" si="1"/>
        <v>3333333.333</v>
      </c>
      <c r="D15" s="116">
        <f>SUMIF('BULAN BERJALAN BANUA'!D:D,$L15,'BULAN BERJALAN BANUA'!H:H)</f>
        <v>0</v>
      </c>
      <c r="E15" s="116">
        <f>SUMIF('BULAN BERJALAN BANUA'!$D:$D,$K15,'BULAN BERJALAN BANUA'!$H:$H)</f>
        <v>2580000</v>
      </c>
      <c r="K15" s="117">
        <v>45936.0</v>
      </c>
      <c r="L15" s="117">
        <v>45967.0</v>
      </c>
    </row>
    <row r="16">
      <c r="B16" s="114">
        <v>7.0</v>
      </c>
      <c r="C16" s="115">
        <f t="shared" si="1"/>
        <v>3333333.333</v>
      </c>
      <c r="D16" s="116">
        <f>SUMIF('BULAN BERJALAN BANUA'!D:D,$L16,'BULAN BERJALAN BANUA'!H:H)</f>
        <v>470000</v>
      </c>
      <c r="E16" s="116">
        <f>SUMIF('BULAN BERJALAN BANUA'!$D:$D,$K16,'BULAN BERJALAN BANUA'!$H:$H)</f>
        <v>0</v>
      </c>
      <c r="K16" s="117">
        <v>45937.0</v>
      </c>
      <c r="L16" s="117">
        <v>45968.0</v>
      </c>
    </row>
    <row r="17">
      <c r="B17" s="118">
        <v>8.0</v>
      </c>
      <c r="C17" s="115">
        <f t="shared" si="1"/>
        <v>3333333.333</v>
      </c>
      <c r="D17" s="116">
        <f>SUMIF('BULAN BERJALAN BANUA'!D:D,$L17,'BULAN BERJALAN BANUA'!H:H)</f>
        <v>0</v>
      </c>
      <c r="E17" s="116">
        <f>SUMIF('BULAN BERJALAN BANUA'!$D:$D,$K17,'BULAN BERJALAN BANUA'!$H:$H)</f>
        <v>3300000</v>
      </c>
      <c r="K17" s="117">
        <v>45938.0</v>
      </c>
      <c r="L17" s="117">
        <v>45969.0</v>
      </c>
    </row>
    <row r="18">
      <c r="B18" s="114">
        <v>9.0</v>
      </c>
      <c r="C18" s="115">
        <f t="shared" si="1"/>
        <v>3333333.333</v>
      </c>
      <c r="D18" s="116">
        <f>SUMIF('BULAN BERJALAN BANUA'!D:D,$L18,'BULAN BERJALAN BANUA'!H:H)</f>
        <v>0</v>
      </c>
      <c r="E18" s="116">
        <f>SUMIF('BULAN BERJALAN BANUA'!$D:$D,$K18,'BULAN BERJALAN BANUA'!$H:$H)</f>
        <v>10420000</v>
      </c>
      <c r="K18" s="117">
        <v>45939.0</v>
      </c>
      <c r="L18" s="117">
        <v>45970.0</v>
      </c>
    </row>
    <row r="19">
      <c r="B19" s="118">
        <v>10.0</v>
      </c>
      <c r="C19" s="115">
        <f t="shared" si="1"/>
        <v>3333333.333</v>
      </c>
      <c r="D19" s="116">
        <f>SUMIF('BULAN BERJALAN BANUA'!D:D,$L19,'BULAN BERJALAN BANUA'!H:H)</f>
        <v>3145000</v>
      </c>
      <c r="E19" s="116">
        <f>SUMIF('BULAN BERJALAN BANUA'!$D:$D,$K19,'BULAN BERJALAN BANUA'!$H:$H)</f>
        <v>0</v>
      </c>
      <c r="K19" s="117">
        <v>45940.0</v>
      </c>
      <c r="L19" s="117">
        <v>45971.0</v>
      </c>
    </row>
    <row r="20">
      <c r="B20" s="114">
        <v>11.0</v>
      </c>
      <c r="C20" s="115">
        <f t="shared" si="1"/>
        <v>3333333.333</v>
      </c>
      <c r="D20" s="116">
        <f>SUMIF('BULAN BERJALAN BANUA'!D:D,$L20,'BULAN BERJALAN BANUA'!H:H)</f>
        <v>0</v>
      </c>
      <c r="E20" s="116">
        <f>SUMIF('BULAN BERJALAN BANUA'!$D:$D,$K20,'BULAN BERJALAN BANUA'!$H:$H)</f>
        <v>60000</v>
      </c>
      <c r="K20" s="117">
        <v>45941.0</v>
      </c>
      <c r="L20" s="117">
        <v>45972.0</v>
      </c>
    </row>
    <row r="21">
      <c r="B21" s="118">
        <v>12.0</v>
      </c>
      <c r="C21" s="115">
        <f t="shared" si="1"/>
        <v>3333333.333</v>
      </c>
      <c r="D21" s="116">
        <f>SUMIF('BULAN BERJALAN BANUA'!D:D,$L21,'BULAN BERJALAN BANUA'!H:H)</f>
        <v>11535000</v>
      </c>
      <c r="E21" s="116">
        <f>SUMIF('BULAN BERJALAN BANUA'!$D:$D,$K21,'BULAN BERJALAN BANUA'!$H:$H)</f>
        <v>0</v>
      </c>
      <c r="K21" s="117">
        <v>45942.0</v>
      </c>
      <c r="L21" s="117">
        <v>45973.0</v>
      </c>
    </row>
    <row r="22">
      <c r="B22" s="114">
        <v>13.0</v>
      </c>
      <c r="C22" s="115">
        <f t="shared" si="1"/>
        <v>3333333.333</v>
      </c>
      <c r="D22" s="116">
        <f>SUMIF('BULAN BERJALAN BANUA'!D:D,$L22,'BULAN BERJALAN BANUA'!H:H)</f>
        <v>0</v>
      </c>
      <c r="E22" s="116">
        <f>SUMIF('BULAN BERJALAN BANUA'!$D:$D,$K22,'BULAN BERJALAN BANUA'!$H:$H)</f>
        <v>4248000</v>
      </c>
      <c r="K22" s="117">
        <v>45943.0</v>
      </c>
      <c r="L22" s="117">
        <v>45974.0</v>
      </c>
    </row>
    <row r="23">
      <c r="B23" s="118">
        <v>14.0</v>
      </c>
      <c r="C23" s="115">
        <f t="shared" si="1"/>
        <v>3333333.333</v>
      </c>
      <c r="D23" s="116">
        <f>SUMIF('BULAN BERJALAN BANUA'!D:D,$L23,'BULAN BERJALAN BANUA'!H:H)</f>
        <v>500000</v>
      </c>
      <c r="E23" s="116">
        <f>SUMIF('BULAN BERJALAN BANUA'!$D:$D,$K23,'BULAN BERJALAN BANUA'!$H:$H)</f>
        <v>0</v>
      </c>
      <c r="K23" s="117">
        <v>45944.0</v>
      </c>
      <c r="L23" s="117">
        <v>45975.0</v>
      </c>
    </row>
    <row r="24">
      <c r="B24" s="114">
        <v>15.0</v>
      </c>
      <c r="C24" s="115">
        <f t="shared" si="1"/>
        <v>3333333.333</v>
      </c>
      <c r="D24" s="116">
        <f>SUMIF('BULAN BERJALAN BANUA'!D:D,$L24,'BULAN BERJALAN BANUA'!H:H)</f>
        <v>0</v>
      </c>
      <c r="E24" s="116">
        <f>SUMIF('BULAN BERJALAN BANUA'!$D:$D,$K24,'BULAN BERJALAN BANUA'!$H:$H)</f>
        <v>4600000</v>
      </c>
      <c r="K24" s="117">
        <v>45945.0</v>
      </c>
      <c r="L24" s="117">
        <v>45976.0</v>
      </c>
    </row>
    <row r="25">
      <c r="B25" s="118">
        <v>16.0</v>
      </c>
      <c r="C25" s="115">
        <f t="shared" si="1"/>
        <v>3333333.333</v>
      </c>
      <c r="D25" s="116">
        <f>SUMIF('BULAN BERJALAN BANUA'!D:D,$L25,'BULAN BERJALAN BANUA'!H:H)</f>
        <v>0</v>
      </c>
      <c r="E25" s="116">
        <f>SUMIF('BULAN BERJALAN BANUA'!$D:$D,$K25,'BULAN BERJALAN BANUA'!$H:$H)</f>
        <v>13030000</v>
      </c>
      <c r="K25" s="117">
        <v>45946.0</v>
      </c>
      <c r="L25" s="117">
        <v>45977.0</v>
      </c>
    </row>
    <row r="26">
      <c r="B26" s="114">
        <v>17.0</v>
      </c>
      <c r="C26" s="115">
        <f t="shared" si="1"/>
        <v>3333333.333</v>
      </c>
      <c r="D26" s="116">
        <f>SUMIF('BULAN BERJALAN BANUA'!D:D,$L26,'BULAN BERJALAN BANUA'!H:H)</f>
        <v>0</v>
      </c>
      <c r="E26" s="116">
        <f>SUMIF('BULAN BERJALAN BANUA'!$D:$D,$K26,'BULAN BERJALAN BANUA'!$H:$H)</f>
        <v>4525000</v>
      </c>
      <c r="K26" s="117">
        <v>45947.0</v>
      </c>
      <c r="L26" s="117">
        <v>45978.0</v>
      </c>
    </row>
    <row r="27">
      <c r="B27" s="118">
        <v>18.0</v>
      </c>
      <c r="C27" s="115">
        <f t="shared" si="1"/>
        <v>3333333.333</v>
      </c>
      <c r="D27" s="116">
        <f>SUMIF('BULAN BERJALAN BANUA'!D:D,$L27,'BULAN BERJALAN BANUA'!H:H)</f>
        <v>0</v>
      </c>
      <c r="E27" s="116">
        <f>SUMIF('BULAN BERJALAN BANUA'!$D:$D,$K27,'BULAN BERJALAN BANUA'!$H:$H)</f>
        <v>0</v>
      </c>
      <c r="K27" s="117">
        <v>45948.0</v>
      </c>
      <c r="L27" s="117">
        <v>45979.0</v>
      </c>
    </row>
    <row r="28">
      <c r="B28" s="114">
        <v>19.0</v>
      </c>
      <c r="C28" s="115">
        <f t="shared" si="1"/>
        <v>3333333.333</v>
      </c>
      <c r="D28" s="116">
        <f>SUMIF('BULAN BERJALAN BANUA'!D:D,$L28,'BULAN BERJALAN BANUA'!H:H)</f>
        <v>840000</v>
      </c>
      <c r="E28" s="116">
        <f>SUMIF('BULAN BERJALAN BANUA'!$D:$D,$K28,'BULAN BERJALAN BANUA'!$H:$H)</f>
        <v>0</v>
      </c>
      <c r="K28" s="117">
        <v>45949.0</v>
      </c>
      <c r="L28" s="117">
        <v>45980.0</v>
      </c>
    </row>
    <row r="29">
      <c r="B29" s="118">
        <v>20.0</v>
      </c>
      <c r="C29" s="115">
        <f t="shared" si="1"/>
        <v>3333333.333</v>
      </c>
      <c r="D29" s="116">
        <f>SUMIF('BULAN BERJALAN BANUA'!D:D,$L29,'BULAN BERJALAN BANUA'!H:H)</f>
        <v>7790000</v>
      </c>
      <c r="E29" s="116">
        <f>SUMIF('BULAN BERJALAN BANUA'!$D:$D,$K29,'BULAN BERJALAN BANUA'!$H:$H)</f>
        <v>4270000</v>
      </c>
      <c r="K29" s="117">
        <v>45950.0</v>
      </c>
      <c r="L29" s="117">
        <v>45981.0</v>
      </c>
    </row>
    <row r="30">
      <c r="B30" s="114">
        <v>21.0</v>
      </c>
      <c r="C30" s="115">
        <f t="shared" si="1"/>
        <v>3333333.333</v>
      </c>
      <c r="D30" s="116">
        <f>SUMIF('BULAN BERJALAN BANUA'!D:D,$L30,'BULAN BERJALAN BANUA'!H:H)</f>
        <v>375000</v>
      </c>
      <c r="E30" s="116">
        <f>SUMIF('BULAN BERJALAN BANUA'!$D:$D,$K30,'BULAN BERJALAN BANUA'!$H:$H)</f>
        <v>0</v>
      </c>
      <c r="K30" s="117">
        <v>45951.0</v>
      </c>
      <c r="L30" s="117">
        <v>45982.0</v>
      </c>
    </row>
    <row r="31">
      <c r="B31" s="118">
        <v>22.0</v>
      </c>
      <c r="C31" s="115">
        <f t="shared" si="1"/>
        <v>3333333.333</v>
      </c>
      <c r="D31" s="116">
        <f>SUMIF('BULAN BERJALAN BANUA'!D:D,$L31,'BULAN BERJALAN BANUA'!H:H)</f>
        <v>1925000</v>
      </c>
      <c r="E31" s="116">
        <f>SUMIF('BULAN BERJALAN BANUA'!$D:$D,$K31,'BULAN BERJALAN BANUA'!$H:$H)</f>
        <v>10780000</v>
      </c>
      <c r="K31" s="117">
        <v>45952.0</v>
      </c>
      <c r="L31" s="117">
        <v>45983.0</v>
      </c>
    </row>
    <row r="32">
      <c r="B32" s="114">
        <v>23.0</v>
      </c>
      <c r="C32" s="115">
        <f t="shared" si="1"/>
        <v>3333333.333</v>
      </c>
      <c r="D32" s="116">
        <f>SUMIF('BULAN BERJALAN BANUA'!D:D,$L32,'BULAN BERJALAN BANUA'!H:H)</f>
        <v>0</v>
      </c>
      <c r="E32" s="116">
        <f>SUMIF('BULAN BERJALAN BANUA'!$D:$D,$K32,'BULAN BERJALAN BANUA'!$H:$H)</f>
        <v>0</v>
      </c>
      <c r="K32" s="117">
        <v>45953.0</v>
      </c>
      <c r="L32" s="117">
        <v>45984.0</v>
      </c>
    </row>
    <row r="33">
      <c r="B33" s="118">
        <v>24.0</v>
      </c>
      <c r="C33" s="115">
        <f t="shared" si="1"/>
        <v>3333333.333</v>
      </c>
      <c r="D33" s="116">
        <f>SUMIF('BULAN BERJALAN BANUA'!D:D,$L33,'BULAN BERJALAN BANUA'!H:H)</f>
        <v>0</v>
      </c>
      <c r="E33" s="116">
        <f>SUMIF('BULAN BERJALAN BANUA'!$D:$D,$K33,'BULAN BERJALAN BANUA'!$H:$H)</f>
        <v>2814000</v>
      </c>
      <c r="K33" s="117">
        <v>45954.0</v>
      </c>
      <c r="L33" s="117">
        <v>45985.0</v>
      </c>
    </row>
    <row r="34">
      <c r="B34" s="114">
        <v>25.0</v>
      </c>
      <c r="C34" s="115">
        <f t="shared" si="1"/>
        <v>3333333.333</v>
      </c>
      <c r="D34" s="116">
        <f>SUMIF('BULAN BERJALAN BANUA'!D:D,$L34,'BULAN BERJALAN BANUA'!H:H)</f>
        <v>0</v>
      </c>
      <c r="E34" s="116">
        <f>SUMIF('BULAN BERJALAN BANUA'!$D:$D,$K34,'BULAN BERJALAN BANUA'!$H:$H)</f>
        <v>0</v>
      </c>
      <c r="K34" s="117">
        <v>45955.0</v>
      </c>
      <c r="L34" s="117">
        <v>45986.0</v>
      </c>
    </row>
    <row r="35">
      <c r="B35" s="118">
        <v>26.0</v>
      </c>
      <c r="C35" s="115">
        <f t="shared" si="1"/>
        <v>3333333.333</v>
      </c>
      <c r="D35" s="116">
        <f>SUMIF('BULAN BERJALAN BANUA'!D:D,$L35,'BULAN BERJALAN BANUA'!H:H)</f>
        <v>0</v>
      </c>
      <c r="E35" s="116">
        <f>SUMIF('BULAN BERJALAN BANUA'!$D:$D,$K35,'BULAN BERJALAN BANUA'!$H:$H)</f>
        <v>0</v>
      </c>
      <c r="K35" s="117">
        <v>45956.0</v>
      </c>
      <c r="L35" s="117">
        <v>45987.0</v>
      </c>
    </row>
    <row r="36">
      <c r="B36" s="114">
        <v>27.0</v>
      </c>
      <c r="C36" s="115">
        <f t="shared" si="1"/>
        <v>3333333.333</v>
      </c>
      <c r="D36" s="116">
        <f>SUMIF('BULAN BERJALAN BANUA'!D:D,$L36,'BULAN BERJALAN BANUA'!H:H)</f>
        <v>0</v>
      </c>
      <c r="E36" s="116">
        <f>SUMIF('BULAN BERJALAN BANUA'!$D:$D,$K36,'BULAN BERJALAN BANUA'!$H:$H)</f>
        <v>0</v>
      </c>
      <c r="K36" s="117">
        <v>45957.0</v>
      </c>
      <c r="L36" s="117">
        <v>45988.0</v>
      </c>
    </row>
    <row r="37">
      <c r="B37" s="118">
        <v>28.0</v>
      </c>
      <c r="C37" s="115">
        <f t="shared" si="1"/>
        <v>3333333.333</v>
      </c>
      <c r="D37" s="116">
        <f>SUMIF('BULAN BERJALAN BANUA'!D:D,$L37,'BULAN BERJALAN BANUA'!H:H)</f>
        <v>0</v>
      </c>
      <c r="E37" s="116">
        <f>SUMIF('BULAN BERJALAN BANUA'!$D:$D,$K37,'BULAN BERJALAN BANUA'!$H:$H)</f>
        <v>0</v>
      </c>
      <c r="K37" s="117">
        <v>45958.0</v>
      </c>
      <c r="L37" s="117">
        <v>45989.0</v>
      </c>
    </row>
    <row r="38">
      <c r="B38" s="114">
        <v>29.0</v>
      </c>
      <c r="C38" s="115">
        <f t="shared" si="1"/>
        <v>3333333.333</v>
      </c>
      <c r="D38" s="116">
        <f>SUMIF('BULAN BERJALAN BANUA'!D:D,$L38,'BULAN BERJALAN BANUA'!H:H)</f>
        <v>0</v>
      </c>
      <c r="E38" s="116">
        <f>SUMIF('BULAN BERJALAN BANUA'!$D:$D,$K38,'BULAN BERJALAN BANUA'!$H:$H)</f>
        <v>0</v>
      </c>
      <c r="K38" s="117">
        <v>45959.0</v>
      </c>
      <c r="L38" s="117">
        <v>45990.0</v>
      </c>
    </row>
    <row r="39">
      <c r="B39" s="118">
        <v>30.0</v>
      </c>
      <c r="C39" s="115">
        <f t="shared" si="1"/>
        <v>3333333.333</v>
      </c>
      <c r="D39" s="116">
        <f>SUMIF('BULAN BERJALAN BANUA'!D:D,$L39,'BULAN BERJALAN BANUA'!H:H)</f>
        <v>0</v>
      </c>
      <c r="E39" s="116">
        <f>SUMIF('BULAN BERJALAN BANUA'!$D:$D,$K39,'BULAN BERJALAN BANUA'!$H:$H)</f>
        <v>0</v>
      </c>
      <c r="K39" s="117">
        <v>45960.0</v>
      </c>
      <c r="L39" s="117">
        <v>45991.0</v>
      </c>
    </row>
    <row r="40">
      <c r="B40" s="114">
        <v>31.0</v>
      </c>
      <c r="C40" s="115"/>
      <c r="D40" s="119"/>
      <c r="E40" s="116">
        <f>SUMIF('BULAN BERJALAN BANUA'!$D:$D,$K40,'BULAN BERJALAN BANUA'!$H:$H)</f>
        <v>2275000</v>
      </c>
      <c r="K40" s="117">
        <v>45961.0</v>
      </c>
      <c r="L40" s="120"/>
    </row>
    <row r="41">
      <c r="B41" s="121"/>
      <c r="C41" s="122"/>
      <c r="D41" s="119"/>
      <c r="E41" s="123"/>
      <c r="K41" s="124"/>
      <c r="L41" s="125"/>
    </row>
    <row r="42">
      <c r="B42" s="126"/>
      <c r="C42" s="127"/>
      <c r="D42" s="128"/>
      <c r="E42" s="123"/>
      <c r="K42" s="124"/>
      <c r="L42" s="129"/>
    </row>
    <row r="43">
      <c r="B43" s="130" t="s">
        <v>5</v>
      </c>
      <c r="C43" s="131">
        <f>SUM(C10:C40)</f>
        <v>100000000</v>
      </c>
      <c r="D43" s="132">
        <f t="shared" ref="D43:E43" si="2">SUM(D10:D41)</f>
        <v>26910000</v>
      </c>
      <c r="E43" s="132">
        <f t="shared" si="2"/>
        <v>62902000</v>
      </c>
    </row>
    <row r="45">
      <c r="C45" s="133" t="s">
        <v>391</v>
      </c>
      <c r="D45" s="134"/>
      <c r="E45" s="135">
        <f>C43</f>
        <v>100000000</v>
      </c>
    </row>
    <row r="46">
      <c r="C46" s="133" t="s">
        <v>392</v>
      </c>
      <c r="D46" s="134"/>
      <c r="E46" s="135">
        <f>D43</f>
        <v>26910000</v>
      </c>
    </row>
    <row r="47">
      <c r="C47" s="133" t="s">
        <v>393</v>
      </c>
      <c r="D47" s="136"/>
      <c r="E47" s="137">
        <f>E43</f>
        <v>62902000</v>
      </c>
    </row>
    <row r="48">
      <c r="C48" s="133" t="s">
        <v>394</v>
      </c>
      <c r="D48" s="136"/>
      <c r="E48" s="136">
        <f>E46/E45</f>
        <v>0.2691</v>
      </c>
    </row>
    <row r="49">
      <c r="C49" s="133" t="s">
        <v>395</v>
      </c>
      <c r="D49" s="136"/>
      <c r="E49" s="136">
        <f>E46/E47</f>
        <v>0.4278083368</v>
      </c>
    </row>
  </sheetData>
  <mergeCells count="5">
    <mergeCell ref="B7:B9"/>
    <mergeCell ref="C7:E7"/>
    <mergeCell ref="K7:K9"/>
    <mergeCell ref="L7:L9"/>
    <mergeCell ref="C8:E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4" width="14.75"/>
    <col customWidth="1" min="5" max="5" width="21.38"/>
    <col customWidth="1" min="6" max="10" width="17.0"/>
  </cols>
  <sheetData>
    <row r="1" ht="22.5" customHeight="1">
      <c r="A1" s="59" t="s">
        <v>61</v>
      </c>
      <c r="B1" s="60" t="s">
        <v>62</v>
      </c>
      <c r="C1" s="60" t="s">
        <v>63</v>
      </c>
      <c r="D1" s="138" t="s">
        <v>64</v>
      </c>
      <c r="E1" s="60" t="s">
        <v>65</v>
      </c>
      <c r="F1" s="59" t="s">
        <v>66</v>
      </c>
      <c r="G1" s="60" t="s">
        <v>67</v>
      </c>
      <c r="H1" s="59" t="s">
        <v>68</v>
      </c>
      <c r="I1" s="75" t="s">
        <v>110</v>
      </c>
      <c r="J1" s="59" t="s">
        <v>70</v>
      </c>
    </row>
    <row r="2" ht="22.5" customHeight="1">
      <c r="A2" s="76"/>
      <c r="B2" s="76"/>
      <c r="C2" s="77"/>
      <c r="D2" s="139"/>
      <c r="E2" s="77"/>
      <c r="F2" s="79"/>
      <c r="G2" s="76"/>
      <c r="H2" s="80">
        <f t="shared" ref="H2:H26" si="1">F2*G2</f>
        <v>0</v>
      </c>
      <c r="I2" s="77"/>
      <c r="J2" s="76"/>
    </row>
    <row r="3" ht="22.5" customHeight="1">
      <c r="A3" s="76"/>
      <c r="B3" s="76"/>
      <c r="C3" s="77"/>
      <c r="D3" s="139"/>
      <c r="E3" s="77"/>
      <c r="F3" s="79"/>
      <c r="G3" s="76"/>
      <c r="H3" s="80">
        <f t="shared" si="1"/>
        <v>0</v>
      </c>
      <c r="I3" s="77"/>
      <c r="J3" s="76"/>
    </row>
    <row r="4" ht="22.5" customHeight="1">
      <c r="A4" s="76"/>
      <c r="B4" s="76"/>
      <c r="C4" s="77"/>
      <c r="D4" s="139"/>
      <c r="E4" s="77"/>
      <c r="F4" s="79"/>
      <c r="G4" s="76"/>
      <c r="H4" s="80">
        <f t="shared" si="1"/>
        <v>0</v>
      </c>
      <c r="I4" s="77"/>
      <c r="J4" s="76"/>
    </row>
    <row r="5" ht="22.5" customHeight="1">
      <c r="A5" s="76"/>
      <c r="B5" s="76"/>
      <c r="C5" s="77"/>
      <c r="D5" s="139"/>
      <c r="E5" s="77"/>
      <c r="F5" s="79"/>
      <c r="G5" s="76"/>
      <c r="H5" s="80">
        <f t="shared" si="1"/>
        <v>0</v>
      </c>
      <c r="I5" s="77"/>
      <c r="J5" s="76"/>
    </row>
    <row r="6" ht="22.5" customHeight="1">
      <c r="A6" s="76"/>
      <c r="B6" s="76"/>
      <c r="C6" s="77"/>
      <c r="D6" s="139"/>
      <c r="E6" s="77"/>
      <c r="F6" s="79"/>
      <c r="G6" s="76"/>
      <c r="H6" s="80">
        <f t="shared" si="1"/>
        <v>0</v>
      </c>
      <c r="I6" s="77"/>
      <c r="J6" s="76"/>
    </row>
    <row r="7" ht="22.5" customHeight="1">
      <c r="A7" s="76"/>
      <c r="B7" s="76"/>
      <c r="C7" s="77"/>
      <c r="D7" s="139"/>
      <c r="E7" s="77"/>
      <c r="F7" s="79"/>
      <c r="G7" s="76"/>
      <c r="H7" s="80">
        <f t="shared" si="1"/>
        <v>0</v>
      </c>
      <c r="I7" s="77"/>
      <c r="J7" s="76"/>
    </row>
    <row r="8" ht="22.5" customHeight="1">
      <c r="A8" s="76"/>
      <c r="B8" s="76"/>
      <c r="C8" s="77"/>
      <c r="D8" s="139"/>
      <c r="E8" s="77"/>
      <c r="F8" s="79"/>
      <c r="G8" s="76"/>
      <c r="H8" s="80">
        <f t="shared" si="1"/>
        <v>0</v>
      </c>
      <c r="I8" s="77"/>
      <c r="J8" s="76"/>
    </row>
    <row r="9" ht="22.5" customHeight="1">
      <c r="A9" s="76"/>
      <c r="B9" s="76"/>
      <c r="C9" s="77"/>
      <c r="D9" s="139"/>
      <c r="E9" s="77"/>
      <c r="F9" s="79"/>
      <c r="G9" s="76"/>
      <c r="H9" s="80">
        <f t="shared" si="1"/>
        <v>0</v>
      </c>
      <c r="I9" s="77"/>
      <c r="J9" s="76"/>
    </row>
    <row r="10" ht="22.5" customHeight="1">
      <c r="A10" s="76"/>
      <c r="B10" s="76"/>
      <c r="C10" s="77"/>
      <c r="D10" s="139"/>
      <c r="E10" s="77"/>
      <c r="F10" s="79"/>
      <c r="G10" s="76"/>
      <c r="H10" s="80">
        <f t="shared" si="1"/>
        <v>0</v>
      </c>
      <c r="I10" s="77"/>
      <c r="J10" s="76"/>
    </row>
    <row r="11" ht="22.5" customHeight="1">
      <c r="A11" s="76"/>
      <c r="B11" s="76"/>
      <c r="C11" s="77" t="s">
        <v>396</v>
      </c>
      <c r="D11" s="139">
        <v>46011.0</v>
      </c>
      <c r="E11" s="77" t="s">
        <v>397</v>
      </c>
      <c r="F11" s="79">
        <v>6.0</v>
      </c>
      <c r="G11" s="76">
        <v>172000.0</v>
      </c>
      <c r="H11" s="80">
        <f t="shared" si="1"/>
        <v>1032000</v>
      </c>
      <c r="I11" s="77"/>
      <c r="J11" s="76"/>
    </row>
    <row r="12" ht="22.5" customHeight="1">
      <c r="A12" s="76"/>
      <c r="B12" s="76"/>
      <c r="C12" s="77" t="s">
        <v>398</v>
      </c>
      <c r="D12" s="139">
        <v>46004.0</v>
      </c>
      <c r="E12" s="77" t="s">
        <v>399</v>
      </c>
      <c r="F12" s="79">
        <v>10.0</v>
      </c>
      <c r="G12" s="76">
        <v>265000.0</v>
      </c>
      <c r="H12" s="80">
        <f t="shared" si="1"/>
        <v>2650000</v>
      </c>
      <c r="I12" s="77"/>
      <c r="J12" s="76"/>
    </row>
    <row r="13" ht="22.5" customHeight="1">
      <c r="A13" s="76"/>
      <c r="B13" s="76"/>
      <c r="C13" s="77" t="str">
        <f t="shared" ref="C13:E13" si="2">C14</f>
        <v>PT Atmaja Dharma Artha</v>
      </c>
      <c r="D13" s="139">
        <f t="shared" si="2"/>
        <v>46003</v>
      </c>
      <c r="E13" s="77" t="str">
        <f t="shared" si="2"/>
        <v>ATASAN SERAGAM SAFETY + REFKLEKTOR</v>
      </c>
      <c r="F13" s="79">
        <v>6.0</v>
      </c>
      <c r="G13" s="76">
        <v>138000.0</v>
      </c>
      <c r="H13" s="80">
        <f t="shared" si="1"/>
        <v>828000</v>
      </c>
      <c r="I13" s="77"/>
      <c r="J13" s="76"/>
    </row>
    <row r="14" ht="22.5" customHeight="1">
      <c r="A14" s="76"/>
      <c r="B14" s="76"/>
      <c r="C14" s="77" t="s">
        <v>400</v>
      </c>
      <c r="D14" s="139">
        <v>46003.0</v>
      </c>
      <c r="E14" s="77" t="s">
        <v>401</v>
      </c>
      <c r="F14" s="79">
        <v>56.0</v>
      </c>
      <c r="G14" s="76">
        <v>128000.0</v>
      </c>
      <c r="H14" s="80">
        <f t="shared" si="1"/>
        <v>7168000</v>
      </c>
      <c r="I14" s="77"/>
      <c r="J14" s="76"/>
    </row>
    <row r="15" ht="22.5" customHeight="1">
      <c r="A15" s="76"/>
      <c r="B15" s="76"/>
      <c r="C15" s="77" t="s">
        <v>402</v>
      </c>
      <c r="D15" s="139">
        <v>45942.0</v>
      </c>
      <c r="E15" s="77" t="s">
        <v>403</v>
      </c>
      <c r="F15" s="79">
        <v>1.0</v>
      </c>
      <c r="G15" s="76">
        <v>200000.0</v>
      </c>
      <c r="H15" s="80">
        <f t="shared" si="1"/>
        <v>200000</v>
      </c>
      <c r="I15" s="77"/>
      <c r="J15" s="76"/>
    </row>
    <row r="16" ht="22.5" customHeight="1">
      <c r="A16" s="76"/>
      <c r="B16" s="76"/>
      <c r="C16" s="77" t="s">
        <v>402</v>
      </c>
      <c r="D16" s="139">
        <v>45943.0</v>
      </c>
      <c r="E16" s="77" t="s">
        <v>403</v>
      </c>
      <c r="F16" s="79">
        <v>1.0</v>
      </c>
      <c r="G16" s="76">
        <v>100000.0</v>
      </c>
      <c r="H16" s="80">
        <f t="shared" si="1"/>
        <v>100000</v>
      </c>
      <c r="I16" s="77"/>
      <c r="J16" s="76"/>
    </row>
    <row r="17" ht="22.5" customHeight="1">
      <c r="A17" s="76"/>
      <c r="B17" s="76"/>
      <c r="C17" s="77" t="s">
        <v>402</v>
      </c>
      <c r="D17" s="139">
        <v>45944.0</v>
      </c>
      <c r="E17" s="77" t="s">
        <v>403</v>
      </c>
      <c r="F17" s="79">
        <v>10.0</v>
      </c>
      <c r="G17" s="76">
        <v>190000.0</v>
      </c>
      <c r="H17" s="80">
        <f t="shared" si="1"/>
        <v>1900000</v>
      </c>
      <c r="I17" s="77"/>
      <c r="J17" s="76"/>
    </row>
    <row r="18" ht="22.5" customHeight="1">
      <c r="A18" s="76"/>
      <c r="B18" s="76"/>
      <c r="C18" s="77" t="s">
        <v>404</v>
      </c>
      <c r="D18" s="139">
        <v>45969.0</v>
      </c>
      <c r="E18" s="77" t="s">
        <v>405</v>
      </c>
      <c r="F18" s="79">
        <v>1.0</v>
      </c>
      <c r="G18" s="76">
        <v>300000.0</v>
      </c>
      <c r="H18" s="80">
        <f t="shared" si="1"/>
        <v>300000</v>
      </c>
      <c r="I18" s="77"/>
      <c r="J18" s="76"/>
    </row>
    <row r="19" ht="22.5" customHeight="1">
      <c r="A19" s="76"/>
      <c r="B19" s="76"/>
      <c r="C19" s="77" t="s">
        <v>406</v>
      </c>
      <c r="D19" s="139">
        <v>45964.0</v>
      </c>
      <c r="E19" s="77" t="s">
        <v>94</v>
      </c>
      <c r="F19" s="79">
        <v>5.0</v>
      </c>
      <c r="G19" s="76">
        <v>30000.0</v>
      </c>
      <c r="H19" s="80">
        <f t="shared" si="1"/>
        <v>150000</v>
      </c>
      <c r="I19" s="77"/>
      <c r="J19" s="76"/>
    </row>
    <row r="20" ht="22.5" customHeight="1">
      <c r="A20" s="76"/>
      <c r="B20" s="76"/>
      <c r="C20" s="77" t="s">
        <v>406</v>
      </c>
      <c r="D20" s="139">
        <v>45965.0</v>
      </c>
      <c r="E20" s="77" t="s">
        <v>407</v>
      </c>
      <c r="F20" s="79">
        <v>2.0</v>
      </c>
      <c r="G20" s="76">
        <v>130000.0</v>
      </c>
      <c r="H20" s="80">
        <f t="shared" si="1"/>
        <v>260000</v>
      </c>
      <c r="I20" s="77"/>
      <c r="J20" s="76"/>
    </row>
    <row r="21" ht="22.5" customHeight="1">
      <c r="A21" s="76"/>
      <c r="B21" s="76"/>
      <c r="C21" s="77" t="s">
        <v>406</v>
      </c>
      <c r="D21" s="139">
        <v>45966.0</v>
      </c>
      <c r="E21" s="77" t="s">
        <v>407</v>
      </c>
      <c r="F21" s="79">
        <v>2.0</v>
      </c>
      <c r="G21" s="76">
        <v>120000.0</v>
      </c>
      <c r="H21" s="80">
        <f t="shared" si="1"/>
        <v>240000</v>
      </c>
      <c r="I21" s="77"/>
      <c r="J21" s="76"/>
    </row>
    <row r="22" ht="22.5" customHeight="1">
      <c r="A22" s="76" t="s">
        <v>32</v>
      </c>
      <c r="B22" s="76"/>
      <c r="C22" s="77" t="s">
        <v>408</v>
      </c>
      <c r="D22" s="139">
        <v>46029.0</v>
      </c>
      <c r="E22" s="77" t="s">
        <v>409</v>
      </c>
      <c r="F22" s="79">
        <v>6.0</v>
      </c>
      <c r="G22" s="76">
        <v>250000.0</v>
      </c>
      <c r="H22" s="80">
        <f t="shared" si="1"/>
        <v>1500000</v>
      </c>
      <c r="I22" s="77"/>
      <c r="J22" s="76"/>
    </row>
    <row r="23" ht="22.5" customHeight="1">
      <c r="A23" s="76" t="s">
        <v>32</v>
      </c>
      <c r="B23" s="76"/>
      <c r="C23" s="77" t="s">
        <v>408</v>
      </c>
      <c r="D23" s="139">
        <v>46029.0</v>
      </c>
      <c r="E23" s="77" t="s">
        <v>409</v>
      </c>
      <c r="F23" s="79">
        <v>9.0</v>
      </c>
      <c r="G23" s="76">
        <v>260000.0</v>
      </c>
      <c r="H23" s="80">
        <f t="shared" si="1"/>
        <v>2340000</v>
      </c>
      <c r="I23" s="77"/>
      <c r="J23" s="76"/>
    </row>
    <row r="24" ht="22.5" customHeight="1">
      <c r="A24" s="76" t="s">
        <v>18</v>
      </c>
      <c r="B24" s="76"/>
      <c r="C24" s="77" t="s">
        <v>410</v>
      </c>
      <c r="D24" s="139">
        <v>46034.0</v>
      </c>
      <c r="E24" s="77" t="s">
        <v>411</v>
      </c>
      <c r="F24" s="79">
        <v>300.0</v>
      </c>
      <c r="G24" s="76">
        <v>21000.0</v>
      </c>
      <c r="H24" s="80">
        <f t="shared" si="1"/>
        <v>6300000</v>
      </c>
      <c r="I24" s="77"/>
      <c r="J24" s="76"/>
    </row>
    <row r="25" ht="22.5" customHeight="1">
      <c r="A25" s="76" t="s">
        <v>18</v>
      </c>
      <c r="B25" s="76"/>
      <c r="C25" s="77" t="s">
        <v>412</v>
      </c>
      <c r="D25" s="139">
        <v>46036.0</v>
      </c>
      <c r="E25" s="77" t="s">
        <v>413</v>
      </c>
      <c r="F25" s="79">
        <v>1.0</v>
      </c>
      <c r="G25" s="76">
        <v>132000.0</v>
      </c>
      <c r="H25" s="80">
        <f t="shared" si="1"/>
        <v>132000</v>
      </c>
      <c r="I25" s="77"/>
      <c r="J25" s="76"/>
    </row>
    <row r="26" ht="22.5" customHeight="1">
      <c r="A26" s="76" t="s">
        <v>31</v>
      </c>
      <c r="B26" s="77" t="s">
        <v>414</v>
      </c>
      <c r="C26" s="77"/>
      <c r="D26" s="139">
        <v>46041.0</v>
      </c>
      <c r="E26" s="77" t="s">
        <v>415</v>
      </c>
      <c r="F26" s="79">
        <v>15.0</v>
      </c>
      <c r="G26" s="76">
        <v>130000.0</v>
      </c>
      <c r="H26" s="80">
        <f t="shared" si="1"/>
        <v>1950000</v>
      </c>
      <c r="I26" s="81"/>
      <c r="J26" s="76"/>
    </row>
    <row r="27" ht="22.5" customHeight="1">
      <c r="A27" s="76" t="s">
        <v>18</v>
      </c>
      <c r="B27" s="77"/>
      <c r="C27" s="77" t="s">
        <v>416</v>
      </c>
      <c r="D27" s="139">
        <v>46055.0</v>
      </c>
      <c r="E27" s="77" t="s">
        <v>417</v>
      </c>
      <c r="F27" s="79">
        <v>2.0</v>
      </c>
      <c r="G27" s="76"/>
      <c r="H27" s="140">
        <v>224262.0</v>
      </c>
      <c r="I27" s="81"/>
      <c r="J27" s="76"/>
    </row>
    <row r="28" ht="22.5" customHeight="1">
      <c r="A28" s="76" t="s">
        <v>26</v>
      </c>
      <c r="B28" s="76"/>
      <c r="C28" s="77" t="s">
        <v>418</v>
      </c>
      <c r="D28" s="139">
        <v>46056.0</v>
      </c>
      <c r="E28" s="77" t="s">
        <v>419</v>
      </c>
      <c r="F28" s="79">
        <v>4.0</v>
      </c>
      <c r="G28" s="76">
        <v>210000.0</v>
      </c>
      <c r="H28" s="80">
        <f t="shared" ref="H28:H337" si="3">F28*G28</f>
        <v>840000</v>
      </c>
      <c r="I28" s="141">
        <f>sum(H27:H31)</f>
        <v>12804262</v>
      </c>
      <c r="J28" s="76"/>
    </row>
    <row r="29" ht="22.5" customHeight="1">
      <c r="A29" s="76" t="s">
        <v>26</v>
      </c>
      <c r="B29" s="76"/>
      <c r="C29" s="77" t="s">
        <v>418</v>
      </c>
      <c r="D29" s="139">
        <v>46056.0</v>
      </c>
      <c r="E29" s="77" t="s">
        <v>419</v>
      </c>
      <c r="F29" s="79">
        <v>2.0</v>
      </c>
      <c r="G29" s="76">
        <v>220000.0</v>
      </c>
      <c r="H29" s="80">
        <f t="shared" si="3"/>
        <v>440000</v>
      </c>
      <c r="I29" s="81"/>
      <c r="J29" s="76"/>
    </row>
    <row r="30" ht="22.5" customHeight="1">
      <c r="A30" s="76" t="s">
        <v>31</v>
      </c>
      <c r="B30" s="76" t="s">
        <v>400</v>
      </c>
      <c r="C30" s="77" t="s">
        <v>420</v>
      </c>
      <c r="D30" s="139">
        <v>46060.0</v>
      </c>
      <c r="E30" s="77" t="s">
        <v>421</v>
      </c>
      <c r="F30" s="79">
        <v>70.0</v>
      </c>
      <c r="G30" s="76">
        <v>140000.0</v>
      </c>
      <c r="H30" s="80">
        <f t="shared" si="3"/>
        <v>9800000</v>
      </c>
      <c r="I30" s="81"/>
      <c r="J30" s="76"/>
    </row>
    <row r="31" ht="22.5" customHeight="1">
      <c r="A31" s="76" t="s">
        <v>31</v>
      </c>
      <c r="B31" s="76" t="s">
        <v>400</v>
      </c>
      <c r="C31" s="77" t="s">
        <v>420</v>
      </c>
      <c r="D31" s="139">
        <v>46060.0</v>
      </c>
      <c r="E31" s="77" t="s">
        <v>421</v>
      </c>
      <c r="F31" s="79">
        <v>10.0</v>
      </c>
      <c r="G31" s="76">
        <v>150000.0</v>
      </c>
      <c r="H31" s="80">
        <f t="shared" si="3"/>
        <v>1500000</v>
      </c>
      <c r="I31" s="77"/>
      <c r="J31" s="76"/>
    </row>
    <row r="32" ht="22.5" customHeight="1">
      <c r="A32" s="76"/>
      <c r="B32" s="76" t="s">
        <v>422</v>
      </c>
      <c r="C32" s="76" t="s">
        <v>423</v>
      </c>
      <c r="D32" s="139">
        <v>46086.0</v>
      </c>
      <c r="E32" s="77" t="s">
        <v>424</v>
      </c>
      <c r="F32" s="79">
        <v>20.0</v>
      </c>
      <c r="G32" s="76">
        <v>23000.0</v>
      </c>
      <c r="H32" s="80">
        <f t="shared" si="3"/>
        <v>460000</v>
      </c>
      <c r="I32" s="77"/>
      <c r="J32" s="76"/>
    </row>
    <row r="33" ht="22.5" customHeight="1">
      <c r="A33" s="76"/>
      <c r="B33" s="76"/>
      <c r="C33" s="77"/>
      <c r="D33" s="139"/>
      <c r="E33" s="77"/>
      <c r="F33" s="79"/>
      <c r="G33" s="76"/>
      <c r="H33" s="80">
        <f t="shared" si="3"/>
        <v>0</v>
      </c>
      <c r="I33" s="77"/>
      <c r="J33" s="76"/>
    </row>
    <row r="34" ht="22.5" customHeight="1">
      <c r="A34" s="76"/>
      <c r="B34" s="76"/>
      <c r="C34" s="77"/>
      <c r="D34" s="139"/>
      <c r="E34" s="77"/>
      <c r="F34" s="79"/>
      <c r="G34" s="76"/>
      <c r="H34" s="80">
        <f t="shared" si="3"/>
        <v>0</v>
      </c>
      <c r="I34" s="77"/>
      <c r="J34" s="76"/>
    </row>
    <row r="35" ht="22.5" customHeight="1">
      <c r="A35" s="76"/>
      <c r="B35" s="76"/>
      <c r="C35" s="77"/>
      <c r="D35" s="139"/>
      <c r="E35" s="77"/>
      <c r="F35" s="79"/>
      <c r="G35" s="76"/>
      <c r="H35" s="80">
        <f t="shared" si="3"/>
        <v>0</v>
      </c>
      <c r="I35" s="77"/>
      <c r="J35" s="76"/>
    </row>
    <row r="36" ht="22.5" customHeight="1">
      <c r="A36" s="76"/>
      <c r="B36" s="76"/>
      <c r="C36" s="77"/>
      <c r="D36" s="139"/>
      <c r="E36" s="77"/>
      <c r="F36" s="79"/>
      <c r="G36" s="76"/>
      <c r="H36" s="80">
        <f t="shared" si="3"/>
        <v>0</v>
      </c>
      <c r="I36" s="77"/>
      <c r="J36" s="76"/>
    </row>
    <row r="37" ht="22.5" customHeight="1">
      <c r="A37" s="76"/>
      <c r="B37" s="76"/>
      <c r="C37" s="77"/>
      <c r="D37" s="139"/>
      <c r="E37" s="77"/>
      <c r="F37" s="79"/>
      <c r="G37" s="76"/>
      <c r="H37" s="80">
        <f t="shared" si="3"/>
        <v>0</v>
      </c>
      <c r="I37" s="77"/>
      <c r="J37" s="76"/>
    </row>
    <row r="38" ht="22.5" customHeight="1">
      <c r="A38" s="76"/>
      <c r="B38" s="77"/>
      <c r="C38" s="77"/>
      <c r="D38" s="139"/>
      <c r="E38" s="77"/>
      <c r="F38" s="79"/>
      <c r="G38" s="76"/>
      <c r="H38" s="80">
        <f t="shared" si="3"/>
        <v>0</v>
      </c>
      <c r="I38" s="81"/>
      <c r="J38" s="76"/>
    </row>
    <row r="39" ht="22.5" customHeight="1">
      <c r="A39" s="76"/>
      <c r="B39" s="76"/>
      <c r="C39" s="77"/>
      <c r="D39" s="139"/>
      <c r="E39" s="77"/>
      <c r="F39" s="77"/>
      <c r="G39" s="76"/>
      <c r="H39" s="80">
        <f t="shared" si="3"/>
        <v>0</v>
      </c>
      <c r="I39" s="81"/>
      <c r="J39" s="76"/>
    </row>
    <row r="40" ht="22.5" customHeight="1">
      <c r="A40" s="76"/>
      <c r="B40" s="76"/>
      <c r="C40" s="77"/>
      <c r="D40" s="139"/>
      <c r="E40" s="77"/>
      <c r="F40" s="77"/>
      <c r="G40" s="76"/>
      <c r="H40" s="80">
        <f t="shared" si="3"/>
        <v>0</v>
      </c>
      <c r="I40" s="81"/>
      <c r="J40" s="76"/>
    </row>
    <row r="41" ht="22.5" customHeight="1">
      <c r="A41" s="76"/>
      <c r="B41" s="76"/>
      <c r="C41" s="77"/>
      <c r="D41" s="139"/>
      <c r="E41" s="77"/>
      <c r="F41" s="77"/>
      <c r="G41" s="76"/>
      <c r="H41" s="80">
        <f t="shared" si="3"/>
        <v>0</v>
      </c>
      <c r="I41" s="81"/>
      <c r="J41" s="76"/>
    </row>
    <row r="42" ht="22.5" customHeight="1">
      <c r="A42" s="76"/>
      <c r="B42" s="77"/>
      <c r="C42" s="77"/>
      <c r="D42" s="139"/>
      <c r="E42" s="77"/>
      <c r="F42" s="77"/>
      <c r="G42" s="76"/>
      <c r="H42" s="80">
        <f t="shared" si="3"/>
        <v>0</v>
      </c>
      <c r="I42" s="81"/>
      <c r="J42" s="76"/>
    </row>
    <row r="43" ht="22.5" customHeight="1">
      <c r="A43" s="76"/>
      <c r="B43" s="76"/>
      <c r="C43" s="77"/>
      <c r="D43" s="139"/>
      <c r="E43" s="77"/>
      <c r="F43" s="77"/>
      <c r="G43" s="76"/>
      <c r="H43" s="80">
        <f t="shared" si="3"/>
        <v>0</v>
      </c>
      <c r="I43" s="81"/>
      <c r="J43" s="76"/>
    </row>
    <row r="44" ht="22.5" customHeight="1">
      <c r="A44" s="76"/>
      <c r="B44" s="76"/>
      <c r="C44" s="77"/>
      <c r="D44" s="139"/>
      <c r="E44" s="77"/>
      <c r="F44" s="77"/>
      <c r="G44" s="76"/>
      <c r="H44" s="80">
        <f t="shared" si="3"/>
        <v>0</v>
      </c>
      <c r="I44" s="81"/>
      <c r="J44" s="76"/>
    </row>
    <row r="45" ht="22.5" customHeight="1">
      <c r="A45" s="76"/>
      <c r="B45" s="76"/>
      <c r="C45" s="77"/>
      <c r="D45" s="139"/>
      <c r="E45" s="77"/>
      <c r="F45" s="77"/>
      <c r="G45" s="76"/>
      <c r="H45" s="80">
        <f t="shared" si="3"/>
        <v>0</v>
      </c>
      <c r="I45" s="81"/>
      <c r="J45" s="76"/>
    </row>
    <row r="46" ht="22.5" customHeight="1">
      <c r="A46" s="76"/>
      <c r="B46" s="77"/>
      <c r="C46" s="77"/>
      <c r="D46" s="139"/>
      <c r="E46" s="77"/>
      <c r="F46" s="77"/>
      <c r="G46" s="76"/>
      <c r="H46" s="80">
        <f t="shared" si="3"/>
        <v>0</v>
      </c>
      <c r="I46" s="81"/>
      <c r="J46" s="76"/>
    </row>
    <row r="47" ht="22.5" customHeight="1">
      <c r="A47" s="76"/>
      <c r="B47" s="77"/>
      <c r="C47" s="77"/>
      <c r="D47" s="139"/>
      <c r="E47" s="77"/>
      <c r="F47" s="77"/>
      <c r="G47" s="76"/>
      <c r="H47" s="80">
        <f t="shared" si="3"/>
        <v>0</v>
      </c>
      <c r="I47" s="81"/>
      <c r="J47" s="76"/>
    </row>
    <row r="48" ht="22.5" customHeight="1">
      <c r="A48" s="76"/>
      <c r="B48" s="76"/>
      <c r="C48" s="77"/>
      <c r="D48" s="139"/>
      <c r="E48" s="77"/>
      <c r="F48" s="77"/>
      <c r="G48" s="76"/>
      <c r="H48" s="80">
        <f t="shared" si="3"/>
        <v>0</v>
      </c>
      <c r="I48" s="81"/>
      <c r="J48" s="76"/>
    </row>
    <row r="49" ht="22.5" customHeight="1">
      <c r="A49" s="76"/>
      <c r="B49" s="77"/>
      <c r="C49" s="77"/>
      <c r="D49" s="139"/>
      <c r="E49" s="77"/>
      <c r="F49" s="77"/>
      <c r="G49" s="76"/>
      <c r="H49" s="80">
        <f t="shared" si="3"/>
        <v>0</v>
      </c>
      <c r="I49" s="81"/>
      <c r="J49" s="76"/>
    </row>
    <row r="50" ht="22.5" customHeight="1">
      <c r="A50" s="76"/>
      <c r="B50" s="77"/>
      <c r="C50" s="77"/>
      <c r="D50" s="139"/>
      <c r="E50" s="77"/>
      <c r="F50" s="77"/>
      <c r="G50" s="76"/>
      <c r="H50" s="80">
        <f t="shared" si="3"/>
        <v>0</v>
      </c>
      <c r="I50" s="81"/>
      <c r="J50" s="76"/>
    </row>
    <row r="51" ht="22.5" customHeight="1">
      <c r="A51" s="76"/>
      <c r="B51" s="77"/>
      <c r="C51" s="77"/>
      <c r="D51" s="139"/>
      <c r="E51" s="77"/>
      <c r="F51" s="77"/>
      <c r="G51" s="76"/>
      <c r="H51" s="80">
        <f t="shared" si="3"/>
        <v>0</v>
      </c>
      <c r="I51" s="81"/>
      <c r="J51" s="76"/>
    </row>
    <row r="52" ht="22.5" customHeight="1">
      <c r="A52" s="76"/>
      <c r="B52" s="77"/>
      <c r="C52" s="77"/>
      <c r="D52" s="139"/>
      <c r="E52" s="77"/>
      <c r="F52" s="77"/>
      <c r="G52" s="76"/>
      <c r="H52" s="80">
        <f t="shared" si="3"/>
        <v>0</v>
      </c>
      <c r="I52" s="81"/>
      <c r="J52" s="76"/>
    </row>
    <row r="53" ht="22.5" customHeight="1">
      <c r="A53" s="76"/>
      <c r="B53" s="77"/>
      <c r="C53" s="77"/>
      <c r="D53" s="139"/>
      <c r="E53" s="77"/>
      <c r="F53" s="77"/>
      <c r="G53" s="76"/>
      <c r="H53" s="80">
        <f t="shared" si="3"/>
        <v>0</v>
      </c>
      <c r="I53" s="81"/>
      <c r="J53" s="76"/>
    </row>
    <row r="54" ht="22.5" customHeight="1">
      <c r="A54" s="76"/>
      <c r="B54" s="77"/>
      <c r="C54" s="77"/>
      <c r="D54" s="139"/>
      <c r="E54" s="77"/>
      <c r="F54" s="77"/>
      <c r="G54" s="76"/>
      <c r="H54" s="80">
        <f t="shared" si="3"/>
        <v>0</v>
      </c>
      <c r="I54" s="81"/>
      <c r="J54" s="76"/>
    </row>
    <row r="55" ht="22.5" customHeight="1">
      <c r="A55" s="76"/>
      <c r="B55" s="76"/>
      <c r="C55" s="77"/>
      <c r="D55" s="139"/>
      <c r="E55" s="77"/>
      <c r="F55" s="77"/>
      <c r="G55" s="76"/>
      <c r="H55" s="80">
        <f t="shared" si="3"/>
        <v>0</v>
      </c>
      <c r="I55" s="81"/>
      <c r="J55" s="76"/>
    </row>
    <row r="56" ht="22.5" customHeight="1">
      <c r="A56" s="76"/>
      <c r="B56" s="77"/>
      <c r="C56" s="77"/>
      <c r="D56" s="139"/>
      <c r="E56" s="77"/>
      <c r="F56" s="77"/>
      <c r="G56" s="76"/>
      <c r="H56" s="80">
        <f t="shared" si="3"/>
        <v>0</v>
      </c>
      <c r="I56" s="81"/>
      <c r="J56" s="76"/>
    </row>
    <row r="57" ht="22.5" customHeight="1">
      <c r="A57" s="76"/>
      <c r="B57" s="76"/>
      <c r="C57" s="77"/>
      <c r="D57" s="139"/>
      <c r="E57" s="77"/>
      <c r="F57" s="77"/>
      <c r="G57" s="76"/>
      <c r="H57" s="80">
        <f t="shared" si="3"/>
        <v>0</v>
      </c>
      <c r="I57" s="81"/>
      <c r="J57" s="76"/>
    </row>
    <row r="58" ht="22.5" customHeight="1">
      <c r="A58" s="76"/>
      <c r="B58" s="76"/>
      <c r="C58" s="77"/>
      <c r="D58" s="139"/>
      <c r="E58" s="77"/>
      <c r="F58" s="77"/>
      <c r="G58" s="76"/>
      <c r="H58" s="80">
        <f t="shared" si="3"/>
        <v>0</v>
      </c>
      <c r="I58" s="81"/>
      <c r="J58" s="76"/>
    </row>
    <row r="59" ht="22.5" customHeight="1">
      <c r="A59" s="76"/>
      <c r="B59" s="76"/>
      <c r="C59" s="77"/>
      <c r="D59" s="139"/>
      <c r="E59" s="77"/>
      <c r="F59" s="77"/>
      <c r="G59" s="76"/>
      <c r="H59" s="80">
        <f t="shared" si="3"/>
        <v>0</v>
      </c>
      <c r="I59" s="81"/>
      <c r="J59" s="76"/>
    </row>
    <row r="60" ht="22.5" customHeight="1">
      <c r="A60" s="76"/>
      <c r="B60" s="76"/>
      <c r="C60" s="77"/>
      <c r="D60" s="139"/>
      <c r="E60" s="77"/>
      <c r="F60" s="77"/>
      <c r="G60" s="76"/>
      <c r="H60" s="80">
        <f t="shared" si="3"/>
        <v>0</v>
      </c>
      <c r="I60" s="81"/>
      <c r="J60" s="76"/>
    </row>
    <row r="61" ht="22.5" customHeight="1">
      <c r="A61" s="76"/>
      <c r="B61" s="76"/>
      <c r="C61" s="77"/>
      <c r="D61" s="139"/>
      <c r="E61" s="77"/>
      <c r="F61" s="77"/>
      <c r="G61" s="76"/>
      <c r="H61" s="80">
        <f t="shared" si="3"/>
        <v>0</v>
      </c>
      <c r="I61" s="81"/>
      <c r="J61" s="76"/>
    </row>
    <row r="62" ht="22.5" customHeight="1">
      <c r="A62" s="76"/>
      <c r="B62" s="76"/>
      <c r="C62" s="77"/>
      <c r="D62" s="139"/>
      <c r="E62" s="77"/>
      <c r="F62" s="77"/>
      <c r="G62" s="76"/>
      <c r="H62" s="80">
        <f t="shared" si="3"/>
        <v>0</v>
      </c>
      <c r="I62" s="81"/>
      <c r="J62" s="76"/>
    </row>
    <row r="63" ht="22.5" customHeight="1">
      <c r="A63" s="76"/>
      <c r="B63" s="76"/>
      <c r="C63" s="77"/>
      <c r="D63" s="139"/>
      <c r="E63" s="77"/>
      <c r="F63" s="77"/>
      <c r="G63" s="76"/>
      <c r="H63" s="80">
        <f t="shared" si="3"/>
        <v>0</v>
      </c>
      <c r="I63" s="81"/>
      <c r="J63" s="76"/>
    </row>
    <row r="64" ht="22.5" customHeight="1">
      <c r="A64" s="76"/>
      <c r="B64" s="76"/>
      <c r="C64" s="77"/>
      <c r="D64" s="139"/>
      <c r="E64" s="77"/>
      <c r="F64" s="77"/>
      <c r="G64" s="76"/>
      <c r="H64" s="80">
        <f t="shared" si="3"/>
        <v>0</v>
      </c>
      <c r="I64" s="81"/>
      <c r="J64" s="76"/>
    </row>
    <row r="65" ht="22.5" customHeight="1">
      <c r="A65" s="76"/>
      <c r="B65" s="76"/>
      <c r="C65" s="77"/>
      <c r="D65" s="139"/>
      <c r="E65" s="77"/>
      <c r="F65" s="77"/>
      <c r="G65" s="76"/>
      <c r="H65" s="80">
        <f t="shared" si="3"/>
        <v>0</v>
      </c>
      <c r="I65" s="81"/>
      <c r="J65" s="76"/>
    </row>
    <row r="66" ht="22.5" customHeight="1">
      <c r="A66" s="76"/>
      <c r="B66" s="76"/>
      <c r="C66" s="77"/>
      <c r="D66" s="139"/>
      <c r="E66" s="77"/>
      <c r="F66" s="77"/>
      <c r="G66" s="76"/>
      <c r="H66" s="80">
        <f t="shared" si="3"/>
        <v>0</v>
      </c>
      <c r="I66" s="81"/>
      <c r="J66" s="76"/>
    </row>
    <row r="67" ht="22.5" customHeight="1">
      <c r="A67" s="76"/>
      <c r="B67" s="76"/>
      <c r="C67" s="77"/>
      <c r="D67" s="139"/>
      <c r="E67" s="77"/>
      <c r="F67" s="77"/>
      <c r="G67" s="76"/>
      <c r="H67" s="80">
        <f t="shared" si="3"/>
        <v>0</v>
      </c>
      <c r="I67" s="81"/>
      <c r="J67" s="76"/>
    </row>
    <row r="68" ht="22.5" customHeight="1">
      <c r="A68" s="76"/>
      <c r="B68" s="76"/>
      <c r="C68" s="77"/>
      <c r="D68" s="139"/>
      <c r="E68" s="77"/>
      <c r="F68" s="77"/>
      <c r="G68" s="76"/>
      <c r="H68" s="80">
        <f t="shared" si="3"/>
        <v>0</v>
      </c>
      <c r="I68" s="81"/>
      <c r="J68" s="76"/>
    </row>
    <row r="69" ht="22.5" customHeight="1">
      <c r="A69" s="76"/>
      <c r="B69" s="76"/>
      <c r="C69" s="77"/>
      <c r="D69" s="139"/>
      <c r="E69" s="77"/>
      <c r="F69" s="77"/>
      <c r="G69" s="76"/>
      <c r="H69" s="80">
        <f t="shared" si="3"/>
        <v>0</v>
      </c>
      <c r="I69" s="81"/>
      <c r="J69" s="76"/>
    </row>
    <row r="70" ht="22.5" customHeight="1">
      <c r="A70" s="76"/>
      <c r="B70" s="76"/>
      <c r="C70" s="77"/>
      <c r="D70" s="139"/>
      <c r="E70" s="77"/>
      <c r="F70" s="77"/>
      <c r="G70" s="76"/>
      <c r="H70" s="80">
        <f t="shared" si="3"/>
        <v>0</v>
      </c>
      <c r="I70" s="81"/>
      <c r="J70" s="76"/>
    </row>
    <row r="71" ht="22.5" customHeight="1">
      <c r="A71" s="76"/>
      <c r="B71" s="76"/>
      <c r="C71" s="77"/>
      <c r="D71" s="139"/>
      <c r="E71" s="77"/>
      <c r="F71" s="77"/>
      <c r="G71" s="76"/>
      <c r="H71" s="80">
        <f t="shared" si="3"/>
        <v>0</v>
      </c>
      <c r="I71" s="81"/>
      <c r="J71" s="76"/>
    </row>
    <row r="72" ht="22.5" customHeight="1">
      <c r="A72" s="76"/>
      <c r="B72" s="76"/>
      <c r="C72" s="77"/>
      <c r="D72" s="139"/>
      <c r="E72" s="77"/>
      <c r="F72" s="77"/>
      <c r="G72" s="76"/>
      <c r="H72" s="80">
        <f t="shared" si="3"/>
        <v>0</v>
      </c>
      <c r="I72" s="81"/>
      <c r="J72" s="76"/>
    </row>
    <row r="73" ht="22.5" customHeight="1">
      <c r="A73" s="76"/>
      <c r="B73" s="76"/>
      <c r="C73" s="77"/>
      <c r="D73" s="139"/>
      <c r="E73" s="77"/>
      <c r="F73" s="77"/>
      <c r="G73" s="76"/>
      <c r="H73" s="80">
        <f t="shared" si="3"/>
        <v>0</v>
      </c>
      <c r="I73" s="81"/>
      <c r="J73" s="76"/>
    </row>
    <row r="74" ht="22.5" customHeight="1">
      <c r="A74" s="76"/>
      <c r="B74" s="76"/>
      <c r="C74" s="77"/>
      <c r="D74" s="139"/>
      <c r="E74" s="77"/>
      <c r="F74" s="77"/>
      <c r="G74" s="76"/>
      <c r="H74" s="80">
        <f t="shared" si="3"/>
        <v>0</v>
      </c>
      <c r="I74" s="81"/>
      <c r="J74" s="76"/>
    </row>
    <row r="75" ht="22.5" customHeight="1">
      <c r="A75" s="76"/>
      <c r="B75" s="76"/>
      <c r="C75" s="77"/>
      <c r="D75" s="139"/>
      <c r="E75" s="77"/>
      <c r="F75" s="77"/>
      <c r="G75" s="76"/>
      <c r="H75" s="80">
        <f t="shared" si="3"/>
        <v>0</v>
      </c>
      <c r="I75" s="81"/>
      <c r="J75" s="76"/>
    </row>
    <row r="76" ht="22.5" customHeight="1">
      <c r="A76" s="76"/>
      <c r="B76" s="76"/>
      <c r="C76" s="77"/>
      <c r="D76" s="139"/>
      <c r="E76" s="77"/>
      <c r="F76" s="77"/>
      <c r="G76" s="76"/>
      <c r="H76" s="80">
        <f t="shared" si="3"/>
        <v>0</v>
      </c>
      <c r="I76" s="81"/>
      <c r="J76" s="76"/>
    </row>
    <row r="77" ht="22.5" customHeight="1">
      <c r="A77" s="76"/>
      <c r="B77" s="76"/>
      <c r="C77" s="77"/>
      <c r="D77" s="139"/>
      <c r="E77" s="77"/>
      <c r="F77" s="77"/>
      <c r="G77" s="76"/>
      <c r="H77" s="80">
        <f t="shared" si="3"/>
        <v>0</v>
      </c>
      <c r="I77" s="81"/>
      <c r="J77" s="76"/>
    </row>
    <row r="78" ht="22.5" customHeight="1">
      <c r="A78" s="76"/>
      <c r="B78" s="77"/>
      <c r="C78" s="77"/>
      <c r="D78" s="139"/>
      <c r="E78" s="77"/>
      <c r="F78" s="77"/>
      <c r="G78" s="76"/>
      <c r="H78" s="80">
        <f t="shared" si="3"/>
        <v>0</v>
      </c>
      <c r="I78" s="81"/>
      <c r="J78" s="76"/>
    </row>
    <row r="79" ht="22.5" customHeight="1">
      <c r="A79" s="76"/>
      <c r="B79" s="76"/>
      <c r="C79" s="77"/>
      <c r="D79" s="139"/>
      <c r="E79" s="77"/>
      <c r="F79" s="77"/>
      <c r="G79" s="76"/>
      <c r="H79" s="80">
        <f t="shared" si="3"/>
        <v>0</v>
      </c>
      <c r="I79" s="81"/>
      <c r="J79" s="76"/>
    </row>
    <row r="80" ht="22.5" customHeight="1">
      <c r="A80" s="76"/>
      <c r="B80" s="76"/>
      <c r="C80" s="77"/>
      <c r="D80" s="139"/>
      <c r="E80" s="83"/>
      <c r="F80" s="79"/>
      <c r="G80" s="76"/>
      <c r="H80" s="80">
        <f t="shared" si="3"/>
        <v>0</v>
      </c>
      <c r="I80" s="81"/>
      <c r="J80" s="76"/>
    </row>
    <row r="81" ht="22.5" customHeight="1">
      <c r="A81" s="76"/>
      <c r="B81" s="76"/>
      <c r="C81" s="77"/>
      <c r="D81" s="139"/>
      <c r="E81" s="77"/>
      <c r="F81" s="77"/>
      <c r="G81" s="76"/>
      <c r="H81" s="80">
        <f t="shared" si="3"/>
        <v>0</v>
      </c>
      <c r="I81" s="81"/>
      <c r="J81" s="76"/>
    </row>
    <row r="82" ht="22.5" customHeight="1">
      <c r="A82" s="76"/>
      <c r="B82" s="76"/>
      <c r="C82" s="77"/>
      <c r="D82" s="139"/>
      <c r="E82" s="77"/>
      <c r="F82" s="77"/>
      <c r="G82" s="76"/>
      <c r="H82" s="80">
        <f t="shared" si="3"/>
        <v>0</v>
      </c>
      <c r="I82" s="81"/>
      <c r="J82" s="76"/>
    </row>
    <row r="83" ht="22.5" customHeight="1">
      <c r="A83" s="76"/>
      <c r="B83" s="76"/>
      <c r="C83" s="77"/>
      <c r="D83" s="139"/>
      <c r="E83" s="77"/>
      <c r="F83" s="77"/>
      <c r="G83" s="76"/>
      <c r="H83" s="80">
        <f t="shared" si="3"/>
        <v>0</v>
      </c>
      <c r="I83" s="81"/>
      <c r="J83" s="76"/>
    </row>
    <row r="84" ht="22.5" customHeight="1">
      <c r="A84" s="76"/>
      <c r="B84" s="76"/>
      <c r="C84" s="77"/>
      <c r="D84" s="139"/>
      <c r="E84" s="77"/>
      <c r="F84" s="77"/>
      <c r="G84" s="76"/>
      <c r="H84" s="80">
        <f t="shared" si="3"/>
        <v>0</v>
      </c>
      <c r="I84" s="81"/>
      <c r="J84" s="76"/>
    </row>
    <row r="85" ht="22.5" customHeight="1">
      <c r="A85" s="76"/>
      <c r="B85" s="76"/>
      <c r="C85" s="77"/>
      <c r="D85" s="139"/>
      <c r="E85" s="77"/>
      <c r="F85" s="77"/>
      <c r="G85" s="76"/>
      <c r="H85" s="80">
        <f t="shared" si="3"/>
        <v>0</v>
      </c>
      <c r="I85" s="81"/>
      <c r="J85" s="76"/>
    </row>
    <row r="86" ht="22.5" customHeight="1">
      <c r="A86" s="76"/>
      <c r="B86" s="76"/>
      <c r="C86" s="77"/>
      <c r="D86" s="139"/>
      <c r="E86" s="76"/>
      <c r="F86" s="77"/>
      <c r="G86" s="76"/>
      <c r="H86" s="80">
        <f t="shared" si="3"/>
        <v>0</v>
      </c>
      <c r="I86" s="81"/>
      <c r="J86" s="76"/>
    </row>
    <row r="87" ht="22.5" customHeight="1">
      <c r="A87" s="76"/>
      <c r="B87" s="76"/>
      <c r="C87" s="77"/>
      <c r="D87" s="139"/>
      <c r="E87" s="76"/>
      <c r="F87" s="77"/>
      <c r="G87" s="76"/>
      <c r="H87" s="80">
        <f t="shared" si="3"/>
        <v>0</v>
      </c>
      <c r="I87" s="81"/>
      <c r="J87" s="76"/>
    </row>
    <row r="88" ht="22.5" customHeight="1">
      <c r="A88" s="76"/>
      <c r="B88" s="76"/>
      <c r="C88" s="77"/>
      <c r="D88" s="139"/>
      <c r="E88" s="76"/>
      <c r="F88" s="77"/>
      <c r="G88" s="76"/>
      <c r="H88" s="80">
        <f t="shared" si="3"/>
        <v>0</v>
      </c>
      <c r="I88" s="81"/>
      <c r="J88" s="76"/>
    </row>
    <row r="89" ht="22.5" customHeight="1">
      <c r="A89" s="76"/>
      <c r="B89" s="76"/>
      <c r="C89" s="77"/>
      <c r="D89" s="139"/>
      <c r="E89" s="77"/>
      <c r="F89" s="77"/>
      <c r="G89" s="76"/>
      <c r="H89" s="80">
        <f t="shared" si="3"/>
        <v>0</v>
      </c>
      <c r="I89" s="81"/>
      <c r="J89" s="76"/>
    </row>
    <row r="90" ht="22.5" customHeight="1">
      <c r="A90" s="76"/>
      <c r="B90" s="76"/>
      <c r="C90" s="77"/>
      <c r="D90" s="139"/>
      <c r="E90" s="77"/>
      <c r="F90" s="77"/>
      <c r="G90" s="76"/>
      <c r="H90" s="80">
        <f t="shared" si="3"/>
        <v>0</v>
      </c>
      <c r="I90" s="81"/>
      <c r="J90" s="76"/>
    </row>
    <row r="91" ht="22.5" customHeight="1">
      <c r="A91" s="76"/>
      <c r="B91" s="76"/>
      <c r="C91" s="77"/>
      <c r="D91" s="139"/>
      <c r="E91" s="77"/>
      <c r="F91" s="77"/>
      <c r="G91" s="76"/>
      <c r="H91" s="80">
        <f t="shared" si="3"/>
        <v>0</v>
      </c>
      <c r="I91" s="81"/>
      <c r="J91" s="76"/>
    </row>
    <row r="92" ht="22.5" customHeight="1">
      <c r="A92" s="76"/>
      <c r="B92" s="76"/>
      <c r="C92" s="77"/>
      <c r="D92" s="139"/>
      <c r="E92" s="77"/>
      <c r="F92" s="77"/>
      <c r="G92" s="76"/>
      <c r="H92" s="80">
        <f t="shared" si="3"/>
        <v>0</v>
      </c>
      <c r="I92" s="81"/>
      <c r="J92" s="76"/>
    </row>
    <row r="93" ht="22.5" customHeight="1">
      <c r="A93" s="76"/>
      <c r="B93" s="77"/>
      <c r="C93" s="77"/>
      <c r="D93" s="139"/>
      <c r="E93" s="77"/>
      <c r="F93" s="77"/>
      <c r="G93" s="76"/>
      <c r="H93" s="80">
        <f t="shared" si="3"/>
        <v>0</v>
      </c>
      <c r="I93" s="81"/>
      <c r="J93" s="76"/>
    </row>
    <row r="94" ht="22.5" customHeight="1">
      <c r="A94" s="83"/>
      <c r="B94" s="79"/>
      <c r="C94" s="79"/>
      <c r="D94" s="142"/>
      <c r="E94" s="79"/>
      <c r="F94" s="79"/>
      <c r="G94" s="85"/>
      <c r="H94" s="86">
        <f t="shared" si="3"/>
        <v>0</v>
      </c>
      <c r="I94" s="81"/>
      <c r="J94" s="76"/>
    </row>
    <row r="95" ht="22.5" customHeight="1">
      <c r="A95" s="83"/>
      <c r="B95" s="79"/>
      <c r="C95" s="79"/>
      <c r="D95" s="142"/>
      <c r="E95" s="79"/>
      <c r="F95" s="79"/>
      <c r="G95" s="85"/>
      <c r="H95" s="86">
        <f t="shared" si="3"/>
        <v>0</v>
      </c>
      <c r="I95" s="81"/>
      <c r="J95" s="76"/>
    </row>
    <row r="96" ht="22.5" customHeight="1">
      <c r="A96" s="76"/>
      <c r="B96" s="77"/>
      <c r="C96" s="77"/>
      <c r="D96" s="139"/>
      <c r="E96" s="77"/>
      <c r="F96" s="77"/>
      <c r="G96" s="76"/>
      <c r="H96" s="80">
        <f t="shared" si="3"/>
        <v>0</v>
      </c>
      <c r="I96" s="81"/>
      <c r="J96" s="76"/>
    </row>
    <row r="97" ht="22.5" customHeight="1">
      <c r="A97" s="76"/>
      <c r="B97" s="77"/>
      <c r="C97" s="77"/>
      <c r="D97" s="139"/>
      <c r="E97" s="77"/>
      <c r="F97" s="77"/>
      <c r="G97" s="76"/>
      <c r="H97" s="80">
        <f t="shared" si="3"/>
        <v>0</v>
      </c>
      <c r="I97" s="81"/>
      <c r="J97" s="76"/>
    </row>
    <row r="98" ht="22.5" customHeight="1">
      <c r="A98" s="76"/>
      <c r="B98" s="77"/>
      <c r="C98" s="77"/>
      <c r="D98" s="139"/>
      <c r="E98" s="77"/>
      <c r="F98" s="77"/>
      <c r="G98" s="76"/>
      <c r="H98" s="80">
        <f t="shared" si="3"/>
        <v>0</v>
      </c>
      <c r="I98" s="81"/>
      <c r="J98" s="76"/>
    </row>
    <row r="99" ht="22.5" customHeight="1">
      <c r="A99" s="76"/>
      <c r="B99" s="77"/>
      <c r="C99" s="77"/>
      <c r="D99" s="139"/>
      <c r="E99" s="77"/>
      <c r="F99" s="77"/>
      <c r="G99" s="76"/>
      <c r="H99" s="80">
        <f t="shared" si="3"/>
        <v>0</v>
      </c>
      <c r="I99" s="81"/>
      <c r="J99" s="76"/>
    </row>
    <row r="100" ht="22.5" customHeight="1">
      <c r="A100" s="76"/>
      <c r="B100" s="77"/>
      <c r="C100" s="77"/>
      <c r="D100" s="139"/>
      <c r="E100" s="77"/>
      <c r="F100" s="77"/>
      <c r="G100" s="76"/>
      <c r="H100" s="80">
        <f t="shared" si="3"/>
        <v>0</v>
      </c>
      <c r="I100" s="81"/>
      <c r="J100" s="76"/>
    </row>
    <row r="101" ht="22.5" customHeight="1">
      <c r="A101" s="76"/>
      <c r="B101" s="76"/>
      <c r="C101" s="77"/>
      <c r="D101" s="139"/>
      <c r="E101" s="77"/>
      <c r="F101" s="77"/>
      <c r="G101" s="76"/>
      <c r="H101" s="80">
        <f t="shared" si="3"/>
        <v>0</v>
      </c>
      <c r="I101" s="81"/>
      <c r="J101" s="76"/>
    </row>
    <row r="102" ht="22.5" customHeight="1">
      <c r="A102" s="76"/>
      <c r="B102" s="77"/>
      <c r="C102" s="77"/>
      <c r="D102" s="139"/>
      <c r="E102" s="77"/>
      <c r="F102" s="77"/>
      <c r="G102" s="76"/>
      <c r="H102" s="80">
        <f t="shared" si="3"/>
        <v>0</v>
      </c>
      <c r="I102" s="81"/>
      <c r="J102" s="76"/>
    </row>
    <row r="103" ht="22.5" customHeight="1">
      <c r="A103" s="76"/>
      <c r="B103" s="77"/>
      <c r="C103" s="77"/>
      <c r="D103" s="139"/>
      <c r="E103" s="77"/>
      <c r="F103" s="77"/>
      <c r="G103" s="76"/>
      <c r="H103" s="80">
        <f t="shared" si="3"/>
        <v>0</v>
      </c>
      <c r="I103" s="81"/>
      <c r="J103" s="76"/>
    </row>
    <row r="104" ht="22.5" customHeight="1">
      <c r="A104" s="76"/>
      <c r="B104" s="77"/>
      <c r="C104" s="77"/>
      <c r="D104" s="139"/>
      <c r="E104" s="77"/>
      <c r="F104" s="77"/>
      <c r="G104" s="76"/>
      <c r="H104" s="80">
        <f t="shared" si="3"/>
        <v>0</v>
      </c>
      <c r="I104" s="81"/>
      <c r="J104" s="76"/>
    </row>
    <row r="105" ht="22.5" customHeight="1">
      <c r="A105" s="76"/>
      <c r="B105" s="77"/>
      <c r="C105" s="77"/>
      <c r="D105" s="139"/>
      <c r="E105" s="77"/>
      <c r="F105" s="77"/>
      <c r="G105" s="76"/>
      <c r="H105" s="80">
        <f t="shared" si="3"/>
        <v>0</v>
      </c>
      <c r="I105" s="81"/>
      <c r="J105" s="76"/>
    </row>
    <row r="106" ht="22.5" customHeight="1">
      <c r="A106" s="76"/>
      <c r="B106" s="77"/>
      <c r="C106" s="77"/>
      <c r="D106" s="139"/>
      <c r="E106" s="77"/>
      <c r="F106" s="77"/>
      <c r="G106" s="76"/>
      <c r="H106" s="80">
        <f t="shared" si="3"/>
        <v>0</v>
      </c>
      <c r="I106" s="81"/>
      <c r="J106" s="76"/>
    </row>
    <row r="107" ht="22.5" customHeight="1">
      <c r="A107" s="76"/>
      <c r="B107" s="77"/>
      <c r="C107" s="77"/>
      <c r="D107" s="139"/>
      <c r="E107" s="77"/>
      <c r="F107" s="77"/>
      <c r="G107" s="76"/>
      <c r="H107" s="80">
        <f t="shared" si="3"/>
        <v>0</v>
      </c>
      <c r="I107" s="81"/>
      <c r="J107" s="76"/>
    </row>
    <row r="108" ht="22.5" customHeight="1">
      <c r="A108" s="76"/>
      <c r="B108" s="77"/>
      <c r="C108" s="77"/>
      <c r="D108" s="139"/>
      <c r="E108" s="77"/>
      <c r="F108" s="77"/>
      <c r="G108" s="76"/>
      <c r="H108" s="80">
        <f t="shared" si="3"/>
        <v>0</v>
      </c>
      <c r="I108" s="81"/>
      <c r="J108" s="76"/>
    </row>
    <row r="109" ht="22.5" customHeight="1">
      <c r="A109" s="76"/>
      <c r="B109" s="77"/>
      <c r="C109" s="77"/>
      <c r="D109" s="139"/>
      <c r="E109" s="77"/>
      <c r="F109" s="77"/>
      <c r="G109" s="76"/>
      <c r="H109" s="80">
        <f t="shared" si="3"/>
        <v>0</v>
      </c>
      <c r="I109" s="81"/>
      <c r="J109" s="76"/>
    </row>
    <row r="110" ht="22.5" customHeight="1">
      <c r="A110" s="76"/>
      <c r="B110" s="77"/>
      <c r="C110" s="77"/>
      <c r="D110" s="139"/>
      <c r="E110" s="77"/>
      <c r="F110" s="77"/>
      <c r="G110" s="76"/>
      <c r="H110" s="80">
        <f t="shared" si="3"/>
        <v>0</v>
      </c>
      <c r="I110" s="81"/>
      <c r="J110" s="76"/>
    </row>
    <row r="111" ht="22.5" customHeight="1">
      <c r="A111" s="76"/>
      <c r="B111" s="76"/>
      <c r="C111" s="77"/>
      <c r="D111" s="139"/>
      <c r="E111" s="77"/>
      <c r="F111" s="77"/>
      <c r="G111" s="76"/>
      <c r="H111" s="80">
        <f t="shared" si="3"/>
        <v>0</v>
      </c>
      <c r="I111" s="81"/>
      <c r="J111" s="76"/>
    </row>
    <row r="112" ht="22.5" customHeight="1">
      <c r="A112" s="76"/>
      <c r="B112" s="76"/>
      <c r="C112" s="77"/>
      <c r="D112" s="139"/>
      <c r="E112" s="77"/>
      <c r="F112" s="77"/>
      <c r="G112" s="76"/>
      <c r="H112" s="80">
        <f t="shared" si="3"/>
        <v>0</v>
      </c>
      <c r="I112" s="81"/>
      <c r="J112" s="76"/>
    </row>
    <row r="113" ht="22.5" customHeight="1">
      <c r="A113" s="76"/>
      <c r="B113" s="76"/>
      <c r="C113" s="77"/>
      <c r="D113" s="139"/>
      <c r="E113" s="77"/>
      <c r="F113" s="77"/>
      <c r="G113" s="76"/>
      <c r="H113" s="80">
        <f t="shared" si="3"/>
        <v>0</v>
      </c>
      <c r="I113" s="81"/>
      <c r="J113" s="76"/>
    </row>
    <row r="114" ht="22.5" customHeight="1">
      <c r="A114" s="76"/>
      <c r="B114" s="76"/>
      <c r="C114" s="77"/>
      <c r="D114" s="139"/>
      <c r="E114" s="77"/>
      <c r="F114" s="77"/>
      <c r="G114" s="76"/>
      <c r="H114" s="80">
        <f t="shared" si="3"/>
        <v>0</v>
      </c>
      <c r="I114" s="81"/>
      <c r="J114" s="76"/>
    </row>
    <row r="115" ht="22.5" customHeight="1">
      <c r="A115" s="76"/>
      <c r="B115" s="76"/>
      <c r="C115" s="77"/>
      <c r="D115" s="139"/>
      <c r="E115" s="77"/>
      <c r="F115" s="77"/>
      <c r="G115" s="76"/>
      <c r="H115" s="80">
        <f t="shared" si="3"/>
        <v>0</v>
      </c>
      <c r="I115" s="81"/>
      <c r="J115" s="76"/>
    </row>
    <row r="116" ht="22.5" customHeight="1">
      <c r="A116" s="76"/>
      <c r="B116" s="76"/>
      <c r="C116" s="77"/>
      <c r="D116" s="139"/>
      <c r="E116" s="77"/>
      <c r="F116" s="77"/>
      <c r="G116" s="76"/>
      <c r="H116" s="80">
        <f t="shared" si="3"/>
        <v>0</v>
      </c>
      <c r="I116" s="81"/>
      <c r="J116" s="76"/>
    </row>
    <row r="117" ht="22.5" customHeight="1">
      <c r="A117" s="76"/>
      <c r="B117" s="76"/>
      <c r="C117" s="77"/>
      <c r="D117" s="139"/>
      <c r="E117" s="77"/>
      <c r="F117" s="77"/>
      <c r="G117" s="76"/>
      <c r="H117" s="80">
        <f t="shared" si="3"/>
        <v>0</v>
      </c>
      <c r="I117" s="81"/>
      <c r="J117" s="76"/>
    </row>
    <row r="118" ht="22.5" customHeight="1">
      <c r="A118" s="76"/>
      <c r="B118" s="76"/>
      <c r="C118" s="77"/>
      <c r="D118" s="139"/>
      <c r="E118" s="77"/>
      <c r="F118" s="77"/>
      <c r="G118" s="76"/>
      <c r="H118" s="80">
        <f t="shared" si="3"/>
        <v>0</v>
      </c>
      <c r="I118" s="81"/>
      <c r="J118" s="76"/>
    </row>
    <row r="119" ht="22.5" customHeight="1">
      <c r="A119" s="76"/>
      <c r="B119" s="76"/>
      <c r="C119" s="77"/>
      <c r="D119" s="139"/>
      <c r="E119" s="77"/>
      <c r="F119" s="77"/>
      <c r="G119" s="76"/>
      <c r="H119" s="80">
        <f t="shared" si="3"/>
        <v>0</v>
      </c>
      <c r="I119" s="81"/>
      <c r="J119" s="76"/>
    </row>
    <row r="120" ht="22.5" customHeight="1">
      <c r="A120" s="76"/>
      <c r="B120" s="76"/>
      <c r="C120" s="77"/>
      <c r="D120" s="139"/>
      <c r="E120" s="77"/>
      <c r="F120" s="77"/>
      <c r="G120" s="76"/>
      <c r="H120" s="80">
        <f t="shared" si="3"/>
        <v>0</v>
      </c>
      <c r="I120" s="81"/>
      <c r="J120" s="76"/>
    </row>
    <row r="121" ht="22.5" customHeight="1">
      <c r="A121" s="76"/>
      <c r="B121" s="76"/>
      <c r="C121" s="77"/>
      <c r="D121" s="139"/>
      <c r="E121" s="77"/>
      <c r="F121" s="77"/>
      <c r="G121" s="76"/>
      <c r="H121" s="80">
        <f t="shared" si="3"/>
        <v>0</v>
      </c>
      <c r="I121" s="81"/>
      <c r="J121" s="76"/>
    </row>
    <row r="122" ht="22.5" customHeight="1">
      <c r="A122" s="76"/>
      <c r="B122" s="77"/>
      <c r="C122" s="77"/>
      <c r="D122" s="139"/>
      <c r="E122" s="77"/>
      <c r="F122" s="77"/>
      <c r="G122" s="76"/>
      <c r="H122" s="80">
        <f t="shared" si="3"/>
        <v>0</v>
      </c>
      <c r="I122" s="76"/>
      <c r="J122" s="76"/>
    </row>
    <row r="123" ht="22.5" customHeight="1">
      <c r="A123" s="76"/>
      <c r="B123" s="77"/>
      <c r="C123" s="77"/>
      <c r="D123" s="139"/>
      <c r="E123" s="77"/>
      <c r="F123" s="77"/>
      <c r="G123" s="76"/>
      <c r="H123" s="80">
        <f t="shared" si="3"/>
        <v>0</v>
      </c>
      <c r="I123" s="76"/>
      <c r="J123" s="76"/>
    </row>
    <row r="124" ht="22.5" customHeight="1">
      <c r="A124" s="76"/>
      <c r="B124" s="77"/>
      <c r="C124" s="77"/>
      <c r="D124" s="139"/>
      <c r="E124" s="77"/>
      <c r="F124" s="77"/>
      <c r="G124" s="76"/>
      <c r="H124" s="80">
        <f t="shared" si="3"/>
        <v>0</v>
      </c>
      <c r="I124" s="76"/>
      <c r="J124" s="76"/>
    </row>
    <row r="125" ht="22.5" customHeight="1">
      <c r="A125" s="76"/>
      <c r="B125" s="77"/>
      <c r="C125" s="77"/>
      <c r="D125" s="139"/>
      <c r="E125" s="77"/>
      <c r="F125" s="77"/>
      <c r="G125" s="76"/>
      <c r="H125" s="80">
        <f t="shared" si="3"/>
        <v>0</v>
      </c>
      <c r="I125" s="76"/>
      <c r="J125" s="76"/>
    </row>
    <row r="126" ht="22.5" customHeight="1">
      <c r="A126" s="76"/>
      <c r="B126" s="77"/>
      <c r="C126" s="77"/>
      <c r="D126" s="139"/>
      <c r="E126" s="77"/>
      <c r="F126" s="77"/>
      <c r="G126" s="76"/>
      <c r="H126" s="80">
        <f t="shared" si="3"/>
        <v>0</v>
      </c>
      <c r="I126" s="76"/>
      <c r="J126" s="76"/>
    </row>
    <row r="127" ht="22.5" customHeight="1">
      <c r="A127" s="76"/>
      <c r="B127" s="76"/>
      <c r="C127" s="77"/>
      <c r="D127" s="139"/>
      <c r="E127" s="77"/>
      <c r="F127" s="77"/>
      <c r="G127" s="76"/>
      <c r="H127" s="80">
        <f t="shared" si="3"/>
        <v>0</v>
      </c>
      <c r="I127" s="76"/>
      <c r="J127" s="76"/>
    </row>
    <row r="128" ht="22.5" customHeight="1">
      <c r="A128" s="76"/>
      <c r="B128" s="76"/>
      <c r="C128" s="77"/>
      <c r="D128" s="139"/>
      <c r="E128" s="77"/>
      <c r="F128" s="77"/>
      <c r="G128" s="76"/>
      <c r="H128" s="80">
        <f t="shared" si="3"/>
        <v>0</v>
      </c>
      <c r="I128" s="76"/>
      <c r="J128" s="76"/>
    </row>
    <row r="129" ht="22.5" customHeight="1">
      <c r="A129" s="76"/>
      <c r="B129" s="76"/>
      <c r="C129" s="77"/>
      <c r="D129" s="139"/>
      <c r="E129" s="77"/>
      <c r="F129" s="77"/>
      <c r="G129" s="76"/>
      <c r="H129" s="80">
        <f t="shared" si="3"/>
        <v>0</v>
      </c>
      <c r="I129" s="76"/>
      <c r="J129" s="76"/>
    </row>
    <row r="130" ht="22.5" customHeight="1">
      <c r="A130" s="76"/>
      <c r="B130" s="76"/>
      <c r="C130" s="77"/>
      <c r="D130" s="139"/>
      <c r="E130" s="77"/>
      <c r="F130" s="77"/>
      <c r="G130" s="76"/>
      <c r="H130" s="80">
        <f t="shared" si="3"/>
        <v>0</v>
      </c>
      <c r="I130" s="76"/>
      <c r="J130" s="76"/>
    </row>
    <row r="131" ht="22.5" customHeight="1">
      <c r="A131" s="76"/>
      <c r="B131" s="76"/>
      <c r="C131" s="77"/>
      <c r="D131" s="139"/>
      <c r="E131" s="77"/>
      <c r="F131" s="77"/>
      <c r="G131" s="76"/>
      <c r="H131" s="80">
        <f t="shared" si="3"/>
        <v>0</v>
      </c>
      <c r="I131" s="76"/>
      <c r="J131" s="76"/>
    </row>
    <row r="132" ht="22.5" customHeight="1">
      <c r="A132" s="76"/>
      <c r="B132" s="76"/>
      <c r="C132" s="77"/>
      <c r="D132" s="139"/>
      <c r="E132" s="77"/>
      <c r="F132" s="77"/>
      <c r="G132" s="76"/>
      <c r="H132" s="80">
        <f t="shared" si="3"/>
        <v>0</v>
      </c>
      <c r="I132" s="76"/>
      <c r="J132" s="76"/>
    </row>
    <row r="133" ht="22.5" customHeight="1">
      <c r="A133" s="76"/>
      <c r="B133" s="76"/>
      <c r="C133" s="77"/>
      <c r="D133" s="139"/>
      <c r="E133" s="77"/>
      <c r="F133" s="77"/>
      <c r="G133" s="76"/>
      <c r="H133" s="80">
        <f t="shared" si="3"/>
        <v>0</v>
      </c>
      <c r="I133" s="76"/>
      <c r="J133" s="76"/>
    </row>
    <row r="134" ht="22.5" customHeight="1">
      <c r="A134" s="76"/>
      <c r="B134" s="76"/>
      <c r="C134" s="77"/>
      <c r="D134" s="139"/>
      <c r="E134" s="77"/>
      <c r="F134" s="77"/>
      <c r="G134" s="76"/>
      <c r="H134" s="80">
        <f t="shared" si="3"/>
        <v>0</v>
      </c>
      <c r="I134" s="76"/>
      <c r="J134" s="76"/>
    </row>
    <row r="135" ht="22.5" customHeight="1">
      <c r="A135" s="76"/>
      <c r="B135" s="76"/>
      <c r="C135" s="77"/>
      <c r="D135" s="139"/>
      <c r="E135" s="77"/>
      <c r="F135" s="77"/>
      <c r="G135" s="76"/>
      <c r="H135" s="80">
        <f t="shared" si="3"/>
        <v>0</v>
      </c>
      <c r="I135" s="76"/>
      <c r="J135" s="76"/>
    </row>
    <row r="136" ht="22.5" customHeight="1">
      <c r="A136" s="76"/>
      <c r="B136" s="76"/>
      <c r="C136" s="77"/>
      <c r="D136" s="139"/>
      <c r="E136" s="77"/>
      <c r="F136" s="77"/>
      <c r="G136" s="76"/>
      <c r="H136" s="80">
        <f t="shared" si="3"/>
        <v>0</v>
      </c>
      <c r="I136" s="76"/>
      <c r="J136" s="76"/>
    </row>
    <row r="137" ht="22.5" customHeight="1">
      <c r="A137" s="76"/>
      <c r="B137" s="76"/>
      <c r="C137" s="77"/>
      <c r="D137" s="139"/>
      <c r="E137" s="77"/>
      <c r="F137" s="77"/>
      <c r="G137" s="76"/>
      <c r="H137" s="80">
        <f t="shared" si="3"/>
        <v>0</v>
      </c>
      <c r="I137" s="76"/>
      <c r="J137" s="76"/>
    </row>
    <row r="138" ht="22.5" customHeight="1">
      <c r="A138" s="76"/>
      <c r="B138" s="76"/>
      <c r="C138" s="77"/>
      <c r="D138" s="139"/>
      <c r="E138" s="77"/>
      <c r="F138" s="77"/>
      <c r="G138" s="76"/>
      <c r="H138" s="80">
        <f t="shared" si="3"/>
        <v>0</v>
      </c>
      <c r="I138" s="76"/>
      <c r="J138" s="76"/>
    </row>
    <row r="139" ht="22.5" customHeight="1">
      <c r="A139" s="76"/>
      <c r="B139" s="76"/>
      <c r="C139" s="77"/>
      <c r="D139" s="139"/>
      <c r="E139" s="77"/>
      <c r="F139" s="77"/>
      <c r="G139" s="76"/>
      <c r="H139" s="80">
        <f t="shared" si="3"/>
        <v>0</v>
      </c>
      <c r="I139" s="76"/>
      <c r="J139" s="76"/>
    </row>
    <row r="140" ht="22.5" customHeight="1">
      <c r="A140" s="76"/>
      <c r="B140" s="76"/>
      <c r="C140" s="77"/>
      <c r="D140" s="139"/>
      <c r="E140" s="77"/>
      <c r="F140" s="77"/>
      <c r="G140" s="76"/>
      <c r="H140" s="80">
        <f t="shared" si="3"/>
        <v>0</v>
      </c>
      <c r="I140" s="76"/>
      <c r="J140" s="76"/>
    </row>
    <row r="141" ht="22.5" customHeight="1">
      <c r="A141" s="76"/>
      <c r="B141" s="76"/>
      <c r="C141" s="77"/>
      <c r="D141" s="139"/>
      <c r="E141" s="77"/>
      <c r="F141" s="77"/>
      <c r="G141" s="76"/>
      <c r="H141" s="80">
        <f t="shared" si="3"/>
        <v>0</v>
      </c>
      <c r="I141" s="76"/>
      <c r="J141" s="76"/>
    </row>
    <row r="142" ht="22.5" customHeight="1">
      <c r="A142" s="76"/>
      <c r="B142" s="76"/>
      <c r="C142" s="77"/>
      <c r="D142" s="139"/>
      <c r="E142" s="77"/>
      <c r="F142" s="77"/>
      <c r="G142" s="76"/>
      <c r="H142" s="80">
        <f t="shared" si="3"/>
        <v>0</v>
      </c>
      <c r="I142" s="76"/>
      <c r="J142" s="76"/>
    </row>
    <row r="143" ht="22.5" customHeight="1">
      <c r="A143" s="76"/>
      <c r="B143" s="76"/>
      <c r="C143" s="77"/>
      <c r="D143" s="139"/>
      <c r="E143" s="77"/>
      <c r="F143" s="77"/>
      <c r="G143" s="76"/>
      <c r="H143" s="80">
        <f t="shared" si="3"/>
        <v>0</v>
      </c>
      <c r="I143" s="76"/>
      <c r="J143" s="76"/>
    </row>
    <row r="144" ht="22.5" customHeight="1">
      <c r="A144" s="76"/>
      <c r="B144" s="76"/>
      <c r="C144" s="77"/>
      <c r="D144" s="139"/>
      <c r="E144" s="77"/>
      <c r="F144" s="77"/>
      <c r="G144" s="76"/>
      <c r="H144" s="80">
        <f t="shared" si="3"/>
        <v>0</v>
      </c>
      <c r="I144" s="76"/>
      <c r="J144" s="76"/>
    </row>
    <row r="145" ht="22.5" customHeight="1">
      <c r="A145" s="76"/>
      <c r="B145" s="76"/>
      <c r="C145" s="77"/>
      <c r="D145" s="139"/>
      <c r="E145" s="77"/>
      <c r="F145" s="77"/>
      <c r="G145" s="76"/>
      <c r="H145" s="80">
        <f t="shared" si="3"/>
        <v>0</v>
      </c>
      <c r="I145" s="76"/>
      <c r="J145" s="76"/>
    </row>
    <row r="146" ht="22.5" customHeight="1">
      <c r="A146" s="76"/>
      <c r="B146" s="77"/>
      <c r="C146" s="77"/>
      <c r="D146" s="139"/>
      <c r="E146" s="77"/>
      <c r="F146" s="77"/>
      <c r="G146" s="76"/>
      <c r="H146" s="80">
        <f t="shared" si="3"/>
        <v>0</v>
      </c>
      <c r="I146" s="76"/>
      <c r="J146" s="76"/>
    </row>
    <row r="147" ht="22.5" customHeight="1">
      <c r="A147" s="76"/>
      <c r="B147" s="87"/>
      <c r="C147" s="87"/>
      <c r="D147" s="142"/>
      <c r="E147" s="79"/>
      <c r="F147" s="77"/>
      <c r="G147" s="76"/>
      <c r="H147" s="80">
        <f t="shared" si="3"/>
        <v>0</v>
      </c>
      <c r="I147" s="76"/>
      <c r="J147" s="76"/>
    </row>
    <row r="148" ht="22.5" customHeight="1">
      <c r="A148" s="76"/>
      <c r="B148" s="76"/>
      <c r="C148" s="87"/>
      <c r="D148" s="142"/>
      <c r="E148" s="79"/>
      <c r="F148" s="77"/>
      <c r="G148" s="76"/>
      <c r="H148" s="80">
        <f t="shared" si="3"/>
        <v>0</v>
      </c>
      <c r="I148" s="76"/>
      <c r="J148" s="76"/>
    </row>
    <row r="149" ht="22.5" customHeight="1">
      <c r="A149" s="76"/>
      <c r="B149" s="76"/>
      <c r="C149" s="87"/>
      <c r="D149" s="142"/>
      <c r="E149" s="79"/>
      <c r="F149" s="77"/>
      <c r="G149" s="76"/>
      <c r="H149" s="80">
        <f t="shared" si="3"/>
        <v>0</v>
      </c>
      <c r="I149" s="76"/>
      <c r="J149" s="76"/>
    </row>
    <row r="150" ht="22.5" customHeight="1">
      <c r="A150" s="76"/>
      <c r="B150" s="76"/>
      <c r="C150" s="87"/>
      <c r="D150" s="142"/>
      <c r="E150" s="79"/>
      <c r="F150" s="77"/>
      <c r="G150" s="76"/>
      <c r="H150" s="80">
        <f t="shared" si="3"/>
        <v>0</v>
      </c>
      <c r="I150" s="76"/>
      <c r="J150" s="76"/>
    </row>
    <row r="151" ht="22.5" customHeight="1">
      <c r="A151" s="76"/>
      <c r="B151" s="87"/>
      <c r="C151" s="87"/>
      <c r="D151" s="142"/>
      <c r="E151" s="79"/>
      <c r="F151" s="77"/>
      <c r="G151" s="76"/>
      <c r="H151" s="80">
        <f t="shared" si="3"/>
        <v>0</v>
      </c>
      <c r="I151" s="76"/>
      <c r="J151" s="76"/>
    </row>
    <row r="152" ht="22.5" customHeight="1">
      <c r="A152" s="76"/>
      <c r="B152" s="87"/>
      <c r="C152" s="87"/>
      <c r="D152" s="142"/>
      <c r="E152" s="79"/>
      <c r="F152" s="77"/>
      <c r="G152" s="76"/>
      <c r="H152" s="80">
        <f t="shared" si="3"/>
        <v>0</v>
      </c>
      <c r="I152" s="76"/>
      <c r="J152" s="76"/>
    </row>
    <row r="153" ht="22.5" customHeight="1">
      <c r="A153" s="76"/>
      <c r="B153" s="77"/>
      <c r="C153" s="87"/>
      <c r="D153" s="142"/>
      <c r="E153" s="79"/>
      <c r="F153" s="77"/>
      <c r="G153" s="76"/>
      <c r="H153" s="80">
        <f t="shared" si="3"/>
        <v>0</v>
      </c>
      <c r="I153" s="76"/>
      <c r="J153" s="76"/>
    </row>
    <row r="154" ht="22.5" customHeight="1">
      <c r="A154" s="76"/>
      <c r="B154" s="77"/>
      <c r="C154" s="87"/>
      <c r="D154" s="142"/>
      <c r="E154" s="79"/>
      <c r="F154" s="77"/>
      <c r="G154" s="76"/>
      <c r="H154" s="80">
        <f t="shared" si="3"/>
        <v>0</v>
      </c>
      <c r="I154" s="76"/>
      <c r="J154" s="76"/>
    </row>
    <row r="155" ht="22.5" customHeight="1">
      <c r="A155" s="76"/>
      <c r="B155" s="77"/>
      <c r="C155" s="87"/>
      <c r="D155" s="142"/>
      <c r="E155" s="79"/>
      <c r="F155" s="77"/>
      <c r="G155" s="76"/>
      <c r="H155" s="80">
        <f t="shared" si="3"/>
        <v>0</v>
      </c>
      <c r="I155" s="76"/>
      <c r="J155" s="76"/>
    </row>
    <row r="156" ht="22.5" customHeight="1">
      <c r="A156" s="76"/>
      <c r="B156" s="77"/>
      <c r="C156" s="87"/>
      <c r="D156" s="142"/>
      <c r="E156" s="79"/>
      <c r="F156" s="77"/>
      <c r="G156" s="76"/>
      <c r="H156" s="80">
        <f t="shared" si="3"/>
        <v>0</v>
      </c>
      <c r="I156" s="76"/>
      <c r="J156" s="76"/>
    </row>
    <row r="157" ht="22.5" customHeight="1">
      <c r="A157" s="76"/>
      <c r="B157" s="77"/>
      <c r="C157" s="87"/>
      <c r="D157" s="142"/>
      <c r="E157" s="79"/>
      <c r="F157" s="77"/>
      <c r="G157" s="76"/>
      <c r="H157" s="80">
        <f t="shared" si="3"/>
        <v>0</v>
      </c>
      <c r="I157" s="76"/>
      <c r="J157" s="76"/>
    </row>
    <row r="158" ht="22.5" customHeight="1">
      <c r="A158" s="77"/>
      <c r="B158" s="77"/>
      <c r="C158" s="87"/>
      <c r="D158" s="142"/>
      <c r="E158" s="79"/>
      <c r="F158" s="77"/>
      <c r="G158" s="76"/>
      <c r="H158" s="80">
        <f t="shared" si="3"/>
        <v>0</v>
      </c>
      <c r="I158" s="76"/>
      <c r="J158" s="76"/>
    </row>
    <row r="159" ht="22.5" customHeight="1">
      <c r="A159" s="77"/>
      <c r="B159" s="77"/>
      <c r="C159" s="87"/>
      <c r="D159" s="142"/>
      <c r="E159" s="79"/>
      <c r="F159" s="77"/>
      <c r="G159" s="76"/>
      <c r="H159" s="80">
        <f t="shared" si="3"/>
        <v>0</v>
      </c>
      <c r="I159" s="76"/>
      <c r="J159" s="76"/>
    </row>
    <row r="160" ht="22.5" customHeight="1">
      <c r="A160" s="77"/>
      <c r="B160" s="77"/>
      <c r="C160" s="87"/>
      <c r="D160" s="142"/>
      <c r="E160" s="79"/>
      <c r="F160" s="77"/>
      <c r="G160" s="76"/>
      <c r="H160" s="80">
        <f t="shared" si="3"/>
        <v>0</v>
      </c>
      <c r="I160" s="76"/>
      <c r="J160" s="76"/>
    </row>
    <row r="161" ht="22.5" customHeight="1">
      <c r="A161" s="76"/>
      <c r="B161" s="77"/>
      <c r="C161" s="87"/>
      <c r="D161" s="142"/>
      <c r="E161" s="79"/>
      <c r="F161" s="77"/>
      <c r="G161" s="76"/>
      <c r="H161" s="80">
        <f t="shared" si="3"/>
        <v>0</v>
      </c>
      <c r="I161" s="76"/>
      <c r="J161" s="76"/>
    </row>
    <row r="162" ht="22.5" customHeight="1">
      <c r="A162" s="76"/>
      <c r="B162" s="76"/>
      <c r="C162" s="77"/>
      <c r="D162" s="142"/>
      <c r="E162" s="79"/>
      <c r="F162" s="77"/>
      <c r="G162" s="76"/>
      <c r="H162" s="80">
        <f t="shared" si="3"/>
        <v>0</v>
      </c>
      <c r="I162" s="76"/>
      <c r="J162" s="76"/>
    </row>
    <row r="163" ht="22.5" customHeight="1">
      <c r="A163" s="76"/>
      <c r="B163" s="76"/>
      <c r="C163" s="77"/>
      <c r="D163" s="142"/>
      <c r="E163" s="79"/>
      <c r="F163" s="77"/>
      <c r="G163" s="76"/>
      <c r="H163" s="80">
        <f t="shared" si="3"/>
        <v>0</v>
      </c>
      <c r="I163" s="76"/>
      <c r="J163" s="76"/>
    </row>
    <row r="164" ht="22.5" customHeight="1">
      <c r="A164" s="76"/>
      <c r="B164" s="87"/>
      <c r="C164" s="87"/>
      <c r="D164" s="142"/>
      <c r="E164" s="79"/>
      <c r="F164" s="77"/>
      <c r="G164" s="76"/>
      <c r="H164" s="80">
        <f t="shared" si="3"/>
        <v>0</v>
      </c>
      <c r="I164" s="76"/>
      <c r="J164" s="76"/>
    </row>
    <row r="165" ht="22.5" customHeight="1">
      <c r="A165" s="76"/>
      <c r="B165" s="87"/>
      <c r="C165" s="87"/>
      <c r="D165" s="142"/>
      <c r="E165" s="79"/>
      <c r="F165" s="77"/>
      <c r="G165" s="76"/>
      <c r="H165" s="80">
        <f t="shared" si="3"/>
        <v>0</v>
      </c>
      <c r="I165" s="76"/>
      <c r="J165" s="76"/>
    </row>
    <row r="166" ht="22.5" customHeight="1">
      <c r="A166" s="76"/>
      <c r="B166" s="87"/>
      <c r="C166" s="87"/>
      <c r="D166" s="142"/>
      <c r="E166" s="79"/>
      <c r="F166" s="77"/>
      <c r="G166" s="76"/>
      <c r="H166" s="80">
        <f t="shared" si="3"/>
        <v>0</v>
      </c>
      <c r="I166" s="76"/>
      <c r="J166" s="76"/>
    </row>
    <row r="167" ht="22.5" customHeight="1">
      <c r="A167" s="76"/>
      <c r="B167" s="87"/>
      <c r="C167" s="87"/>
      <c r="D167" s="142"/>
      <c r="E167" s="79"/>
      <c r="F167" s="77"/>
      <c r="G167" s="76"/>
      <c r="H167" s="80">
        <f t="shared" si="3"/>
        <v>0</v>
      </c>
      <c r="I167" s="76"/>
      <c r="J167" s="76"/>
    </row>
    <row r="168" ht="22.5" customHeight="1">
      <c r="A168" s="76"/>
      <c r="B168" s="87"/>
      <c r="C168" s="87"/>
      <c r="D168" s="142"/>
      <c r="E168" s="79"/>
      <c r="F168" s="77"/>
      <c r="G168" s="76"/>
      <c r="H168" s="80">
        <f t="shared" si="3"/>
        <v>0</v>
      </c>
      <c r="I168" s="76"/>
      <c r="J168" s="76"/>
    </row>
    <row r="169" ht="22.5" customHeight="1">
      <c r="A169" s="77"/>
      <c r="B169" s="76"/>
      <c r="C169" s="77"/>
      <c r="D169" s="139"/>
      <c r="E169" s="77"/>
      <c r="F169" s="77"/>
      <c r="G169" s="76"/>
      <c r="H169" s="80">
        <f t="shared" si="3"/>
        <v>0</v>
      </c>
      <c r="I169" s="76"/>
      <c r="J169" s="76"/>
    </row>
    <row r="170" ht="22.5" customHeight="1">
      <c r="A170" s="77"/>
      <c r="B170" s="76"/>
      <c r="C170" s="77"/>
      <c r="D170" s="139"/>
      <c r="E170" s="77"/>
      <c r="F170" s="77"/>
      <c r="G170" s="76"/>
      <c r="H170" s="80">
        <f t="shared" si="3"/>
        <v>0</v>
      </c>
      <c r="I170" s="76"/>
      <c r="J170" s="76"/>
    </row>
    <row r="171" ht="22.5" customHeight="1">
      <c r="A171" s="77"/>
      <c r="B171" s="76"/>
      <c r="C171" s="77"/>
      <c r="D171" s="139"/>
      <c r="E171" s="77"/>
      <c r="F171" s="77"/>
      <c r="G171" s="76"/>
      <c r="H171" s="80">
        <f t="shared" si="3"/>
        <v>0</v>
      </c>
      <c r="I171" s="76"/>
      <c r="J171" s="76"/>
    </row>
    <row r="172" ht="22.5" customHeight="1">
      <c r="A172" s="77"/>
      <c r="B172" s="76"/>
      <c r="C172" s="77"/>
      <c r="D172" s="139"/>
      <c r="E172" s="77"/>
      <c r="F172" s="77"/>
      <c r="G172" s="76"/>
      <c r="H172" s="80">
        <f t="shared" si="3"/>
        <v>0</v>
      </c>
      <c r="I172" s="76"/>
      <c r="J172" s="76"/>
    </row>
    <row r="173" ht="22.5" customHeight="1">
      <c r="A173" s="76"/>
      <c r="B173" s="76"/>
      <c r="C173" s="77"/>
      <c r="D173" s="139"/>
      <c r="E173" s="77"/>
      <c r="F173" s="77"/>
      <c r="G173" s="76"/>
      <c r="H173" s="80">
        <f t="shared" si="3"/>
        <v>0</v>
      </c>
      <c r="I173" s="76"/>
      <c r="J173" s="76"/>
    </row>
    <row r="174" ht="22.5" customHeight="1">
      <c r="A174" s="77"/>
      <c r="B174" s="76"/>
      <c r="C174" s="77"/>
      <c r="D174" s="139"/>
      <c r="E174" s="77"/>
      <c r="F174" s="77"/>
      <c r="G174" s="76"/>
      <c r="H174" s="80">
        <f t="shared" si="3"/>
        <v>0</v>
      </c>
      <c r="I174" s="76"/>
      <c r="J174" s="76"/>
    </row>
    <row r="175" ht="22.5" customHeight="1">
      <c r="A175" s="77"/>
      <c r="B175" s="76"/>
      <c r="C175" s="77"/>
      <c r="D175" s="139"/>
      <c r="E175" s="76"/>
      <c r="F175" s="77"/>
      <c r="G175" s="76"/>
      <c r="H175" s="80">
        <f t="shared" si="3"/>
        <v>0</v>
      </c>
      <c r="I175" s="76"/>
      <c r="J175" s="76"/>
    </row>
    <row r="176" ht="22.5" customHeight="1">
      <c r="A176" s="77"/>
      <c r="B176" s="90"/>
      <c r="C176" s="77"/>
      <c r="D176" s="139"/>
      <c r="E176" s="76"/>
      <c r="F176" s="77"/>
      <c r="G176" s="76"/>
      <c r="H176" s="80">
        <f t="shared" si="3"/>
        <v>0</v>
      </c>
      <c r="I176" s="76"/>
      <c r="J176" s="76"/>
    </row>
    <row r="177" ht="22.5" customHeight="1">
      <c r="A177" s="77"/>
      <c r="B177" s="77"/>
      <c r="C177" s="77"/>
      <c r="D177" s="139"/>
      <c r="E177" s="76"/>
      <c r="F177" s="77"/>
      <c r="G177" s="76"/>
      <c r="H177" s="80">
        <f t="shared" si="3"/>
        <v>0</v>
      </c>
      <c r="I177" s="76"/>
      <c r="J177" s="76"/>
    </row>
    <row r="178" ht="22.5" customHeight="1">
      <c r="A178" s="77"/>
      <c r="B178" s="77"/>
      <c r="C178" s="77"/>
      <c r="D178" s="139"/>
      <c r="E178" s="76"/>
      <c r="F178" s="77"/>
      <c r="G178" s="76"/>
      <c r="H178" s="80">
        <f t="shared" si="3"/>
        <v>0</v>
      </c>
      <c r="I178" s="76"/>
      <c r="J178" s="76"/>
    </row>
    <row r="179" ht="22.5" customHeight="1">
      <c r="A179" s="77"/>
      <c r="B179" s="77"/>
      <c r="C179" s="77"/>
      <c r="D179" s="139"/>
      <c r="E179" s="76"/>
      <c r="F179" s="77"/>
      <c r="G179" s="76"/>
      <c r="H179" s="80">
        <f t="shared" si="3"/>
        <v>0</v>
      </c>
      <c r="I179" s="76"/>
      <c r="J179" s="76"/>
    </row>
    <row r="180" ht="22.5" customHeight="1">
      <c r="A180" s="77"/>
      <c r="B180" s="77"/>
      <c r="C180" s="77"/>
      <c r="D180" s="139"/>
      <c r="E180" s="76"/>
      <c r="F180" s="77"/>
      <c r="G180" s="76"/>
      <c r="H180" s="80">
        <f t="shared" si="3"/>
        <v>0</v>
      </c>
      <c r="I180" s="81"/>
      <c r="J180" s="77"/>
    </row>
    <row r="181" ht="22.5" customHeight="1">
      <c r="A181" s="77"/>
      <c r="B181" s="77"/>
      <c r="C181" s="77"/>
      <c r="D181" s="139"/>
      <c r="E181" s="76"/>
      <c r="F181" s="77"/>
      <c r="G181" s="76"/>
      <c r="H181" s="80">
        <f t="shared" si="3"/>
        <v>0</v>
      </c>
      <c r="I181" s="81"/>
      <c r="J181" s="77"/>
    </row>
    <row r="182" ht="22.5" customHeight="1">
      <c r="A182" s="77"/>
      <c r="B182" s="76"/>
      <c r="C182" s="77"/>
      <c r="D182" s="139"/>
      <c r="E182" s="76"/>
      <c r="F182" s="77"/>
      <c r="G182" s="76"/>
      <c r="H182" s="80">
        <f t="shared" si="3"/>
        <v>0</v>
      </c>
      <c r="I182" s="80"/>
      <c r="J182" s="77"/>
    </row>
    <row r="183" ht="22.5" customHeight="1">
      <c r="A183" s="77"/>
      <c r="B183" s="76"/>
      <c r="C183" s="77"/>
      <c r="D183" s="139"/>
      <c r="E183" s="76"/>
      <c r="F183" s="77"/>
      <c r="G183" s="76"/>
      <c r="H183" s="80">
        <f t="shared" si="3"/>
        <v>0</v>
      </c>
      <c r="I183" s="80"/>
      <c r="J183" s="77"/>
    </row>
    <row r="184" ht="22.5" customHeight="1">
      <c r="A184" s="77"/>
      <c r="B184" s="76"/>
      <c r="C184" s="77"/>
      <c r="D184" s="139"/>
      <c r="E184" s="76"/>
      <c r="F184" s="77"/>
      <c r="G184" s="76"/>
      <c r="H184" s="80">
        <f t="shared" si="3"/>
        <v>0</v>
      </c>
      <c r="I184" s="80"/>
      <c r="J184" s="77"/>
    </row>
    <row r="185" ht="22.5" customHeight="1">
      <c r="A185" s="77"/>
      <c r="B185" s="76"/>
      <c r="C185" s="77"/>
      <c r="D185" s="139"/>
      <c r="E185" s="76"/>
      <c r="F185" s="77"/>
      <c r="G185" s="76"/>
      <c r="H185" s="80">
        <f t="shared" si="3"/>
        <v>0</v>
      </c>
      <c r="I185" s="80"/>
      <c r="J185" s="77"/>
    </row>
    <row r="186" ht="22.5" customHeight="1">
      <c r="A186" s="77"/>
      <c r="B186" s="76"/>
      <c r="C186" s="77"/>
      <c r="D186" s="139"/>
      <c r="E186" s="76"/>
      <c r="F186" s="77"/>
      <c r="G186" s="76"/>
      <c r="H186" s="80">
        <f t="shared" si="3"/>
        <v>0</v>
      </c>
      <c r="I186" s="80"/>
      <c r="J186" s="77"/>
    </row>
    <row r="187" ht="22.5" customHeight="1">
      <c r="A187" s="77"/>
      <c r="B187" s="77"/>
      <c r="C187" s="77"/>
      <c r="D187" s="139"/>
      <c r="E187" s="76"/>
      <c r="F187" s="77"/>
      <c r="G187" s="76"/>
      <c r="H187" s="80">
        <f t="shared" si="3"/>
        <v>0</v>
      </c>
      <c r="I187" s="80"/>
      <c r="J187" s="76"/>
    </row>
    <row r="188" ht="22.5" customHeight="1">
      <c r="A188" s="77"/>
      <c r="B188" s="77"/>
      <c r="C188" s="77"/>
      <c r="D188" s="139"/>
      <c r="E188" s="76"/>
      <c r="F188" s="77"/>
      <c r="G188" s="76"/>
      <c r="H188" s="80">
        <f t="shared" si="3"/>
        <v>0</v>
      </c>
      <c r="I188" s="80"/>
      <c r="J188" s="76"/>
    </row>
    <row r="189" ht="22.5" customHeight="1">
      <c r="A189" s="77"/>
      <c r="B189" s="77"/>
      <c r="C189" s="77"/>
      <c r="D189" s="139"/>
      <c r="E189" s="76"/>
      <c r="F189" s="77"/>
      <c r="G189" s="76"/>
      <c r="H189" s="80">
        <f t="shared" si="3"/>
        <v>0</v>
      </c>
      <c r="I189" s="80"/>
      <c r="J189" s="76"/>
    </row>
    <row r="190" ht="22.5" customHeight="1">
      <c r="A190" s="77"/>
      <c r="B190" s="77"/>
      <c r="C190" s="77"/>
      <c r="D190" s="139"/>
      <c r="E190" s="76"/>
      <c r="F190" s="77"/>
      <c r="G190" s="76"/>
      <c r="H190" s="80">
        <f t="shared" si="3"/>
        <v>0</v>
      </c>
      <c r="I190" s="80"/>
      <c r="J190" s="76"/>
    </row>
    <row r="191" ht="22.5" customHeight="1">
      <c r="A191" s="77"/>
      <c r="B191" s="77"/>
      <c r="C191" s="77"/>
      <c r="D191" s="139"/>
      <c r="E191" s="76"/>
      <c r="F191" s="77"/>
      <c r="G191" s="76"/>
      <c r="H191" s="80">
        <f t="shared" si="3"/>
        <v>0</v>
      </c>
      <c r="I191" s="80"/>
      <c r="J191" s="76"/>
    </row>
    <row r="192" ht="22.5" customHeight="1">
      <c r="A192" s="77"/>
      <c r="B192" s="77"/>
      <c r="C192" s="77"/>
      <c r="D192" s="139"/>
      <c r="E192" s="76"/>
      <c r="F192" s="77"/>
      <c r="G192" s="76"/>
      <c r="H192" s="80">
        <f t="shared" si="3"/>
        <v>0</v>
      </c>
      <c r="I192" s="80"/>
      <c r="J192" s="76"/>
    </row>
    <row r="193" ht="22.5" customHeight="1">
      <c r="A193" s="77"/>
      <c r="B193" s="77"/>
      <c r="C193" s="77"/>
      <c r="D193" s="139"/>
      <c r="E193" s="76"/>
      <c r="F193" s="77"/>
      <c r="G193" s="76"/>
      <c r="H193" s="80">
        <f t="shared" si="3"/>
        <v>0</v>
      </c>
      <c r="I193" s="80"/>
      <c r="J193" s="76"/>
    </row>
    <row r="194" ht="22.5" customHeight="1">
      <c r="A194" s="77"/>
      <c r="B194" s="90"/>
      <c r="C194" s="77"/>
      <c r="D194" s="139"/>
      <c r="E194" s="76"/>
      <c r="F194" s="91"/>
      <c r="G194" s="80"/>
      <c r="H194" s="80">
        <f t="shared" si="3"/>
        <v>0</v>
      </c>
      <c r="I194" s="80"/>
      <c r="J194" s="76"/>
    </row>
    <row r="195" ht="22.5" customHeight="1">
      <c r="A195" s="77"/>
      <c r="B195" s="77"/>
      <c r="C195" s="90"/>
      <c r="D195" s="139"/>
      <c r="E195" s="76"/>
      <c r="F195" s="77"/>
      <c r="G195" s="76"/>
      <c r="H195" s="80">
        <f t="shared" si="3"/>
        <v>0</v>
      </c>
      <c r="I195" s="80"/>
      <c r="J195" s="80"/>
    </row>
    <row r="196" ht="22.5" customHeight="1">
      <c r="A196" s="77"/>
      <c r="B196" s="77"/>
      <c r="C196" s="90"/>
      <c r="D196" s="139"/>
      <c r="E196" s="76"/>
      <c r="F196" s="77"/>
      <c r="G196" s="76"/>
      <c r="H196" s="80">
        <f t="shared" si="3"/>
        <v>0</v>
      </c>
      <c r="I196" s="80"/>
      <c r="J196" s="80"/>
    </row>
    <row r="197" ht="22.5" customHeight="1">
      <c r="A197" s="91"/>
      <c r="B197" s="91"/>
      <c r="C197" s="91"/>
      <c r="D197" s="143"/>
      <c r="E197" s="80"/>
      <c r="F197" s="91"/>
      <c r="G197" s="80"/>
      <c r="H197" s="80">
        <f t="shared" si="3"/>
        <v>0</v>
      </c>
      <c r="I197" s="80"/>
      <c r="J197" s="80"/>
    </row>
    <row r="198" ht="22.5" customHeight="1">
      <c r="A198" s="91"/>
      <c r="B198" s="91"/>
      <c r="C198" s="91"/>
      <c r="D198" s="143"/>
      <c r="E198" s="80"/>
      <c r="F198" s="91"/>
      <c r="G198" s="80"/>
      <c r="H198" s="80">
        <f t="shared" si="3"/>
        <v>0</v>
      </c>
      <c r="I198" s="80"/>
      <c r="J198" s="80"/>
    </row>
    <row r="199" ht="22.5" customHeight="1">
      <c r="A199" s="91"/>
      <c r="B199" s="91"/>
      <c r="C199" s="91"/>
      <c r="D199" s="143"/>
      <c r="E199" s="80"/>
      <c r="F199" s="91"/>
      <c r="G199" s="80"/>
      <c r="H199" s="80">
        <f t="shared" si="3"/>
        <v>0</v>
      </c>
      <c r="I199" s="80"/>
      <c r="J199" s="80"/>
    </row>
    <row r="200" ht="22.5" customHeight="1">
      <c r="A200" s="77"/>
      <c r="B200" s="77"/>
      <c r="C200" s="77"/>
      <c r="D200" s="143"/>
      <c r="E200" s="76"/>
      <c r="F200" s="77"/>
      <c r="G200" s="76"/>
      <c r="H200" s="80">
        <f t="shared" si="3"/>
        <v>0</v>
      </c>
      <c r="I200" s="80"/>
      <c r="J200" s="80"/>
    </row>
    <row r="201" ht="22.5" customHeight="1">
      <c r="A201" s="77"/>
      <c r="B201" s="77"/>
      <c r="C201" s="77"/>
      <c r="D201" s="139"/>
      <c r="E201" s="76"/>
      <c r="F201" s="77"/>
      <c r="G201" s="76"/>
      <c r="H201" s="80">
        <f t="shared" si="3"/>
        <v>0</v>
      </c>
      <c r="I201" s="80"/>
      <c r="J201" s="80"/>
    </row>
    <row r="202" ht="22.5" customHeight="1">
      <c r="A202" s="77"/>
      <c r="B202" s="77"/>
      <c r="C202" s="77"/>
      <c r="D202" s="139"/>
      <c r="E202" s="76"/>
      <c r="F202" s="77"/>
      <c r="G202" s="76"/>
      <c r="H202" s="80">
        <f t="shared" si="3"/>
        <v>0</v>
      </c>
      <c r="I202" s="80"/>
      <c r="J202" s="80"/>
    </row>
    <row r="203" ht="22.5" customHeight="1">
      <c r="A203" s="77"/>
      <c r="B203" s="77"/>
      <c r="C203" s="77"/>
      <c r="D203" s="139"/>
      <c r="E203" s="76"/>
      <c r="F203" s="77"/>
      <c r="G203" s="76"/>
      <c r="H203" s="80">
        <f t="shared" si="3"/>
        <v>0</v>
      </c>
      <c r="I203" s="80"/>
      <c r="J203" s="80"/>
    </row>
    <row r="204" ht="22.5" customHeight="1">
      <c r="A204" s="77"/>
      <c r="B204" s="77"/>
      <c r="C204" s="77"/>
      <c r="D204" s="139"/>
      <c r="E204" s="76"/>
      <c r="F204" s="77"/>
      <c r="G204" s="76"/>
      <c r="H204" s="80">
        <f t="shared" si="3"/>
        <v>0</v>
      </c>
      <c r="I204" s="80"/>
      <c r="J204" s="80"/>
    </row>
    <row r="205" ht="22.5" customHeight="1">
      <c r="A205" s="77"/>
      <c r="B205" s="77"/>
      <c r="C205" s="77"/>
      <c r="D205" s="139"/>
      <c r="E205" s="76"/>
      <c r="F205" s="77"/>
      <c r="G205" s="76"/>
      <c r="H205" s="80">
        <f t="shared" si="3"/>
        <v>0</v>
      </c>
      <c r="I205" s="80"/>
      <c r="J205" s="80"/>
    </row>
    <row r="206" ht="22.5" customHeight="1">
      <c r="A206" s="77"/>
      <c r="B206" s="77"/>
      <c r="C206" s="90"/>
      <c r="D206" s="139"/>
      <c r="E206" s="76"/>
      <c r="F206" s="77"/>
      <c r="G206" s="76"/>
      <c r="H206" s="80">
        <f t="shared" si="3"/>
        <v>0</v>
      </c>
      <c r="I206" s="80"/>
      <c r="J206" s="80"/>
    </row>
    <row r="207" ht="22.5" customHeight="1">
      <c r="A207" s="77"/>
      <c r="B207" s="77"/>
      <c r="C207" s="77"/>
      <c r="D207" s="139"/>
      <c r="E207" s="76"/>
      <c r="F207" s="77"/>
      <c r="G207" s="76"/>
      <c r="H207" s="80">
        <f t="shared" si="3"/>
        <v>0</v>
      </c>
      <c r="I207" s="80"/>
      <c r="J207" s="80"/>
    </row>
    <row r="208" ht="22.5" customHeight="1">
      <c r="A208" s="77"/>
      <c r="B208" s="77"/>
      <c r="C208" s="77"/>
      <c r="D208" s="139"/>
      <c r="E208" s="76"/>
      <c r="F208" s="77"/>
      <c r="G208" s="76"/>
      <c r="H208" s="80">
        <f t="shared" si="3"/>
        <v>0</v>
      </c>
      <c r="I208" s="80"/>
      <c r="J208" s="80"/>
    </row>
    <row r="209" ht="22.5" customHeight="1">
      <c r="A209" s="77"/>
      <c r="B209" s="77"/>
      <c r="C209" s="77"/>
      <c r="D209" s="139"/>
      <c r="E209" s="76"/>
      <c r="F209" s="77"/>
      <c r="G209" s="76"/>
      <c r="H209" s="80">
        <f t="shared" si="3"/>
        <v>0</v>
      </c>
      <c r="I209" s="80"/>
      <c r="J209" s="80"/>
    </row>
    <row r="210" ht="22.5" customHeight="1">
      <c r="A210" s="77"/>
      <c r="B210" s="77"/>
      <c r="C210" s="77"/>
      <c r="D210" s="139"/>
      <c r="E210" s="76"/>
      <c r="F210" s="77"/>
      <c r="G210" s="76"/>
      <c r="H210" s="80">
        <f t="shared" si="3"/>
        <v>0</v>
      </c>
      <c r="I210" s="80"/>
      <c r="J210" s="80"/>
    </row>
    <row r="211" ht="22.5" customHeight="1">
      <c r="A211" s="77"/>
      <c r="B211" s="77"/>
      <c r="C211" s="77"/>
      <c r="D211" s="139"/>
      <c r="E211" s="76"/>
      <c r="F211" s="77"/>
      <c r="G211" s="76"/>
      <c r="H211" s="80">
        <f t="shared" si="3"/>
        <v>0</v>
      </c>
      <c r="I211" s="80"/>
      <c r="J211" s="80"/>
    </row>
    <row r="212" ht="22.5" customHeight="1">
      <c r="A212" s="77"/>
      <c r="B212" s="77"/>
      <c r="C212" s="77"/>
      <c r="D212" s="139"/>
      <c r="E212" s="76"/>
      <c r="F212" s="77"/>
      <c r="G212" s="76"/>
      <c r="H212" s="80">
        <f t="shared" si="3"/>
        <v>0</v>
      </c>
      <c r="I212" s="80"/>
      <c r="J212" s="80"/>
    </row>
    <row r="213" ht="22.5" customHeight="1">
      <c r="A213" s="77"/>
      <c r="B213" s="77"/>
      <c r="C213" s="77"/>
      <c r="D213" s="139"/>
      <c r="E213" s="76"/>
      <c r="F213" s="77"/>
      <c r="G213" s="76"/>
      <c r="H213" s="80">
        <f t="shared" si="3"/>
        <v>0</v>
      </c>
      <c r="I213" s="80"/>
      <c r="J213" s="80"/>
    </row>
    <row r="214" ht="22.5" customHeight="1">
      <c r="A214" s="77"/>
      <c r="B214" s="77"/>
      <c r="C214" s="77"/>
      <c r="D214" s="139"/>
      <c r="E214" s="76"/>
      <c r="F214" s="77"/>
      <c r="G214" s="76"/>
      <c r="H214" s="80">
        <f t="shared" si="3"/>
        <v>0</v>
      </c>
      <c r="I214" s="80"/>
      <c r="J214" s="80"/>
    </row>
    <row r="215" ht="22.5" customHeight="1">
      <c r="A215" s="77"/>
      <c r="B215" s="77"/>
      <c r="C215" s="77"/>
      <c r="D215" s="139"/>
      <c r="E215" s="76"/>
      <c r="F215" s="77"/>
      <c r="G215" s="76"/>
      <c r="H215" s="80">
        <f t="shared" si="3"/>
        <v>0</v>
      </c>
      <c r="I215" s="80"/>
      <c r="J215" s="80"/>
    </row>
    <row r="216" ht="22.5" customHeight="1">
      <c r="A216" s="76"/>
      <c r="B216" s="87"/>
      <c r="C216" s="87"/>
      <c r="D216" s="139"/>
      <c r="E216" s="76"/>
      <c r="F216" s="77"/>
      <c r="G216" s="76"/>
      <c r="H216" s="80">
        <f t="shared" si="3"/>
        <v>0</v>
      </c>
      <c r="I216" s="80"/>
      <c r="J216" s="80"/>
    </row>
    <row r="217" ht="22.5" customHeight="1">
      <c r="A217" s="77"/>
      <c r="B217" s="77"/>
      <c r="C217" s="77"/>
      <c r="D217" s="139"/>
      <c r="E217" s="76"/>
      <c r="F217" s="77"/>
      <c r="G217" s="76"/>
      <c r="H217" s="80">
        <f t="shared" si="3"/>
        <v>0</v>
      </c>
      <c r="I217" s="80"/>
      <c r="J217" s="80"/>
    </row>
    <row r="218" ht="22.5" customHeight="1">
      <c r="A218" s="77"/>
      <c r="B218" s="77"/>
      <c r="C218" s="77"/>
      <c r="D218" s="139"/>
      <c r="E218" s="76"/>
      <c r="F218" s="77"/>
      <c r="G218" s="76"/>
      <c r="H218" s="80">
        <f t="shared" si="3"/>
        <v>0</v>
      </c>
      <c r="I218" s="80"/>
      <c r="J218" s="80"/>
    </row>
    <row r="219" ht="22.5" customHeight="1">
      <c r="A219" s="77"/>
      <c r="B219" s="77"/>
      <c r="C219" s="77"/>
      <c r="D219" s="139"/>
      <c r="E219" s="76"/>
      <c r="F219" s="77"/>
      <c r="G219" s="76"/>
      <c r="H219" s="80">
        <f t="shared" si="3"/>
        <v>0</v>
      </c>
      <c r="I219" s="80"/>
      <c r="J219" s="80"/>
    </row>
    <row r="220" ht="22.5" customHeight="1">
      <c r="A220" s="77"/>
      <c r="B220" s="77"/>
      <c r="C220" s="77"/>
      <c r="D220" s="139"/>
      <c r="E220" s="76"/>
      <c r="F220" s="77"/>
      <c r="G220" s="76"/>
      <c r="H220" s="80">
        <f t="shared" si="3"/>
        <v>0</v>
      </c>
      <c r="I220" s="80"/>
      <c r="J220" s="80"/>
    </row>
    <row r="221" ht="22.5" customHeight="1">
      <c r="A221" s="77"/>
      <c r="B221" s="77"/>
      <c r="C221" s="77"/>
      <c r="D221" s="139"/>
      <c r="E221" s="76"/>
      <c r="F221" s="77"/>
      <c r="G221" s="76"/>
      <c r="H221" s="80">
        <f t="shared" si="3"/>
        <v>0</v>
      </c>
      <c r="I221" s="80"/>
      <c r="J221" s="80"/>
    </row>
    <row r="222" ht="22.5" customHeight="1">
      <c r="A222" s="77"/>
      <c r="B222" s="77"/>
      <c r="C222" s="77"/>
      <c r="D222" s="139"/>
      <c r="E222" s="76"/>
      <c r="F222" s="77"/>
      <c r="G222" s="76"/>
      <c r="H222" s="80">
        <f t="shared" si="3"/>
        <v>0</v>
      </c>
      <c r="I222" s="80"/>
      <c r="J222" s="80"/>
    </row>
    <row r="223" ht="22.5" customHeight="1">
      <c r="A223" s="77"/>
      <c r="B223" s="77"/>
      <c r="C223" s="77"/>
      <c r="D223" s="139"/>
      <c r="E223" s="76"/>
      <c r="F223" s="77"/>
      <c r="G223" s="76"/>
      <c r="H223" s="80">
        <f t="shared" si="3"/>
        <v>0</v>
      </c>
      <c r="I223" s="80"/>
      <c r="J223" s="80"/>
    </row>
    <row r="224" ht="22.5" customHeight="1">
      <c r="A224" s="77"/>
      <c r="B224" s="77"/>
      <c r="C224" s="77"/>
      <c r="D224" s="139"/>
      <c r="E224" s="76"/>
      <c r="F224" s="77"/>
      <c r="G224" s="76"/>
      <c r="H224" s="80">
        <f t="shared" si="3"/>
        <v>0</v>
      </c>
      <c r="I224" s="80"/>
      <c r="J224" s="80"/>
    </row>
    <row r="225" ht="22.5" customHeight="1">
      <c r="A225" s="76"/>
      <c r="B225" s="77"/>
      <c r="C225" s="77"/>
      <c r="D225" s="139"/>
      <c r="E225" s="76"/>
      <c r="F225" s="91"/>
      <c r="G225" s="80"/>
      <c r="H225" s="80">
        <f t="shared" si="3"/>
        <v>0</v>
      </c>
      <c r="I225" s="80"/>
      <c r="J225" s="80"/>
    </row>
    <row r="226" ht="22.5" customHeight="1">
      <c r="A226" s="76"/>
      <c r="B226" s="90"/>
      <c r="C226" s="77"/>
      <c r="D226" s="139"/>
      <c r="E226" s="76"/>
      <c r="F226" s="77"/>
      <c r="G226" s="76"/>
      <c r="H226" s="80">
        <f t="shared" si="3"/>
        <v>0</v>
      </c>
      <c r="I226" s="80"/>
      <c r="J226" s="80"/>
    </row>
    <row r="227" ht="22.5" customHeight="1">
      <c r="A227" s="77"/>
      <c r="B227" s="77"/>
      <c r="C227" s="77"/>
      <c r="D227" s="139"/>
      <c r="E227" s="76"/>
      <c r="F227" s="77"/>
      <c r="G227" s="76"/>
      <c r="H227" s="80">
        <f t="shared" si="3"/>
        <v>0</v>
      </c>
      <c r="I227" s="80"/>
      <c r="J227" s="80"/>
    </row>
    <row r="228" ht="22.5" customHeight="1">
      <c r="A228" s="77"/>
      <c r="B228" s="77"/>
      <c r="C228" s="77"/>
      <c r="D228" s="139"/>
      <c r="E228" s="76"/>
      <c r="F228" s="77"/>
      <c r="G228" s="76"/>
      <c r="H228" s="80">
        <f t="shared" si="3"/>
        <v>0</v>
      </c>
      <c r="I228" s="80"/>
      <c r="J228" s="80"/>
    </row>
    <row r="229" ht="22.5" customHeight="1">
      <c r="A229" s="77"/>
      <c r="B229" s="77"/>
      <c r="C229" s="77"/>
      <c r="D229" s="139"/>
      <c r="E229" s="76"/>
      <c r="F229" s="77"/>
      <c r="G229" s="76"/>
      <c r="H229" s="80">
        <f t="shared" si="3"/>
        <v>0</v>
      </c>
      <c r="I229" s="80"/>
      <c r="J229" s="80"/>
    </row>
    <row r="230" ht="22.5" customHeight="1">
      <c r="A230" s="77"/>
      <c r="B230" s="77"/>
      <c r="C230" s="77"/>
      <c r="D230" s="139"/>
      <c r="E230" s="76"/>
      <c r="F230" s="77"/>
      <c r="G230" s="76"/>
      <c r="H230" s="80">
        <f t="shared" si="3"/>
        <v>0</v>
      </c>
      <c r="I230" s="80"/>
      <c r="J230" s="80"/>
    </row>
    <row r="231" ht="22.5" customHeight="1">
      <c r="A231" s="76"/>
      <c r="B231" s="77"/>
      <c r="C231" s="77"/>
      <c r="D231" s="139"/>
      <c r="E231" s="76"/>
      <c r="F231" s="77"/>
      <c r="G231" s="76"/>
      <c r="H231" s="80">
        <f t="shared" si="3"/>
        <v>0</v>
      </c>
      <c r="I231" s="80"/>
      <c r="J231" s="80"/>
    </row>
    <row r="232" ht="22.5" customHeight="1">
      <c r="A232" s="77"/>
      <c r="B232" s="90"/>
      <c r="C232" s="77"/>
      <c r="D232" s="139"/>
      <c r="E232" s="76"/>
      <c r="F232" s="77"/>
      <c r="G232" s="76"/>
      <c r="H232" s="80">
        <f t="shared" si="3"/>
        <v>0</v>
      </c>
      <c r="I232" s="80"/>
      <c r="J232" s="80"/>
    </row>
    <row r="233" ht="22.5" customHeight="1">
      <c r="A233" s="77"/>
      <c r="B233" s="90"/>
      <c r="C233" s="77"/>
      <c r="D233" s="139"/>
      <c r="E233" s="76"/>
      <c r="F233" s="77"/>
      <c r="G233" s="76"/>
      <c r="H233" s="80">
        <f t="shared" si="3"/>
        <v>0</v>
      </c>
      <c r="I233" s="80"/>
      <c r="J233" s="80"/>
    </row>
    <row r="234" ht="22.5" customHeight="1">
      <c r="A234" s="77"/>
      <c r="B234" s="81"/>
      <c r="C234" s="77"/>
      <c r="D234" s="139"/>
      <c r="E234" s="76"/>
      <c r="F234" s="77"/>
      <c r="G234" s="76"/>
      <c r="H234" s="80">
        <f t="shared" si="3"/>
        <v>0</v>
      </c>
      <c r="I234" s="80"/>
      <c r="J234" s="80"/>
    </row>
    <row r="235" ht="22.5" customHeight="1">
      <c r="A235" s="77"/>
      <c r="B235" s="81"/>
      <c r="C235" s="77"/>
      <c r="D235" s="139"/>
      <c r="E235" s="76"/>
      <c r="F235" s="77"/>
      <c r="G235" s="76"/>
      <c r="H235" s="80">
        <f t="shared" si="3"/>
        <v>0</v>
      </c>
      <c r="I235" s="80"/>
      <c r="J235" s="80"/>
    </row>
    <row r="236" ht="22.5" customHeight="1">
      <c r="A236" s="76"/>
      <c r="B236" s="81"/>
      <c r="C236" s="77"/>
      <c r="D236" s="139"/>
      <c r="E236" s="76"/>
      <c r="F236" s="77"/>
      <c r="G236" s="76"/>
      <c r="H236" s="80">
        <f t="shared" si="3"/>
        <v>0</v>
      </c>
      <c r="I236" s="80"/>
      <c r="J236" s="80"/>
    </row>
    <row r="237" ht="22.5" customHeight="1">
      <c r="A237" s="76"/>
      <c r="B237" s="81"/>
      <c r="C237" s="77"/>
      <c r="D237" s="139"/>
      <c r="E237" s="76"/>
      <c r="F237" s="77"/>
      <c r="G237" s="76"/>
      <c r="H237" s="80">
        <f t="shared" si="3"/>
        <v>0</v>
      </c>
      <c r="I237" s="80"/>
      <c r="J237" s="80"/>
    </row>
    <row r="238" ht="22.5" customHeight="1">
      <c r="A238" s="76"/>
      <c r="B238" s="81"/>
      <c r="C238" s="77"/>
      <c r="D238" s="139"/>
      <c r="E238" s="76"/>
      <c r="F238" s="77"/>
      <c r="G238" s="76"/>
      <c r="H238" s="80">
        <f t="shared" si="3"/>
        <v>0</v>
      </c>
      <c r="I238" s="80"/>
      <c r="J238" s="80"/>
    </row>
    <row r="239" ht="22.5" customHeight="1">
      <c r="A239" s="76"/>
      <c r="B239" s="81"/>
      <c r="C239" s="77"/>
      <c r="D239" s="139"/>
      <c r="E239" s="76"/>
      <c r="F239" s="77"/>
      <c r="G239" s="76"/>
      <c r="H239" s="80">
        <f t="shared" si="3"/>
        <v>0</v>
      </c>
      <c r="I239" s="80"/>
      <c r="J239" s="80"/>
    </row>
    <row r="240" ht="22.5" customHeight="1">
      <c r="A240" s="76"/>
      <c r="B240" s="81"/>
      <c r="C240" s="77"/>
      <c r="D240" s="139"/>
      <c r="E240" s="76"/>
      <c r="F240" s="77"/>
      <c r="G240" s="76"/>
      <c r="H240" s="80">
        <f t="shared" si="3"/>
        <v>0</v>
      </c>
      <c r="I240" s="80"/>
      <c r="J240" s="80"/>
    </row>
    <row r="241" ht="22.5" customHeight="1">
      <c r="A241" s="77"/>
      <c r="B241" s="77"/>
      <c r="C241" s="77"/>
      <c r="D241" s="139"/>
      <c r="E241" s="76"/>
      <c r="F241" s="77"/>
      <c r="G241" s="76"/>
      <c r="H241" s="80">
        <f t="shared" si="3"/>
        <v>0</v>
      </c>
      <c r="I241" s="80"/>
      <c r="J241" s="80"/>
    </row>
    <row r="242" ht="22.5" customHeight="1">
      <c r="A242" s="81"/>
      <c r="B242" s="77"/>
      <c r="C242" s="81"/>
      <c r="D242" s="139"/>
      <c r="E242" s="76"/>
      <c r="F242" s="77"/>
      <c r="G242" s="76"/>
      <c r="H242" s="80">
        <f t="shared" si="3"/>
        <v>0</v>
      </c>
      <c r="I242" s="80"/>
      <c r="J242" s="80"/>
    </row>
    <row r="243" ht="22.5" customHeight="1">
      <c r="A243" s="81"/>
      <c r="B243" s="81"/>
      <c r="C243" s="77"/>
      <c r="D243" s="139"/>
      <c r="E243" s="76"/>
      <c r="F243" s="77"/>
      <c r="G243" s="76"/>
      <c r="H243" s="80">
        <f t="shared" si="3"/>
        <v>0</v>
      </c>
      <c r="I243" s="80"/>
      <c r="J243" s="80"/>
    </row>
    <row r="244" ht="22.5" customHeight="1">
      <c r="A244" s="81"/>
      <c r="B244" s="81"/>
      <c r="C244" s="77"/>
      <c r="D244" s="139"/>
      <c r="E244" s="76"/>
      <c r="F244" s="77"/>
      <c r="G244" s="76"/>
      <c r="H244" s="80">
        <f t="shared" si="3"/>
        <v>0</v>
      </c>
      <c r="I244" s="80"/>
      <c r="J244" s="80"/>
    </row>
    <row r="245" ht="22.5" customHeight="1">
      <c r="A245" s="81"/>
      <c r="B245" s="81"/>
      <c r="C245" s="77"/>
      <c r="D245" s="139"/>
      <c r="E245" s="76"/>
      <c r="F245" s="77"/>
      <c r="G245" s="76"/>
      <c r="H245" s="80">
        <f t="shared" si="3"/>
        <v>0</v>
      </c>
      <c r="I245" s="80"/>
      <c r="J245" s="80"/>
    </row>
    <row r="246" ht="22.5" customHeight="1">
      <c r="A246" s="81"/>
      <c r="B246" s="81"/>
      <c r="C246" s="77"/>
      <c r="D246" s="139"/>
      <c r="E246" s="76"/>
      <c r="F246" s="77"/>
      <c r="G246" s="76"/>
      <c r="H246" s="80">
        <f t="shared" si="3"/>
        <v>0</v>
      </c>
      <c r="I246" s="80"/>
      <c r="J246" s="80"/>
    </row>
    <row r="247" ht="22.5" customHeight="1">
      <c r="A247" s="81"/>
      <c r="B247" s="81"/>
      <c r="C247" s="81"/>
      <c r="D247" s="143"/>
      <c r="E247" s="80"/>
      <c r="F247" s="91"/>
      <c r="G247" s="80"/>
      <c r="H247" s="80">
        <f t="shared" si="3"/>
        <v>0</v>
      </c>
      <c r="I247" s="80"/>
      <c r="J247" s="80"/>
    </row>
    <row r="248" ht="22.5" customHeight="1">
      <c r="A248" s="81"/>
      <c r="B248" s="81"/>
      <c r="C248" s="81"/>
      <c r="D248" s="143"/>
      <c r="E248" s="80"/>
      <c r="F248" s="91"/>
      <c r="G248" s="80"/>
      <c r="H248" s="80">
        <f t="shared" si="3"/>
        <v>0</v>
      </c>
      <c r="I248" s="80"/>
      <c r="J248" s="80"/>
    </row>
    <row r="249" ht="22.5" customHeight="1">
      <c r="A249" s="81"/>
      <c r="B249" s="81"/>
      <c r="C249" s="81"/>
      <c r="D249" s="143"/>
      <c r="E249" s="80"/>
      <c r="F249" s="91"/>
      <c r="G249" s="80"/>
      <c r="H249" s="80">
        <f t="shared" si="3"/>
        <v>0</v>
      </c>
      <c r="I249" s="80"/>
      <c r="J249" s="80"/>
    </row>
    <row r="250" ht="22.5" customHeight="1">
      <c r="A250" s="81"/>
      <c r="B250" s="81"/>
      <c r="C250" s="81"/>
      <c r="D250" s="143"/>
      <c r="E250" s="80"/>
      <c r="F250" s="91"/>
      <c r="G250" s="80"/>
      <c r="H250" s="80">
        <f t="shared" si="3"/>
        <v>0</v>
      </c>
      <c r="I250" s="80"/>
      <c r="J250" s="80"/>
    </row>
    <row r="251" ht="22.5" customHeight="1">
      <c r="A251" s="81"/>
      <c r="B251" s="81"/>
      <c r="C251" s="81"/>
      <c r="D251" s="143"/>
      <c r="E251" s="80"/>
      <c r="F251" s="91"/>
      <c r="G251" s="80"/>
      <c r="H251" s="80">
        <f t="shared" si="3"/>
        <v>0</v>
      </c>
      <c r="I251" s="80"/>
      <c r="J251" s="80"/>
    </row>
    <row r="252" ht="22.5" customHeight="1">
      <c r="A252" s="81"/>
      <c r="B252" s="81"/>
      <c r="C252" s="81"/>
      <c r="D252" s="143"/>
      <c r="E252" s="80"/>
      <c r="F252" s="91"/>
      <c r="G252" s="80"/>
      <c r="H252" s="80">
        <f t="shared" si="3"/>
        <v>0</v>
      </c>
      <c r="I252" s="80"/>
      <c r="J252" s="80"/>
    </row>
    <row r="253" ht="22.5" customHeight="1">
      <c r="A253" s="81"/>
      <c r="B253" s="81"/>
      <c r="C253" s="81"/>
      <c r="D253" s="143"/>
      <c r="E253" s="80"/>
      <c r="F253" s="91"/>
      <c r="G253" s="80"/>
      <c r="H253" s="80">
        <f t="shared" si="3"/>
        <v>0</v>
      </c>
      <c r="I253" s="80"/>
      <c r="J253" s="80"/>
    </row>
    <row r="254" ht="22.5" customHeight="1">
      <c r="A254" s="81"/>
      <c r="B254" s="81"/>
      <c r="C254" s="81"/>
      <c r="D254" s="143"/>
      <c r="E254" s="80"/>
      <c r="F254" s="91"/>
      <c r="G254" s="80"/>
      <c r="H254" s="80">
        <f t="shared" si="3"/>
        <v>0</v>
      </c>
      <c r="I254" s="80"/>
      <c r="J254" s="80"/>
    </row>
    <row r="255" ht="22.5" customHeight="1">
      <c r="A255" s="81"/>
      <c r="B255" s="81"/>
      <c r="C255" s="81"/>
      <c r="D255" s="143"/>
      <c r="E255" s="80"/>
      <c r="F255" s="91"/>
      <c r="G255" s="80"/>
      <c r="H255" s="80">
        <f t="shared" si="3"/>
        <v>0</v>
      </c>
      <c r="I255" s="80"/>
      <c r="J255" s="80"/>
    </row>
    <row r="256" ht="22.5" customHeight="1">
      <c r="A256" s="81"/>
      <c r="B256" s="81"/>
      <c r="C256" s="81"/>
      <c r="D256" s="143"/>
      <c r="E256" s="80"/>
      <c r="F256" s="91"/>
      <c r="G256" s="80"/>
      <c r="H256" s="80">
        <f t="shared" si="3"/>
        <v>0</v>
      </c>
      <c r="I256" s="80"/>
      <c r="J256" s="80"/>
    </row>
    <row r="257" ht="22.5" customHeight="1">
      <c r="A257" s="81"/>
      <c r="B257" s="81"/>
      <c r="C257" s="81"/>
      <c r="D257" s="143"/>
      <c r="E257" s="80"/>
      <c r="F257" s="91"/>
      <c r="G257" s="80"/>
      <c r="H257" s="80">
        <f t="shared" si="3"/>
        <v>0</v>
      </c>
      <c r="I257" s="80"/>
      <c r="J257" s="80"/>
    </row>
    <row r="258" ht="22.5" customHeight="1">
      <c r="A258" s="81"/>
      <c r="B258" s="81"/>
      <c r="C258" s="81"/>
      <c r="D258" s="143"/>
      <c r="E258" s="80"/>
      <c r="F258" s="91"/>
      <c r="G258" s="80"/>
      <c r="H258" s="80">
        <f t="shared" si="3"/>
        <v>0</v>
      </c>
      <c r="I258" s="80"/>
      <c r="J258" s="80"/>
    </row>
    <row r="259" ht="22.5" customHeight="1">
      <c r="A259" s="81"/>
      <c r="B259" s="81"/>
      <c r="C259" s="81"/>
      <c r="D259" s="143"/>
      <c r="E259" s="80"/>
      <c r="F259" s="91"/>
      <c r="G259" s="80"/>
      <c r="H259" s="80">
        <f t="shared" si="3"/>
        <v>0</v>
      </c>
      <c r="I259" s="80"/>
      <c r="J259" s="80"/>
    </row>
    <row r="260" ht="22.5" customHeight="1">
      <c r="A260" s="81"/>
      <c r="B260" s="81"/>
      <c r="C260" s="81"/>
      <c r="D260" s="143"/>
      <c r="E260" s="80"/>
      <c r="F260" s="91"/>
      <c r="G260" s="80"/>
      <c r="H260" s="80">
        <f t="shared" si="3"/>
        <v>0</v>
      </c>
      <c r="I260" s="80"/>
      <c r="J260" s="80"/>
    </row>
    <row r="261" ht="22.5" customHeight="1">
      <c r="A261" s="81"/>
      <c r="B261" s="81"/>
      <c r="C261" s="81"/>
      <c r="D261" s="143"/>
      <c r="E261" s="80"/>
      <c r="F261" s="91"/>
      <c r="G261" s="80"/>
      <c r="H261" s="80">
        <f t="shared" si="3"/>
        <v>0</v>
      </c>
      <c r="I261" s="80"/>
      <c r="J261" s="80"/>
    </row>
    <row r="262" ht="22.5" customHeight="1">
      <c r="A262" s="81"/>
      <c r="B262" s="81"/>
      <c r="C262" s="81"/>
      <c r="D262" s="143"/>
      <c r="E262" s="80"/>
      <c r="F262" s="91"/>
      <c r="G262" s="80"/>
      <c r="H262" s="80">
        <f t="shared" si="3"/>
        <v>0</v>
      </c>
      <c r="I262" s="80"/>
      <c r="J262" s="80"/>
    </row>
    <row r="263" ht="22.5" customHeight="1">
      <c r="A263" s="81"/>
      <c r="B263" s="81"/>
      <c r="C263" s="81"/>
      <c r="D263" s="143"/>
      <c r="E263" s="80"/>
      <c r="F263" s="91"/>
      <c r="G263" s="80"/>
      <c r="H263" s="80">
        <f t="shared" si="3"/>
        <v>0</v>
      </c>
      <c r="I263" s="80"/>
      <c r="J263" s="80"/>
    </row>
    <row r="264" ht="22.5" customHeight="1">
      <c r="A264" s="81"/>
      <c r="B264" s="81"/>
      <c r="C264" s="81"/>
      <c r="D264" s="143"/>
      <c r="E264" s="80"/>
      <c r="F264" s="91"/>
      <c r="G264" s="80"/>
      <c r="H264" s="80">
        <f t="shared" si="3"/>
        <v>0</v>
      </c>
      <c r="I264" s="80"/>
      <c r="J264" s="80"/>
    </row>
    <row r="265" ht="22.5" customHeight="1">
      <c r="A265" s="81"/>
      <c r="B265" s="81"/>
      <c r="C265" s="81"/>
      <c r="D265" s="143"/>
      <c r="E265" s="80"/>
      <c r="F265" s="91"/>
      <c r="G265" s="80"/>
      <c r="H265" s="80">
        <f t="shared" si="3"/>
        <v>0</v>
      </c>
      <c r="I265" s="80"/>
      <c r="J265" s="80"/>
    </row>
    <row r="266" ht="22.5" customHeight="1">
      <c r="A266" s="81"/>
      <c r="B266" s="81"/>
      <c r="C266" s="81"/>
      <c r="D266" s="143"/>
      <c r="E266" s="80"/>
      <c r="F266" s="91"/>
      <c r="G266" s="80"/>
      <c r="H266" s="80">
        <f t="shared" si="3"/>
        <v>0</v>
      </c>
      <c r="I266" s="80"/>
      <c r="J266" s="80"/>
    </row>
    <row r="267" ht="22.5" customHeight="1">
      <c r="A267" s="81"/>
      <c r="B267" s="81"/>
      <c r="C267" s="81"/>
      <c r="D267" s="143"/>
      <c r="E267" s="80"/>
      <c r="F267" s="91"/>
      <c r="G267" s="80"/>
      <c r="H267" s="80">
        <f t="shared" si="3"/>
        <v>0</v>
      </c>
      <c r="I267" s="80"/>
      <c r="J267" s="80"/>
    </row>
    <row r="268" ht="22.5" customHeight="1">
      <c r="A268" s="81"/>
      <c r="B268" s="81"/>
      <c r="C268" s="81"/>
      <c r="D268" s="143"/>
      <c r="E268" s="80"/>
      <c r="F268" s="91"/>
      <c r="G268" s="80"/>
      <c r="H268" s="80">
        <f t="shared" si="3"/>
        <v>0</v>
      </c>
      <c r="I268" s="80"/>
      <c r="J268" s="80"/>
    </row>
    <row r="269" ht="22.5" customHeight="1">
      <c r="A269" s="81"/>
      <c r="B269" s="81"/>
      <c r="C269" s="81"/>
      <c r="D269" s="143"/>
      <c r="E269" s="80"/>
      <c r="F269" s="91"/>
      <c r="G269" s="80"/>
      <c r="H269" s="80">
        <f t="shared" si="3"/>
        <v>0</v>
      </c>
      <c r="I269" s="80"/>
      <c r="J269" s="80"/>
    </row>
    <row r="270" ht="22.5" customHeight="1">
      <c r="A270" s="81"/>
      <c r="B270" s="81"/>
      <c r="C270" s="81"/>
      <c r="D270" s="143"/>
      <c r="E270" s="80"/>
      <c r="F270" s="91"/>
      <c r="G270" s="80"/>
      <c r="H270" s="80">
        <f t="shared" si="3"/>
        <v>0</v>
      </c>
      <c r="I270" s="80"/>
      <c r="J270" s="80"/>
    </row>
    <row r="271" ht="22.5" customHeight="1">
      <c r="A271" s="81"/>
      <c r="B271" s="81"/>
      <c r="C271" s="81"/>
      <c r="D271" s="143"/>
      <c r="E271" s="80"/>
      <c r="F271" s="91"/>
      <c r="G271" s="80"/>
      <c r="H271" s="80">
        <f t="shared" si="3"/>
        <v>0</v>
      </c>
      <c r="I271" s="80"/>
      <c r="J271" s="80"/>
    </row>
    <row r="272" ht="22.5" customHeight="1">
      <c r="A272" s="81"/>
      <c r="B272" s="81"/>
      <c r="C272" s="81"/>
      <c r="D272" s="143"/>
      <c r="E272" s="80"/>
      <c r="F272" s="91"/>
      <c r="G272" s="80"/>
      <c r="H272" s="80">
        <f t="shared" si="3"/>
        <v>0</v>
      </c>
      <c r="I272" s="80"/>
      <c r="J272" s="80"/>
    </row>
    <row r="273" ht="22.5" customHeight="1">
      <c r="A273" s="81"/>
      <c r="B273" s="81"/>
      <c r="C273" s="81"/>
      <c r="D273" s="143"/>
      <c r="E273" s="80"/>
      <c r="F273" s="91"/>
      <c r="G273" s="80"/>
      <c r="H273" s="80">
        <f t="shared" si="3"/>
        <v>0</v>
      </c>
      <c r="I273" s="80"/>
      <c r="J273" s="80"/>
    </row>
    <row r="274" ht="22.5" customHeight="1">
      <c r="A274" s="81"/>
      <c r="B274" s="81"/>
      <c r="C274" s="81"/>
      <c r="D274" s="143"/>
      <c r="E274" s="80"/>
      <c r="F274" s="91"/>
      <c r="G274" s="80"/>
      <c r="H274" s="80">
        <f t="shared" si="3"/>
        <v>0</v>
      </c>
      <c r="I274" s="80"/>
      <c r="J274" s="80"/>
    </row>
    <row r="275" ht="22.5" customHeight="1">
      <c r="A275" s="81"/>
      <c r="B275" s="81"/>
      <c r="C275" s="81"/>
      <c r="D275" s="143"/>
      <c r="E275" s="80"/>
      <c r="F275" s="91"/>
      <c r="G275" s="80"/>
      <c r="H275" s="80">
        <f t="shared" si="3"/>
        <v>0</v>
      </c>
      <c r="I275" s="80"/>
      <c r="J275" s="80"/>
    </row>
    <row r="276" ht="22.5" customHeight="1">
      <c r="A276" s="81"/>
      <c r="B276" s="81"/>
      <c r="C276" s="81"/>
      <c r="D276" s="143"/>
      <c r="E276" s="80"/>
      <c r="F276" s="91"/>
      <c r="G276" s="80"/>
      <c r="H276" s="80">
        <f t="shared" si="3"/>
        <v>0</v>
      </c>
      <c r="I276" s="80"/>
      <c r="J276" s="80"/>
    </row>
    <row r="277" ht="22.5" customHeight="1">
      <c r="A277" s="81"/>
      <c r="B277" s="81"/>
      <c r="C277" s="81"/>
      <c r="D277" s="143"/>
      <c r="E277" s="80"/>
      <c r="F277" s="91"/>
      <c r="G277" s="80"/>
      <c r="H277" s="80">
        <f t="shared" si="3"/>
        <v>0</v>
      </c>
      <c r="I277" s="80"/>
      <c r="J277" s="80"/>
    </row>
    <row r="278" ht="22.5" customHeight="1">
      <c r="A278" s="81"/>
      <c r="B278" s="81"/>
      <c r="C278" s="81"/>
      <c r="D278" s="143"/>
      <c r="E278" s="80"/>
      <c r="F278" s="91"/>
      <c r="G278" s="80"/>
      <c r="H278" s="80">
        <f t="shared" si="3"/>
        <v>0</v>
      </c>
      <c r="I278" s="80"/>
      <c r="J278" s="80"/>
    </row>
    <row r="279" ht="22.5" customHeight="1">
      <c r="A279" s="81"/>
      <c r="B279" s="81"/>
      <c r="C279" s="81"/>
      <c r="D279" s="143"/>
      <c r="E279" s="80"/>
      <c r="F279" s="91"/>
      <c r="G279" s="80"/>
      <c r="H279" s="80">
        <f t="shared" si="3"/>
        <v>0</v>
      </c>
      <c r="I279" s="80"/>
      <c r="J279" s="80"/>
    </row>
    <row r="280" ht="22.5" customHeight="1">
      <c r="A280" s="81"/>
      <c r="B280" s="81"/>
      <c r="C280" s="81"/>
      <c r="D280" s="143"/>
      <c r="E280" s="80"/>
      <c r="F280" s="91"/>
      <c r="G280" s="80"/>
      <c r="H280" s="80">
        <f t="shared" si="3"/>
        <v>0</v>
      </c>
      <c r="I280" s="80"/>
      <c r="J280" s="80"/>
    </row>
    <row r="281" ht="22.5" customHeight="1">
      <c r="A281" s="81"/>
      <c r="B281" s="81"/>
      <c r="C281" s="81"/>
      <c r="D281" s="143"/>
      <c r="E281" s="80"/>
      <c r="F281" s="91"/>
      <c r="G281" s="80"/>
      <c r="H281" s="80">
        <f t="shared" si="3"/>
        <v>0</v>
      </c>
      <c r="I281" s="80"/>
      <c r="J281" s="80"/>
    </row>
    <row r="282" ht="22.5" customHeight="1">
      <c r="A282" s="81"/>
      <c r="B282" s="81"/>
      <c r="C282" s="81"/>
      <c r="D282" s="143"/>
      <c r="E282" s="80"/>
      <c r="F282" s="91"/>
      <c r="G282" s="80"/>
      <c r="H282" s="80">
        <f t="shared" si="3"/>
        <v>0</v>
      </c>
      <c r="I282" s="80"/>
      <c r="J282" s="80"/>
    </row>
    <row r="283" ht="22.5" customHeight="1">
      <c r="A283" s="81"/>
      <c r="B283" s="81"/>
      <c r="C283" s="81"/>
      <c r="D283" s="143"/>
      <c r="E283" s="80"/>
      <c r="F283" s="91"/>
      <c r="G283" s="80"/>
      <c r="H283" s="80">
        <f t="shared" si="3"/>
        <v>0</v>
      </c>
      <c r="I283" s="80"/>
      <c r="J283" s="80"/>
    </row>
    <row r="284" ht="22.5" customHeight="1">
      <c r="A284" s="81"/>
      <c r="B284" s="81"/>
      <c r="C284" s="81"/>
      <c r="D284" s="143"/>
      <c r="E284" s="80"/>
      <c r="F284" s="91"/>
      <c r="G284" s="80"/>
      <c r="H284" s="80">
        <f t="shared" si="3"/>
        <v>0</v>
      </c>
      <c r="I284" s="80"/>
      <c r="J284" s="80"/>
    </row>
    <row r="285" ht="22.5" customHeight="1">
      <c r="A285" s="81"/>
      <c r="B285" s="81"/>
      <c r="C285" s="81"/>
      <c r="D285" s="143"/>
      <c r="E285" s="80"/>
      <c r="F285" s="91"/>
      <c r="G285" s="80"/>
      <c r="H285" s="80">
        <f t="shared" si="3"/>
        <v>0</v>
      </c>
      <c r="I285" s="80"/>
      <c r="J285" s="80"/>
    </row>
    <row r="286" ht="22.5" customHeight="1">
      <c r="A286" s="81"/>
      <c r="B286" s="81"/>
      <c r="C286" s="81"/>
      <c r="D286" s="143"/>
      <c r="E286" s="80"/>
      <c r="F286" s="91"/>
      <c r="G286" s="80"/>
      <c r="H286" s="80">
        <f t="shared" si="3"/>
        <v>0</v>
      </c>
      <c r="I286" s="80"/>
      <c r="J286" s="80"/>
    </row>
    <row r="287" ht="22.5" customHeight="1">
      <c r="A287" s="81"/>
      <c r="B287" s="81"/>
      <c r="C287" s="81"/>
      <c r="D287" s="143"/>
      <c r="E287" s="80"/>
      <c r="F287" s="91"/>
      <c r="G287" s="80"/>
      <c r="H287" s="80">
        <f t="shared" si="3"/>
        <v>0</v>
      </c>
      <c r="I287" s="80"/>
      <c r="J287" s="80"/>
    </row>
    <row r="288" ht="22.5" customHeight="1">
      <c r="A288" s="81"/>
      <c r="B288" s="81"/>
      <c r="C288" s="81"/>
      <c r="D288" s="143"/>
      <c r="E288" s="80"/>
      <c r="F288" s="91"/>
      <c r="G288" s="80"/>
      <c r="H288" s="80">
        <f t="shared" si="3"/>
        <v>0</v>
      </c>
      <c r="I288" s="80"/>
      <c r="J288" s="80"/>
    </row>
    <row r="289" ht="22.5" customHeight="1">
      <c r="A289" s="81"/>
      <c r="B289" s="81"/>
      <c r="C289" s="81"/>
      <c r="D289" s="143"/>
      <c r="E289" s="80"/>
      <c r="F289" s="91"/>
      <c r="G289" s="80"/>
      <c r="H289" s="80">
        <f t="shared" si="3"/>
        <v>0</v>
      </c>
      <c r="I289" s="80"/>
      <c r="J289" s="80"/>
    </row>
    <row r="290" ht="22.5" customHeight="1">
      <c r="A290" s="81"/>
      <c r="B290" s="81"/>
      <c r="C290" s="81"/>
      <c r="D290" s="143"/>
      <c r="E290" s="80"/>
      <c r="F290" s="91"/>
      <c r="G290" s="80"/>
      <c r="H290" s="80">
        <f t="shared" si="3"/>
        <v>0</v>
      </c>
      <c r="I290" s="80"/>
      <c r="J290" s="80"/>
    </row>
    <row r="291" ht="22.5" customHeight="1">
      <c r="A291" s="81"/>
      <c r="B291" s="81"/>
      <c r="C291" s="81"/>
      <c r="D291" s="143"/>
      <c r="E291" s="80"/>
      <c r="F291" s="91"/>
      <c r="G291" s="80"/>
      <c r="H291" s="80">
        <f t="shared" si="3"/>
        <v>0</v>
      </c>
      <c r="I291" s="80"/>
      <c r="J291" s="80"/>
    </row>
    <row r="292" ht="22.5" customHeight="1">
      <c r="A292" s="81"/>
      <c r="B292" s="81"/>
      <c r="C292" s="81"/>
      <c r="D292" s="143"/>
      <c r="E292" s="80"/>
      <c r="F292" s="91"/>
      <c r="G292" s="80"/>
      <c r="H292" s="80">
        <f t="shared" si="3"/>
        <v>0</v>
      </c>
      <c r="I292" s="80"/>
      <c r="J292" s="80"/>
    </row>
    <row r="293" ht="22.5" customHeight="1">
      <c r="A293" s="81"/>
      <c r="B293" s="81"/>
      <c r="C293" s="81"/>
      <c r="D293" s="143"/>
      <c r="E293" s="80"/>
      <c r="F293" s="91"/>
      <c r="G293" s="80"/>
      <c r="H293" s="80">
        <f t="shared" si="3"/>
        <v>0</v>
      </c>
      <c r="I293" s="80"/>
      <c r="J293" s="80"/>
    </row>
    <row r="294" ht="22.5" customHeight="1">
      <c r="A294" s="81"/>
      <c r="B294" s="81"/>
      <c r="C294" s="81"/>
      <c r="D294" s="143"/>
      <c r="E294" s="80"/>
      <c r="F294" s="91"/>
      <c r="G294" s="80"/>
      <c r="H294" s="80">
        <f t="shared" si="3"/>
        <v>0</v>
      </c>
      <c r="I294" s="80"/>
      <c r="J294" s="80"/>
    </row>
    <row r="295" ht="22.5" customHeight="1">
      <c r="A295" s="81"/>
      <c r="B295" s="81"/>
      <c r="C295" s="81"/>
      <c r="D295" s="143"/>
      <c r="E295" s="80"/>
      <c r="F295" s="91"/>
      <c r="G295" s="80"/>
      <c r="H295" s="80">
        <f t="shared" si="3"/>
        <v>0</v>
      </c>
      <c r="I295" s="80"/>
      <c r="J295" s="80"/>
    </row>
    <row r="296" ht="22.5" customHeight="1">
      <c r="A296" s="81"/>
      <c r="B296" s="81"/>
      <c r="C296" s="81"/>
      <c r="D296" s="143"/>
      <c r="E296" s="80"/>
      <c r="F296" s="91"/>
      <c r="G296" s="80"/>
      <c r="H296" s="80">
        <f t="shared" si="3"/>
        <v>0</v>
      </c>
      <c r="I296" s="80"/>
      <c r="J296" s="80"/>
    </row>
    <row r="297" ht="22.5" customHeight="1">
      <c r="A297" s="81"/>
      <c r="B297" s="81"/>
      <c r="C297" s="81"/>
      <c r="D297" s="143"/>
      <c r="E297" s="80"/>
      <c r="F297" s="91"/>
      <c r="G297" s="80"/>
      <c r="H297" s="80">
        <f t="shared" si="3"/>
        <v>0</v>
      </c>
      <c r="I297" s="80"/>
      <c r="J297" s="80"/>
    </row>
    <row r="298" ht="22.5" customHeight="1">
      <c r="A298" s="81"/>
      <c r="B298" s="81"/>
      <c r="C298" s="81"/>
      <c r="D298" s="143"/>
      <c r="E298" s="80"/>
      <c r="F298" s="91"/>
      <c r="G298" s="80"/>
      <c r="H298" s="80">
        <f t="shared" si="3"/>
        <v>0</v>
      </c>
      <c r="I298" s="80"/>
      <c r="J298" s="80"/>
    </row>
    <row r="299" ht="22.5" customHeight="1">
      <c r="A299" s="81"/>
      <c r="B299" s="81"/>
      <c r="C299" s="81"/>
      <c r="D299" s="143"/>
      <c r="E299" s="80"/>
      <c r="F299" s="91"/>
      <c r="G299" s="80"/>
      <c r="H299" s="80">
        <f t="shared" si="3"/>
        <v>0</v>
      </c>
      <c r="I299" s="80"/>
      <c r="J299" s="80"/>
    </row>
    <row r="300" ht="22.5" customHeight="1">
      <c r="A300" s="81"/>
      <c r="B300" s="81"/>
      <c r="C300" s="81"/>
      <c r="D300" s="143"/>
      <c r="E300" s="80"/>
      <c r="F300" s="91"/>
      <c r="G300" s="80"/>
      <c r="H300" s="80">
        <f t="shared" si="3"/>
        <v>0</v>
      </c>
      <c r="I300" s="80"/>
      <c r="J300" s="80"/>
    </row>
    <row r="301" ht="22.5" customHeight="1">
      <c r="A301" s="81"/>
      <c r="B301" s="81"/>
      <c r="C301" s="81"/>
      <c r="D301" s="143"/>
      <c r="E301" s="80"/>
      <c r="F301" s="91"/>
      <c r="G301" s="80"/>
      <c r="H301" s="80">
        <f t="shared" si="3"/>
        <v>0</v>
      </c>
      <c r="I301" s="80"/>
      <c r="J301" s="80"/>
    </row>
    <row r="302" ht="22.5" customHeight="1">
      <c r="A302" s="81"/>
      <c r="B302" s="81"/>
      <c r="C302" s="81"/>
      <c r="D302" s="143"/>
      <c r="E302" s="80"/>
      <c r="F302" s="91"/>
      <c r="G302" s="80"/>
      <c r="H302" s="80">
        <f t="shared" si="3"/>
        <v>0</v>
      </c>
      <c r="I302" s="80"/>
      <c r="J302" s="80"/>
    </row>
    <row r="303" ht="22.5" customHeight="1">
      <c r="A303" s="81"/>
      <c r="B303" s="81"/>
      <c r="C303" s="81"/>
      <c r="D303" s="143"/>
      <c r="E303" s="80"/>
      <c r="F303" s="91"/>
      <c r="G303" s="80"/>
      <c r="H303" s="80">
        <f t="shared" si="3"/>
        <v>0</v>
      </c>
      <c r="I303" s="80"/>
      <c r="J303" s="80"/>
    </row>
    <row r="304" ht="22.5" customHeight="1">
      <c r="A304" s="81"/>
      <c r="B304" s="81"/>
      <c r="C304" s="81"/>
      <c r="D304" s="143"/>
      <c r="E304" s="80"/>
      <c r="F304" s="91"/>
      <c r="G304" s="80"/>
      <c r="H304" s="80">
        <f t="shared" si="3"/>
        <v>0</v>
      </c>
      <c r="I304" s="80"/>
      <c r="J304" s="80"/>
    </row>
    <row r="305" ht="22.5" customHeight="1">
      <c r="A305" s="81"/>
      <c r="B305" s="81"/>
      <c r="C305" s="81"/>
      <c r="D305" s="143"/>
      <c r="E305" s="80"/>
      <c r="F305" s="91"/>
      <c r="G305" s="80"/>
      <c r="H305" s="80">
        <f t="shared" si="3"/>
        <v>0</v>
      </c>
      <c r="I305" s="80"/>
      <c r="J305" s="80"/>
    </row>
    <row r="306" ht="22.5" customHeight="1">
      <c r="A306" s="81"/>
      <c r="B306" s="81"/>
      <c r="C306" s="81"/>
      <c r="D306" s="143"/>
      <c r="E306" s="80"/>
      <c r="F306" s="91"/>
      <c r="G306" s="80"/>
      <c r="H306" s="80">
        <f t="shared" si="3"/>
        <v>0</v>
      </c>
      <c r="I306" s="80"/>
      <c r="J306" s="80"/>
    </row>
    <row r="307" ht="22.5" customHeight="1">
      <c r="A307" s="81"/>
      <c r="B307" s="81"/>
      <c r="C307" s="81"/>
      <c r="D307" s="143"/>
      <c r="E307" s="80"/>
      <c r="F307" s="91"/>
      <c r="G307" s="80"/>
      <c r="H307" s="80">
        <f t="shared" si="3"/>
        <v>0</v>
      </c>
      <c r="I307" s="80"/>
      <c r="J307" s="80"/>
    </row>
    <row r="308" ht="22.5" customHeight="1">
      <c r="A308" s="81"/>
      <c r="B308" s="81"/>
      <c r="C308" s="81"/>
      <c r="D308" s="143"/>
      <c r="E308" s="80"/>
      <c r="F308" s="91"/>
      <c r="G308" s="80"/>
      <c r="H308" s="80">
        <f t="shared" si="3"/>
        <v>0</v>
      </c>
      <c r="I308" s="80"/>
      <c r="J308" s="80"/>
    </row>
    <row r="309" ht="22.5" customHeight="1">
      <c r="A309" s="81"/>
      <c r="B309" s="81"/>
      <c r="C309" s="81"/>
      <c r="D309" s="143"/>
      <c r="E309" s="80"/>
      <c r="F309" s="91"/>
      <c r="G309" s="80"/>
      <c r="H309" s="80">
        <f t="shared" si="3"/>
        <v>0</v>
      </c>
      <c r="I309" s="80"/>
      <c r="J309" s="80"/>
    </row>
    <row r="310" ht="22.5" customHeight="1">
      <c r="A310" s="81"/>
      <c r="B310" s="81"/>
      <c r="C310" s="81"/>
      <c r="D310" s="143"/>
      <c r="E310" s="80"/>
      <c r="F310" s="91"/>
      <c r="G310" s="80"/>
      <c r="H310" s="80">
        <f t="shared" si="3"/>
        <v>0</v>
      </c>
      <c r="I310" s="80"/>
      <c r="J310" s="80"/>
    </row>
    <row r="311" ht="22.5" customHeight="1">
      <c r="A311" s="81"/>
      <c r="B311" s="81"/>
      <c r="C311" s="81"/>
      <c r="D311" s="143"/>
      <c r="E311" s="80"/>
      <c r="F311" s="91"/>
      <c r="G311" s="80"/>
      <c r="H311" s="80">
        <f t="shared" si="3"/>
        <v>0</v>
      </c>
      <c r="I311" s="80"/>
      <c r="J311" s="80"/>
    </row>
    <row r="312" ht="22.5" customHeight="1">
      <c r="A312" s="81"/>
      <c r="B312" s="81"/>
      <c r="C312" s="81"/>
      <c r="D312" s="143"/>
      <c r="E312" s="80"/>
      <c r="F312" s="91"/>
      <c r="G312" s="80"/>
      <c r="H312" s="80">
        <f t="shared" si="3"/>
        <v>0</v>
      </c>
      <c r="I312" s="80"/>
      <c r="J312" s="80"/>
    </row>
    <row r="313" ht="22.5" customHeight="1">
      <c r="A313" s="81"/>
      <c r="B313" s="81"/>
      <c r="C313" s="81"/>
      <c r="D313" s="143"/>
      <c r="E313" s="80"/>
      <c r="F313" s="91"/>
      <c r="G313" s="80"/>
      <c r="H313" s="80">
        <f t="shared" si="3"/>
        <v>0</v>
      </c>
      <c r="I313" s="80"/>
      <c r="J313" s="80"/>
    </row>
    <row r="314" ht="22.5" customHeight="1">
      <c r="A314" s="81"/>
      <c r="B314" s="81"/>
      <c r="C314" s="81"/>
      <c r="D314" s="143"/>
      <c r="E314" s="80"/>
      <c r="F314" s="91"/>
      <c r="G314" s="80"/>
      <c r="H314" s="80">
        <f t="shared" si="3"/>
        <v>0</v>
      </c>
      <c r="I314" s="80"/>
      <c r="J314" s="80"/>
    </row>
    <row r="315" ht="22.5" customHeight="1">
      <c r="A315" s="81"/>
      <c r="B315" s="81"/>
      <c r="C315" s="81"/>
      <c r="D315" s="143"/>
      <c r="E315" s="80"/>
      <c r="F315" s="91"/>
      <c r="G315" s="80"/>
      <c r="H315" s="80">
        <f t="shared" si="3"/>
        <v>0</v>
      </c>
      <c r="I315" s="80"/>
      <c r="J315" s="80"/>
    </row>
    <row r="316" ht="22.5" customHeight="1">
      <c r="A316" s="81"/>
      <c r="B316" s="81"/>
      <c r="C316" s="81"/>
      <c r="D316" s="143"/>
      <c r="E316" s="80"/>
      <c r="F316" s="91"/>
      <c r="G316" s="80"/>
      <c r="H316" s="80">
        <f t="shared" si="3"/>
        <v>0</v>
      </c>
      <c r="I316" s="80"/>
      <c r="J316" s="80"/>
    </row>
    <row r="317" ht="22.5" customHeight="1">
      <c r="A317" s="81"/>
      <c r="B317" s="81"/>
      <c r="C317" s="81"/>
      <c r="D317" s="143"/>
      <c r="E317" s="80"/>
      <c r="F317" s="91"/>
      <c r="G317" s="80"/>
      <c r="H317" s="80">
        <f t="shared" si="3"/>
        <v>0</v>
      </c>
      <c r="I317" s="80"/>
      <c r="J317" s="80"/>
    </row>
    <row r="318" ht="22.5" customHeight="1">
      <c r="A318" s="81"/>
      <c r="B318" s="81"/>
      <c r="C318" s="81"/>
      <c r="D318" s="143"/>
      <c r="E318" s="80"/>
      <c r="F318" s="91"/>
      <c r="G318" s="80"/>
      <c r="H318" s="80">
        <f t="shared" si="3"/>
        <v>0</v>
      </c>
      <c r="I318" s="80"/>
      <c r="J318" s="80"/>
    </row>
    <row r="319" ht="22.5" customHeight="1">
      <c r="A319" s="81"/>
      <c r="B319" s="81"/>
      <c r="C319" s="81"/>
      <c r="D319" s="143"/>
      <c r="E319" s="80"/>
      <c r="F319" s="91"/>
      <c r="G319" s="80"/>
      <c r="H319" s="80">
        <f t="shared" si="3"/>
        <v>0</v>
      </c>
      <c r="I319" s="80"/>
      <c r="J319" s="80"/>
    </row>
    <row r="320" ht="22.5" customHeight="1">
      <c r="A320" s="81"/>
      <c r="B320" s="81"/>
      <c r="C320" s="81"/>
      <c r="D320" s="143"/>
      <c r="E320" s="80"/>
      <c r="F320" s="91"/>
      <c r="G320" s="80"/>
      <c r="H320" s="80">
        <f t="shared" si="3"/>
        <v>0</v>
      </c>
      <c r="I320" s="80"/>
      <c r="J320" s="80"/>
    </row>
    <row r="321" ht="22.5" customHeight="1">
      <c r="A321" s="81"/>
      <c r="B321" s="81"/>
      <c r="C321" s="81"/>
      <c r="D321" s="143"/>
      <c r="E321" s="80"/>
      <c r="F321" s="91"/>
      <c r="G321" s="80"/>
      <c r="H321" s="80">
        <f t="shared" si="3"/>
        <v>0</v>
      </c>
      <c r="I321" s="80"/>
      <c r="J321" s="80"/>
    </row>
    <row r="322" ht="22.5" customHeight="1">
      <c r="A322" s="81"/>
      <c r="B322" s="81"/>
      <c r="C322" s="81"/>
      <c r="D322" s="143"/>
      <c r="E322" s="80"/>
      <c r="F322" s="91"/>
      <c r="G322" s="80"/>
      <c r="H322" s="80">
        <f t="shared" si="3"/>
        <v>0</v>
      </c>
      <c r="I322" s="80"/>
      <c r="J322" s="80"/>
    </row>
    <row r="323" ht="22.5" customHeight="1">
      <c r="A323" s="81"/>
      <c r="B323" s="81"/>
      <c r="C323" s="81"/>
      <c r="D323" s="143"/>
      <c r="E323" s="80"/>
      <c r="F323" s="91"/>
      <c r="G323" s="80"/>
      <c r="H323" s="80">
        <f t="shared" si="3"/>
        <v>0</v>
      </c>
      <c r="I323" s="80"/>
      <c r="J323" s="80"/>
    </row>
    <row r="324" ht="22.5" customHeight="1">
      <c r="A324" s="81"/>
      <c r="B324" s="81"/>
      <c r="C324" s="81"/>
      <c r="D324" s="143"/>
      <c r="E324" s="80"/>
      <c r="F324" s="91"/>
      <c r="G324" s="80"/>
      <c r="H324" s="80">
        <f t="shared" si="3"/>
        <v>0</v>
      </c>
      <c r="I324" s="80"/>
      <c r="J324" s="80"/>
    </row>
    <row r="325" ht="22.5" customHeight="1">
      <c r="A325" s="81"/>
      <c r="B325" s="81"/>
      <c r="C325" s="81"/>
      <c r="D325" s="143"/>
      <c r="E325" s="80"/>
      <c r="F325" s="91"/>
      <c r="G325" s="80"/>
      <c r="H325" s="80">
        <f t="shared" si="3"/>
        <v>0</v>
      </c>
      <c r="I325" s="80"/>
      <c r="J325" s="80"/>
    </row>
    <row r="326" ht="22.5" customHeight="1">
      <c r="A326" s="81"/>
      <c r="B326" s="81"/>
      <c r="C326" s="81"/>
      <c r="D326" s="143"/>
      <c r="E326" s="80"/>
      <c r="F326" s="91"/>
      <c r="G326" s="80"/>
      <c r="H326" s="80">
        <f t="shared" si="3"/>
        <v>0</v>
      </c>
      <c r="I326" s="80"/>
      <c r="J326" s="80"/>
    </row>
    <row r="327" ht="22.5" customHeight="1">
      <c r="A327" s="81"/>
      <c r="B327" s="81"/>
      <c r="C327" s="81"/>
      <c r="D327" s="143"/>
      <c r="E327" s="80"/>
      <c r="F327" s="91"/>
      <c r="G327" s="80"/>
      <c r="H327" s="80">
        <f t="shared" si="3"/>
        <v>0</v>
      </c>
      <c r="I327" s="80"/>
      <c r="J327" s="80"/>
    </row>
    <row r="328" ht="22.5" customHeight="1">
      <c r="A328" s="81"/>
      <c r="B328" s="81"/>
      <c r="C328" s="81"/>
      <c r="D328" s="143"/>
      <c r="E328" s="80"/>
      <c r="F328" s="91"/>
      <c r="G328" s="80"/>
      <c r="H328" s="80">
        <f t="shared" si="3"/>
        <v>0</v>
      </c>
      <c r="I328" s="80"/>
      <c r="J328" s="80"/>
    </row>
    <row r="329" ht="22.5" customHeight="1">
      <c r="A329" s="81"/>
      <c r="B329" s="81"/>
      <c r="C329" s="81"/>
      <c r="D329" s="143"/>
      <c r="E329" s="80"/>
      <c r="F329" s="91"/>
      <c r="G329" s="80"/>
      <c r="H329" s="80">
        <f t="shared" si="3"/>
        <v>0</v>
      </c>
      <c r="I329" s="80"/>
      <c r="J329" s="80"/>
    </row>
    <row r="330" ht="22.5" customHeight="1">
      <c r="A330" s="81"/>
      <c r="B330" s="81"/>
      <c r="C330" s="81"/>
      <c r="D330" s="143"/>
      <c r="E330" s="80"/>
      <c r="F330" s="91"/>
      <c r="G330" s="80"/>
      <c r="H330" s="80">
        <f t="shared" si="3"/>
        <v>0</v>
      </c>
      <c r="I330" s="80"/>
      <c r="J330" s="80"/>
    </row>
    <row r="331" ht="22.5" customHeight="1">
      <c r="A331" s="81"/>
      <c r="B331" s="81"/>
      <c r="C331" s="81"/>
      <c r="D331" s="143"/>
      <c r="E331" s="80"/>
      <c r="F331" s="91"/>
      <c r="G331" s="80"/>
      <c r="H331" s="80">
        <f t="shared" si="3"/>
        <v>0</v>
      </c>
      <c r="I331" s="80"/>
      <c r="J331" s="80"/>
    </row>
    <row r="332" ht="22.5" customHeight="1">
      <c r="A332" s="81"/>
      <c r="B332" s="81"/>
      <c r="C332" s="81"/>
      <c r="D332" s="143"/>
      <c r="E332" s="80"/>
      <c r="F332" s="91"/>
      <c r="G332" s="80"/>
      <c r="H332" s="80">
        <f t="shared" si="3"/>
        <v>0</v>
      </c>
      <c r="I332" s="80"/>
      <c r="J332" s="80"/>
    </row>
    <row r="333" ht="22.5" customHeight="1">
      <c r="A333" s="81"/>
      <c r="B333" s="81"/>
      <c r="C333" s="81"/>
      <c r="D333" s="143"/>
      <c r="E333" s="80"/>
      <c r="F333" s="91"/>
      <c r="G333" s="80"/>
      <c r="H333" s="80">
        <f t="shared" si="3"/>
        <v>0</v>
      </c>
      <c r="I333" s="80"/>
      <c r="J333" s="80"/>
    </row>
    <row r="334" ht="22.5" customHeight="1">
      <c r="A334" s="81"/>
      <c r="B334" s="81"/>
      <c r="C334" s="81"/>
      <c r="D334" s="143"/>
      <c r="E334" s="80"/>
      <c r="F334" s="91"/>
      <c r="G334" s="80"/>
      <c r="H334" s="80">
        <f t="shared" si="3"/>
        <v>0</v>
      </c>
      <c r="I334" s="80"/>
      <c r="J334" s="80"/>
    </row>
    <row r="335" ht="22.5" customHeight="1">
      <c r="A335" s="81"/>
      <c r="B335" s="81"/>
      <c r="C335" s="81"/>
      <c r="D335" s="143"/>
      <c r="E335" s="80"/>
      <c r="F335" s="91"/>
      <c r="G335" s="80"/>
      <c r="H335" s="80">
        <f t="shared" si="3"/>
        <v>0</v>
      </c>
      <c r="I335" s="80"/>
      <c r="J335" s="80"/>
    </row>
    <row r="336" ht="22.5" customHeight="1">
      <c r="A336" s="81"/>
      <c r="B336" s="81"/>
      <c r="C336" s="81"/>
      <c r="D336" s="143"/>
      <c r="E336" s="80"/>
      <c r="F336" s="91"/>
      <c r="G336" s="80"/>
      <c r="H336" s="80">
        <f t="shared" si="3"/>
        <v>0</v>
      </c>
      <c r="I336" s="80"/>
      <c r="J336" s="80"/>
    </row>
    <row r="337" ht="22.5" customHeight="1">
      <c r="A337" s="81"/>
      <c r="B337" s="81"/>
      <c r="C337" s="81"/>
      <c r="D337" s="143"/>
      <c r="E337" s="80"/>
      <c r="F337" s="91"/>
      <c r="G337" s="80"/>
      <c r="H337" s="80">
        <f t="shared" si="3"/>
        <v>0</v>
      </c>
      <c r="I337" s="80"/>
      <c r="J337" s="80"/>
    </row>
    <row r="338" ht="22.5" customHeight="1">
      <c r="A338" s="81"/>
      <c r="B338" s="81"/>
      <c r="C338" s="81"/>
      <c r="D338" s="143"/>
      <c r="E338" s="80"/>
      <c r="F338" s="91"/>
      <c r="G338" s="80"/>
      <c r="H338" s="80"/>
      <c r="I338" s="80"/>
      <c r="J338" s="80"/>
    </row>
    <row r="339" ht="22.5" customHeight="1">
      <c r="A339" s="81"/>
      <c r="B339" s="81"/>
      <c r="C339" s="81"/>
      <c r="D339" s="143"/>
      <c r="E339" s="80"/>
      <c r="F339" s="91"/>
      <c r="G339" s="80"/>
      <c r="H339" s="80"/>
      <c r="I339" s="80"/>
      <c r="J339" s="80"/>
    </row>
    <row r="340" ht="22.5" customHeight="1">
      <c r="A340" s="81"/>
      <c r="B340" s="81"/>
      <c r="C340" s="81"/>
      <c r="D340" s="143"/>
      <c r="E340" s="80"/>
      <c r="F340" s="91"/>
      <c r="G340" s="80"/>
      <c r="H340" s="80"/>
      <c r="I340" s="80"/>
      <c r="J340" s="80"/>
    </row>
    <row r="341" ht="22.5" customHeight="1">
      <c r="A341" s="81"/>
      <c r="B341" s="81"/>
      <c r="C341" s="81"/>
      <c r="D341" s="143"/>
      <c r="E341" s="80"/>
      <c r="F341" s="91"/>
      <c r="G341" s="80"/>
      <c r="H341" s="80"/>
      <c r="I341" s="80"/>
      <c r="J341" s="80"/>
    </row>
    <row r="342" ht="22.5" customHeight="1">
      <c r="A342" s="81"/>
      <c r="B342" s="81"/>
      <c r="C342" s="81"/>
      <c r="D342" s="143"/>
      <c r="E342" s="80"/>
      <c r="F342" s="91"/>
      <c r="G342" s="80"/>
      <c r="H342" s="80"/>
      <c r="I342" s="80"/>
      <c r="J342" s="80"/>
    </row>
    <row r="343" ht="22.5" customHeight="1">
      <c r="A343" s="81"/>
      <c r="B343" s="81"/>
      <c r="C343" s="81"/>
      <c r="D343" s="143"/>
      <c r="E343" s="80"/>
      <c r="F343" s="91"/>
      <c r="G343" s="80"/>
      <c r="H343" s="80"/>
      <c r="I343" s="80"/>
      <c r="J343" s="80"/>
    </row>
    <row r="344" ht="22.5" customHeight="1">
      <c r="A344" s="81"/>
      <c r="B344" s="81"/>
      <c r="C344" s="81"/>
      <c r="D344" s="143"/>
      <c r="E344" s="80"/>
      <c r="F344" s="91"/>
      <c r="G344" s="80"/>
      <c r="H344" s="80"/>
      <c r="I344" s="80"/>
      <c r="J344" s="80"/>
    </row>
    <row r="345" ht="22.5" customHeight="1">
      <c r="A345" s="81"/>
      <c r="B345" s="81"/>
      <c r="C345" s="81"/>
      <c r="D345" s="143"/>
      <c r="E345" s="80"/>
      <c r="F345" s="91"/>
      <c r="G345" s="80"/>
      <c r="H345" s="80"/>
      <c r="I345" s="80"/>
      <c r="J345" s="80"/>
    </row>
    <row r="346" ht="22.5" customHeight="1">
      <c r="A346" s="81"/>
      <c r="B346" s="81"/>
      <c r="C346" s="81"/>
      <c r="D346" s="143"/>
      <c r="E346" s="80"/>
      <c r="F346" s="91"/>
      <c r="G346" s="80"/>
      <c r="H346" s="80"/>
      <c r="I346" s="80"/>
      <c r="J346" s="80"/>
    </row>
    <row r="347" ht="22.5" customHeight="1">
      <c r="A347" s="81"/>
      <c r="B347" s="81"/>
      <c r="C347" s="81"/>
      <c r="D347" s="143"/>
      <c r="E347" s="80"/>
      <c r="F347" s="91"/>
      <c r="G347" s="80"/>
      <c r="H347" s="80"/>
      <c r="I347" s="80"/>
      <c r="J347" s="80"/>
    </row>
    <row r="348" ht="22.5" customHeight="1">
      <c r="A348" s="81"/>
      <c r="B348" s="81"/>
      <c r="C348" s="81"/>
      <c r="D348" s="143"/>
      <c r="E348" s="80"/>
      <c r="F348" s="91"/>
      <c r="G348" s="80"/>
      <c r="H348" s="80"/>
      <c r="I348" s="80"/>
      <c r="J348" s="80"/>
    </row>
    <row r="349" ht="22.5" customHeight="1">
      <c r="A349" s="81"/>
      <c r="B349" s="81"/>
      <c r="C349" s="81"/>
      <c r="D349" s="143"/>
      <c r="E349" s="80"/>
      <c r="F349" s="91"/>
      <c r="G349" s="80"/>
      <c r="H349" s="80"/>
      <c r="I349" s="80"/>
      <c r="J349" s="80"/>
    </row>
    <row r="350" ht="22.5" customHeight="1">
      <c r="A350" s="81"/>
      <c r="B350" s="81"/>
      <c r="C350" s="81"/>
      <c r="D350" s="143"/>
      <c r="E350" s="80"/>
      <c r="F350" s="91"/>
      <c r="G350" s="80"/>
      <c r="H350" s="80"/>
      <c r="I350" s="80"/>
      <c r="J350" s="80"/>
    </row>
    <row r="351" ht="22.5" customHeight="1">
      <c r="A351" s="81"/>
      <c r="B351" s="81"/>
      <c r="C351" s="81"/>
      <c r="D351" s="143"/>
      <c r="E351" s="80"/>
      <c r="F351" s="91"/>
      <c r="G351" s="80"/>
      <c r="H351" s="80"/>
      <c r="I351" s="80"/>
      <c r="J351" s="80"/>
    </row>
    <row r="352" ht="22.5" customHeight="1">
      <c r="A352" s="81"/>
      <c r="B352" s="81"/>
      <c r="C352" s="81"/>
      <c r="D352" s="143"/>
      <c r="E352" s="80"/>
      <c r="F352" s="91"/>
      <c r="G352" s="80"/>
      <c r="H352" s="80"/>
      <c r="I352" s="80"/>
      <c r="J352" s="80"/>
    </row>
    <row r="353" ht="22.5" customHeight="1">
      <c r="A353" s="81"/>
      <c r="B353" s="81"/>
      <c r="C353" s="81"/>
      <c r="D353" s="143"/>
      <c r="E353" s="80"/>
      <c r="F353" s="91"/>
      <c r="G353" s="80"/>
      <c r="H353" s="80"/>
      <c r="I353" s="80"/>
      <c r="J353" s="80"/>
    </row>
    <row r="354" ht="22.5" customHeight="1">
      <c r="A354" s="81"/>
      <c r="B354" s="81"/>
      <c r="C354" s="81"/>
      <c r="D354" s="143"/>
      <c r="E354" s="80"/>
      <c r="F354" s="91"/>
      <c r="G354" s="80"/>
      <c r="H354" s="80"/>
      <c r="I354" s="80"/>
      <c r="J354" s="80"/>
    </row>
    <row r="355" ht="22.5" customHeight="1">
      <c r="A355" s="81"/>
      <c r="B355" s="81"/>
      <c r="C355" s="81"/>
      <c r="D355" s="143"/>
      <c r="E355" s="80"/>
      <c r="F355" s="91"/>
      <c r="G355" s="80"/>
      <c r="H355" s="80"/>
      <c r="I355" s="80"/>
      <c r="J355" s="80"/>
    </row>
    <row r="356" ht="22.5" customHeight="1">
      <c r="A356" s="81"/>
      <c r="B356" s="81"/>
      <c r="C356" s="81"/>
      <c r="D356" s="143"/>
      <c r="E356" s="80"/>
      <c r="F356" s="91"/>
      <c r="G356" s="80"/>
      <c r="H356" s="80"/>
      <c r="I356" s="80"/>
      <c r="J356" s="80"/>
    </row>
    <row r="357" ht="22.5" customHeight="1">
      <c r="A357" s="81"/>
      <c r="B357" s="81"/>
      <c r="C357" s="81"/>
      <c r="D357" s="143"/>
      <c r="E357" s="80"/>
      <c r="F357" s="91"/>
      <c r="G357" s="80"/>
      <c r="H357" s="80"/>
      <c r="I357" s="80"/>
      <c r="J357" s="80"/>
    </row>
    <row r="358" ht="22.5" customHeight="1">
      <c r="A358" s="81"/>
      <c r="B358" s="81"/>
      <c r="C358" s="81"/>
      <c r="D358" s="143"/>
      <c r="E358" s="80"/>
      <c r="F358" s="91"/>
      <c r="G358" s="80"/>
      <c r="H358" s="80"/>
      <c r="I358" s="80"/>
      <c r="J358" s="80"/>
    </row>
    <row r="359" ht="22.5" customHeight="1">
      <c r="A359" s="81"/>
      <c r="B359" s="81"/>
      <c r="C359" s="81"/>
      <c r="D359" s="143"/>
      <c r="E359" s="80"/>
      <c r="F359" s="91"/>
      <c r="G359" s="80"/>
      <c r="H359" s="80"/>
      <c r="I359" s="80"/>
      <c r="J359" s="80"/>
    </row>
    <row r="360" ht="22.5" customHeight="1">
      <c r="A360" s="81"/>
      <c r="B360" s="81"/>
      <c r="C360" s="81"/>
      <c r="D360" s="143"/>
      <c r="E360" s="80"/>
      <c r="F360" s="91"/>
      <c r="G360" s="80"/>
      <c r="H360" s="80"/>
      <c r="I360" s="80"/>
      <c r="J360" s="80"/>
    </row>
    <row r="361" ht="22.5" customHeight="1">
      <c r="A361" s="81"/>
      <c r="B361" s="81"/>
      <c r="C361" s="81"/>
      <c r="D361" s="143"/>
      <c r="E361" s="80"/>
      <c r="F361" s="91"/>
      <c r="G361" s="80"/>
      <c r="H361" s="80"/>
      <c r="I361" s="80"/>
      <c r="J361" s="80"/>
    </row>
    <row r="362" ht="22.5" customHeight="1">
      <c r="A362" s="81"/>
      <c r="B362" s="81"/>
      <c r="C362" s="81"/>
      <c r="D362" s="143"/>
      <c r="E362" s="80"/>
      <c r="F362" s="91"/>
      <c r="G362" s="80"/>
      <c r="H362" s="80"/>
      <c r="I362" s="80"/>
      <c r="J362" s="80"/>
    </row>
    <row r="363" ht="22.5" customHeight="1">
      <c r="A363" s="81"/>
      <c r="B363" s="81"/>
      <c r="C363" s="81"/>
      <c r="D363" s="143"/>
      <c r="E363" s="80"/>
      <c r="F363" s="91"/>
      <c r="G363" s="80"/>
      <c r="H363" s="80"/>
      <c r="I363" s="80"/>
      <c r="J363" s="80"/>
    </row>
    <row r="364" ht="22.5" customHeight="1">
      <c r="A364" s="81"/>
      <c r="B364" s="81"/>
      <c r="C364" s="81"/>
      <c r="D364" s="143"/>
      <c r="E364" s="80"/>
      <c r="F364" s="91"/>
      <c r="G364" s="80"/>
      <c r="H364" s="80"/>
      <c r="I364" s="80"/>
      <c r="J364" s="80"/>
    </row>
    <row r="365" ht="22.5" customHeight="1">
      <c r="A365" s="81"/>
      <c r="B365" s="81"/>
      <c r="C365" s="81"/>
      <c r="D365" s="143"/>
      <c r="E365" s="80"/>
      <c r="F365" s="91"/>
      <c r="G365" s="80"/>
      <c r="H365" s="80"/>
      <c r="I365" s="80"/>
      <c r="J365" s="80"/>
    </row>
    <row r="366" ht="22.5" customHeight="1">
      <c r="A366" s="81"/>
      <c r="B366" s="81"/>
      <c r="C366" s="81"/>
      <c r="D366" s="143"/>
      <c r="E366" s="80"/>
      <c r="F366" s="91"/>
      <c r="G366" s="80"/>
      <c r="H366" s="80"/>
      <c r="I366" s="80"/>
      <c r="J366" s="80"/>
    </row>
    <row r="367" ht="22.5" customHeight="1">
      <c r="A367" s="81"/>
      <c r="B367" s="81"/>
      <c r="C367" s="81"/>
      <c r="D367" s="143"/>
      <c r="E367" s="80"/>
      <c r="F367" s="91"/>
      <c r="G367" s="80"/>
      <c r="H367" s="80"/>
      <c r="I367" s="80"/>
      <c r="J367" s="80"/>
    </row>
    <row r="368" ht="22.5" customHeight="1">
      <c r="A368" s="81"/>
      <c r="B368" s="81"/>
      <c r="C368" s="81"/>
      <c r="D368" s="143"/>
      <c r="E368" s="80"/>
      <c r="F368" s="91"/>
      <c r="G368" s="80"/>
      <c r="H368" s="80"/>
      <c r="I368" s="80"/>
      <c r="J368" s="80"/>
    </row>
    <row r="369" ht="22.5" customHeight="1">
      <c r="A369" s="81"/>
      <c r="B369" s="81"/>
      <c r="C369" s="81"/>
      <c r="D369" s="143"/>
      <c r="E369" s="80"/>
      <c r="F369" s="91"/>
      <c r="G369" s="80"/>
      <c r="H369" s="80"/>
      <c r="I369" s="80"/>
      <c r="J369" s="80"/>
    </row>
    <row r="370" ht="22.5" customHeight="1">
      <c r="A370" s="81"/>
      <c r="B370" s="81"/>
      <c r="C370" s="81"/>
      <c r="D370" s="143"/>
      <c r="E370" s="80"/>
      <c r="F370" s="91"/>
      <c r="G370" s="80"/>
      <c r="H370" s="80"/>
      <c r="I370" s="80"/>
      <c r="J370" s="80"/>
    </row>
    <row r="371" ht="22.5" customHeight="1">
      <c r="A371" s="81"/>
      <c r="B371" s="81"/>
      <c r="C371" s="81"/>
      <c r="D371" s="143"/>
      <c r="E371" s="80"/>
      <c r="F371" s="91"/>
      <c r="G371" s="80"/>
      <c r="H371" s="80"/>
      <c r="I371" s="80"/>
      <c r="J371" s="80"/>
    </row>
    <row r="372" ht="22.5" customHeight="1">
      <c r="A372" s="81"/>
      <c r="B372" s="81"/>
      <c r="C372" s="81"/>
      <c r="D372" s="143"/>
      <c r="E372" s="80"/>
      <c r="F372" s="91"/>
      <c r="G372" s="80"/>
      <c r="H372" s="80"/>
      <c r="I372" s="80"/>
      <c r="J372" s="80"/>
    </row>
    <row r="373" ht="22.5" customHeight="1">
      <c r="A373" s="81"/>
      <c r="B373" s="81"/>
      <c r="C373" s="81"/>
      <c r="D373" s="143"/>
      <c r="E373" s="80"/>
      <c r="F373" s="91"/>
      <c r="G373" s="80"/>
      <c r="H373" s="80"/>
      <c r="I373" s="80"/>
      <c r="J373" s="80"/>
    </row>
    <row r="374" ht="22.5" customHeight="1">
      <c r="A374" s="81"/>
      <c r="B374" s="81"/>
      <c r="C374" s="81"/>
      <c r="D374" s="143"/>
      <c r="E374" s="80"/>
      <c r="F374" s="91"/>
      <c r="G374" s="80"/>
      <c r="H374" s="80"/>
      <c r="I374" s="80"/>
      <c r="J374" s="80"/>
    </row>
    <row r="375" ht="22.5" customHeight="1">
      <c r="A375" s="81"/>
      <c r="B375" s="81"/>
      <c r="C375" s="81"/>
      <c r="D375" s="143"/>
      <c r="E375" s="80"/>
      <c r="F375" s="91"/>
      <c r="G375" s="80"/>
      <c r="H375" s="80"/>
      <c r="I375" s="80"/>
      <c r="J375" s="80"/>
    </row>
    <row r="376" ht="22.5" customHeight="1">
      <c r="A376" s="81"/>
      <c r="B376" s="81"/>
      <c r="C376" s="81"/>
      <c r="D376" s="143"/>
      <c r="E376" s="80"/>
      <c r="F376" s="91"/>
      <c r="G376" s="80"/>
      <c r="H376" s="80"/>
      <c r="I376" s="80"/>
      <c r="J376" s="80"/>
    </row>
    <row r="377" ht="22.5" customHeight="1">
      <c r="A377" s="81"/>
      <c r="B377" s="81"/>
      <c r="C377" s="81"/>
      <c r="D377" s="143"/>
      <c r="E377" s="80"/>
      <c r="F377" s="91"/>
      <c r="G377" s="80"/>
      <c r="H377" s="80"/>
      <c r="I377" s="80"/>
      <c r="J377" s="80"/>
    </row>
    <row r="378" ht="22.5" customHeight="1">
      <c r="A378" s="81"/>
      <c r="B378" s="81"/>
      <c r="C378" s="81"/>
      <c r="D378" s="143"/>
      <c r="E378" s="80"/>
      <c r="F378" s="91"/>
      <c r="G378" s="80"/>
      <c r="H378" s="80"/>
      <c r="I378" s="80"/>
      <c r="J378" s="80"/>
    </row>
    <row r="379" ht="22.5" customHeight="1">
      <c r="A379" s="81"/>
      <c r="B379" s="81"/>
      <c r="C379" s="81"/>
      <c r="D379" s="143"/>
      <c r="E379" s="80"/>
      <c r="F379" s="91"/>
      <c r="G379" s="80"/>
      <c r="H379" s="80"/>
      <c r="I379" s="80"/>
      <c r="J379" s="80"/>
    </row>
    <row r="380" ht="22.5" customHeight="1">
      <c r="A380" s="81"/>
      <c r="B380" s="81"/>
      <c r="C380" s="81"/>
      <c r="D380" s="143"/>
      <c r="E380" s="80"/>
      <c r="F380" s="91"/>
      <c r="G380" s="80"/>
      <c r="H380" s="80"/>
      <c r="I380" s="80"/>
      <c r="J380" s="80"/>
    </row>
    <row r="381" ht="22.5" customHeight="1">
      <c r="A381" s="81"/>
      <c r="B381" s="81"/>
      <c r="C381" s="81"/>
      <c r="D381" s="143"/>
      <c r="E381" s="80"/>
      <c r="F381" s="91"/>
      <c r="G381" s="80"/>
      <c r="H381" s="80"/>
      <c r="I381" s="80"/>
      <c r="J381" s="80"/>
    </row>
    <row r="382" ht="22.5" customHeight="1">
      <c r="A382" s="81"/>
      <c r="B382" s="81"/>
      <c r="C382" s="81"/>
      <c r="D382" s="143"/>
      <c r="E382" s="80"/>
      <c r="F382" s="91"/>
      <c r="G382" s="80"/>
      <c r="H382" s="80"/>
      <c r="I382" s="80"/>
      <c r="J382" s="80"/>
    </row>
    <row r="383" ht="22.5" customHeight="1">
      <c r="A383" s="81"/>
      <c r="B383" s="81"/>
      <c r="C383" s="81"/>
      <c r="D383" s="143"/>
      <c r="E383" s="80"/>
      <c r="F383" s="91"/>
      <c r="G383" s="80"/>
      <c r="H383" s="80"/>
      <c r="I383" s="80"/>
      <c r="J383" s="80"/>
    </row>
    <row r="384" ht="22.5" customHeight="1">
      <c r="A384" s="81"/>
      <c r="B384" s="81"/>
      <c r="C384" s="81"/>
      <c r="D384" s="143"/>
      <c r="E384" s="80"/>
      <c r="F384" s="91"/>
      <c r="G384" s="80"/>
      <c r="H384" s="80"/>
      <c r="I384" s="80"/>
      <c r="J384" s="80"/>
    </row>
    <row r="385" ht="22.5" customHeight="1">
      <c r="A385" s="81"/>
      <c r="B385" s="81"/>
      <c r="C385" s="81"/>
      <c r="D385" s="143"/>
      <c r="E385" s="80"/>
      <c r="F385" s="91"/>
      <c r="G385" s="80"/>
      <c r="H385" s="80"/>
      <c r="I385" s="80"/>
      <c r="J385" s="80"/>
    </row>
    <row r="386" ht="22.5" customHeight="1">
      <c r="A386" s="81"/>
      <c r="B386" s="81"/>
      <c r="C386" s="81"/>
      <c r="D386" s="143"/>
      <c r="E386" s="80"/>
      <c r="F386" s="91"/>
      <c r="G386" s="80"/>
      <c r="H386" s="80"/>
      <c r="I386" s="80"/>
      <c r="J386" s="80"/>
    </row>
    <row r="387" ht="22.5" customHeight="1">
      <c r="A387" s="81"/>
      <c r="B387" s="81"/>
      <c r="C387" s="81"/>
      <c r="D387" s="143"/>
      <c r="E387" s="80"/>
      <c r="F387" s="91"/>
      <c r="G387" s="80"/>
      <c r="H387" s="80"/>
      <c r="I387" s="80"/>
      <c r="J387" s="80"/>
    </row>
    <row r="388" ht="22.5" customHeight="1">
      <c r="A388" s="81"/>
      <c r="B388" s="81"/>
      <c r="C388" s="81"/>
      <c r="D388" s="143"/>
      <c r="E388" s="80"/>
      <c r="F388" s="91"/>
      <c r="G388" s="80"/>
      <c r="H388" s="80"/>
      <c r="I388" s="80"/>
      <c r="J388" s="80"/>
    </row>
    <row r="389" ht="22.5" customHeight="1">
      <c r="A389" s="81"/>
      <c r="B389" s="81"/>
      <c r="C389" s="81"/>
      <c r="D389" s="143"/>
      <c r="E389" s="80"/>
      <c r="F389" s="91"/>
      <c r="G389" s="80"/>
      <c r="H389" s="80"/>
      <c r="I389" s="80"/>
      <c r="J389" s="80"/>
    </row>
    <row r="390" ht="22.5" customHeight="1">
      <c r="A390" s="81"/>
      <c r="B390" s="81"/>
      <c r="C390" s="81"/>
      <c r="D390" s="143"/>
      <c r="E390" s="80"/>
      <c r="F390" s="91"/>
      <c r="G390" s="80"/>
      <c r="H390" s="80"/>
      <c r="I390" s="80"/>
      <c r="J390" s="80"/>
    </row>
    <row r="391" ht="22.5" customHeight="1">
      <c r="A391" s="81"/>
      <c r="B391" s="81"/>
      <c r="C391" s="81"/>
      <c r="D391" s="143"/>
      <c r="E391" s="80"/>
      <c r="F391" s="91"/>
      <c r="G391" s="80"/>
      <c r="H391" s="80"/>
      <c r="I391" s="80"/>
      <c r="J391" s="80"/>
    </row>
    <row r="392" ht="22.5" customHeight="1">
      <c r="A392" s="81"/>
      <c r="B392" s="81"/>
      <c r="C392" s="81"/>
      <c r="D392" s="143"/>
      <c r="E392" s="80"/>
      <c r="F392" s="91"/>
      <c r="G392" s="80"/>
      <c r="H392" s="80"/>
      <c r="I392" s="80"/>
      <c r="J392" s="80"/>
    </row>
    <row r="393" ht="22.5" customHeight="1">
      <c r="A393" s="81"/>
      <c r="B393" s="81"/>
      <c r="C393" s="81"/>
      <c r="D393" s="143"/>
      <c r="E393" s="80"/>
      <c r="F393" s="91"/>
      <c r="G393" s="80"/>
      <c r="H393" s="80"/>
      <c r="I393" s="80"/>
      <c r="J393" s="80"/>
    </row>
    <row r="394" ht="22.5" customHeight="1">
      <c r="A394" s="81"/>
      <c r="B394" s="81"/>
      <c r="C394" s="81"/>
      <c r="D394" s="143"/>
      <c r="E394" s="80"/>
      <c r="F394" s="91"/>
      <c r="G394" s="80"/>
      <c r="H394" s="80"/>
      <c r="I394" s="80"/>
      <c r="J394" s="80"/>
    </row>
    <row r="395" ht="22.5" customHeight="1">
      <c r="A395" s="81"/>
      <c r="B395" s="81"/>
      <c r="C395" s="81"/>
      <c r="D395" s="143"/>
      <c r="E395" s="80"/>
      <c r="F395" s="91"/>
      <c r="G395" s="80"/>
      <c r="H395" s="80"/>
      <c r="I395" s="80"/>
      <c r="J395" s="80"/>
    </row>
    <row r="396" ht="22.5" customHeight="1">
      <c r="A396" s="81"/>
      <c r="B396" s="81"/>
      <c r="C396" s="81"/>
      <c r="D396" s="143"/>
      <c r="E396" s="80"/>
      <c r="F396" s="91"/>
      <c r="G396" s="80"/>
      <c r="H396" s="80"/>
      <c r="I396" s="80"/>
      <c r="J396" s="80"/>
    </row>
    <row r="397" ht="22.5" customHeight="1">
      <c r="A397" s="81"/>
      <c r="B397" s="81"/>
      <c r="C397" s="81"/>
      <c r="D397" s="143"/>
      <c r="E397" s="80"/>
      <c r="F397" s="91"/>
      <c r="G397" s="80"/>
      <c r="H397" s="80"/>
      <c r="I397" s="80"/>
      <c r="J397" s="80"/>
    </row>
    <row r="398" ht="22.5" customHeight="1">
      <c r="A398" s="81"/>
      <c r="B398" s="81"/>
      <c r="C398" s="81"/>
      <c r="D398" s="143"/>
      <c r="E398" s="80"/>
      <c r="F398" s="91"/>
      <c r="G398" s="80"/>
      <c r="H398" s="80"/>
      <c r="I398" s="80"/>
      <c r="J398" s="80"/>
    </row>
    <row r="399" ht="22.5" customHeight="1">
      <c r="A399" s="81"/>
      <c r="B399" s="81"/>
      <c r="C399" s="81"/>
      <c r="D399" s="143"/>
      <c r="E399" s="80"/>
      <c r="F399" s="91"/>
      <c r="G399" s="80"/>
      <c r="H399" s="80"/>
      <c r="I399" s="80"/>
      <c r="J399" s="80"/>
    </row>
    <row r="400" ht="22.5" customHeight="1">
      <c r="A400" s="81"/>
      <c r="B400" s="81"/>
      <c r="C400" s="81"/>
      <c r="D400" s="143"/>
      <c r="E400" s="80"/>
      <c r="F400" s="91"/>
      <c r="G400" s="80"/>
      <c r="H400" s="80"/>
      <c r="I400" s="80"/>
      <c r="J400" s="80"/>
    </row>
    <row r="401" ht="22.5" customHeight="1">
      <c r="A401" s="81"/>
      <c r="B401" s="81"/>
      <c r="C401" s="81"/>
      <c r="D401" s="143"/>
      <c r="E401" s="80"/>
      <c r="F401" s="91"/>
      <c r="G401" s="80"/>
      <c r="H401" s="80"/>
      <c r="I401" s="80"/>
      <c r="J401" s="80"/>
    </row>
    <row r="402" ht="22.5" customHeight="1">
      <c r="A402" s="81"/>
      <c r="B402" s="81"/>
      <c r="C402" s="81"/>
      <c r="D402" s="143"/>
      <c r="E402" s="80"/>
      <c r="F402" s="91"/>
      <c r="G402" s="80"/>
      <c r="H402" s="80"/>
      <c r="I402" s="80"/>
      <c r="J402" s="80"/>
    </row>
    <row r="403" ht="22.5" customHeight="1">
      <c r="A403" s="81"/>
      <c r="B403" s="81"/>
      <c r="C403" s="81"/>
      <c r="D403" s="143"/>
      <c r="E403" s="80"/>
      <c r="F403" s="91"/>
      <c r="G403" s="80"/>
      <c r="H403" s="80"/>
      <c r="I403" s="80"/>
      <c r="J403" s="80"/>
    </row>
    <row r="404" ht="22.5" customHeight="1">
      <c r="A404" s="81"/>
      <c r="B404" s="81"/>
      <c r="C404" s="81"/>
      <c r="D404" s="143"/>
      <c r="E404" s="80"/>
      <c r="F404" s="91"/>
      <c r="G404" s="80"/>
      <c r="H404" s="80"/>
      <c r="I404" s="80"/>
      <c r="J404" s="80"/>
    </row>
    <row r="405" ht="22.5" customHeight="1">
      <c r="A405" s="81"/>
      <c r="B405" s="81"/>
      <c r="C405" s="81"/>
      <c r="D405" s="143"/>
      <c r="E405" s="80"/>
      <c r="F405" s="91"/>
      <c r="G405" s="80"/>
      <c r="H405" s="80"/>
      <c r="I405" s="80"/>
      <c r="J405" s="80"/>
    </row>
    <row r="406" ht="22.5" customHeight="1">
      <c r="A406" s="81"/>
      <c r="B406" s="81"/>
      <c r="C406" s="81"/>
      <c r="D406" s="143"/>
      <c r="E406" s="80"/>
      <c r="F406" s="91"/>
      <c r="G406" s="80"/>
      <c r="H406" s="80"/>
      <c r="I406" s="80"/>
      <c r="J406" s="80"/>
    </row>
    <row r="407" ht="22.5" customHeight="1">
      <c r="A407" s="81"/>
      <c r="B407" s="81"/>
      <c r="C407" s="81"/>
      <c r="D407" s="143"/>
      <c r="E407" s="80"/>
      <c r="F407" s="91"/>
      <c r="G407" s="80"/>
      <c r="H407" s="80"/>
      <c r="I407" s="80"/>
      <c r="J407" s="80"/>
    </row>
    <row r="408" ht="22.5" customHeight="1">
      <c r="A408" s="81"/>
      <c r="B408" s="81"/>
      <c r="C408" s="81"/>
      <c r="D408" s="143"/>
      <c r="E408" s="80"/>
      <c r="F408" s="91"/>
      <c r="G408" s="80"/>
      <c r="H408" s="80"/>
      <c r="I408" s="80"/>
      <c r="J408" s="80"/>
    </row>
    <row r="409" ht="22.5" customHeight="1">
      <c r="A409" s="81"/>
      <c r="B409" s="81"/>
      <c r="C409" s="81"/>
      <c r="D409" s="143"/>
      <c r="E409" s="80"/>
      <c r="F409" s="91"/>
      <c r="G409" s="80"/>
      <c r="H409" s="80"/>
      <c r="I409" s="80"/>
      <c r="J409" s="80"/>
    </row>
    <row r="410" ht="22.5" customHeight="1">
      <c r="A410" s="81"/>
      <c r="B410" s="81"/>
      <c r="C410" s="81"/>
      <c r="D410" s="143"/>
      <c r="E410" s="80"/>
      <c r="F410" s="91"/>
      <c r="G410" s="80"/>
      <c r="H410" s="80"/>
      <c r="I410" s="80"/>
      <c r="J410" s="80"/>
    </row>
    <row r="411" ht="22.5" customHeight="1">
      <c r="A411" s="81"/>
      <c r="B411" s="81"/>
      <c r="C411" s="81"/>
      <c r="D411" s="143"/>
      <c r="E411" s="80"/>
      <c r="F411" s="91"/>
      <c r="G411" s="80"/>
      <c r="H411" s="80"/>
      <c r="I411" s="80"/>
      <c r="J411" s="80"/>
    </row>
    <row r="412" ht="22.5" customHeight="1">
      <c r="A412" s="81"/>
      <c r="B412" s="81"/>
      <c r="C412" s="81"/>
      <c r="D412" s="143"/>
      <c r="E412" s="80"/>
      <c r="F412" s="91"/>
      <c r="G412" s="80"/>
      <c r="H412" s="80"/>
      <c r="I412" s="80"/>
      <c r="J412" s="80"/>
    </row>
    <row r="413" ht="22.5" customHeight="1">
      <c r="A413" s="81"/>
      <c r="B413" s="81"/>
      <c r="C413" s="81"/>
      <c r="D413" s="143"/>
      <c r="E413" s="80"/>
      <c r="F413" s="91"/>
      <c r="G413" s="80"/>
      <c r="H413" s="80"/>
      <c r="I413" s="80"/>
      <c r="J413" s="80"/>
    </row>
    <row r="414" ht="22.5" customHeight="1">
      <c r="A414" s="81"/>
      <c r="B414" s="81"/>
      <c r="C414" s="81"/>
      <c r="D414" s="143"/>
      <c r="E414" s="80"/>
      <c r="F414" s="91"/>
      <c r="G414" s="80"/>
      <c r="H414" s="80"/>
      <c r="I414" s="80"/>
      <c r="J414" s="80"/>
    </row>
    <row r="415" ht="22.5" customHeight="1">
      <c r="A415" s="81"/>
      <c r="B415" s="81"/>
      <c r="C415" s="81"/>
      <c r="D415" s="143"/>
      <c r="E415" s="80"/>
      <c r="F415" s="91"/>
      <c r="G415" s="80"/>
      <c r="H415" s="80"/>
      <c r="I415" s="80"/>
      <c r="J415" s="80"/>
    </row>
    <row r="416" ht="22.5" customHeight="1">
      <c r="A416" s="81"/>
      <c r="B416" s="81"/>
      <c r="C416" s="81"/>
      <c r="D416" s="143"/>
      <c r="E416" s="80"/>
      <c r="F416" s="91"/>
      <c r="G416" s="80"/>
      <c r="H416" s="80"/>
      <c r="I416" s="80"/>
      <c r="J416" s="80"/>
    </row>
    <row r="417" ht="22.5" customHeight="1">
      <c r="A417" s="81"/>
      <c r="B417" s="81"/>
      <c r="C417" s="81"/>
      <c r="D417" s="143"/>
      <c r="E417" s="80"/>
      <c r="F417" s="91"/>
      <c r="G417" s="80"/>
      <c r="H417" s="80"/>
      <c r="I417" s="80"/>
      <c r="J417" s="80"/>
    </row>
    <row r="418" ht="22.5" customHeight="1">
      <c r="A418" s="81"/>
      <c r="B418" s="81"/>
      <c r="C418" s="81"/>
      <c r="D418" s="143"/>
      <c r="E418" s="80"/>
      <c r="F418" s="91"/>
      <c r="G418" s="80"/>
      <c r="H418" s="80"/>
      <c r="I418" s="80"/>
      <c r="J418" s="80"/>
    </row>
    <row r="419" ht="22.5" customHeight="1">
      <c r="A419" s="81"/>
      <c r="B419" s="81"/>
      <c r="C419" s="81"/>
      <c r="D419" s="143"/>
      <c r="E419" s="80"/>
      <c r="F419" s="91"/>
      <c r="G419" s="80"/>
      <c r="H419" s="80"/>
      <c r="I419" s="80"/>
      <c r="J419" s="80"/>
    </row>
    <row r="420" ht="22.5" customHeight="1">
      <c r="A420" s="81"/>
      <c r="B420" s="81"/>
      <c r="C420" s="81"/>
      <c r="D420" s="143"/>
      <c r="E420" s="80"/>
      <c r="F420" s="91"/>
      <c r="G420" s="80"/>
      <c r="H420" s="80"/>
      <c r="I420" s="80"/>
      <c r="J420" s="80"/>
    </row>
    <row r="421" ht="22.5" customHeight="1">
      <c r="A421" s="81"/>
      <c r="B421" s="81"/>
      <c r="C421" s="81"/>
      <c r="D421" s="143"/>
      <c r="E421" s="80"/>
      <c r="F421" s="91"/>
      <c r="G421" s="80"/>
      <c r="H421" s="80"/>
      <c r="I421" s="80"/>
      <c r="J421" s="80"/>
    </row>
    <row r="422" ht="22.5" customHeight="1">
      <c r="A422" s="81"/>
      <c r="B422" s="81"/>
      <c r="C422" s="81"/>
      <c r="D422" s="143"/>
      <c r="E422" s="80"/>
      <c r="F422" s="91"/>
      <c r="G422" s="80"/>
      <c r="H422" s="80"/>
      <c r="I422" s="80"/>
      <c r="J422" s="80"/>
    </row>
    <row r="423" ht="22.5" customHeight="1">
      <c r="A423" s="81"/>
      <c r="B423" s="81"/>
      <c r="C423" s="81"/>
      <c r="D423" s="143"/>
      <c r="E423" s="80"/>
      <c r="F423" s="91"/>
      <c r="G423" s="80"/>
      <c r="H423" s="80"/>
      <c r="I423" s="80"/>
      <c r="J423" s="80"/>
    </row>
    <row r="424" ht="22.5" customHeight="1">
      <c r="A424" s="81"/>
      <c r="B424" s="81"/>
      <c r="C424" s="81"/>
      <c r="D424" s="143"/>
      <c r="E424" s="80"/>
      <c r="F424" s="91"/>
      <c r="G424" s="80"/>
      <c r="H424" s="80"/>
      <c r="I424" s="80"/>
      <c r="J424" s="80"/>
    </row>
    <row r="425" ht="22.5" customHeight="1">
      <c r="A425" s="81"/>
      <c r="B425" s="81"/>
      <c r="C425" s="81"/>
      <c r="D425" s="143"/>
      <c r="E425" s="80"/>
      <c r="F425" s="91"/>
      <c r="G425" s="80"/>
      <c r="H425" s="80"/>
      <c r="I425" s="80"/>
      <c r="J425" s="80"/>
    </row>
    <row r="426" ht="22.5" customHeight="1">
      <c r="A426" s="81"/>
      <c r="B426" s="81"/>
      <c r="C426" s="81"/>
      <c r="D426" s="143"/>
      <c r="E426" s="80"/>
      <c r="F426" s="91"/>
      <c r="G426" s="80"/>
      <c r="H426" s="80"/>
      <c r="I426" s="80"/>
      <c r="J426" s="80"/>
    </row>
    <row r="427" ht="22.5" customHeight="1">
      <c r="A427" s="81"/>
      <c r="B427" s="81"/>
      <c r="C427" s="81"/>
      <c r="D427" s="143"/>
      <c r="E427" s="80"/>
      <c r="F427" s="91"/>
      <c r="G427" s="80"/>
      <c r="H427" s="80"/>
      <c r="I427" s="80"/>
      <c r="J427" s="80"/>
    </row>
    <row r="428" ht="22.5" customHeight="1">
      <c r="A428" s="81"/>
      <c r="B428" s="81"/>
      <c r="C428" s="81"/>
      <c r="D428" s="143"/>
      <c r="E428" s="80"/>
      <c r="F428" s="91"/>
      <c r="G428" s="80"/>
      <c r="H428" s="80"/>
      <c r="I428" s="80"/>
      <c r="J428" s="80"/>
    </row>
    <row r="429" ht="22.5" customHeight="1">
      <c r="A429" s="81"/>
      <c r="B429" s="81"/>
      <c r="C429" s="81"/>
      <c r="D429" s="143"/>
      <c r="E429" s="80"/>
      <c r="F429" s="91"/>
      <c r="G429" s="80"/>
      <c r="H429" s="80"/>
      <c r="I429" s="80"/>
      <c r="J429" s="80"/>
    </row>
    <row r="430" ht="22.5" customHeight="1">
      <c r="A430" s="81"/>
      <c r="B430" s="81"/>
      <c r="C430" s="81"/>
      <c r="D430" s="143"/>
      <c r="E430" s="80"/>
      <c r="F430" s="91"/>
      <c r="G430" s="80"/>
      <c r="H430" s="80"/>
      <c r="I430" s="80"/>
      <c r="J430" s="80"/>
    </row>
    <row r="431" ht="22.5" customHeight="1">
      <c r="A431" s="81"/>
      <c r="B431" s="81"/>
      <c r="C431" s="81"/>
      <c r="D431" s="143"/>
      <c r="E431" s="80"/>
      <c r="F431" s="91"/>
      <c r="G431" s="80"/>
      <c r="H431" s="80"/>
      <c r="I431" s="80"/>
      <c r="J431" s="80"/>
    </row>
    <row r="432" ht="22.5" customHeight="1">
      <c r="A432" s="81"/>
      <c r="B432" s="81"/>
      <c r="C432" s="81"/>
      <c r="D432" s="143"/>
      <c r="E432" s="80"/>
      <c r="F432" s="91"/>
      <c r="G432" s="80"/>
      <c r="H432" s="80"/>
      <c r="I432" s="80"/>
      <c r="J432" s="80"/>
    </row>
    <row r="433" ht="22.5" customHeight="1">
      <c r="A433" s="81"/>
      <c r="B433" s="81"/>
      <c r="C433" s="81"/>
      <c r="D433" s="143"/>
      <c r="E433" s="80"/>
      <c r="F433" s="91"/>
      <c r="G433" s="80"/>
      <c r="H433" s="80"/>
      <c r="I433" s="80"/>
      <c r="J433" s="80"/>
    </row>
    <row r="434" ht="22.5" customHeight="1">
      <c r="A434" s="81"/>
      <c r="B434" s="81"/>
      <c r="C434" s="81"/>
      <c r="D434" s="143"/>
      <c r="E434" s="80"/>
      <c r="F434" s="91"/>
      <c r="G434" s="80"/>
      <c r="H434" s="80"/>
      <c r="I434" s="80"/>
      <c r="J434" s="80"/>
    </row>
    <row r="435" ht="22.5" customHeight="1">
      <c r="A435" s="81"/>
      <c r="B435" s="81"/>
      <c r="C435" s="81"/>
      <c r="D435" s="143"/>
      <c r="E435" s="80"/>
      <c r="F435" s="91"/>
      <c r="G435" s="80"/>
      <c r="H435" s="80"/>
      <c r="I435" s="80"/>
      <c r="J435" s="80"/>
    </row>
    <row r="436" ht="22.5" customHeight="1">
      <c r="A436" s="81"/>
      <c r="B436" s="81"/>
      <c r="C436" s="81"/>
      <c r="D436" s="143"/>
      <c r="E436" s="80"/>
      <c r="F436" s="91"/>
      <c r="G436" s="80"/>
      <c r="H436" s="80"/>
      <c r="I436" s="80"/>
      <c r="J436" s="80"/>
    </row>
    <row r="437" ht="22.5" customHeight="1">
      <c r="A437" s="81"/>
      <c r="B437" s="81"/>
      <c r="C437" s="81"/>
      <c r="D437" s="143"/>
      <c r="E437" s="80"/>
      <c r="F437" s="91"/>
      <c r="G437" s="80"/>
      <c r="H437" s="80"/>
      <c r="I437" s="80"/>
      <c r="J437" s="80"/>
    </row>
    <row r="438" ht="22.5" customHeight="1">
      <c r="A438" s="81"/>
      <c r="B438" s="81"/>
      <c r="C438" s="81"/>
      <c r="D438" s="143"/>
      <c r="E438" s="80"/>
      <c r="F438" s="91"/>
      <c r="G438" s="80"/>
      <c r="H438" s="80"/>
      <c r="I438" s="80"/>
      <c r="J438" s="80"/>
    </row>
    <row r="439" ht="22.5" customHeight="1">
      <c r="A439" s="81"/>
      <c r="B439" s="81"/>
      <c r="C439" s="81"/>
      <c r="D439" s="143"/>
      <c r="E439" s="80"/>
      <c r="F439" s="91"/>
      <c r="G439" s="80"/>
      <c r="H439" s="80"/>
      <c r="I439" s="80"/>
      <c r="J439" s="80"/>
    </row>
    <row r="440" ht="22.5" customHeight="1">
      <c r="A440" s="81"/>
      <c r="B440" s="81"/>
      <c r="C440" s="81"/>
      <c r="D440" s="143"/>
      <c r="E440" s="80"/>
      <c r="F440" s="91"/>
      <c r="G440" s="80"/>
      <c r="H440" s="80"/>
      <c r="I440" s="80"/>
      <c r="J440" s="80"/>
    </row>
    <row r="441" ht="22.5" customHeight="1">
      <c r="A441" s="81"/>
      <c r="B441" s="81"/>
      <c r="C441" s="81"/>
      <c r="D441" s="143"/>
      <c r="E441" s="80"/>
      <c r="F441" s="91"/>
      <c r="G441" s="80"/>
      <c r="H441" s="80"/>
      <c r="I441" s="80"/>
      <c r="J441" s="80"/>
    </row>
    <row r="442" ht="22.5" customHeight="1">
      <c r="A442" s="81"/>
      <c r="B442" s="81"/>
      <c r="C442" s="81"/>
      <c r="D442" s="143"/>
      <c r="E442" s="80"/>
      <c r="F442" s="91"/>
      <c r="G442" s="80"/>
      <c r="H442" s="80"/>
      <c r="I442" s="80"/>
      <c r="J442" s="80"/>
    </row>
    <row r="443" ht="22.5" customHeight="1">
      <c r="A443" s="81"/>
      <c r="B443" s="81"/>
      <c r="C443" s="81"/>
      <c r="D443" s="143"/>
      <c r="E443" s="80"/>
      <c r="F443" s="91"/>
      <c r="G443" s="80"/>
      <c r="H443" s="80"/>
      <c r="I443" s="80"/>
      <c r="J443" s="80"/>
    </row>
    <row r="444" ht="22.5" customHeight="1">
      <c r="A444" s="81"/>
      <c r="B444" s="81"/>
      <c r="C444" s="81"/>
      <c r="D444" s="143"/>
      <c r="E444" s="80"/>
      <c r="F444" s="91"/>
      <c r="G444" s="80"/>
      <c r="H444" s="80"/>
      <c r="I444" s="80"/>
      <c r="J444" s="80"/>
    </row>
    <row r="445" ht="22.5" customHeight="1">
      <c r="A445" s="81"/>
      <c r="B445" s="81"/>
      <c r="C445" s="81"/>
      <c r="D445" s="143"/>
      <c r="E445" s="80"/>
      <c r="F445" s="91"/>
      <c r="G445" s="80"/>
      <c r="H445" s="80"/>
      <c r="I445" s="80"/>
      <c r="J445" s="80"/>
    </row>
    <row r="446" ht="22.5" customHeight="1">
      <c r="A446" s="81"/>
      <c r="B446" s="81"/>
      <c r="C446" s="81"/>
      <c r="D446" s="143"/>
      <c r="E446" s="80"/>
      <c r="F446" s="91"/>
      <c r="G446" s="80"/>
      <c r="H446" s="80"/>
      <c r="I446" s="80"/>
      <c r="J446" s="80"/>
    </row>
    <row r="447" ht="22.5" customHeight="1">
      <c r="A447" s="81"/>
      <c r="B447" s="81"/>
      <c r="C447" s="81"/>
      <c r="D447" s="143"/>
      <c r="E447" s="80"/>
      <c r="F447" s="91"/>
      <c r="G447" s="80"/>
      <c r="H447" s="80"/>
      <c r="I447" s="80"/>
      <c r="J447" s="80"/>
    </row>
    <row r="448" ht="22.5" customHeight="1">
      <c r="A448" s="81"/>
      <c r="B448" s="81"/>
      <c r="C448" s="81"/>
      <c r="D448" s="143"/>
      <c r="E448" s="80"/>
      <c r="F448" s="91"/>
      <c r="G448" s="80"/>
      <c r="H448" s="80"/>
      <c r="I448" s="80"/>
      <c r="J448" s="80"/>
    </row>
    <row r="449" ht="22.5" customHeight="1">
      <c r="A449" s="81"/>
      <c r="B449" s="81"/>
      <c r="C449" s="81"/>
      <c r="D449" s="143"/>
      <c r="E449" s="80"/>
      <c r="F449" s="91"/>
      <c r="G449" s="80"/>
      <c r="H449" s="80"/>
      <c r="I449" s="80"/>
      <c r="J449" s="80"/>
    </row>
    <row r="450" ht="22.5" customHeight="1">
      <c r="A450" s="81"/>
      <c r="B450" s="81"/>
      <c r="C450" s="81"/>
      <c r="D450" s="143"/>
      <c r="E450" s="80"/>
      <c r="F450" s="91"/>
      <c r="G450" s="80"/>
      <c r="H450" s="80"/>
      <c r="I450" s="80"/>
      <c r="J450" s="80"/>
    </row>
    <row r="451" ht="22.5" customHeight="1">
      <c r="A451" s="81"/>
      <c r="B451" s="81"/>
      <c r="C451" s="81"/>
      <c r="D451" s="143"/>
      <c r="E451" s="80"/>
      <c r="F451" s="91"/>
      <c r="G451" s="80"/>
      <c r="H451" s="80"/>
      <c r="I451" s="80"/>
      <c r="J451" s="80"/>
    </row>
    <row r="452" ht="22.5" customHeight="1">
      <c r="A452" s="81"/>
      <c r="B452" s="81"/>
      <c r="C452" s="81"/>
      <c r="D452" s="143"/>
      <c r="E452" s="80"/>
      <c r="F452" s="91"/>
      <c r="G452" s="80"/>
      <c r="H452" s="80"/>
      <c r="I452" s="80"/>
      <c r="J452" s="80"/>
    </row>
    <row r="453" ht="22.5" customHeight="1">
      <c r="A453" s="81"/>
      <c r="B453" s="81"/>
      <c r="C453" s="81"/>
      <c r="D453" s="143"/>
      <c r="E453" s="80"/>
      <c r="F453" s="91"/>
      <c r="G453" s="80"/>
      <c r="H453" s="80"/>
      <c r="I453" s="80"/>
      <c r="J453" s="80"/>
    </row>
    <row r="454" ht="22.5" customHeight="1">
      <c r="A454" s="81"/>
      <c r="B454" s="81"/>
      <c r="C454" s="81"/>
      <c r="D454" s="143"/>
      <c r="E454" s="80"/>
      <c r="F454" s="91"/>
      <c r="G454" s="80"/>
      <c r="H454" s="80"/>
      <c r="I454" s="80"/>
      <c r="J454" s="80"/>
    </row>
    <row r="455" ht="22.5" customHeight="1">
      <c r="A455" s="81"/>
      <c r="B455" s="81"/>
      <c r="C455" s="81"/>
      <c r="D455" s="143"/>
      <c r="E455" s="80"/>
      <c r="F455" s="91"/>
      <c r="G455" s="80"/>
      <c r="H455" s="80"/>
      <c r="I455" s="80"/>
      <c r="J455" s="80"/>
    </row>
    <row r="456" ht="22.5" customHeight="1">
      <c r="A456" s="81"/>
      <c r="B456" s="81"/>
      <c r="C456" s="81"/>
      <c r="D456" s="143"/>
      <c r="E456" s="80"/>
      <c r="F456" s="91"/>
      <c r="G456" s="80"/>
      <c r="H456" s="80"/>
      <c r="I456" s="80"/>
      <c r="J456" s="80"/>
    </row>
    <row r="457" ht="22.5" customHeight="1">
      <c r="A457" s="81"/>
      <c r="B457" s="81"/>
      <c r="C457" s="81"/>
      <c r="D457" s="143"/>
      <c r="E457" s="80"/>
      <c r="F457" s="91"/>
      <c r="G457" s="80"/>
      <c r="H457" s="80"/>
      <c r="I457" s="80"/>
      <c r="J457" s="80"/>
    </row>
    <row r="458" ht="22.5" customHeight="1">
      <c r="A458" s="81"/>
      <c r="B458" s="81"/>
      <c r="C458" s="81"/>
      <c r="D458" s="143"/>
      <c r="E458" s="80"/>
      <c r="F458" s="91"/>
      <c r="G458" s="80"/>
      <c r="H458" s="80"/>
      <c r="I458" s="80"/>
      <c r="J458" s="80"/>
    </row>
    <row r="459" ht="22.5" customHeight="1">
      <c r="A459" s="81"/>
      <c r="B459" s="81"/>
      <c r="C459" s="81"/>
      <c r="D459" s="143"/>
      <c r="E459" s="80"/>
      <c r="F459" s="91"/>
      <c r="G459" s="80"/>
      <c r="H459" s="80"/>
      <c r="I459" s="80"/>
      <c r="J459" s="80"/>
    </row>
    <row r="460" ht="22.5" customHeight="1">
      <c r="A460" s="81"/>
      <c r="B460" s="81"/>
      <c r="C460" s="81"/>
      <c r="D460" s="143"/>
      <c r="E460" s="80"/>
      <c r="F460" s="91"/>
      <c r="G460" s="80"/>
      <c r="H460" s="80"/>
      <c r="I460" s="80"/>
      <c r="J460" s="80"/>
    </row>
    <row r="461" ht="22.5" customHeight="1">
      <c r="A461" s="81"/>
      <c r="B461" s="81"/>
      <c r="C461" s="81"/>
      <c r="D461" s="143"/>
      <c r="E461" s="80"/>
      <c r="F461" s="91"/>
      <c r="G461" s="80"/>
      <c r="H461" s="80"/>
      <c r="I461" s="80"/>
      <c r="J461" s="80"/>
    </row>
    <row r="462" ht="22.5" customHeight="1">
      <c r="A462" s="81"/>
      <c r="B462" s="81"/>
      <c r="C462" s="81"/>
      <c r="D462" s="143"/>
      <c r="E462" s="80"/>
      <c r="F462" s="91"/>
      <c r="G462" s="80"/>
      <c r="H462" s="80"/>
      <c r="I462" s="80"/>
      <c r="J462" s="80"/>
    </row>
    <row r="463" ht="22.5" customHeight="1">
      <c r="A463" s="81"/>
      <c r="B463" s="81"/>
      <c r="C463" s="81"/>
      <c r="D463" s="143"/>
      <c r="E463" s="80"/>
      <c r="F463" s="91"/>
      <c r="G463" s="80"/>
      <c r="H463" s="80"/>
      <c r="I463" s="80"/>
      <c r="J463" s="80"/>
    </row>
    <row r="464" ht="22.5" customHeight="1">
      <c r="A464" s="81"/>
      <c r="B464" s="81"/>
      <c r="C464" s="81"/>
      <c r="D464" s="143"/>
      <c r="E464" s="80"/>
      <c r="F464" s="91"/>
      <c r="G464" s="80"/>
      <c r="H464" s="80"/>
      <c r="I464" s="80"/>
      <c r="J464" s="80"/>
    </row>
    <row r="465" ht="22.5" customHeight="1">
      <c r="A465" s="81"/>
      <c r="B465" s="81"/>
      <c r="C465" s="81"/>
      <c r="D465" s="143"/>
      <c r="E465" s="80"/>
      <c r="F465" s="91"/>
      <c r="G465" s="80"/>
      <c r="H465" s="80"/>
      <c r="I465" s="80"/>
      <c r="J465" s="80"/>
    </row>
    <row r="466" ht="22.5" customHeight="1">
      <c r="A466" s="81"/>
      <c r="B466" s="81"/>
      <c r="C466" s="81"/>
      <c r="D466" s="143"/>
      <c r="E466" s="80"/>
      <c r="F466" s="91"/>
      <c r="G466" s="80"/>
      <c r="H466" s="80"/>
      <c r="I466" s="80"/>
      <c r="J466" s="80"/>
    </row>
    <row r="467" ht="22.5" customHeight="1">
      <c r="A467" s="81"/>
      <c r="B467" s="81"/>
      <c r="C467" s="81"/>
      <c r="D467" s="143"/>
      <c r="E467" s="80"/>
      <c r="F467" s="91"/>
      <c r="G467" s="80"/>
      <c r="H467" s="80"/>
      <c r="I467" s="80"/>
      <c r="J467" s="80"/>
    </row>
    <row r="468" ht="22.5" customHeight="1">
      <c r="A468" s="81"/>
      <c r="B468" s="81"/>
      <c r="C468" s="81"/>
      <c r="D468" s="143"/>
      <c r="E468" s="80"/>
      <c r="F468" s="91"/>
      <c r="G468" s="80"/>
      <c r="H468" s="80"/>
      <c r="I468" s="80"/>
      <c r="J468" s="80"/>
    </row>
    <row r="469" ht="22.5" customHeight="1">
      <c r="A469" s="81"/>
      <c r="B469" s="81"/>
      <c r="C469" s="81"/>
      <c r="D469" s="143"/>
      <c r="E469" s="80"/>
      <c r="F469" s="91"/>
      <c r="G469" s="80"/>
      <c r="H469" s="80"/>
      <c r="I469" s="80"/>
      <c r="J469" s="80"/>
    </row>
    <row r="470" ht="22.5" customHeight="1">
      <c r="A470" s="81"/>
      <c r="B470" s="81"/>
      <c r="C470" s="81"/>
      <c r="D470" s="143"/>
      <c r="E470" s="80"/>
      <c r="F470" s="91"/>
      <c r="G470" s="80"/>
      <c r="H470" s="80"/>
      <c r="I470" s="80"/>
      <c r="J470" s="80"/>
    </row>
    <row r="471" ht="22.5" customHeight="1">
      <c r="A471" s="81"/>
      <c r="B471" s="81"/>
      <c r="C471" s="81"/>
      <c r="D471" s="143"/>
      <c r="E471" s="80"/>
      <c r="F471" s="91"/>
      <c r="G471" s="80"/>
      <c r="H471" s="80"/>
      <c r="I471" s="80"/>
      <c r="J471" s="80"/>
    </row>
    <row r="472" ht="22.5" customHeight="1">
      <c r="A472" s="81"/>
      <c r="B472" s="81"/>
      <c r="C472" s="81"/>
      <c r="D472" s="143"/>
      <c r="E472" s="80"/>
      <c r="F472" s="91"/>
      <c r="G472" s="80"/>
      <c r="H472" s="80"/>
      <c r="I472" s="80"/>
      <c r="J472" s="80"/>
    </row>
    <row r="473" ht="22.5" customHeight="1">
      <c r="A473" s="81"/>
      <c r="B473" s="81"/>
      <c r="C473" s="81"/>
      <c r="D473" s="143"/>
      <c r="E473" s="80"/>
      <c r="F473" s="91"/>
      <c r="G473" s="80"/>
      <c r="H473" s="80"/>
      <c r="I473" s="80"/>
      <c r="J473" s="80"/>
    </row>
    <row r="474" ht="22.5" customHeight="1">
      <c r="A474" s="81"/>
      <c r="B474" s="81"/>
      <c r="C474" s="81"/>
      <c r="D474" s="143"/>
      <c r="E474" s="80"/>
      <c r="F474" s="91"/>
      <c r="G474" s="80"/>
      <c r="H474" s="80"/>
      <c r="I474" s="80"/>
      <c r="J474" s="80"/>
    </row>
    <row r="475" ht="22.5" customHeight="1">
      <c r="A475" s="81"/>
      <c r="B475" s="81"/>
      <c r="C475" s="81"/>
      <c r="D475" s="143"/>
      <c r="E475" s="80"/>
      <c r="F475" s="91"/>
      <c r="G475" s="80"/>
      <c r="H475" s="80"/>
      <c r="I475" s="80"/>
      <c r="J475" s="80"/>
    </row>
    <row r="476" ht="22.5" customHeight="1">
      <c r="A476" s="81"/>
      <c r="B476" s="81"/>
      <c r="C476" s="81"/>
      <c r="D476" s="143"/>
      <c r="E476" s="80"/>
      <c r="F476" s="91"/>
      <c r="G476" s="80"/>
      <c r="H476" s="80"/>
      <c r="I476" s="80"/>
      <c r="J476" s="80"/>
    </row>
    <row r="477" ht="22.5" customHeight="1">
      <c r="A477" s="81"/>
      <c r="B477" s="81"/>
      <c r="C477" s="81"/>
      <c r="D477" s="143"/>
      <c r="E477" s="80"/>
      <c r="F477" s="91"/>
      <c r="G477" s="80"/>
      <c r="H477" s="80"/>
      <c r="I477" s="80"/>
      <c r="J477" s="80"/>
    </row>
    <row r="478" ht="22.5" customHeight="1">
      <c r="A478" s="81"/>
      <c r="B478" s="81"/>
      <c r="C478" s="81"/>
      <c r="D478" s="143"/>
      <c r="E478" s="80"/>
      <c r="F478" s="91"/>
      <c r="G478" s="80"/>
      <c r="H478" s="80"/>
      <c r="I478" s="80"/>
      <c r="J478" s="80"/>
    </row>
    <row r="479" ht="22.5" customHeight="1">
      <c r="A479" s="81"/>
      <c r="B479" s="81"/>
      <c r="C479" s="81"/>
      <c r="D479" s="143"/>
      <c r="E479" s="80"/>
      <c r="F479" s="91"/>
      <c r="G479" s="80"/>
      <c r="H479" s="80"/>
      <c r="I479" s="80"/>
      <c r="J479" s="80"/>
    </row>
    <row r="480" ht="22.5" customHeight="1">
      <c r="A480" s="81"/>
      <c r="B480" s="81"/>
      <c r="C480" s="81"/>
      <c r="D480" s="143"/>
      <c r="E480" s="80"/>
      <c r="F480" s="91"/>
      <c r="G480" s="80"/>
      <c r="H480" s="80"/>
      <c r="I480" s="80"/>
      <c r="J480" s="80"/>
    </row>
    <row r="481" ht="22.5" customHeight="1">
      <c r="A481" s="81"/>
      <c r="B481" s="81"/>
      <c r="C481" s="81"/>
      <c r="D481" s="143"/>
      <c r="E481" s="80"/>
      <c r="F481" s="91"/>
      <c r="G481" s="80"/>
      <c r="H481" s="80"/>
      <c r="I481" s="80"/>
      <c r="J481" s="80"/>
    </row>
    <row r="482" ht="22.5" customHeight="1">
      <c r="A482" s="81"/>
      <c r="B482" s="81"/>
      <c r="C482" s="81"/>
      <c r="D482" s="143"/>
      <c r="E482" s="80"/>
      <c r="F482" s="91"/>
      <c r="G482" s="80"/>
      <c r="H482" s="80"/>
      <c r="I482" s="80"/>
      <c r="J482" s="80"/>
    </row>
    <row r="483" ht="22.5" customHeight="1">
      <c r="A483" s="81"/>
      <c r="B483" s="81"/>
      <c r="C483" s="81"/>
      <c r="D483" s="143"/>
      <c r="E483" s="80"/>
      <c r="F483" s="91"/>
      <c r="G483" s="80"/>
      <c r="H483" s="80"/>
      <c r="I483" s="80"/>
      <c r="J483" s="80"/>
    </row>
    <row r="484" ht="22.5" customHeight="1">
      <c r="A484" s="81"/>
      <c r="B484" s="81"/>
      <c r="C484" s="81"/>
      <c r="D484" s="143"/>
      <c r="E484" s="80"/>
      <c r="F484" s="91"/>
      <c r="G484" s="80"/>
      <c r="H484" s="80"/>
      <c r="I484" s="80"/>
      <c r="J484" s="80"/>
    </row>
    <row r="485" ht="22.5" customHeight="1">
      <c r="A485" s="81"/>
      <c r="B485" s="81"/>
      <c r="C485" s="81"/>
      <c r="D485" s="143"/>
      <c r="E485" s="80"/>
      <c r="F485" s="91"/>
      <c r="G485" s="80"/>
      <c r="H485" s="80"/>
      <c r="I485" s="80"/>
      <c r="J485" s="80"/>
    </row>
    <row r="486" ht="22.5" customHeight="1">
      <c r="A486" s="81"/>
      <c r="B486" s="81"/>
      <c r="C486" s="81"/>
      <c r="D486" s="143"/>
      <c r="E486" s="80"/>
      <c r="F486" s="91"/>
      <c r="G486" s="80"/>
      <c r="H486" s="80"/>
      <c r="I486" s="80"/>
      <c r="J486" s="80"/>
    </row>
    <row r="487" ht="22.5" customHeight="1">
      <c r="A487" s="81"/>
      <c r="B487" s="81"/>
      <c r="C487" s="81"/>
      <c r="D487" s="143"/>
      <c r="E487" s="80"/>
      <c r="F487" s="91"/>
      <c r="G487" s="80"/>
      <c r="H487" s="80"/>
      <c r="I487" s="80"/>
      <c r="J487" s="80"/>
    </row>
    <row r="488" ht="22.5" customHeight="1">
      <c r="A488" s="81"/>
      <c r="B488" s="81"/>
      <c r="C488" s="81"/>
      <c r="D488" s="143"/>
      <c r="E488" s="80"/>
      <c r="F488" s="91"/>
      <c r="G488" s="80"/>
      <c r="H488" s="80"/>
      <c r="I488" s="80"/>
      <c r="J488" s="80"/>
    </row>
    <row r="489" ht="22.5" customHeight="1">
      <c r="A489" s="81"/>
      <c r="B489" s="81"/>
      <c r="C489" s="81"/>
      <c r="D489" s="143"/>
      <c r="E489" s="80"/>
      <c r="F489" s="91"/>
      <c r="G489" s="80"/>
      <c r="H489" s="80"/>
      <c r="I489" s="80"/>
      <c r="J489" s="80"/>
    </row>
    <row r="490" ht="22.5" customHeight="1">
      <c r="A490" s="81"/>
      <c r="B490" s="81"/>
      <c r="C490" s="81"/>
      <c r="D490" s="143"/>
      <c r="E490" s="80"/>
      <c r="F490" s="91"/>
      <c r="G490" s="80"/>
      <c r="H490" s="80"/>
      <c r="I490" s="80"/>
      <c r="J490" s="80"/>
    </row>
    <row r="491" ht="22.5" customHeight="1">
      <c r="A491" s="81"/>
      <c r="B491" s="81"/>
      <c r="C491" s="81"/>
      <c r="D491" s="143"/>
      <c r="E491" s="80"/>
      <c r="F491" s="91"/>
      <c r="G491" s="80"/>
      <c r="H491" s="80"/>
      <c r="I491" s="80"/>
      <c r="J491" s="80"/>
    </row>
    <row r="492" ht="22.5" customHeight="1">
      <c r="A492" s="81"/>
      <c r="B492" s="81"/>
      <c r="C492" s="81"/>
      <c r="D492" s="143"/>
      <c r="E492" s="80"/>
      <c r="F492" s="91"/>
      <c r="G492" s="80"/>
      <c r="H492" s="80"/>
      <c r="I492" s="80"/>
      <c r="J492" s="80"/>
    </row>
    <row r="493" ht="22.5" customHeight="1">
      <c r="A493" s="81"/>
      <c r="B493" s="81"/>
      <c r="C493" s="81"/>
      <c r="D493" s="143"/>
      <c r="E493" s="80"/>
      <c r="F493" s="91"/>
      <c r="G493" s="80"/>
      <c r="H493" s="80"/>
      <c r="I493" s="80"/>
      <c r="J493" s="80"/>
    </row>
    <row r="494" ht="22.5" customHeight="1">
      <c r="A494" s="81"/>
      <c r="B494" s="81"/>
      <c r="C494" s="81"/>
      <c r="D494" s="143"/>
      <c r="E494" s="80"/>
      <c r="F494" s="91"/>
      <c r="G494" s="80"/>
      <c r="H494" s="80"/>
      <c r="I494" s="80"/>
      <c r="J494" s="80"/>
    </row>
    <row r="495" ht="22.5" customHeight="1">
      <c r="A495" s="81"/>
      <c r="B495" s="81"/>
      <c r="C495" s="81"/>
      <c r="D495" s="143"/>
      <c r="E495" s="80"/>
      <c r="F495" s="91"/>
      <c r="G495" s="80"/>
      <c r="H495" s="80"/>
      <c r="I495" s="80"/>
      <c r="J495" s="80"/>
    </row>
    <row r="496" ht="22.5" customHeight="1">
      <c r="A496" s="81"/>
      <c r="B496" s="81"/>
      <c r="C496" s="81"/>
      <c r="D496" s="143"/>
      <c r="E496" s="80"/>
      <c r="F496" s="91"/>
      <c r="G496" s="80"/>
      <c r="H496" s="80"/>
      <c r="I496" s="80"/>
      <c r="J496" s="80"/>
    </row>
    <row r="497" ht="22.5" customHeight="1">
      <c r="A497" s="81"/>
      <c r="B497" s="81"/>
      <c r="C497" s="81"/>
      <c r="D497" s="143"/>
      <c r="E497" s="80"/>
      <c r="F497" s="91"/>
      <c r="G497" s="80"/>
      <c r="H497" s="80"/>
      <c r="I497" s="80"/>
      <c r="J497" s="80"/>
    </row>
    <row r="498" ht="22.5" customHeight="1">
      <c r="A498" s="81"/>
      <c r="B498" s="81"/>
      <c r="C498" s="81"/>
      <c r="D498" s="143"/>
      <c r="E498" s="80"/>
      <c r="F498" s="91"/>
      <c r="G498" s="80"/>
      <c r="H498" s="80"/>
      <c r="I498" s="80"/>
      <c r="J498" s="80"/>
    </row>
    <row r="499" ht="22.5" customHeight="1">
      <c r="A499" s="81"/>
      <c r="B499" s="81"/>
      <c r="C499" s="81"/>
      <c r="D499" s="143"/>
      <c r="E499" s="80"/>
      <c r="F499" s="91"/>
      <c r="G499" s="80"/>
      <c r="H499" s="80"/>
      <c r="I499" s="80"/>
      <c r="J499" s="80"/>
    </row>
    <row r="500" ht="22.5" customHeight="1">
      <c r="A500" s="81"/>
      <c r="B500" s="81"/>
      <c r="C500" s="81"/>
      <c r="D500" s="143"/>
      <c r="E500" s="80"/>
      <c r="F500" s="91"/>
      <c r="G500" s="80"/>
      <c r="H500" s="80"/>
      <c r="I500" s="80"/>
      <c r="J500" s="80"/>
    </row>
    <row r="501" ht="22.5" customHeight="1">
      <c r="A501" s="81"/>
      <c r="B501" s="81"/>
      <c r="C501" s="81"/>
      <c r="D501" s="143"/>
      <c r="E501" s="80"/>
      <c r="F501" s="91"/>
      <c r="G501" s="80"/>
      <c r="H501" s="80"/>
      <c r="I501" s="80"/>
      <c r="J501" s="80"/>
    </row>
    <row r="502" ht="22.5" customHeight="1">
      <c r="A502" s="81"/>
      <c r="B502" s="81"/>
      <c r="C502" s="81"/>
      <c r="D502" s="143"/>
      <c r="E502" s="80"/>
      <c r="F502" s="91"/>
      <c r="G502" s="80"/>
      <c r="H502" s="80"/>
      <c r="I502" s="80"/>
      <c r="J502" s="80"/>
    </row>
    <row r="503" ht="22.5" customHeight="1">
      <c r="A503" s="81"/>
      <c r="B503" s="81"/>
      <c r="C503" s="81"/>
      <c r="D503" s="143"/>
      <c r="E503" s="80"/>
      <c r="F503" s="91"/>
      <c r="G503" s="80"/>
      <c r="H503" s="80"/>
      <c r="I503" s="80"/>
      <c r="J503" s="80"/>
    </row>
    <row r="504" ht="22.5" customHeight="1">
      <c r="A504" s="81"/>
      <c r="B504" s="81"/>
      <c r="C504" s="81"/>
      <c r="D504" s="143"/>
      <c r="E504" s="80"/>
      <c r="F504" s="91"/>
      <c r="G504" s="80"/>
      <c r="H504" s="80"/>
      <c r="I504" s="80"/>
      <c r="J504" s="80"/>
    </row>
    <row r="505" ht="22.5" customHeight="1">
      <c r="A505" s="81"/>
      <c r="B505" s="81"/>
      <c r="C505" s="81"/>
      <c r="D505" s="143"/>
      <c r="E505" s="80"/>
      <c r="F505" s="91"/>
      <c r="G505" s="80"/>
      <c r="H505" s="80"/>
      <c r="I505" s="80"/>
      <c r="J505" s="80"/>
    </row>
    <row r="506" ht="22.5" customHeight="1">
      <c r="A506" s="81"/>
      <c r="B506" s="81"/>
      <c r="C506" s="81"/>
      <c r="D506" s="143"/>
      <c r="E506" s="80"/>
      <c r="F506" s="91"/>
      <c r="G506" s="80"/>
      <c r="H506" s="80"/>
      <c r="I506" s="80"/>
      <c r="J506" s="80"/>
    </row>
    <row r="507" ht="22.5" customHeight="1">
      <c r="A507" s="81"/>
      <c r="B507" s="81"/>
      <c r="C507" s="81"/>
      <c r="D507" s="143"/>
      <c r="E507" s="80"/>
      <c r="F507" s="91"/>
      <c r="G507" s="80"/>
      <c r="H507" s="80"/>
      <c r="I507" s="80"/>
      <c r="J507" s="80"/>
    </row>
    <row r="508" ht="22.5" customHeight="1">
      <c r="A508" s="81"/>
      <c r="B508" s="81"/>
      <c r="C508" s="81"/>
      <c r="D508" s="143"/>
      <c r="E508" s="80"/>
      <c r="F508" s="91"/>
      <c r="G508" s="80"/>
      <c r="H508" s="80"/>
      <c r="I508" s="80"/>
      <c r="J508" s="80"/>
    </row>
    <row r="509" ht="22.5" customHeight="1">
      <c r="A509" s="81"/>
      <c r="B509" s="81"/>
      <c r="C509" s="81"/>
      <c r="D509" s="143"/>
      <c r="E509" s="80"/>
      <c r="F509" s="91"/>
      <c r="G509" s="80"/>
      <c r="H509" s="80"/>
      <c r="I509" s="80"/>
      <c r="J509" s="80"/>
    </row>
    <row r="510" ht="22.5" customHeight="1">
      <c r="A510" s="81"/>
      <c r="B510" s="81"/>
      <c r="C510" s="81"/>
      <c r="D510" s="143"/>
      <c r="E510" s="80"/>
      <c r="F510" s="91"/>
      <c r="G510" s="80"/>
      <c r="H510" s="80"/>
      <c r="I510" s="80"/>
      <c r="J510" s="80"/>
    </row>
    <row r="511" ht="22.5" customHeight="1">
      <c r="A511" s="81"/>
      <c r="B511" s="81"/>
      <c r="C511" s="81"/>
      <c r="D511" s="143"/>
      <c r="E511" s="80"/>
      <c r="F511" s="91"/>
      <c r="G511" s="80"/>
      <c r="H511" s="80"/>
      <c r="I511" s="80"/>
      <c r="J511" s="80"/>
    </row>
    <row r="512" ht="22.5" customHeight="1">
      <c r="A512" s="81"/>
      <c r="B512" s="81"/>
      <c r="C512" s="81"/>
      <c r="D512" s="143"/>
      <c r="E512" s="80"/>
      <c r="F512" s="91"/>
      <c r="G512" s="80"/>
      <c r="H512" s="80"/>
      <c r="I512" s="80"/>
      <c r="J512" s="80"/>
    </row>
    <row r="513" ht="22.5" customHeight="1">
      <c r="A513" s="81"/>
      <c r="B513" s="81"/>
      <c r="C513" s="81"/>
      <c r="D513" s="143"/>
      <c r="E513" s="80"/>
      <c r="F513" s="91"/>
      <c r="G513" s="80"/>
      <c r="H513" s="80"/>
      <c r="I513" s="80"/>
      <c r="J513" s="80"/>
    </row>
    <row r="514" ht="22.5" customHeight="1">
      <c r="A514" s="81"/>
      <c r="B514" s="81"/>
      <c r="C514" s="81"/>
      <c r="D514" s="143"/>
      <c r="E514" s="80"/>
      <c r="F514" s="91"/>
      <c r="G514" s="80"/>
      <c r="H514" s="80"/>
      <c r="I514" s="80"/>
      <c r="J514" s="80"/>
    </row>
    <row r="515" ht="22.5" customHeight="1">
      <c r="A515" s="81"/>
      <c r="B515" s="81"/>
      <c r="C515" s="81"/>
      <c r="D515" s="143"/>
      <c r="E515" s="80"/>
      <c r="F515" s="91"/>
      <c r="G515" s="80"/>
      <c r="H515" s="80"/>
      <c r="I515" s="80"/>
      <c r="J515" s="80"/>
    </row>
    <row r="516" ht="22.5" customHeight="1">
      <c r="A516" s="81"/>
      <c r="B516" s="81"/>
      <c r="C516" s="81"/>
      <c r="D516" s="143"/>
      <c r="E516" s="80"/>
      <c r="F516" s="91"/>
      <c r="G516" s="80"/>
      <c r="H516" s="80"/>
      <c r="I516" s="80"/>
      <c r="J516" s="80"/>
    </row>
    <row r="517" ht="22.5" customHeight="1">
      <c r="A517" s="81"/>
      <c r="B517" s="81"/>
      <c r="C517" s="81"/>
      <c r="D517" s="143"/>
      <c r="E517" s="80"/>
      <c r="F517" s="91"/>
      <c r="G517" s="80"/>
      <c r="H517" s="80"/>
      <c r="I517" s="80"/>
      <c r="J517" s="80"/>
    </row>
    <row r="518" ht="22.5" customHeight="1">
      <c r="A518" s="81"/>
      <c r="B518" s="81"/>
      <c r="C518" s="81"/>
      <c r="D518" s="143"/>
      <c r="E518" s="80"/>
      <c r="F518" s="91"/>
      <c r="G518" s="80"/>
      <c r="H518" s="80"/>
      <c r="I518" s="80"/>
      <c r="J518" s="80"/>
    </row>
    <row r="519" ht="22.5" customHeight="1">
      <c r="A519" s="81"/>
      <c r="B519" s="81"/>
      <c r="C519" s="81"/>
      <c r="D519" s="143"/>
      <c r="E519" s="80"/>
      <c r="F519" s="91"/>
      <c r="G519" s="80"/>
      <c r="H519" s="80"/>
      <c r="I519" s="80"/>
      <c r="J519" s="80"/>
    </row>
    <row r="520" ht="22.5" customHeight="1">
      <c r="A520" s="81"/>
      <c r="B520" s="81"/>
      <c r="C520" s="81"/>
      <c r="D520" s="143"/>
      <c r="E520" s="80"/>
      <c r="F520" s="91"/>
      <c r="G520" s="80"/>
      <c r="H520" s="80"/>
      <c r="I520" s="80"/>
      <c r="J520" s="80"/>
    </row>
    <row r="521" ht="22.5" customHeight="1">
      <c r="A521" s="81"/>
      <c r="B521" s="81"/>
      <c r="C521" s="81"/>
      <c r="D521" s="143"/>
      <c r="E521" s="80"/>
      <c r="F521" s="91"/>
      <c r="G521" s="80"/>
      <c r="H521" s="80"/>
      <c r="I521" s="80"/>
      <c r="J521" s="80"/>
    </row>
    <row r="522" ht="22.5" customHeight="1">
      <c r="A522" s="81"/>
      <c r="B522" s="81"/>
      <c r="C522" s="81"/>
      <c r="D522" s="143"/>
      <c r="E522" s="80"/>
      <c r="F522" s="91"/>
      <c r="G522" s="80"/>
      <c r="H522" s="80"/>
      <c r="I522" s="80"/>
      <c r="J522" s="80"/>
    </row>
    <row r="523" ht="22.5" customHeight="1">
      <c r="A523" s="81"/>
      <c r="B523" s="81"/>
      <c r="C523" s="81"/>
      <c r="D523" s="143"/>
      <c r="E523" s="80"/>
      <c r="F523" s="91"/>
      <c r="G523" s="80"/>
      <c r="H523" s="80"/>
      <c r="I523" s="80"/>
      <c r="J523" s="80"/>
    </row>
    <row r="524" ht="22.5" customHeight="1">
      <c r="A524" s="81"/>
      <c r="B524" s="81"/>
      <c r="C524" s="81"/>
      <c r="D524" s="143"/>
      <c r="E524" s="80"/>
      <c r="F524" s="91"/>
      <c r="G524" s="80"/>
      <c r="H524" s="80"/>
      <c r="I524" s="80"/>
      <c r="J524" s="80"/>
    </row>
    <row r="525" ht="22.5" customHeight="1">
      <c r="A525" s="81"/>
      <c r="B525" s="81"/>
      <c r="C525" s="81"/>
      <c r="D525" s="143"/>
      <c r="E525" s="80"/>
      <c r="F525" s="91"/>
      <c r="G525" s="80"/>
      <c r="H525" s="80"/>
      <c r="I525" s="80"/>
      <c r="J525" s="80"/>
    </row>
    <row r="526" ht="22.5" customHeight="1">
      <c r="A526" s="81"/>
      <c r="B526" s="81"/>
      <c r="C526" s="81"/>
      <c r="D526" s="143"/>
      <c r="E526" s="80"/>
      <c r="F526" s="91"/>
      <c r="G526" s="80"/>
      <c r="H526" s="80"/>
      <c r="I526" s="80"/>
      <c r="J526" s="80"/>
    </row>
    <row r="527" ht="22.5" customHeight="1">
      <c r="A527" s="81"/>
      <c r="B527" s="81"/>
      <c r="C527" s="81"/>
      <c r="D527" s="143"/>
      <c r="E527" s="80"/>
      <c r="F527" s="91"/>
      <c r="G527" s="80"/>
      <c r="H527" s="80"/>
      <c r="I527" s="80"/>
      <c r="J527" s="80"/>
    </row>
    <row r="528" ht="22.5" customHeight="1">
      <c r="A528" s="81"/>
      <c r="B528" s="81"/>
      <c r="C528" s="81"/>
      <c r="D528" s="143"/>
      <c r="E528" s="80"/>
      <c r="F528" s="91"/>
      <c r="G528" s="80"/>
      <c r="H528" s="80"/>
      <c r="I528" s="80"/>
      <c r="J528" s="80"/>
    </row>
    <row r="529" ht="22.5" customHeight="1">
      <c r="A529" s="81"/>
      <c r="B529" s="81"/>
      <c r="C529" s="81"/>
      <c r="D529" s="143"/>
      <c r="E529" s="80"/>
      <c r="F529" s="91"/>
      <c r="G529" s="80"/>
      <c r="H529" s="80"/>
      <c r="I529" s="80"/>
      <c r="J529" s="80"/>
    </row>
    <row r="530" ht="22.5" customHeight="1">
      <c r="A530" s="81"/>
      <c r="B530" s="81"/>
      <c r="C530" s="81"/>
      <c r="D530" s="143"/>
      <c r="E530" s="80"/>
      <c r="F530" s="91"/>
      <c r="G530" s="80"/>
      <c r="H530" s="80"/>
      <c r="I530" s="80"/>
      <c r="J530" s="80"/>
    </row>
    <row r="531" ht="22.5" customHeight="1">
      <c r="A531" s="81"/>
      <c r="B531" s="81"/>
      <c r="C531" s="81"/>
      <c r="D531" s="143"/>
      <c r="E531" s="80"/>
      <c r="F531" s="91"/>
      <c r="G531" s="80"/>
      <c r="H531" s="80"/>
      <c r="I531" s="80"/>
      <c r="J531" s="80"/>
    </row>
    <row r="532" ht="22.5" customHeight="1">
      <c r="A532" s="81"/>
      <c r="B532" s="81"/>
      <c r="C532" s="81"/>
      <c r="D532" s="143"/>
      <c r="E532" s="80"/>
      <c r="F532" s="91"/>
      <c r="G532" s="80"/>
      <c r="H532" s="80"/>
      <c r="I532" s="80"/>
      <c r="J532" s="80"/>
    </row>
    <row r="533" ht="22.5" customHeight="1">
      <c r="A533" s="81"/>
      <c r="B533" s="81"/>
      <c r="C533" s="81"/>
      <c r="D533" s="143"/>
      <c r="E533" s="80"/>
      <c r="F533" s="91"/>
      <c r="G533" s="80"/>
      <c r="H533" s="80"/>
      <c r="I533" s="80"/>
      <c r="J533" s="80"/>
    </row>
    <row r="534" ht="22.5" customHeight="1">
      <c r="A534" s="81"/>
      <c r="B534" s="81"/>
      <c r="C534" s="81"/>
      <c r="D534" s="143"/>
      <c r="E534" s="80"/>
      <c r="F534" s="91"/>
      <c r="G534" s="80"/>
      <c r="H534" s="80"/>
      <c r="I534" s="80"/>
      <c r="J534" s="80"/>
    </row>
    <row r="535" ht="22.5" customHeight="1">
      <c r="A535" s="81"/>
      <c r="B535" s="81"/>
      <c r="C535" s="81"/>
      <c r="D535" s="143"/>
      <c r="E535" s="80"/>
      <c r="F535" s="91"/>
      <c r="G535" s="80"/>
      <c r="H535" s="80"/>
      <c r="I535" s="80"/>
      <c r="J535" s="80"/>
    </row>
    <row r="536" ht="22.5" customHeight="1">
      <c r="A536" s="81"/>
      <c r="B536" s="81"/>
      <c r="C536" s="81"/>
      <c r="D536" s="143"/>
      <c r="E536" s="80"/>
      <c r="F536" s="91"/>
      <c r="G536" s="80"/>
      <c r="H536" s="80"/>
      <c r="I536" s="80"/>
      <c r="J536" s="80"/>
    </row>
    <row r="537" ht="22.5" customHeight="1">
      <c r="A537" s="81"/>
      <c r="B537" s="81"/>
      <c r="C537" s="81"/>
      <c r="D537" s="143"/>
      <c r="E537" s="80"/>
      <c r="F537" s="91"/>
      <c r="G537" s="80"/>
      <c r="H537" s="80"/>
      <c r="I537" s="80"/>
      <c r="J537" s="80"/>
    </row>
    <row r="538" ht="22.5" customHeight="1">
      <c r="A538" s="81"/>
      <c r="B538" s="81"/>
      <c r="C538" s="81"/>
      <c r="D538" s="143"/>
      <c r="E538" s="80"/>
      <c r="F538" s="91"/>
      <c r="G538" s="80"/>
      <c r="H538" s="80"/>
      <c r="I538" s="80"/>
      <c r="J538" s="80"/>
    </row>
    <row r="539" ht="22.5" customHeight="1">
      <c r="A539" s="81"/>
      <c r="B539" s="81"/>
      <c r="C539" s="81"/>
      <c r="D539" s="143"/>
      <c r="E539" s="80"/>
      <c r="F539" s="91"/>
      <c r="G539" s="80"/>
      <c r="H539" s="80"/>
      <c r="I539" s="80"/>
      <c r="J539" s="80"/>
    </row>
    <row r="540" ht="22.5" customHeight="1">
      <c r="A540" s="81"/>
      <c r="B540" s="81"/>
      <c r="C540" s="81"/>
      <c r="D540" s="143"/>
      <c r="E540" s="80"/>
      <c r="F540" s="91"/>
      <c r="G540" s="80"/>
      <c r="H540" s="80"/>
      <c r="I540" s="80"/>
      <c r="J540" s="80"/>
    </row>
    <row r="541" ht="22.5" customHeight="1">
      <c r="A541" s="81"/>
      <c r="B541" s="81"/>
      <c r="C541" s="81"/>
      <c r="D541" s="143"/>
      <c r="E541" s="80"/>
      <c r="F541" s="91"/>
      <c r="G541" s="80"/>
      <c r="H541" s="80"/>
      <c r="I541" s="80"/>
      <c r="J541" s="80"/>
    </row>
    <row r="542" ht="22.5" customHeight="1">
      <c r="A542" s="81"/>
      <c r="B542" s="81"/>
      <c r="C542" s="81"/>
      <c r="D542" s="143"/>
      <c r="E542" s="80"/>
      <c r="F542" s="91"/>
      <c r="G542" s="80"/>
      <c r="H542" s="80"/>
      <c r="I542" s="80"/>
      <c r="J542" s="80"/>
    </row>
    <row r="543" ht="22.5" customHeight="1">
      <c r="A543" s="81"/>
      <c r="B543" s="81"/>
      <c r="C543" s="81"/>
      <c r="D543" s="143"/>
      <c r="E543" s="80"/>
      <c r="F543" s="91"/>
      <c r="G543" s="80"/>
      <c r="H543" s="80"/>
      <c r="I543" s="80"/>
      <c r="J543" s="80"/>
    </row>
    <row r="544" ht="22.5" customHeight="1">
      <c r="A544" s="81"/>
      <c r="B544" s="81"/>
      <c r="C544" s="81"/>
      <c r="D544" s="143"/>
      <c r="E544" s="80"/>
      <c r="F544" s="91"/>
      <c r="G544" s="80"/>
      <c r="H544" s="80"/>
      <c r="I544" s="80"/>
      <c r="J544" s="80"/>
    </row>
    <row r="545" ht="22.5" customHeight="1">
      <c r="A545" s="81"/>
      <c r="B545" s="81"/>
      <c r="C545" s="81"/>
      <c r="D545" s="143"/>
      <c r="E545" s="80"/>
      <c r="F545" s="91"/>
      <c r="G545" s="80"/>
      <c r="H545" s="80"/>
      <c r="I545" s="80"/>
      <c r="J545" s="80"/>
    </row>
    <row r="546" ht="22.5" customHeight="1">
      <c r="A546" s="81"/>
      <c r="B546" s="81"/>
      <c r="C546" s="81"/>
      <c r="D546" s="143"/>
      <c r="E546" s="80"/>
      <c r="F546" s="91"/>
      <c r="G546" s="80"/>
      <c r="H546" s="80"/>
      <c r="I546" s="80"/>
      <c r="J546" s="80"/>
    </row>
    <row r="547" ht="22.5" customHeight="1">
      <c r="A547" s="81"/>
      <c r="B547" s="81"/>
      <c r="C547" s="81"/>
      <c r="D547" s="143"/>
      <c r="E547" s="80"/>
      <c r="F547" s="91"/>
      <c r="G547" s="80"/>
      <c r="H547" s="80"/>
      <c r="I547" s="80"/>
      <c r="J547" s="80"/>
    </row>
    <row r="548" ht="22.5" customHeight="1">
      <c r="A548" s="81"/>
      <c r="B548" s="81"/>
      <c r="C548" s="81"/>
      <c r="D548" s="143"/>
      <c r="E548" s="80"/>
      <c r="F548" s="91"/>
      <c r="G548" s="80"/>
      <c r="H548" s="80"/>
      <c r="I548" s="80"/>
      <c r="J548" s="80"/>
    </row>
    <row r="549" ht="22.5" customHeight="1">
      <c r="A549" s="81"/>
      <c r="B549" s="81"/>
      <c r="C549" s="81"/>
      <c r="D549" s="143"/>
      <c r="E549" s="80"/>
      <c r="F549" s="91"/>
      <c r="G549" s="80"/>
      <c r="H549" s="80"/>
      <c r="I549" s="80"/>
      <c r="J549" s="80"/>
    </row>
    <row r="550" ht="22.5" customHeight="1">
      <c r="A550" s="81"/>
      <c r="B550" s="81"/>
      <c r="C550" s="81"/>
      <c r="D550" s="143"/>
      <c r="E550" s="80"/>
      <c r="F550" s="91"/>
      <c r="G550" s="80"/>
      <c r="H550" s="80"/>
      <c r="I550" s="80"/>
      <c r="J550" s="80"/>
    </row>
    <row r="551" ht="22.5" customHeight="1">
      <c r="A551" s="81"/>
      <c r="B551" s="81"/>
      <c r="C551" s="81"/>
      <c r="D551" s="143"/>
      <c r="E551" s="80"/>
      <c r="F551" s="91"/>
      <c r="G551" s="80"/>
      <c r="H551" s="80"/>
      <c r="I551" s="80"/>
      <c r="J551" s="80"/>
    </row>
    <row r="552" ht="22.5" customHeight="1">
      <c r="A552" s="81"/>
      <c r="B552" s="81"/>
      <c r="C552" s="81"/>
      <c r="D552" s="143"/>
      <c r="E552" s="80"/>
      <c r="F552" s="91"/>
      <c r="G552" s="80"/>
      <c r="H552" s="80"/>
      <c r="I552" s="80"/>
      <c r="J552" s="80"/>
    </row>
    <row r="553" ht="22.5" customHeight="1">
      <c r="A553" s="81"/>
      <c r="B553" s="81"/>
      <c r="C553" s="81"/>
      <c r="D553" s="143"/>
      <c r="E553" s="80"/>
      <c r="F553" s="91"/>
      <c r="G553" s="80"/>
      <c r="H553" s="80"/>
      <c r="I553" s="80"/>
      <c r="J553" s="80"/>
    </row>
    <row r="554" ht="22.5" customHeight="1">
      <c r="A554" s="81"/>
      <c r="B554" s="81"/>
      <c r="C554" s="81"/>
      <c r="D554" s="143"/>
      <c r="E554" s="80"/>
      <c r="F554" s="91"/>
      <c r="G554" s="80"/>
      <c r="H554" s="80"/>
      <c r="I554" s="80"/>
      <c r="J554" s="80"/>
    </row>
    <row r="555" ht="22.5" customHeight="1">
      <c r="A555" s="81"/>
      <c r="B555" s="81"/>
      <c r="C555" s="81"/>
      <c r="D555" s="143"/>
      <c r="E555" s="80"/>
      <c r="F555" s="91"/>
      <c r="G555" s="80"/>
      <c r="H555" s="80"/>
      <c r="I555" s="80"/>
      <c r="J555" s="80"/>
    </row>
    <row r="556" ht="22.5" customHeight="1">
      <c r="A556" s="81"/>
      <c r="B556" s="81"/>
      <c r="C556" s="81"/>
      <c r="D556" s="143"/>
      <c r="E556" s="80"/>
      <c r="F556" s="91"/>
      <c r="G556" s="80"/>
      <c r="H556" s="80"/>
      <c r="I556" s="80"/>
      <c r="J556" s="80"/>
    </row>
    <row r="557" ht="22.5" customHeight="1">
      <c r="A557" s="81"/>
      <c r="B557" s="81"/>
      <c r="C557" s="81"/>
      <c r="D557" s="143"/>
      <c r="E557" s="80"/>
      <c r="F557" s="91"/>
      <c r="G557" s="80"/>
      <c r="H557" s="80"/>
      <c r="I557" s="80"/>
      <c r="J557" s="80"/>
    </row>
    <row r="558" ht="22.5" customHeight="1">
      <c r="A558" s="81"/>
      <c r="B558" s="81"/>
      <c r="C558" s="81"/>
      <c r="D558" s="143"/>
      <c r="E558" s="80"/>
      <c r="F558" s="91"/>
      <c r="G558" s="80"/>
      <c r="H558" s="80"/>
      <c r="I558" s="80"/>
      <c r="J558" s="80"/>
    </row>
    <row r="559" ht="22.5" customHeight="1">
      <c r="A559" s="81"/>
      <c r="B559" s="81"/>
      <c r="C559" s="81"/>
      <c r="D559" s="143"/>
      <c r="E559" s="80"/>
      <c r="F559" s="91"/>
      <c r="G559" s="80"/>
      <c r="H559" s="80"/>
      <c r="I559" s="80"/>
      <c r="J559" s="80"/>
    </row>
    <row r="560" ht="22.5" customHeight="1">
      <c r="A560" s="81"/>
      <c r="B560" s="81"/>
      <c r="C560" s="81"/>
      <c r="D560" s="143"/>
      <c r="E560" s="80"/>
      <c r="F560" s="91"/>
      <c r="G560" s="80"/>
      <c r="H560" s="80"/>
      <c r="I560" s="80"/>
      <c r="J560" s="80"/>
    </row>
    <row r="561" ht="22.5" customHeight="1">
      <c r="A561" s="81"/>
      <c r="B561" s="81"/>
      <c r="C561" s="81"/>
      <c r="D561" s="143"/>
      <c r="E561" s="80"/>
      <c r="F561" s="91"/>
      <c r="G561" s="80"/>
      <c r="H561" s="80"/>
      <c r="I561" s="80"/>
      <c r="J561" s="80"/>
    </row>
    <row r="562" ht="22.5" customHeight="1">
      <c r="A562" s="81"/>
      <c r="B562" s="81"/>
      <c r="C562" s="81"/>
      <c r="D562" s="143"/>
      <c r="E562" s="80"/>
      <c r="F562" s="91"/>
      <c r="G562" s="80"/>
      <c r="H562" s="80"/>
      <c r="I562" s="80"/>
      <c r="J562" s="80"/>
    </row>
    <row r="563" ht="22.5" customHeight="1">
      <c r="A563" s="81"/>
      <c r="B563" s="81"/>
      <c r="C563" s="81"/>
      <c r="D563" s="143"/>
      <c r="E563" s="80"/>
      <c r="F563" s="91"/>
      <c r="G563" s="80"/>
      <c r="H563" s="80"/>
      <c r="I563" s="80"/>
      <c r="J563" s="80"/>
    </row>
    <row r="564" ht="22.5" customHeight="1">
      <c r="A564" s="81"/>
      <c r="B564" s="81"/>
      <c r="C564" s="81"/>
      <c r="D564" s="143"/>
      <c r="E564" s="80"/>
      <c r="F564" s="91"/>
      <c r="G564" s="80"/>
      <c r="H564" s="80"/>
      <c r="I564" s="80"/>
      <c r="J564" s="80"/>
    </row>
    <row r="565" ht="22.5" customHeight="1">
      <c r="A565" s="81"/>
      <c r="B565" s="81"/>
      <c r="C565" s="81"/>
      <c r="D565" s="143"/>
      <c r="E565" s="80"/>
      <c r="F565" s="91"/>
      <c r="G565" s="80"/>
      <c r="H565" s="80"/>
      <c r="I565" s="80"/>
      <c r="J565" s="80"/>
    </row>
    <row r="566" ht="22.5" customHeight="1">
      <c r="A566" s="81"/>
      <c r="B566" s="81"/>
      <c r="C566" s="81"/>
      <c r="D566" s="143"/>
      <c r="E566" s="80"/>
      <c r="F566" s="91"/>
      <c r="G566" s="80"/>
      <c r="H566" s="80"/>
      <c r="I566" s="80"/>
      <c r="J566" s="80"/>
    </row>
    <row r="567" ht="22.5" customHeight="1">
      <c r="A567" s="81"/>
      <c r="B567" s="81"/>
      <c r="C567" s="81"/>
      <c r="D567" s="143"/>
      <c r="E567" s="80"/>
      <c r="F567" s="91"/>
      <c r="G567" s="80"/>
      <c r="H567" s="80"/>
      <c r="I567" s="80"/>
      <c r="J567" s="80"/>
    </row>
    <row r="568" ht="22.5" customHeight="1">
      <c r="A568" s="81"/>
      <c r="B568" s="81"/>
      <c r="C568" s="81"/>
      <c r="D568" s="143"/>
      <c r="E568" s="80"/>
      <c r="F568" s="91"/>
      <c r="G568" s="80"/>
      <c r="H568" s="80"/>
      <c r="I568" s="80"/>
      <c r="J568" s="80"/>
    </row>
    <row r="569" ht="22.5" customHeight="1">
      <c r="A569" s="81"/>
      <c r="B569" s="81"/>
      <c r="C569" s="81"/>
      <c r="D569" s="143"/>
      <c r="E569" s="80"/>
      <c r="F569" s="91"/>
      <c r="G569" s="80"/>
      <c r="H569" s="80"/>
      <c r="I569" s="80"/>
      <c r="J569" s="80"/>
    </row>
    <row r="570" ht="22.5" customHeight="1">
      <c r="A570" s="81"/>
      <c r="B570" s="81"/>
      <c r="C570" s="81"/>
      <c r="D570" s="143"/>
      <c r="E570" s="80"/>
      <c r="F570" s="91"/>
      <c r="G570" s="80"/>
      <c r="H570" s="80"/>
      <c r="I570" s="80"/>
      <c r="J570" s="80"/>
    </row>
    <row r="571" ht="22.5" customHeight="1">
      <c r="A571" s="81"/>
      <c r="B571" s="81"/>
      <c r="C571" s="81"/>
      <c r="D571" s="143"/>
      <c r="E571" s="80"/>
      <c r="F571" s="91"/>
      <c r="G571" s="80"/>
      <c r="H571" s="80"/>
      <c r="I571" s="80"/>
      <c r="J571" s="80"/>
    </row>
    <row r="572" ht="22.5" customHeight="1">
      <c r="A572" s="81"/>
      <c r="B572" s="81"/>
      <c r="C572" s="81"/>
      <c r="D572" s="143"/>
      <c r="E572" s="80"/>
      <c r="F572" s="91"/>
      <c r="G572" s="80"/>
      <c r="H572" s="80"/>
      <c r="I572" s="80"/>
      <c r="J572" s="80"/>
    </row>
    <row r="573" ht="22.5" customHeight="1">
      <c r="A573" s="81"/>
      <c r="B573" s="81"/>
      <c r="C573" s="81"/>
      <c r="D573" s="143"/>
      <c r="E573" s="80"/>
      <c r="F573" s="91"/>
      <c r="G573" s="80"/>
      <c r="H573" s="80"/>
      <c r="I573" s="80"/>
      <c r="J573" s="80"/>
    </row>
    <row r="574" ht="22.5" customHeight="1">
      <c r="A574" s="81"/>
      <c r="B574" s="81"/>
      <c r="C574" s="81"/>
      <c r="D574" s="143"/>
      <c r="E574" s="80"/>
      <c r="F574" s="91"/>
      <c r="G574" s="80"/>
      <c r="H574" s="80"/>
      <c r="I574" s="80"/>
      <c r="J574" s="80"/>
    </row>
    <row r="575" ht="22.5" customHeight="1">
      <c r="A575" s="81"/>
      <c r="B575" s="81"/>
      <c r="C575" s="81"/>
      <c r="D575" s="143"/>
      <c r="E575" s="80"/>
      <c r="F575" s="91"/>
      <c r="G575" s="80"/>
      <c r="H575" s="80"/>
      <c r="I575" s="80"/>
      <c r="J575" s="80"/>
    </row>
    <row r="576" ht="22.5" customHeight="1">
      <c r="A576" s="81"/>
      <c r="B576" s="81"/>
      <c r="C576" s="81"/>
      <c r="D576" s="143"/>
      <c r="E576" s="80"/>
      <c r="F576" s="91"/>
      <c r="G576" s="80"/>
      <c r="H576" s="80"/>
      <c r="I576" s="80"/>
      <c r="J576" s="80"/>
    </row>
    <row r="577" ht="22.5" customHeight="1">
      <c r="A577" s="81"/>
      <c r="B577" s="81"/>
      <c r="C577" s="81"/>
      <c r="D577" s="143"/>
      <c r="E577" s="80"/>
      <c r="F577" s="91"/>
      <c r="G577" s="80"/>
      <c r="H577" s="80"/>
      <c r="I577" s="80"/>
      <c r="J577" s="80"/>
    </row>
    <row r="578" ht="22.5" customHeight="1">
      <c r="A578" s="81"/>
      <c r="B578" s="81"/>
      <c r="C578" s="81"/>
      <c r="D578" s="143"/>
      <c r="E578" s="80"/>
      <c r="F578" s="91"/>
      <c r="G578" s="80"/>
      <c r="H578" s="80"/>
      <c r="I578" s="80"/>
      <c r="J578" s="80"/>
    </row>
    <row r="579" ht="22.5" customHeight="1">
      <c r="A579" s="81"/>
      <c r="B579" s="81"/>
      <c r="C579" s="81"/>
      <c r="D579" s="143"/>
      <c r="E579" s="80"/>
      <c r="F579" s="91"/>
      <c r="G579" s="80"/>
      <c r="H579" s="80"/>
      <c r="I579" s="80"/>
      <c r="J579" s="80"/>
    </row>
    <row r="580" ht="22.5" customHeight="1">
      <c r="A580" s="81"/>
      <c r="B580" s="81"/>
      <c r="C580" s="81"/>
      <c r="D580" s="143"/>
      <c r="E580" s="80"/>
      <c r="F580" s="91"/>
      <c r="G580" s="80"/>
      <c r="H580" s="80"/>
      <c r="I580" s="80"/>
      <c r="J580" s="80"/>
    </row>
    <row r="581" ht="22.5" customHeight="1">
      <c r="A581" s="81"/>
      <c r="B581" s="81"/>
      <c r="C581" s="81"/>
      <c r="D581" s="143"/>
      <c r="E581" s="80"/>
      <c r="F581" s="91"/>
      <c r="G581" s="80"/>
      <c r="H581" s="80"/>
      <c r="I581" s="80"/>
      <c r="J581" s="80"/>
    </row>
    <row r="582" ht="22.5" customHeight="1">
      <c r="A582" s="81"/>
      <c r="B582" s="81"/>
      <c r="C582" s="81"/>
      <c r="D582" s="143"/>
      <c r="E582" s="80"/>
      <c r="F582" s="91"/>
      <c r="G582" s="80"/>
      <c r="H582" s="80"/>
      <c r="I582" s="80"/>
      <c r="J582" s="80"/>
    </row>
    <row r="583" ht="22.5" customHeight="1">
      <c r="A583" s="81"/>
      <c r="B583" s="81"/>
      <c r="C583" s="81"/>
      <c r="D583" s="143"/>
      <c r="E583" s="80"/>
      <c r="F583" s="91"/>
      <c r="G583" s="80"/>
      <c r="H583" s="80"/>
      <c r="I583" s="80"/>
      <c r="J583" s="80"/>
    </row>
    <row r="584" ht="22.5" customHeight="1">
      <c r="A584" s="81"/>
      <c r="B584" s="81"/>
      <c r="C584" s="81"/>
      <c r="D584" s="143"/>
      <c r="E584" s="80"/>
      <c r="F584" s="91"/>
      <c r="G584" s="80"/>
      <c r="H584" s="80"/>
      <c r="I584" s="80"/>
      <c r="J584" s="80"/>
    </row>
    <row r="585" ht="22.5" customHeight="1">
      <c r="A585" s="81"/>
      <c r="B585" s="81"/>
      <c r="C585" s="81"/>
      <c r="D585" s="143"/>
      <c r="E585" s="80"/>
      <c r="F585" s="91"/>
      <c r="G585" s="80"/>
      <c r="H585" s="80"/>
      <c r="I585" s="80"/>
      <c r="J585" s="80"/>
    </row>
    <row r="586" ht="22.5" customHeight="1">
      <c r="A586" s="81"/>
      <c r="B586" s="81"/>
      <c r="C586" s="81"/>
      <c r="D586" s="143"/>
      <c r="E586" s="80"/>
      <c r="F586" s="91"/>
      <c r="G586" s="80"/>
      <c r="H586" s="80"/>
      <c r="I586" s="80"/>
      <c r="J586" s="80"/>
    </row>
    <row r="587" ht="22.5" customHeight="1">
      <c r="A587" s="81"/>
      <c r="B587" s="81"/>
      <c r="C587" s="81"/>
      <c r="D587" s="143"/>
      <c r="E587" s="80"/>
      <c r="F587" s="91"/>
      <c r="G587" s="80"/>
      <c r="H587" s="80"/>
      <c r="I587" s="80"/>
      <c r="J587" s="80"/>
    </row>
    <row r="588" ht="22.5" customHeight="1">
      <c r="A588" s="81"/>
      <c r="B588" s="81"/>
      <c r="C588" s="81"/>
      <c r="D588" s="143"/>
      <c r="E588" s="80"/>
      <c r="F588" s="91"/>
      <c r="G588" s="80"/>
      <c r="H588" s="80"/>
      <c r="I588" s="80"/>
      <c r="J588" s="80"/>
    </row>
    <row r="589" ht="22.5" customHeight="1">
      <c r="A589" s="81"/>
      <c r="B589" s="81"/>
      <c r="C589" s="81"/>
      <c r="D589" s="143"/>
      <c r="E589" s="80"/>
      <c r="F589" s="91"/>
      <c r="G589" s="80"/>
      <c r="H589" s="80"/>
      <c r="I589" s="80"/>
      <c r="J589" s="80"/>
    </row>
    <row r="590" ht="22.5" customHeight="1">
      <c r="A590" s="81"/>
      <c r="B590" s="81"/>
      <c r="C590" s="81"/>
      <c r="D590" s="143"/>
      <c r="E590" s="80"/>
      <c r="F590" s="91"/>
      <c r="G590" s="80"/>
      <c r="H590" s="80"/>
      <c r="I590" s="80"/>
      <c r="J590" s="80"/>
    </row>
    <row r="591" ht="22.5" customHeight="1">
      <c r="A591" s="81"/>
      <c r="B591" s="81"/>
      <c r="C591" s="81"/>
      <c r="D591" s="143"/>
      <c r="E591" s="80"/>
      <c r="F591" s="91"/>
      <c r="G591" s="80"/>
      <c r="H591" s="80"/>
      <c r="I591" s="80"/>
      <c r="J591" s="80"/>
    </row>
    <row r="592" ht="22.5" customHeight="1">
      <c r="A592" s="81"/>
      <c r="B592" s="81"/>
      <c r="C592" s="81"/>
      <c r="D592" s="143"/>
      <c r="E592" s="80"/>
      <c r="F592" s="91"/>
      <c r="G592" s="80"/>
      <c r="H592" s="80"/>
      <c r="I592" s="80"/>
      <c r="J592" s="80"/>
    </row>
    <row r="593" ht="22.5" customHeight="1">
      <c r="A593" s="81"/>
      <c r="B593" s="81"/>
      <c r="C593" s="81"/>
      <c r="D593" s="143"/>
      <c r="E593" s="80"/>
      <c r="F593" s="91"/>
      <c r="G593" s="80"/>
      <c r="H593" s="80"/>
      <c r="I593" s="80"/>
      <c r="J593" s="80"/>
    </row>
    <row r="594" ht="22.5" customHeight="1">
      <c r="A594" s="81"/>
      <c r="B594" s="81"/>
      <c r="C594" s="81"/>
      <c r="D594" s="143"/>
      <c r="E594" s="80"/>
      <c r="F594" s="91"/>
      <c r="G594" s="80"/>
      <c r="H594" s="80"/>
      <c r="I594" s="80"/>
      <c r="J594" s="80"/>
    </row>
    <row r="595" ht="22.5" customHeight="1">
      <c r="A595" s="81"/>
      <c r="B595" s="81"/>
      <c r="C595" s="81"/>
      <c r="D595" s="143"/>
      <c r="E595" s="80"/>
      <c r="F595" s="91"/>
      <c r="G595" s="80"/>
      <c r="H595" s="80"/>
      <c r="I595" s="80"/>
      <c r="J595" s="80"/>
    </row>
    <row r="596" ht="22.5" customHeight="1">
      <c r="A596" s="81"/>
      <c r="B596" s="81"/>
      <c r="C596" s="81"/>
      <c r="D596" s="143"/>
      <c r="E596" s="80"/>
      <c r="F596" s="91"/>
      <c r="G596" s="80"/>
      <c r="H596" s="80"/>
      <c r="I596" s="80"/>
      <c r="J596" s="80"/>
    </row>
    <row r="597" ht="22.5" customHeight="1">
      <c r="A597" s="81"/>
      <c r="B597" s="81"/>
      <c r="C597" s="81"/>
      <c r="D597" s="143"/>
      <c r="E597" s="80"/>
      <c r="F597" s="91"/>
      <c r="G597" s="80"/>
      <c r="H597" s="80"/>
      <c r="I597" s="80"/>
      <c r="J597" s="80"/>
    </row>
    <row r="598" ht="22.5" customHeight="1">
      <c r="A598" s="81"/>
      <c r="B598" s="81"/>
      <c r="C598" s="81"/>
      <c r="D598" s="143"/>
      <c r="E598" s="80"/>
      <c r="F598" s="91"/>
      <c r="G598" s="80"/>
      <c r="H598" s="80"/>
      <c r="I598" s="80"/>
      <c r="J598" s="80"/>
    </row>
    <row r="599" ht="22.5" customHeight="1">
      <c r="A599" s="81"/>
      <c r="B599" s="81"/>
      <c r="C599" s="81"/>
      <c r="D599" s="143"/>
      <c r="E599" s="80"/>
      <c r="F599" s="91"/>
      <c r="G599" s="80"/>
      <c r="H599" s="80"/>
      <c r="I599" s="80"/>
      <c r="J599" s="80"/>
    </row>
    <row r="600" ht="22.5" customHeight="1">
      <c r="A600" s="81"/>
      <c r="B600" s="81"/>
      <c r="C600" s="81"/>
      <c r="D600" s="143"/>
      <c r="E600" s="80"/>
      <c r="F600" s="91"/>
      <c r="G600" s="80"/>
      <c r="H600" s="80"/>
      <c r="I600" s="80"/>
      <c r="J600" s="80"/>
    </row>
    <row r="601" ht="22.5" customHeight="1">
      <c r="A601" s="81"/>
      <c r="B601" s="81"/>
      <c r="C601" s="81"/>
      <c r="D601" s="143"/>
      <c r="E601" s="80"/>
      <c r="F601" s="91"/>
      <c r="G601" s="80"/>
      <c r="H601" s="80"/>
      <c r="I601" s="80"/>
      <c r="J601" s="80"/>
    </row>
    <row r="602" ht="22.5" customHeight="1">
      <c r="A602" s="81"/>
      <c r="B602" s="81"/>
      <c r="C602" s="81"/>
      <c r="D602" s="143"/>
      <c r="E602" s="80"/>
      <c r="F602" s="91"/>
      <c r="G602" s="80"/>
      <c r="H602" s="80"/>
      <c r="I602" s="80"/>
      <c r="J602" s="80"/>
    </row>
    <row r="603" ht="22.5" customHeight="1">
      <c r="A603" s="81"/>
      <c r="B603" s="81"/>
      <c r="C603" s="81"/>
      <c r="D603" s="143"/>
      <c r="E603" s="80"/>
      <c r="F603" s="91"/>
      <c r="G603" s="80"/>
      <c r="H603" s="80"/>
      <c r="I603" s="80"/>
      <c r="J603" s="80"/>
    </row>
    <row r="604" ht="22.5" customHeight="1">
      <c r="A604" s="81"/>
      <c r="B604" s="81"/>
      <c r="C604" s="81"/>
      <c r="D604" s="143"/>
      <c r="E604" s="80"/>
      <c r="F604" s="91"/>
      <c r="G604" s="80"/>
      <c r="H604" s="80"/>
      <c r="I604" s="80"/>
      <c r="J604" s="80"/>
    </row>
    <row r="605" ht="22.5" customHeight="1">
      <c r="A605" s="81"/>
      <c r="B605" s="81"/>
      <c r="C605" s="81"/>
      <c r="D605" s="143"/>
      <c r="E605" s="80"/>
      <c r="F605" s="91"/>
      <c r="G605" s="80"/>
      <c r="H605" s="80"/>
      <c r="I605" s="80"/>
      <c r="J605" s="80"/>
    </row>
    <row r="606" ht="22.5" customHeight="1">
      <c r="A606" s="81"/>
      <c r="B606" s="81"/>
      <c r="C606" s="81"/>
      <c r="D606" s="143"/>
      <c r="E606" s="80"/>
      <c r="F606" s="91"/>
      <c r="G606" s="80"/>
      <c r="H606" s="80"/>
      <c r="I606" s="80"/>
      <c r="J606" s="80"/>
    </row>
    <row r="607" ht="22.5" customHeight="1">
      <c r="A607" s="81"/>
      <c r="B607" s="81"/>
      <c r="C607" s="81"/>
      <c r="D607" s="143"/>
      <c r="E607" s="80"/>
      <c r="F607" s="91"/>
      <c r="G607" s="80"/>
      <c r="H607" s="80"/>
      <c r="I607" s="80"/>
      <c r="J607" s="80"/>
    </row>
    <row r="608" ht="22.5" customHeight="1">
      <c r="A608" s="81"/>
      <c r="B608" s="81"/>
      <c r="C608" s="81"/>
      <c r="D608" s="143"/>
      <c r="E608" s="80"/>
      <c r="F608" s="91"/>
      <c r="G608" s="80"/>
      <c r="H608" s="80"/>
      <c r="I608" s="80"/>
      <c r="J608" s="80"/>
    </row>
    <row r="609" ht="22.5" customHeight="1">
      <c r="A609" s="81"/>
      <c r="B609" s="81"/>
      <c r="C609" s="81"/>
      <c r="D609" s="143"/>
      <c r="E609" s="80"/>
      <c r="F609" s="91"/>
      <c r="G609" s="80"/>
      <c r="H609" s="80"/>
      <c r="I609" s="80"/>
      <c r="J609" s="80"/>
    </row>
    <row r="610" ht="22.5" customHeight="1">
      <c r="A610" s="81"/>
      <c r="B610" s="81"/>
      <c r="C610" s="81"/>
      <c r="D610" s="143"/>
      <c r="E610" s="80"/>
      <c r="F610" s="91"/>
      <c r="G610" s="80"/>
      <c r="H610" s="80"/>
      <c r="I610" s="80"/>
      <c r="J610" s="80"/>
    </row>
    <row r="611" ht="22.5" customHeight="1">
      <c r="A611" s="81"/>
      <c r="B611" s="81"/>
      <c r="C611" s="81"/>
      <c r="D611" s="143"/>
      <c r="E611" s="80"/>
      <c r="F611" s="91"/>
      <c r="G611" s="80"/>
      <c r="H611" s="80"/>
      <c r="I611" s="80"/>
      <c r="J611" s="80"/>
    </row>
    <row r="612" ht="22.5" customHeight="1">
      <c r="A612" s="81"/>
      <c r="B612" s="81"/>
      <c r="C612" s="81"/>
      <c r="D612" s="143"/>
      <c r="E612" s="80"/>
      <c r="F612" s="91"/>
      <c r="G612" s="80"/>
      <c r="H612" s="80"/>
      <c r="I612" s="80"/>
      <c r="J612" s="80"/>
    </row>
    <row r="613" ht="22.5" customHeight="1">
      <c r="A613" s="81"/>
      <c r="B613" s="81"/>
      <c r="C613" s="81"/>
      <c r="D613" s="143"/>
      <c r="E613" s="80"/>
      <c r="F613" s="91"/>
      <c r="G613" s="80"/>
      <c r="H613" s="80"/>
      <c r="I613" s="80"/>
      <c r="J613" s="80"/>
    </row>
    <row r="614" ht="22.5" customHeight="1">
      <c r="A614" s="81"/>
      <c r="B614" s="81"/>
      <c r="C614" s="81"/>
      <c r="D614" s="143"/>
      <c r="E614" s="80"/>
      <c r="F614" s="91"/>
      <c r="G614" s="80"/>
      <c r="H614" s="80"/>
      <c r="I614" s="80"/>
      <c r="J614" s="80"/>
    </row>
    <row r="615" ht="22.5" customHeight="1">
      <c r="A615" s="81"/>
      <c r="B615" s="81"/>
      <c r="C615" s="81"/>
      <c r="D615" s="143"/>
      <c r="E615" s="80"/>
      <c r="F615" s="91"/>
      <c r="G615" s="80"/>
      <c r="H615" s="80"/>
      <c r="I615" s="80"/>
      <c r="J615" s="80"/>
    </row>
    <row r="616" ht="22.5" customHeight="1">
      <c r="A616" s="81"/>
      <c r="B616" s="81"/>
      <c r="C616" s="81"/>
      <c r="D616" s="143"/>
      <c r="E616" s="80"/>
      <c r="F616" s="91"/>
      <c r="G616" s="80"/>
      <c r="H616" s="80"/>
      <c r="I616" s="80"/>
      <c r="J616" s="80"/>
    </row>
    <row r="617" ht="22.5" customHeight="1">
      <c r="A617" s="81"/>
      <c r="B617" s="81"/>
      <c r="C617" s="81"/>
      <c r="D617" s="143"/>
      <c r="E617" s="80"/>
      <c r="F617" s="91"/>
      <c r="G617" s="80"/>
      <c r="H617" s="80"/>
      <c r="I617" s="80"/>
      <c r="J617" s="80"/>
    </row>
    <row r="618" ht="22.5" customHeight="1">
      <c r="A618" s="81"/>
      <c r="B618" s="81"/>
      <c r="C618" s="81"/>
      <c r="D618" s="143"/>
      <c r="E618" s="80"/>
      <c r="F618" s="91"/>
      <c r="G618" s="80"/>
      <c r="H618" s="80"/>
      <c r="I618" s="80"/>
      <c r="J618" s="80"/>
    </row>
    <row r="619" ht="22.5" customHeight="1">
      <c r="A619" s="81"/>
      <c r="B619" s="81"/>
      <c r="C619" s="81"/>
      <c r="D619" s="143"/>
      <c r="E619" s="80"/>
      <c r="F619" s="91"/>
      <c r="G619" s="80"/>
      <c r="H619" s="80"/>
      <c r="I619" s="80"/>
      <c r="J619" s="80"/>
    </row>
    <row r="620" ht="22.5" customHeight="1">
      <c r="A620" s="81"/>
      <c r="B620" s="81"/>
      <c r="C620" s="81"/>
      <c r="D620" s="143"/>
      <c r="E620" s="80"/>
      <c r="F620" s="91"/>
      <c r="G620" s="80"/>
      <c r="H620" s="80"/>
      <c r="I620" s="80"/>
      <c r="J620" s="80"/>
    </row>
    <row r="621" ht="22.5" customHeight="1">
      <c r="A621" s="81"/>
      <c r="B621" s="81"/>
      <c r="C621" s="81"/>
      <c r="D621" s="143"/>
      <c r="E621" s="80"/>
      <c r="F621" s="91"/>
      <c r="G621" s="80"/>
      <c r="H621" s="80"/>
      <c r="I621" s="80"/>
      <c r="J621" s="80"/>
    </row>
    <row r="622" ht="22.5" customHeight="1">
      <c r="A622" s="81"/>
      <c r="B622" s="81"/>
      <c r="C622" s="81"/>
      <c r="D622" s="143"/>
      <c r="E622" s="80"/>
      <c r="F622" s="91"/>
      <c r="G622" s="80"/>
      <c r="H622" s="80"/>
      <c r="I622" s="80"/>
      <c r="J622" s="80"/>
    </row>
    <row r="623" ht="22.5" customHeight="1">
      <c r="A623" s="81"/>
      <c r="B623" s="81"/>
      <c r="C623" s="81"/>
      <c r="D623" s="143"/>
      <c r="E623" s="80"/>
      <c r="F623" s="91"/>
      <c r="G623" s="80"/>
      <c r="H623" s="80"/>
      <c r="I623" s="80"/>
      <c r="J623" s="80"/>
    </row>
    <row r="624" ht="22.5" customHeight="1">
      <c r="A624" s="81"/>
      <c r="B624" s="81"/>
      <c r="C624" s="81"/>
      <c r="D624" s="143"/>
      <c r="E624" s="80"/>
      <c r="F624" s="91"/>
      <c r="G624" s="80"/>
      <c r="H624" s="80"/>
      <c r="I624" s="80"/>
      <c r="J624" s="80"/>
    </row>
    <row r="625" ht="22.5" customHeight="1">
      <c r="A625" s="81"/>
      <c r="B625" s="81"/>
      <c r="C625" s="81"/>
      <c r="D625" s="143"/>
      <c r="E625" s="80"/>
      <c r="F625" s="91"/>
      <c r="G625" s="80"/>
      <c r="H625" s="80"/>
      <c r="I625" s="80"/>
      <c r="J625" s="80"/>
    </row>
    <row r="626" ht="22.5" customHeight="1">
      <c r="A626" s="81"/>
      <c r="B626" s="81"/>
      <c r="C626" s="81"/>
      <c r="D626" s="143"/>
      <c r="E626" s="80"/>
      <c r="F626" s="91"/>
      <c r="G626" s="80"/>
      <c r="H626" s="80"/>
      <c r="I626" s="80"/>
      <c r="J626" s="80"/>
    </row>
    <row r="627" ht="22.5" customHeight="1">
      <c r="A627" s="81"/>
      <c r="B627" s="81"/>
      <c r="C627" s="81"/>
      <c r="D627" s="143"/>
      <c r="E627" s="80"/>
      <c r="F627" s="91"/>
      <c r="G627" s="80"/>
      <c r="H627" s="80"/>
      <c r="I627" s="80"/>
      <c r="J627" s="80"/>
    </row>
    <row r="628" ht="22.5" customHeight="1">
      <c r="A628" s="81"/>
      <c r="B628" s="81"/>
      <c r="C628" s="81"/>
      <c r="D628" s="143"/>
      <c r="E628" s="80"/>
      <c r="F628" s="91"/>
      <c r="G628" s="80"/>
      <c r="H628" s="80"/>
      <c r="I628" s="80"/>
      <c r="J628" s="80"/>
    </row>
    <row r="629" ht="22.5" customHeight="1">
      <c r="A629" s="81"/>
      <c r="B629" s="81"/>
      <c r="C629" s="81"/>
      <c r="D629" s="143"/>
      <c r="E629" s="80"/>
      <c r="F629" s="91"/>
      <c r="G629" s="80"/>
      <c r="H629" s="80"/>
      <c r="I629" s="80"/>
      <c r="J629" s="80"/>
    </row>
    <row r="630" ht="22.5" customHeight="1">
      <c r="A630" s="81"/>
      <c r="B630" s="81"/>
      <c r="C630" s="81"/>
      <c r="D630" s="143"/>
      <c r="E630" s="80"/>
      <c r="F630" s="91"/>
      <c r="G630" s="80"/>
      <c r="H630" s="80"/>
      <c r="I630" s="80"/>
      <c r="J630" s="80"/>
    </row>
    <row r="631" ht="22.5" customHeight="1">
      <c r="A631" s="81"/>
      <c r="B631" s="81"/>
      <c r="C631" s="81"/>
      <c r="D631" s="143"/>
      <c r="E631" s="80"/>
      <c r="F631" s="91"/>
      <c r="G631" s="80"/>
      <c r="H631" s="80"/>
      <c r="I631" s="80"/>
      <c r="J631" s="80"/>
    </row>
    <row r="632" ht="22.5" customHeight="1">
      <c r="A632" s="81"/>
      <c r="B632" s="81"/>
      <c r="C632" s="81"/>
      <c r="D632" s="143"/>
      <c r="E632" s="80"/>
      <c r="F632" s="91"/>
      <c r="G632" s="80"/>
      <c r="H632" s="80"/>
      <c r="I632" s="80"/>
      <c r="J632" s="80"/>
    </row>
    <row r="633" ht="22.5" customHeight="1">
      <c r="A633" s="81"/>
      <c r="B633" s="81"/>
      <c r="C633" s="81"/>
      <c r="D633" s="143"/>
      <c r="E633" s="80"/>
      <c r="F633" s="91"/>
      <c r="G633" s="80"/>
      <c r="H633" s="80"/>
      <c r="I633" s="80"/>
      <c r="J633" s="80"/>
    </row>
    <row r="634" ht="22.5" customHeight="1">
      <c r="A634" s="81"/>
      <c r="B634" s="81"/>
      <c r="C634" s="81"/>
      <c r="D634" s="143"/>
      <c r="E634" s="80"/>
      <c r="F634" s="91"/>
      <c r="G634" s="80"/>
      <c r="H634" s="80"/>
      <c r="I634" s="80"/>
      <c r="J634" s="80"/>
    </row>
    <row r="635" ht="22.5" customHeight="1">
      <c r="A635" s="81"/>
      <c r="B635" s="81"/>
      <c r="C635" s="81"/>
      <c r="D635" s="143"/>
      <c r="E635" s="80"/>
      <c r="F635" s="91"/>
      <c r="G635" s="80"/>
      <c r="H635" s="80"/>
      <c r="I635" s="80"/>
      <c r="J635" s="80"/>
    </row>
    <row r="636" ht="22.5" customHeight="1">
      <c r="A636" s="81"/>
      <c r="B636" s="81"/>
      <c r="C636" s="81"/>
      <c r="D636" s="143"/>
      <c r="E636" s="80"/>
      <c r="F636" s="91"/>
      <c r="G636" s="80"/>
      <c r="H636" s="80"/>
      <c r="I636" s="80"/>
      <c r="J636" s="80"/>
    </row>
    <row r="637" ht="22.5" customHeight="1">
      <c r="A637" s="81"/>
      <c r="B637" s="81"/>
      <c r="C637" s="81"/>
      <c r="D637" s="143"/>
      <c r="E637" s="80"/>
      <c r="F637" s="91"/>
      <c r="G637" s="80"/>
      <c r="H637" s="80"/>
      <c r="I637" s="80"/>
      <c r="J637" s="80"/>
    </row>
    <row r="638" ht="22.5" customHeight="1">
      <c r="A638" s="81"/>
      <c r="B638" s="81"/>
      <c r="C638" s="81"/>
      <c r="D638" s="143"/>
      <c r="E638" s="80"/>
      <c r="F638" s="91"/>
      <c r="G638" s="80"/>
      <c r="H638" s="80"/>
      <c r="I638" s="80"/>
      <c r="J638" s="80"/>
    </row>
    <row r="639" ht="22.5" customHeight="1">
      <c r="A639" s="81"/>
      <c r="B639" s="81"/>
      <c r="C639" s="81"/>
      <c r="D639" s="143"/>
      <c r="E639" s="80"/>
      <c r="F639" s="91"/>
      <c r="G639" s="80"/>
      <c r="H639" s="80"/>
      <c r="I639" s="80"/>
      <c r="J639" s="80"/>
    </row>
    <row r="640" ht="22.5" customHeight="1">
      <c r="A640" s="81"/>
      <c r="B640" s="81"/>
      <c r="C640" s="81"/>
      <c r="D640" s="143"/>
      <c r="E640" s="80"/>
      <c r="F640" s="91"/>
      <c r="G640" s="80"/>
      <c r="H640" s="80"/>
      <c r="I640" s="80"/>
      <c r="J640" s="80"/>
    </row>
    <row r="641" ht="22.5" customHeight="1">
      <c r="A641" s="81"/>
      <c r="B641" s="81"/>
      <c r="C641" s="81"/>
      <c r="D641" s="143"/>
      <c r="E641" s="80"/>
      <c r="F641" s="91"/>
      <c r="G641" s="80"/>
      <c r="H641" s="80"/>
      <c r="I641" s="80"/>
      <c r="J641" s="80"/>
    </row>
    <row r="642" ht="22.5" customHeight="1">
      <c r="A642" s="81"/>
      <c r="B642" s="81"/>
      <c r="C642" s="81"/>
      <c r="D642" s="143"/>
      <c r="E642" s="80"/>
      <c r="F642" s="91"/>
      <c r="G642" s="80"/>
      <c r="H642" s="80"/>
      <c r="I642" s="80"/>
      <c r="J642" s="80"/>
    </row>
    <row r="643" ht="22.5" customHeight="1">
      <c r="A643" s="81"/>
      <c r="B643" s="81"/>
      <c r="C643" s="81"/>
      <c r="D643" s="143"/>
      <c r="E643" s="80"/>
      <c r="F643" s="91"/>
      <c r="G643" s="80"/>
      <c r="H643" s="80"/>
      <c r="I643" s="80"/>
      <c r="J643" s="80"/>
    </row>
    <row r="644" ht="22.5" customHeight="1">
      <c r="A644" s="81"/>
      <c r="B644" s="81"/>
      <c r="C644" s="81"/>
      <c r="D644" s="143"/>
      <c r="E644" s="80"/>
      <c r="F644" s="91"/>
      <c r="G644" s="80"/>
      <c r="H644" s="80"/>
      <c r="I644" s="80"/>
      <c r="J644" s="80"/>
    </row>
    <row r="645" ht="22.5" customHeight="1">
      <c r="A645" s="81"/>
      <c r="B645" s="81"/>
      <c r="C645" s="81"/>
      <c r="D645" s="143"/>
      <c r="E645" s="80"/>
      <c r="F645" s="91"/>
      <c r="G645" s="80"/>
      <c r="H645" s="80"/>
      <c r="I645" s="80"/>
      <c r="J645" s="80"/>
    </row>
    <row r="646" ht="22.5" customHeight="1">
      <c r="A646" s="81"/>
      <c r="B646" s="81"/>
      <c r="C646" s="81"/>
      <c r="D646" s="143"/>
      <c r="E646" s="80"/>
      <c r="F646" s="91"/>
      <c r="G646" s="80"/>
      <c r="H646" s="80"/>
      <c r="I646" s="80"/>
      <c r="J646" s="80"/>
    </row>
    <row r="647" ht="22.5" customHeight="1">
      <c r="A647" s="81"/>
      <c r="B647" s="81"/>
      <c r="C647" s="81"/>
      <c r="D647" s="143"/>
      <c r="E647" s="80"/>
      <c r="F647" s="91"/>
      <c r="G647" s="80"/>
      <c r="H647" s="80"/>
      <c r="I647" s="80"/>
      <c r="J647" s="80"/>
    </row>
    <row r="648" ht="22.5" customHeight="1">
      <c r="A648" s="81"/>
      <c r="B648" s="81"/>
      <c r="C648" s="81"/>
      <c r="D648" s="143"/>
      <c r="E648" s="80"/>
      <c r="F648" s="91"/>
      <c r="G648" s="80"/>
      <c r="H648" s="80"/>
      <c r="I648" s="80"/>
      <c r="J648" s="80"/>
    </row>
    <row r="649" ht="22.5" customHeight="1">
      <c r="A649" s="81"/>
      <c r="B649" s="81"/>
      <c r="C649" s="81"/>
      <c r="D649" s="143"/>
      <c r="E649" s="80"/>
      <c r="F649" s="91"/>
      <c r="G649" s="80"/>
      <c r="H649" s="80"/>
      <c r="I649" s="80"/>
      <c r="J649" s="80"/>
    </row>
    <row r="650" ht="22.5" customHeight="1">
      <c r="A650" s="81"/>
      <c r="B650" s="81"/>
      <c r="C650" s="81"/>
      <c r="D650" s="143"/>
      <c r="E650" s="80"/>
      <c r="F650" s="91"/>
      <c r="G650" s="80"/>
      <c r="H650" s="80"/>
      <c r="I650" s="80"/>
      <c r="J650" s="80"/>
    </row>
    <row r="651" ht="22.5" customHeight="1">
      <c r="A651" s="81"/>
      <c r="B651" s="81"/>
      <c r="C651" s="81"/>
      <c r="D651" s="143"/>
      <c r="E651" s="80"/>
      <c r="F651" s="91"/>
      <c r="G651" s="80"/>
      <c r="H651" s="80"/>
      <c r="I651" s="80"/>
      <c r="J651" s="80"/>
    </row>
    <row r="652" ht="22.5" customHeight="1">
      <c r="A652" s="81"/>
      <c r="B652" s="81"/>
      <c r="C652" s="81"/>
      <c r="D652" s="143"/>
      <c r="E652" s="80"/>
      <c r="F652" s="91"/>
      <c r="G652" s="80"/>
      <c r="H652" s="80"/>
      <c r="I652" s="80"/>
      <c r="J652" s="80"/>
    </row>
    <row r="653" ht="22.5" customHeight="1">
      <c r="A653" s="81"/>
      <c r="B653" s="81"/>
      <c r="C653" s="81"/>
      <c r="D653" s="143"/>
      <c r="E653" s="80"/>
      <c r="F653" s="91"/>
      <c r="G653" s="80"/>
      <c r="H653" s="80"/>
      <c r="I653" s="80"/>
      <c r="J653" s="80"/>
    </row>
    <row r="654" ht="22.5" customHeight="1">
      <c r="A654" s="81"/>
      <c r="B654" s="81"/>
      <c r="C654" s="81"/>
      <c r="D654" s="143"/>
      <c r="E654" s="80"/>
      <c r="F654" s="91"/>
      <c r="G654" s="80"/>
      <c r="H654" s="80"/>
      <c r="I654" s="80"/>
      <c r="J654" s="80"/>
    </row>
    <row r="655" ht="22.5" customHeight="1">
      <c r="A655" s="81"/>
      <c r="B655" s="81"/>
      <c r="C655" s="81"/>
      <c r="D655" s="143"/>
      <c r="E655" s="80"/>
      <c r="F655" s="91"/>
      <c r="G655" s="80"/>
      <c r="H655" s="80"/>
      <c r="I655" s="80"/>
      <c r="J655" s="80"/>
    </row>
    <row r="656" ht="22.5" customHeight="1">
      <c r="A656" s="81"/>
      <c r="B656" s="81"/>
      <c r="C656" s="81"/>
      <c r="D656" s="143"/>
      <c r="E656" s="80"/>
      <c r="F656" s="91"/>
      <c r="G656" s="80"/>
      <c r="H656" s="80"/>
      <c r="I656" s="80"/>
      <c r="J656" s="80"/>
    </row>
    <row r="657" ht="22.5" customHeight="1">
      <c r="A657" s="81"/>
      <c r="B657" s="81"/>
      <c r="C657" s="81"/>
      <c r="D657" s="143"/>
      <c r="E657" s="80"/>
      <c r="F657" s="91"/>
      <c r="G657" s="80"/>
      <c r="H657" s="80"/>
      <c r="I657" s="80"/>
      <c r="J657" s="80"/>
    </row>
    <row r="658" ht="22.5" customHeight="1">
      <c r="A658" s="81"/>
      <c r="B658" s="81"/>
      <c r="C658" s="81"/>
      <c r="D658" s="143"/>
      <c r="E658" s="80"/>
      <c r="F658" s="91"/>
      <c r="G658" s="80"/>
      <c r="H658" s="80"/>
      <c r="I658" s="80"/>
      <c r="J658" s="80"/>
    </row>
    <row r="659" ht="22.5" customHeight="1">
      <c r="A659" s="81"/>
      <c r="B659" s="81"/>
      <c r="C659" s="81"/>
      <c r="D659" s="143"/>
      <c r="E659" s="80"/>
      <c r="F659" s="91"/>
      <c r="G659" s="80"/>
      <c r="H659" s="80"/>
      <c r="I659" s="80"/>
      <c r="J659" s="80"/>
    </row>
    <row r="660" ht="22.5" customHeight="1">
      <c r="A660" s="81"/>
      <c r="B660" s="81"/>
      <c r="C660" s="81"/>
      <c r="D660" s="143"/>
      <c r="E660" s="80"/>
      <c r="F660" s="91"/>
      <c r="G660" s="80"/>
      <c r="H660" s="80"/>
      <c r="I660" s="80"/>
      <c r="J660" s="80"/>
    </row>
    <row r="661" ht="22.5" customHeight="1">
      <c r="A661" s="81"/>
      <c r="B661" s="81"/>
      <c r="C661" s="81"/>
      <c r="D661" s="143"/>
      <c r="E661" s="80"/>
      <c r="F661" s="91"/>
      <c r="G661" s="80"/>
      <c r="H661" s="80"/>
      <c r="I661" s="80"/>
      <c r="J661" s="80"/>
    </row>
    <row r="662" ht="22.5" customHeight="1">
      <c r="A662" s="81"/>
      <c r="B662" s="81"/>
      <c r="C662" s="81"/>
      <c r="D662" s="143"/>
      <c r="E662" s="80"/>
      <c r="F662" s="91"/>
      <c r="G662" s="80"/>
      <c r="H662" s="80"/>
      <c r="I662" s="80"/>
      <c r="J662" s="80"/>
    </row>
    <row r="663" ht="22.5" customHeight="1">
      <c r="A663" s="81"/>
      <c r="B663" s="81"/>
      <c r="C663" s="81"/>
      <c r="D663" s="143"/>
      <c r="E663" s="80"/>
      <c r="F663" s="91"/>
      <c r="G663" s="80"/>
      <c r="H663" s="80"/>
      <c r="I663" s="80"/>
      <c r="J663" s="80"/>
    </row>
    <row r="664" ht="22.5" customHeight="1">
      <c r="A664" s="81"/>
      <c r="B664" s="81"/>
      <c r="C664" s="81"/>
      <c r="D664" s="143"/>
      <c r="E664" s="80"/>
      <c r="F664" s="91"/>
      <c r="G664" s="80"/>
      <c r="H664" s="80"/>
      <c r="I664" s="80"/>
      <c r="J664" s="80"/>
    </row>
    <row r="665" ht="22.5" customHeight="1">
      <c r="A665" s="81"/>
      <c r="B665" s="81"/>
      <c r="C665" s="81"/>
      <c r="D665" s="143"/>
      <c r="E665" s="80"/>
      <c r="F665" s="91"/>
      <c r="G665" s="80"/>
      <c r="H665" s="80"/>
      <c r="I665" s="80"/>
      <c r="J665" s="80"/>
    </row>
    <row r="666" ht="22.5" customHeight="1">
      <c r="A666" s="81"/>
      <c r="B666" s="81"/>
      <c r="C666" s="81"/>
      <c r="D666" s="143"/>
      <c r="E666" s="80"/>
      <c r="F666" s="91"/>
      <c r="G666" s="80"/>
      <c r="H666" s="80"/>
      <c r="I666" s="80"/>
      <c r="J666" s="80"/>
    </row>
    <row r="667" ht="22.5" customHeight="1">
      <c r="A667" s="81"/>
      <c r="B667" s="81"/>
      <c r="C667" s="81"/>
      <c r="D667" s="143"/>
      <c r="E667" s="80"/>
      <c r="F667" s="91"/>
      <c r="G667" s="80"/>
      <c r="H667" s="80"/>
      <c r="I667" s="80"/>
      <c r="J667" s="80"/>
    </row>
    <row r="668" ht="22.5" customHeight="1">
      <c r="A668" s="81"/>
      <c r="B668" s="81"/>
      <c r="C668" s="81"/>
      <c r="D668" s="143"/>
      <c r="E668" s="80"/>
      <c r="F668" s="91"/>
      <c r="G668" s="80"/>
      <c r="H668" s="80"/>
      <c r="I668" s="80"/>
      <c r="J668" s="80"/>
    </row>
    <row r="669" ht="22.5" customHeight="1">
      <c r="A669" s="81"/>
      <c r="B669" s="81"/>
      <c r="C669" s="81"/>
      <c r="D669" s="143"/>
      <c r="E669" s="80"/>
      <c r="F669" s="91"/>
      <c r="G669" s="80"/>
      <c r="H669" s="80"/>
      <c r="I669" s="80"/>
      <c r="J669" s="80"/>
    </row>
    <row r="670" ht="22.5" customHeight="1">
      <c r="A670" s="81"/>
      <c r="B670" s="81"/>
      <c r="C670" s="81"/>
      <c r="D670" s="143"/>
      <c r="E670" s="80"/>
      <c r="F670" s="91"/>
      <c r="G670" s="80"/>
      <c r="H670" s="80"/>
      <c r="I670" s="80"/>
      <c r="J670" s="80"/>
    </row>
    <row r="671" ht="22.5" customHeight="1">
      <c r="A671" s="81"/>
      <c r="B671" s="81"/>
      <c r="C671" s="81"/>
      <c r="D671" s="143"/>
      <c r="E671" s="80"/>
      <c r="F671" s="91"/>
      <c r="G671" s="80"/>
      <c r="H671" s="80"/>
      <c r="I671" s="80"/>
      <c r="J671" s="80"/>
    </row>
    <row r="672" ht="22.5" customHeight="1">
      <c r="A672" s="81"/>
      <c r="B672" s="81"/>
      <c r="C672" s="81"/>
      <c r="D672" s="143"/>
      <c r="E672" s="80"/>
      <c r="F672" s="91"/>
      <c r="G672" s="80"/>
      <c r="H672" s="80"/>
      <c r="I672" s="80"/>
      <c r="J672" s="80"/>
    </row>
    <row r="673" ht="22.5" customHeight="1">
      <c r="A673" s="81"/>
      <c r="B673" s="81"/>
      <c r="C673" s="81"/>
      <c r="D673" s="143"/>
      <c r="E673" s="80"/>
      <c r="F673" s="91"/>
      <c r="G673" s="80"/>
      <c r="H673" s="80"/>
      <c r="I673" s="80"/>
      <c r="J673" s="80"/>
    </row>
    <row r="674" ht="22.5" customHeight="1">
      <c r="A674" s="81"/>
      <c r="B674" s="81"/>
      <c r="C674" s="81"/>
      <c r="D674" s="143"/>
      <c r="E674" s="80"/>
      <c r="F674" s="91"/>
      <c r="G674" s="80"/>
      <c r="H674" s="80"/>
      <c r="I674" s="80"/>
      <c r="J674" s="80"/>
    </row>
    <row r="675" ht="22.5" customHeight="1">
      <c r="A675" s="81"/>
      <c r="B675" s="81"/>
      <c r="C675" s="81"/>
      <c r="D675" s="143"/>
      <c r="E675" s="80"/>
      <c r="F675" s="91"/>
      <c r="G675" s="80"/>
      <c r="H675" s="80"/>
      <c r="I675" s="80"/>
      <c r="J675" s="80"/>
    </row>
    <row r="676" ht="22.5" customHeight="1">
      <c r="A676" s="81"/>
      <c r="B676" s="81"/>
      <c r="C676" s="81"/>
      <c r="D676" s="143"/>
      <c r="E676" s="80"/>
      <c r="F676" s="91"/>
      <c r="G676" s="80"/>
      <c r="H676" s="80"/>
      <c r="I676" s="80"/>
      <c r="J676" s="80"/>
    </row>
    <row r="677" ht="22.5" customHeight="1">
      <c r="A677" s="81"/>
      <c r="B677" s="81"/>
      <c r="C677" s="81"/>
      <c r="D677" s="143"/>
      <c r="E677" s="80"/>
      <c r="F677" s="91"/>
      <c r="G677" s="80"/>
      <c r="H677" s="80"/>
      <c r="I677" s="80"/>
      <c r="J677" s="80"/>
    </row>
    <row r="678" ht="22.5" customHeight="1">
      <c r="A678" s="81"/>
      <c r="B678" s="81"/>
      <c r="C678" s="81"/>
      <c r="D678" s="143"/>
      <c r="E678" s="80"/>
      <c r="F678" s="91"/>
      <c r="G678" s="80"/>
      <c r="H678" s="80"/>
      <c r="I678" s="80"/>
      <c r="J678" s="80"/>
    </row>
    <row r="679" ht="22.5" customHeight="1">
      <c r="A679" s="81"/>
      <c r="B679" s="81"/>
      <c r="C679" s="81"/>
      <c r="D679" s="143"/>
      <c r="E679" s="80"/>
      <c r="F679" s="91"/>
      <c r="G679" s="80"/>
      <c r="H679" s="80"/>
      <c r="I679" s="80"/>
      <c r="J679" s="80"/>
    </row>
    <row r="680" ht="22.5" customHeight="1">
      <c r="A680" s="81"/>
      <c r="B680" s="81"/>
      <c r="C680" s="81"/>
      <c r="D680" s="143"/>
      <c r="E680" s="80"/>
      <c r="F680" s="91"/>
      <c r="G680" s="80"/>
      <c r="H680" s="80"/>
      <c r="I680" s="80"/>
      <c r="J680" s="80"/>
    </row>
    <row r="681" ht="22.5" customHeight="1">
      <c r="A681" s="81"/>
      <c r="B681" s="81"/>
      <c r="C681" s="81"/>
      <c r="D681" s="143"/>
      <c r="E681" s="80"/>
      <c r="F681" s="91"/>
      <c r="G681" s="80"/>
      <c r="H681" s="80"/>
      <c r="I681" s="80"/>
      <c r="J681" s="80"/>
    </row>
    <row r="682" ht="22.5" customHeight="1">
      <c r="A682" s="81"/>
      <c r="B682" s="81"/>
      <c r="C682" s="81"/>
      <c r="D682" s="143"/>
      <c r="E682" s="80"/>
      <c r="F682" s="91"/>
      <c r="G682" s="80"/>
      <c r="H682" s="80"/>
      <c r="I682" s="80"/>
      <c r="J682" s="80"/>
    </row>
    <row r="683" ht="22.5" customHeight="1">
      <c r="A683" s="81"/>
      <c r="B683" s="81"/>
      <c r="C683" s="81"/>
      <c r="D683" s="143"/>
      <c r="E683" s="80"/>
      <c r="F683" s="91"/>
      <c r="G683" s="80"/>
      <c r="H683" s="80"/>
      <c r="I683" s="80"/>
      <c r="J683" s="80"/>
    </row>
    <row r="684" ht="22.5" customHeight="1">
      <c r="A684" s="81"/>
      <c r="B684" s="81"/>
      <c r="C684" s="81"/>
      <c r="D684" s="143"/>
      <c r="E684" s="80"/>
      <c r="F684" s="91"/>
      <c r="G684" s="80"/>
      <c r="H684" s="80"/>
      <c r="I684" s="80"/>
      <c r="J684" s="80"/>
    </row>
    <row r="685" ht="22.5" customHeight="1">
      <c r="A685" s="81"/>
      <c r="B685" s="81"/>
      <c r="C685" s="81"/>
      <c r="D685" s="143"/>
      <c r="E685" s="80"/>
      <c r="F685" s="91"/>
      <c r="G685" s="80"/>
      <c r="H685" s="80"/>
      <c r="I685" s="80"/>
      <c r="J685" s="80"/>
    </row>
    <row r="686" ht="22.5" customHeight="1">
      <c r="A686" s="81"/>
      <c r="B686" s="81"/>
      <c r="C686" s="81"/>
      <c r="D686" s="143"/>
      <c r="E686" s="80"/>
      <c r="F686" s="91"/>
      <c r="G686" s="80"/>
      <c r="H686" s="80"/>
      <c r="I686" s="80"/>
      <c r="J686" s="80"/>
    </row>
    <row r="687" ht="22.5" customHeight="1">
      <c r="A687" s="81"/>
      <c r="B687" s="81"/>
      <c r="C687" s="81"/>
      <c r="D687" s="143"/>
      <c r="E687" s="80"/>
      <c r="F687" s="91"/>
      <c r="G687" s="80"/>
      <c r="H687" s="80"/>
      <c r="I687" s="80"/>
      <c r="J687" s="80"/>
    </row>
    <row r="688" ht="22.5" customHeight="1">
      <c r="A688" s="81"/>
      <c r="B688" s="81"/>
      <c r="C688" s="81"/>
      <c r="D688" s="143"/>
      <c r="E688" s="80"/>
      <c r="F688" s="91"/>
      <c r="G688" s="80"/>
      <c r="H688" s="80"/>
      <c r="I688" s="80"/>
      <c r="J688" s="80"/>
    </row>
    <row r="689" ht="22.5" customHeight="1">
      <c r="A689" s="81"/>
      <c r="B689" s="81"/>
      <c r="C689" s="81"/>
      <c r="D689" s="143"/>
      <c r="E689" s="80"/>
      <c r="F689" s="91"/>
      <c r="G689" s="80"/>
      <c r="H689" s="80"/>
      <c r="I689" s="80"/>
      <c r="J689" s="80"/>
    </row>
    <row r="690" ht="22.5" customHeight="1">
      <c r="A690" s="81"/>
      <c r="B690" s="81"/>
      <c r="C690" s="81"/>
      <c r="D690" s="143"/>
      <c r="E690" s="80"/>
      <c r="F690" s="91"/>
      <c r="G690" s="80"/>
      <c r="H690" s="80"/>
      <c r="I690" s="80"/>
      <c r="J690" s="80"/>
    </row>
    <row r="691" ht="22.5" customHeight="1">
      <c r="A691" s="81"/>
      <c r="B691" s="81"/>
      <c r="C691" s="81"/>
      <c r="D691" s="143"/>
      <c r="E691" s="80"/>
      <c r="F691" s="91"/>
      <c r="G691" s="80"/>
      <c r="H691" s="80"/>
      <c r="I691" s="80"/>
      <c r="J691" s="80"/>
    </row>
    <row r="692" ht="22.5" customHeight="1">
      <c r="A692" s="81"/>
      <c r="B692" s="81"/>
      <c r="C692" s="81"/>
      <c r="D692" s="143"/>
      <c r="E692" s="80"/>
      <c r="F692" s="91"/>
      <c r="G692" s="80"/>
      <c r="H692" s="80"/>
      <c r="I692" s="80"/>
      <c r="J692" s="80"/>
    </row>
    <row r="693" ht="22.5" customHeight="1">
      <c r="A693" s="81"/>
      <c r="B693" s="81"/>
      <c r="C693" s="81"/>
      <c r="D693" s="143"/>
      <c r="E693" s="80"/>
      <c r="F693" s="91"/>
      <c r="G693" s="80"/>
      <c r="H693" s="80"/>
      <c r="I693" s="80"/>
      <c r="J693" s="80"/>
    </row>
    <row r="694" ht="22.5" customHeight="1">
      <c r="A694" s="81"/>
      <c r="B694" s="81"/>
      <c r="C694" s="81"/>
      <c r="D694" s="143"/>
      <c r="E694" s="80"/>
      <c r="F694" s="91"/>
      <c r="G694" s="80"/>
      <c r="H694" s="80"/>
      <c r="I694" s="80"/>
      <c r="J694" s="80"/>
    </row>
    <row r="695" ht="22.5" customHeight="1">
      <c r="A695" s="81"/>
      <c r="B695" s="81"/>
      <c r="C695" s="81"/>
      <c r="D695" s="143"/>
      <c r="E695" s="80"/>
      <c r="F695" s="91"/>
      <c r="G695" s="80"/>
      <c r="H695" s="80"/>
      <c r="I695" s="80"/>
      <c r="J695" s="80"/>
    </row>
    <row r="696" ht="22.5" customHeight="1">
      <c r="A696" s="81"/>
      <c r="B696" s="81"/>
      <c r="C696" s="81"/>
      <c r="D696" s="143"/>
      <c r="E696" s="80"/>
      <c r="F696" s="91"/>
      <c r="G696" s="80"/>
      <c r="H696" s="80"/>
      <c r="I696" s="80"/>
      <c r="J696" s="80"/>
    </row>
    <row r="697" ht="22.5" customHeight="1">
      <c r="A697" s="81"/>
      <c r="B697" s="81"/>
      <c r="C697" s="81"/>
      <c r="D697" s="143"/>
      <c r="E697" s="80"/>
      <c r="F697" s="91"/>
      <c r="G697" s="80"/>
      <c r="H697" s="80"/>
      <c r="I697" s="80"/>
      <c r="J697" s="80"/>
    </row>
    <row r="698" ht="22.5" customHeight="1">
      <c r="A698" s="81"/>
      <c r="B698" s="81"/>
      <c r="C698" s="81"/>
      <c r="D698" s="143"/>
      <c r="E698" s="80"/>
      <c r="F698" s="91"/>
      <c r="G698" s="80"/>
      <c r="H698" s="80"/>
      <c r="I698" s="80"/>
      <c r="J698" s="80"/>
    </row>
    <row r="699" ht="22.5" customHeight="1">
      <c r="A699" s="81"/>
      <c r="B699" s="81"/>
      <c r="C699" s="81"/>
      <c r="D699" s="143"/>
      <c r="E699" s="80"/>
      <c r="F699" s="91"/>
      <c r="G699" s="80"/>
      <c r="H699" s="80"/>
      <c r="I699" s="80"/>
      <c r="J699" s="80"/>
    </row>
    <row r="700" ht="22.5" customHeight="1">
      <c r="A700" s="81"/>
      <c r="B700" s="81"/>
      <c r="C700" s="81"/>
      <c r="D700" s="143"/>
      <c r="E700" s="80"/>
      <c r="F700" s="91"/>
      <c r="G700" s="80"/>
      <c r="H700" s="80"/>
      <c r="I700" s="80"/>
      <c r="J700" s="80"/>
    </row>
    <row r="701" ht="22.5" customHeight="1">
      <c r="A701" s="81"/>
      <c r="B701" s="81"/>
      <c r="C701" s="81"/>
      <c r="D701" s="143"/>
      <c r="E701" s="80"/>
      <c r="F701" s="91"/>
      <c r="G701" s="80"/>
      <c r="H701" s="80"/>
      <c r="I701" s="80"/>
      <c r="J701" s="80"/>
    </row>
    <row r="702" ht="22.5" customHeight="1">
      <c r="A702" s="81"/>
      <c r="B702" s="81"/>
      <c r="C702" s="81"/>
      <c r="D702" s="143"/>
      <c r="E702" s="80"/>
      <c r="F702" s="91"/>
      <c r="G702" s="80"/>
      <c r="H702" s="80"/>
      <c r="I702" s="80"/>
      <c r="J702" s="80"/>
    </row>
    <row r="703" ht="22.5" customHeight="1">
      <c r="A703" s="81"/>
      <c r="B703" s="81"/>
      <c r="C703" s="81"/>
      <c r="D703" s="143"/>
      <c r="E703" s="80"/>
      <c r="F703" s="91"/>
      <c r="G703" s="80"/>
      <c r="H703" s="80"/>
      <c r="I703" s="80"/>
      <c r="J703" s="80"/>
    </row>
    <row r="704" ht="22.5" customHeight="1">
      <c r="A704" s="81"/>
      <c r="B704" s="81"/>
      <c r="C704" s="81"/>
      <c r="D704" s="143"/>
      <c r="E704" s="80"/>
      <c r="F704" s="91"/>
      <c r="G704" s="80"/>
      <c r="H704" s="80"/>
      <c r="I704" s="80"/>
      <c r="J704" s="80"/>
    </row>
    <row r="705" ht="22.5" customHeight="1">
      <c r="A705" s="81"/>
      <c r="B705" s="81"/>
      <c r="C705" s="81"/>
      <c r="D705" s="143"/>
      <c r="E705" s="80"/>
      <c r="F705" s="91"/>
      <c r="G705" s="80"/>
      <c r="H705" s="80"/>
      <c r="I705" s="80"/>
      <c r="J705" s="80"/>
    </row>
    <row r="706" ht="22.5" customHeight="1">
      <c r="A706" s="81"/>
      <c r="B706" s="81"/>
      <c r="C706" s="81"/>
      <c r="D706" s="143"/>
      <c r="E706" s="80"/>
      <c r="F706" s="91"/>
      <c r="G706" s="80"/>
      <c r="H706" s="80"/>
      <c r="I706" s="80"/>
      <c r="J706" s="80"/>
    </row>
    <row r="707" ht="22.5" customHeight="1">
      <c r="A707" s="81"/>
      <c r="B707" s="81"/>
      <c r="C707" s="81"/>
      <c r="D707" s="143"/>
      <c r="E707" s="80"/>
      <c r="F707" s="91"/>
      <c r="G707" s="80"/>
      <c r="H707" s="80"/>
      <c r="I707" s="80"/>
      <c r="J707" s="80"/>
    </row>
    <row r="708" ht="22.5" customHeight="1">
      <c r="A708" s="81"/>
      <c r="B708" s="81"/>
      <c r="C708" s="81"/>
      <c r="D708" s="143"/>
      <c r="E708" s="80"/>
      <c r="F708" s="91"/>
      <c r="G708" s="80"/>
      <c r="H708" s="80"/>
      <c r="I708" s="80"/>
      <c r="J708" s="80"/>
    </row>
    <row r="709" ht="22.5" customHeight="1">
      <c r="A709" s="81"/>
      <c r="B709" s="81"/>
      <c r="C709" s="81"/>
      <c r="D709" s="143"/>
      <c r="E709" s="80"/>
      <c r="F709" s="91"/>
      <c r="G709" s="80"/>
      <c r="H709" s="80"/>
      <c r="I709" s="80"/>
      <c r="J709" s="80"/>
    </row>
    <row r="710" ht="22.5" customHeight="1">
      <c r="A710" s="81"/>
      <c r="B710" s="81"/>
      <c r="C710" s="81"/>
      <c r="D710" s="143"/>
      <c r="E710" s="80"/>
      <c r="F710" s="91"/>
      <c r="G710" s="80"/>
      <c r="H710" s="80"/>
      <c r="I710" s="80"/>
      <c r="J710" s="80"/>
    </row>
    <row r="711" ht="22.5" customHeight="1">
      <c r="A711" s="81"/>
      <c r="B711" s="81"/>
      <c r="C711" s="81"/>
      <c r="D711" s="143"/>
      <c r="E711" s="80"/>
      <c r="F711" s="91"/>
      <c r="G711" s="80"/>
      <c r="H711" s="80"/>
      <c r="I711" s="80"/>
      <c r="J711" s="80"/>
    </row>
    <row r="712" ht="22.5" customHeight="1">
      <c r="A712" s="81"/>
      <c r="B712" s="81"/>
      <c r="C712" s="81"/>
      <c r="D712" s="143"/>
      <c r="E712" s="80"/>
      <c r="F712" s="91"/>
      <c r="G712" s="80"/>
      <c r="H712" s="80"/>
      <c r="I712" s="80"/>
      <c r="J712" s="80"/>
    </row>
    <row r="713" ht="22.5" customHeight="1">
      <c r="A713" s="81"/>
      <c r="B713" s="81"/>
      <c r="C713" s="81"/>
      <c r="D713" s="143"/>
      <c r="E713" s="80"/>
      <c r="F713" s="91"/>
      <c r="G713" s="80"/>
      <c r="H713" s="80"/>
      <c r="I713" s="80"/>
      <c r="J713" s="80"/>
    </row>
    <row r="714" ht="22.5" customHeight="1">
      <c r="A714" s="81"/>
      <c r="B714" s="81"/>
      <c r="C714" s="81"/>
      <c r="D714" s="143"/>
      <c r="E714" s="80"/>
      <c r="F714" s="91"/>
      <c r="G714" s="80"/>
      <c r="H714" s="80"/>
      <c r="I714" s="80"/>
      <c r="J714" s="80"/>
    </row>
    <row r="715" ht="22.5" customHeight="1">
      <c r="A715" s="81"/>
      <c r="B715" s="81"/>
      <c r="C715" s="81"/>
      <c r="D715" s="143"/>
      <c r="E715" s="80"/>
      <c r="F715" s="91"/>
      <c r="G715" s="80"/>
      <c r="H715" s="80"/>
      <c r="I715" s="80"/>
      <c r="J715" s="80"/>
    </row>
    <row r="716" ht="22.5" customHeight="1">
      <c r="A716" s="81"/>
      <c r="B716" s="81"/>
      <c r="C716" s="81"/>
      <c r="D716" s="143"/>
      <c r="E716" s="80"/>
      <c r="F716" s="91"/>
      <c r="G716" s="80"/>
      <c r="H716" s="80"/>
      <c r="I716" s="80"/>
      <c r="J716" s="80"/>
    </row>
    <row r="717" ht="22.5" customHeight="1">
      <c r="A717" s="81"/>
      <c r="B717" s="81"/>
      <c r="C717" s="81"/>
      <c r="D717" s="143"/>
      <c r="E717" s="80"/>
      <c r="F717" s="91"/>
      <c r="G717" s="80"/>
      <c r="H717" s="80"/>
      <c r="I717" s="80"/>
      <c r="J717" s="80"/>
    </row>
    <row r="718" ht="22.5" customHeight="1">
      <c r="A718" s="81"/>
      <c r="B718" s="81"/>
      <c r="C718" s="81"/>
      <c r="D718" s="143"/>
      <c r="E718" s="80"/>
      <c r="F718" s="91"/>
      <c r="G718" s="80"/>
      <c r="H718" s="80"/>
      <c r="I718" s="80"/>
      <c r="J718" s="80"/>
    </row>
    <row r="719" ht="22.5" customHeight="1">
      <c r="A719" s="81"/>
      <c r="B719" s="81"/>
      <c r="C719" s="81"/>
      <c r="D719" s="143"/>
      <c r="E719" s="80"/>
      <c r="F719" s="91"/>
      <c r="G719" s="80"/>
      <c r="H719" s="80"/>
      <c r="I719" s="80"/>
      <c r="J719" s="80"/>
    </row>
    <row r="720" ht="22.5" customHeight="1">
      <c r="A720" s="81"/>
      <c r="B720" s="81"/>
      <c r="C720" s="81"/>
      <c r="D720" s="143"/>
      <c r="E720" s="80"/>
      <c r="F720" s="91"/>
      <c r="G720" s="80"/>
      <c r="H720" s="80"/>
      <c r="I720" s="80"/>
      <c r="J720" s="80"/>
    </row>
    <row r="721" ht="22.5" customHeight="1">
      <c r="A721" s="81"/>
      <c r="B721" s="81"/>
      <c r="C721" s="81"/>
      <c r="D721" s="143"/>
      <c r="E721" s="80"/>
      <c r="F721" s="91"/>
      <c r="G721" s="80"/>
      <c r="H721" s="80"/>
      <c r="I721" s="80"/>
      <c r="J721" s="80"/>
    </row>
    <row r="722" ht="22.5" customHeight="1">
      <c r="A722" s="81"/>
      <c r="B722" s="81"/>
      <c r="C722" s="81"/>
      <c r="D722" s="143"/>
      <c r="E722" s="80"/>
      <c r="F722" s="91"/>
      <c r="G722" s="80"/>
      <c r="H722" s="80"/>
      <c r="I722" s="80"/>
      <c r="J722" s="80"/>
    </row>
    <row r="723" ht="22.5" customHeight="1">
      <c r="A723" s="81"/>
      <c r="B723" s="81"/>
      <c r="C723" s="81"/>
      <c r="D723" s="143"/>
      <c r="E723" s="80"/>
      <c r="F723" s="91"/>
      <c r="G723" s="80"/>
      <c r="H723" s="80"/>
      <c r="I723" s="80"/>
      <c r="J723" s="80"/>
    </row>
    <row r="724" ht="22.5" customHeight="1">
      <c r="A724" s="81"/>
      <c r="B724" s="81"/>
      <c r="C724" s="81"/>
      <c r="D724" s="143"/>
      <c r="E724" s="80"/>
      <c r="F724" s="91"/>
      <c r="G724" s="80"/>
      <c r="H724" s="80"/>
      <c r="I724" s="80"/>
      <c r="J724" s="80"/>
    </row>
    <row r="725" ht="22.5" customHeight="1">
      <c r="A725" s="81"/>
      <c r="B725" s="81"/>
      <c r="C725" s="81"/>
      <c r="D725" s="143"/>
      <c r="E725" s="80"/>
      <c r="F725" s="91"/>
      <c r="G725" s="80"/>
      <c r="H725" s="80"/>
      <c r="I725" s="80"/>
      <c r="J725" s="80"/>
    </row>
    <row r="726" ht="22.5" customHeight="1">
      <c r="A726" s="81"/>
      <c r="B726" s="81"/>
      <c r="C726" s="81"/>
      <c r="D726" s="143"/>
      <c r="E726" s="80"/>
      <c r="F726" s="91"/>
      <c r="G726" s="80"/>
      <c r="H726" s="80"/>
      <c r="I726" s="80"/>
      <c r="J726" s="80"/>
    </row>
    <row r="727" ht="22.5" customHeight="1">
      <c r="A727" s="81"/>
      <c r="B727" s="81"/>
      <c r="C727" s="81"/>
      <c r="D727" s="143"/>
      <c r="E727" s="80"/>
      <c r="F727" s="91"/>
      <c r="G727" s="80"/>
      <c r="H727" s="80"/>
      <c r="I727" s="80"/>
      <c r="J727" s="80"/>
    </row>
    <row r="728" ht="22.5" customHeight="1">
      <c r="A728" s="81"/>
      <c r="B728" s="81"/>
      <c r="C728" s="81"/>
      <c r="D728" s="143"/>
      <c r="E728" s="80"/>
      <c r="F728" s="91"/>
      <c r="G728" s="80"/>
      <c r="H728" s="80"/>
      <c r="I728" s="80"/>
      <c r="J728" s="80"/>
    </row>
    <row r="729" ht="22.5" customHeight="1">
      <c r="A729" s="81"/>
      <c r="B729" s="81"/>
      <c r="C729" s="81"/>
      <c r="D729" s="143"/>
      <c r="E729" s="80"/>
      <c r="F729" s="91"/>
      <c r="G729" s="80"/>
      <c r="H729" s="80"/>
      <c r="I729" s="80"/>
      <c r="J729" s="80"/>
    </row>
    <row r="730" ht="22.5" customHeight="1">
      <c r="A730" s="81"/>
      <c r="B730" s="81"/>
      <c r="C730" s="81"/>
      <c r="D730" s="143"/>
      <c r="E730" s="80"/>
      <c r="F730" s="91"/>
      <c r="G730" s="80"/>
      <c r="H730" s="80"/>
      <c r="I730" s="80"/>
      <c r="J730" s="80"/>
    </row>
    <row r="731" ht="22.5" customHeight="1">
      <c r="A731" s="81"/>
      <c r="B731" s="81"/>
      <c r="C731" s="81"/>
      <c r="D731" s="143"/>
      <c r="E731" s="80"/>
      <c r="F731" s="91"/>
      <c r="G731" s="80"/>
      <c r="H731" s="80"/>
      <c r="I731" s="80"/>
      <c r="J731" s="80"/>
    </row>
    <row r="732" ht="22.5" customHeight="1">
      <c r="A732" s="81"/>
      <c r="B732" s="81"/>
      <c r="C732" s="81"/>
      <c r="D732" s="143"/>
      <c r="E732" s="80"/>
      <c r="F732" s="91"/>
      <c r="G732" s="80"/>
      <c r="H732" s="80"/>
      <c r="I732" s="80"/>
      <c r="J732" s="80"/>
    </row>
    <row r="733" ht="22.5" customHeight="1">
      <c r="A733" s="81"/>
      <c r="B733" s="81"/>
      <c r="C733" s="81"/>
      <c r="D733" s="143"/>
      <c r="E733" s="80"/>
      <c r="F733" s="91"/>
      <c r="G733" s="80"/>
      <c r="H733" s="80"/>
      <c r="I733" s="80"/>
      <c r="J733" s="80"/>
    </row>
    <row r="734" ht="22.5" customHeight="1">
      <c r="A734" s="81"/>
      <c r="B734" s="81"/>
      <c r="C734" s="81"/>
      <c r="D734" s="143"/>
      <c r="E734" s="80"/>
      <c r="F734" s="91"/>
      <c r="G734" s="80"/>
      <c r="H734" s="80"/>
      <c r="I734" s="80"/>
      <c r="J734" s="80"/>
    </row>
    <row r="735" ht="22.5" customHeight="1">
      <c r="A735" s="81"/>
      <c r="B735" s="81"/>
      <c r="C735" s="81"/>
      <c r="D735" s="143"/>
      <c r="E735" s="80"/>
      <c r="F735" s="91"/>
      <c r="G735" s="80"/>
      <c r="H735" s="80"/>
      <c r="I735" s="80"/>
      <c r="J735" s="80"/>
    </row>
    <row r="736" ht="22.5" customHeight="1">
      <c r="A736" s="81"/>
      <c r="B736" s="81"/>
      <c r="C736" s="81"/>
      <c r="D736" s="143"/>
      <c r="E736" s="80"/>
      <c r="F736" s="91"/>
      <c r="G736" s="80"/>
      <c r="H736" s="80"/>
      <c r="I736" s="80"/>
      <c r="J736" s="80"/>
    </row>
    <row r="737" ht="22.5" customHeight="1">
      <c r="A737" s="81"/>
      <c r="B737" s="81"/>
      <c r="C737" s="81"/>
      <c r="D737" s="143"/>
      <c r="E737" s="80"/>
      <c r="F737" s="91"/>
      <c r="G737" s="80"/>
      <c r="H737" s="80"/>
      <c r="I737" s="80"/>
      <c r="J737" s="80"/>
    </row>
    <row r="738" ht="22.5" customHeight="1">
      <c r="A738" s="81"/>
      <c r="B738" s="81"/>
      <c r="C738" s="81"/>
      <c r="D738" s="143"/>
      <c r="E738" s="80"/>
      <c r="F738" s="91"/>
      <c r="G738" s="80"/>
      <c r="H738" s="80"/>
      <c r="I738" s="80"/>
      <c r="J738" s="80"/>
    </row>
    <row r="739" ht="22.5" customHeight="1">
      <c r="A739" s="81"/>
      <c r="B739" s="81"/>
      <c r="C739" s="81"/>
      <c r="D739" s="143"/>
      <c r="E739" s="80"/>
      <c r="F739" s="91"/>
      <c r="G739" s="80"/>
      <c r="H739" s="80"/>
      <c r="I739" s="80"/>
      <c r="J739" s="80"/>
    </row>
    <row r="740" ht="22.5" customHeight="1">
      <c r="A740" s="81"/>
      <c r="B740" s="81"/>
      <c r="C740" s="81"/>
      <c r="D740" s="143"/>
      <c r="E740" s="80"/>
      <c r="F740" s="91"/>
      <c r="G740" s="80"/>
      <c r="H740" s="80"/>
      <c r="I740" s="80"/>
      <c r="J740" s="80"/>
    </row>
    <row r="741" ht="22.5" customHeight="1">
      <c r="A741" s="81"/>
      <c r="B741" s="81"/>
      <c r="C741" s="81"/>
      <c r="D741" s="143"/>
      <c r="E741" s="80"/>
      <c r="F741" s="91"/>
      <c r="G741" s="80"/>
      <c r="H741" s="80"/>
      <c r="I741" s="80"/>
      <c r="J741" s="80"/>
    </row>
    <row r="742" ht="22.5" customHeight="1">
      <c r="A742" s="81"/>
      <c r="B742" s="81"/>
      <c r="C742" s="81"/>
      <c r="D742" s="143"/>
      <c r="E742" s="80"/>
      <c r="F742" s="91"/>
      <c r="G742" s="80"/>
      <c r="H742" s="80"/>
      <c r="I742" s="80"/>
      <c r="J742" s="80"/>
    </row>
    <row r="743" ht="22.5" customHeight="1">
      <c r="A743" s="81"/>
      <c r="B743" s="81"/>
      <c r="C743" s="81"/>
      <c r="D743" s="143"/>
      <c r="E743" s="80"/>
      <c r="F743" s="91"/>
      <c r="G743" s="80"/>
      <c r="H743" s="80"/>
      <c r="I743" s="80"/>
      <c r="J743" s="80"/>
    </row>
    <row r="744" ht="22.5" customHeight="1">
      <c r="A744" s="81"/>
      <c r="B744" s="81"/>
      <c r="C744" s="81"/>
      <c r="D744" s="143"/>
      <c r="E744" s="80"/>
      <c r="F744" s="91"/>
      <c r="G744" s="80"/>
      <c r="H744" s="80"/>
      <c r="I744" s="80"/>
      <c r="J744" s="80"/>
    </row>
    <row r="745" ht="22.5" customHeight="1">
      <c r="A745" s="81"/>
      <c r="B745" s="81"/>
      <c r="C745" s="81"/>
      <c r="D745" s="143"/>
      <c r="E745" s="80"/>
      <c r="F745" s="91"/>
      <c r="G745" s="80"/>
      <c r="H745" s="80"/>
      <c r="I745" s="80"/>
      <c r="J745" s="80"/>
    </row>
    <row r="746" ht="22.5" customHeight="1">
      <c r="A746" s="81"/>
      <c r="B746" s="81"/>
      <c r="C746" s="81"/>
      <c r="D746" s="143"/>
      <c r="E746" s="80"/>
      <c r="F746" s="91"/>
      <c r="G746" s="80"/>
      <c r="H746" s="80"/>
      <c r="I746" s="80"/>
      <c r="J746" s="80"/>
    </row>
    <row r="747" ht="22.5" customHeight="1">
      <c r="A747" s="81"/>
      <c r="B747" s="81"/>
      <c r="C747" s="81"/>
      <c r="D747" s="143"/>
      <c r="E747" s="80"/>
      <c r="F747" s="91"/>
      <c r="G747" s="80"/>
      <c r="H747" s="80"/>
      <c r="I747" s="80"/>
      <c r="J747" s="80"/>
    </row>
    <row r="748" ht="22.5" customHeight="1">
      <c r="A748" s="81"/>
      <c r="B748" s="81"/>
      <c r="C748" s="81"/>
      <c r="D748" s="143"/>
      <c r="E748" s="80"/>
      <c r="F748" s="91"/>
      <c r="G748" s="80"/>
      <c r="H748" s="80"/>
      <c r="I748" s="80"/>
      <c r="J748" s="80"/>
    </row>
    <row r="749" ht="22.5" customHeight="1">
      <c r="A749" s="81"/>
      <c r="B749" s="81"/>
      <c r="C749" s="81"/>
      <c r="D749" s="143"/>
      <c r="E749" s="80"/>
      <c r="F749" s="91"/>
      <c r="G749" s="80"/>
      <c r="H749" s="80"/>
      <c r="I749" s="80"/>
      <c r="J749" s="80"/>
    </row>
    <row r="750" ht="22.5" customHeight="1">
      <c r="A750" s="81"/>
      <c r="B750" s="81"/>
      <c r="C750" s="81"/>
      <c r="D750" s="143"/>
      <c r="E750" s="80"/>
      <c r="F750" s="91"/>
      <c r="G750" s="80"/>
      <c r="H750" s="80"/>
      <c r="I750" s="80"/>
      <c r="J750" s="80"/>
    </row>
    <row r="751" ht="22.5" customHeight="1">
      <c r="A751" s="81"/>
      <c r="B751" s="81"/>
      <c r="C751" s="81"/>
      <c r="D751" s="143"/>
      <c r="E751" s="80"/>
      <c r="F751" s="91"/>
      <c r="G751" s="80"/>
      <c r="H751" s="80"/>
      <c r="I751" s="80"/>
      <c r="J751" s="80"/>
    </row>
    <row r="752" ht="22.5" customHeight="1">
      <c r="A752" s="81"/>
      <c r="B752" s="81"/>
      <c r="C752" s="81"/>
      <c r="D752" s="143"/>
      <c r="E752" s="80"/>
      <c r="F752" s="91"/>
      <c r="G752" s="80"/>
      <c r="H752" s="80"/>
      <c r="I752" s="80"/>
      <c r="J752" s="80"/>
    </row>
    <row r="753" ht="22.5" customHeight="1">
      <c r="A753" s="81"/>
      <c r="B753" s="81"/>
      <c r="C753" s="81"/>
      <c r="D753" s="143"/>
      <c r="E753" s="80"/>
      <c r="F753" s="91"/>
      <c r="G753" s="80"/>
      <c r="H753" s="80"/>
      <c r="I753" s="80"/>
      <c r="J753" s="80"/>
    </row>
    <row r="754" ht="22.5" customHeight="1">
      <c r="A754" s="81"/>
      <c r="B754" s="81"/>
      <c r="C754" s="81"/>
      <c r="D754" s="143"/>
      <c r="E754" s="80"/>
      <c r="F754" s="91"/>
      <c r="G754" s="80"/>
      <c r="H754" s="80"/>
      <c r="I754" s="80"/>
      <c r="J754" s="80"/>
    </row>
    <row r="755" ht="22.5" customHeight="1">
      <c r="A755" s="81"/>
      <c r="B755" s="81"/>
      <c r="C755" s="81"/>
      <c r="D755" s="143"/>
      <c r="E755" s="80"/>
      <c r="F755" s="91"/>
      <c r="G755" s="80"/>
      <c r="H755" s="80"/>
      <c r="I755" s="80"/>
      <c r="J755" s="80"/>
    </row>
    <row r="756" ht="22.5" customHeight="1">
      <c r="A756" s="81"/>
      <c r="B756" s="81"/>
      <c r="C756" s="81"/>
      <c r="D756" s="143"/>
      <c r="E756" s="80"/>
      <c r="F756" s="91"/>
      <c r="G756" s="80"/>
      <c r="H756" s="80"/>
      <c r="I756" s="80"/>
      <c r="J756" s="80"/>
    </row>
    <row r="757" ht="22.5" customHeight="1">
      <c r="A757" s="81"/>
      <c r="B757" s="81"/>
      <c r="C757" s="81"/>
      <c r="D757" s="143"/>
      <c r="E757" s="80"/>
      <c r="F757" s="91"/>
      <c r="G757" s="80"/>
      <c r="H757" s="80"/>
      <c r="I757" s="80"/>
      <c r="J757" s="80"/>
    </row>
    <row r="758" ht="22.5" customHeight="1">
      <c r="A758" s="81"/>
      <c r="B758" s="81"/>
      <c r="C758" s="81"/>
      <c r="D758" s="143"/>
      <c r="E758" s="80"/>
      <c r="F758" s="91"/>
      <c r="G758" s="80"/>
      <c r="H758" s="80"/>
      <c r="I758" s="80"/>
      <c r="J758" s="80"/>
    </row>
    <row r="759" ht="22.5" customHeight="1">
      <c r="A759" s="81"/>
      <c r="B759" s="81"/>
      <c r="C759" s="81"/>
      <c r="D759" s="143"/>
      <c r="E759" s="80"/>
      <c r="F759" s="91"/>
      <c r="G759" s="80"/>
      <c r="H759" s="80"/>
      <c r="I759" s="80"/>
      <c r="J759" s="80"/>
    </row>
    <row r="760" ht="22.5" customHeight="1">
      <c r="A760" s="81"/>
      <c r="B760" s="81"/>
      <c r="C760" s="81"/>
      <c r="D760" s="143"/>
      <c r="E760" s="80"/>
      <c r="F760" s="91"/>
      <c r="G760" s="80"/>
      <c r="H760" s="80"/>
      <c r="I760" s="80"/>
      <c r="J760" s="80"/>
    </row>
    <row r="761" ht="22.5" customHeight="1">
      <c r="A761" s="81"/>
      <c r="B761" s="81"/>
      <c r="C761" s="81"/>
      <c r="D761" s="143"/>
      <c r="E761" s="80"/>
      <c r="F761" s="91"/>
      <c r="G761" s="80"/>
      <c r="H761" s="80"/>
      <c r="I761" s="80"/>
      <c r="J761" s="80"/>
    </row>
    <row r="762" ht="22.5" customHeight="1">
      <c r="A762" s="81"/>
      <c r="B762" s="81"/>
      <c r="C762" s="81"/>
      <c r="D762" s="143"/>
      <c r="E762" s="80"/>
      <c r="F762" s="91"/>
      <c r="G762" s="80"/>
      <c r="H762" s="80"/>
      <c r="I762" s="80"/>
      <c r="J762" s="80"/>
    </row>
    <row r="763" ht="22.5" customHeight="1">
      <c r="A763" s="81"/>
      <c r="B763" s="81"/>
      <c r="C763" s="81"/>
      <c r="D763" s="143"/>
      <c r="E763" s="80"/>
      <c r="F763" s="91"/>
      <c r="G763" s="80"/>
      <c r="H763" s="80"/>
      <c r="I763" s="80"/>
      <c r="J763" s="80"/>
    </row>
    <row r="764" ht="22.5" customHeight="1">
      <c r="A764" s="81"/>
      <c r="B764" s="81"/>
      <c r="C764" s="81"/>
      <c r="D764" s="143"/>
      <c r="E764" s="80"/>
      <c r="F764" s="91"/>
      <c r="G764" s="80"/>
      <c r="H764" s="80"/>
      <c r="I764" s="80"/>
      <c r="J764" s="80"/>
    </row>
    <row r="765" ht="22.5" customHeight="1">
      <c r="A765" s="81"/>
      <c r="B765" s="81"/>
      <c r="C765" s="81"/>
      <c r="D765" s="143"/>
      <c r="E765" s="80"/>
      <c r="F765" s="91"/>
      <c r="G765" s="80"/>
      <c r="H765" s="80"/>
      <c r="I765" s="80"/>
      <c r="J765" s="80"/>
    </row>
    <row r="766" ht="22.5" customHeight="1">
      <c r="A766" s="81"/>
      <c r="B766" s="81"/>
      <c r="C766" s="81"/>
      <c r="D766" s="143"/>
      <c r="E766" s="80"/>
      <c r="F766" s="91"/>
      <c r="G766" s="80"/>
      <c r="H766" s="80"/>
      <c r="I766" s="80"/>
      <c r="J766" s="80"/>
    </row>
    <row r="767" ht="22.5" customHeight="1">
      <c r="A767" s="81"/>
      <c r="B767" s="81"/>
      <c r="C767" s="81"/>
      <c r="D767" s="143"/>
      <c r="E767" s="80"/>
      <c r="F767" s="91"/>
      <c r="G767" s="80"/>
      <c r="H767" s="80"/>
      <c r="I767" s="80"/>
      <c r="J767" s="80"/>
    </row>
    <row r="768" ht="22.5" customHeight="1">
      <c r="A768" s="81"/>
      <c r="B768" s="81"/>
      <c r="C768" s="81"/>
      <c r="D768" s="143"/>
      <c r="E768" s="80"/>
      <c r="F768" s="91"/>
      <c r="G768" s="80"/>
      <c r="H768" s="80"/>
      <c r="I768" s="80"/>
      <c r="J768" s="80"/>
    </row>
    <row r="769" ht="22.5" customHeight="1">
      <c r="A769" s="81"/>
      <c r="B769" s="81"/>
      <c r="C769" s="81"/>
      <c r="D769" s="143"/>
      <c r="E769" s="80"/>
      <c r="F769" s="91"/>
      <c r="G769" s="80"/>
      <c r="H769" s="80"/>
      <c r="I769" s="80"/>
      <c r="J769" s="80"/>
    </row>
    <row r="770" ht="22.5" customHeight="1">
      <c r="A770" s="81"/>
      <c r="B770" s="81"/>
      <c r="C770" s="81"/>
      <c r="D770" s="143"/>
      <c r="E770" s="80"/>
      <c r="F770" s="91"/>
      <c r="G770" s="80"/>
      <c r="H770" s="80"/>
      <c r="I770" s="80"/>
      <c r="J770" s="80"/>
    </row>
    <row r="771" ht="22.5" customHeight="1">
      <c r="A771" s="81"/>
      <c r="B771" s="81"/>
      <c r="C771" s="81"/>
      <c r="D771" s="143"/>
      <c r="E771" s="80"/>
      <c r="F771" s="91"/>
      <c r="G771" s="80"/>
      <c r="H771" s="80"/>
      <c r="I771" s="80"/>
      <c r="J771" s="80"/>
    </row>
    <row r="772" ht="22.5" customHeight="1">
      <c r="A772" s="81"/>
      <c r="B772" s="81"/>
      <c r="C772" s="81"/>
      <c r="D772" s="143"/>
      <c r="E772" s="80"/>
      <c r="F772" s="91"/>
      <c r="G772" s="80"/>
      <c r="H772" s="80"/>
      <c r="I772" s="80"/>
      <c r="J772" s="80"/>
    </row>
    <row r="773" ht="22.5" customHeight="1">
      <c r="A773" s="81"/>
      <c r="B773" s="81"/>
      <c r="C773" s="81"/>
      <c r="D773" s="143"/>
      <c r="E773" s="80"/>
      <c r="F773" s="91"/>
      <c r="G773" s="80"/>
      <c r="H773" s="80"/>
      <c r="I773" s="80"/>
      <c r="J773" s="80"/>
    </row>
    <row r="774" ht="22.5" customHeight="1">
      <c r="A774" s="81"/>
      <c r="B774" s="81"/>
      <c r="C774" s="81"/>
      <c r="D774" s="143"/>
      <c r="E774" s="80"/>
      <c r="F774" s="91"/>
      <c r="G774" s="80"/>
      <c r="H774" s="80"/>
      <c r="I774" s="80"/>
      <c r="J774" s="80"/>
    </row>
    <row r="775" ht="22.5" customHeight="1">
      <c r="A775" s="81"/>
      <c r="B775" s="81"/>
      <c r="C775" s="81"/>
      <c r="D775" s="143"/>
      <c r="E775" s="80"/>
      <c r="F775" s="91"/>
      <c r="G775" s="80"/>
      <c r="H775" s="80"/>
      <c r="I775" s="80"/>
      <c r="J775" s="80"/>
    </row>
    <row r="776" ht="22.5" customHeight="1">
      <c r="A776" s="81"/>
      <c r="B776" s="81"/>
      <c r="C776" s="81"/>
      <c r="D776" s="143"/>
      <c r="E776" s="80"/>
      <c r="F776" s="91"/>
      <c r="G776" s="80"/>
      <c r="H776" s="80"/>
      <c r="I776" s="80"/>
      <c r="J776" s="80"/>
    </row>
    <row r="777" ht="22.5" customHeight="1">
      <c r="A777" s="81"/>
      <c r="B777" s="81"/>
      <c r="C777" s="81"/>
      <c r="D777" s="143"/>
      <c r="E777" s="80"/>
      <c r="F777" s="91"/>
      <c r="G777" s="80"/>
      <c r="H777" s="80"/>
      <c r="I777" s="80"/>
      <c r="J777" s="80"/>
    </row>
    <row r="778" ht="22.5" customHeight="1">
      <c r="A778" s="81"/>
      <c r="B778" s="81"/>
      <c r="C778" s="81"/>
      <c r="D778" s="143"/>
      <c r="E778" s="80"/>
      <c r="F778" s="91"/>
      <c r="G778" s="80"/>
      <c r="H778" s="80"/>
      <c r="I778" s="80"/>
      <c r="J778" s="80"/>
    </row>
    <row r="779" ht="22.5" customHeight="1">
      <c r="A779" s="81"/>
      <c r="B779" s="81"/>
      <c r="C779" s="81"/>
      <c r="D779" s="143"/>
      <c r="E779" s="80"/>
      <c r="F779" s="91"/>
      <c r="G779" s="80"/>
      <c r="H779" s="80"/>
      <c r="I779" s="80"/>
      <c r="J779" s="80"/>
    </row>
    <row r="780" ht="22.5" customHeight="1">
      <c r="A780" s="81"/>
      <c r="B780" s="81"/>
      <c r="C780" s="81"/>
      <c r="D780" s="143"/>
      <c r="E780" s="80"/>
      <c r="F780" s="91"/>
      <c r="G780" s="80"/>
      <c r="H780" s="80"/>
      <c r="I780" s="80"/>
      <c r="J780" s="80"/>
    </row>
    <row r="781" ht="22.5" customHeight="1">
      <c r="A781" s="81"/>
      <c r="B781" s="81"/>
      <c r="C781" s="81"/>
      <c r="D781" s="143"/>
      <c r="E781" s="80"/>
      <c r="F781" s="91"/>
      <c r="G781" s="80"/>
      <c r="H781" s="80"/>
      <c r="I781" s="80"/>
      <c r="J781" s="80"/>
    </row>
    <row r="782" ht="22.5" customHeight="1">
      <c r="A782" s="81"/>
      <c r="B782" s="81"/>
      <c r="C782" s="81"/>
      <c r="D782" s="143"/>
      <c r="E782" s="80"/>
      <c r="F782" s="91"/>
      <c r="G782" s="80"/>
      <c r="H782" s="80"/>
      <c r="I782" s="80"/>
      <c r="J782" s="80"/>
    </row>
    <row r="783" ht="22.5" customHeight="1">
      <c r="A783" s="81"/>
      <c r="B783" s="81"/>
      <c r="C783" s="81"/>
      <c r="D783" s="143"/>
      <c r="E783" s="80"/>
      <c r="F783" s="91"/>
      <c r="G783" s="80"/>
      <c r="H783" s="80"/>
      <c r="I783" s="80"/>
      <c r="J783" s="80"/>
    </row>
    <row r="784" ht="22.5" customHeight="1">
      <c r="A784" s="81"/>
      <c r="B784" s="81"/>
      <c r="C784" s="81"/>
      <c r="D784" s="143"/>
      <c r="E784" s="80"/>
      <c r="F784" s="91"/>
      <c r="G784" s="80"/>
      <c r="H784" s="80"/>
      <c r="I784" s="80"/>
      <c r="J784" s="80"/>
    </row>
    <row r="785" ht="22.5" customHeight="1">
      <c r="A785" s="81"/>
      <c r="B785" s="81"/>
      <c r="C785" s="81"/>
      <c r="D785" s="143"/>
      <c r="E785" s="80"/>
      <c r="F785" s="91"/>
      <c r="G785" s="80"/>
      <c r="H785" s="80"/>
      <c r="I785" s="80"/>
      <c r="J785" s="80"/>
    </row>
    <row r="786" ht="22.5" customHeight="1">
      <c r="A786" s="81"/>
      <c r="B786" s="81"/>
      <c r="C786" s="81"/>
      <c r="D786" s="143"/>
      <c r="E786" s="80"/>
      <c r="F786" s="91"/>
      <c r="G786" s="80"/>
      <c r="H786" s="80"/>
      <c r="I786" s="80"/>
      <c r="J786" s="80"/>
    </row>
    <row r="787" ht="22.5" customHeight="1">
      <c r="A787" s="81"/>
      <c r="B787" s="81"/>
      <c r="C787" s="81"/>
      <c r="D787" s="143"/>
      <c r="E787" s="80"/>
      <c r="F787" s="91"/>
      <c r="G787" s="80"/>
      <c r="H787" s="80"/>
      <c r="I787" s="80"/>
      <c r="J787" s="80"/>
    </row>
    <row r="788" ht="22.5" customHeight="1">
      <c r="A788" s="81"/>
      <c r="B788" s="81"/>
      <c r="C788" s="81"/>
      <c r="D788" s="143"/>
      <c r="E788" s="80"/>
      <c r="F788" s="91"/>
      <c r="G788" s="80"/>
      <c r="H788" s="80"/>
      <c r="I788" s="80"/>
      <c r="J788" s="80"/>
    </row>
    <row r="789" ht="22.5" customHeight="1">
      <c r="A789" s="81"/>
      <c r="B789" s="81"/>
      <c r="C789" s="81"/>
      <c r="D789" s="143"/>
      <c r="E789" s="80"/>
      <c r="F789" s="91"/>
      <c r="G789" s="80"/>
      <c r="H789" s="80"/>
      <c r="I789" s="80"/>
      <c r="J789" s="80"/>
    </row>
    <row r="790" ht="22.5" customHeight="1">
      <c r="A790" s="81"/>
      <c r="B790" s="81"/>
      <c r="C790" s="81"/>
      <c r="D790" s="143"/>
      <c r="E790" s="80"/>
      <c r="F790" s="91"/>
      <c r="G790" s="80"/>
      <c r="H790" s="80"/>
      <c r="I790" s="80"/>
      <c r="J790" s="80"/>
    </row>
    <row r="791" ht="22.5" customHeight="1">
      <c r="A791" s="81"/>
      <c r="B791" s="81"/>
      <c r="C791" s="81"/>
      <c r="D791" s="143"/>
      <c r="E791" s="80"/>
      <c r="F791" s="91"/>
      <c r="G791" s="80"/>
      <c r="H791" s="80"/>
      <c r="I791" s="80"/>
      <c r="J791" s="80"/>
    </row>
    <row r="792" ht="22.5" customHeight="1">
      <c r="A792" s="81"/>
      <c r="B792" s="81"/>
      <c r="C792" s="81"/>
      <c r="D792" s="143"/>
      <c r="E792" s="80"/>
      <c r="F792" s="91"/>
      <c r="G792" s="80"/>
      <c r="H792" s="80"/>
      <c r="I792" s="80"/>
      <c r="J792" s="80"/>
    </row>
    <row r="793" ht="22.5" customHeight="1">
      <c r="A793" s="81"/>
      <c r="B793" s="81"/>
      <c r="C793" s="81"/>
      <c r="D793" s="143"/>
      <c r="E793" s="80"/>
      <c r="F793" s="91"/>
      <c r="G793" s="80"/>
      <c r="H793" s="80"/>
      <c r="I793" s="80"/>
      <c r="J793" s="80"/>
    </row>
    <row r="794" ht="22.5" customHeight="1">
      <c r="A794" s="81"/>
      <c r="B794" s="81"/>
      <c r="C794" s="81"/>
      <c r="D794" s="143"/>
      <c r="E794" s="80"/>
      <c r="F794" s="91"/>
      <c r="G794" s="80"/>
      <c r="H794" s="80"/>
      <c r="I794" s="80"/>
      <c r="J794" s="80"/>
    </row>
    <row r="795" ht="22.5" customHeight="1">
      <c r="A795" s="81"/>
      <c r="B795" s="81"/>
      <c r="C795" s="81"/>
      <c r="D795" s="143"/>
      <c r="E795" s="80"/>
      <c r="F795" s="91"/>
      <c r="G795" s="80"/>
      <c r="H795" s="80"/>
      <c r="I795" s="80"/>
      <c r="J795" s="80"/>
    </row>
    <row r="796" ht="22.5" customHeight="1">
      <c r="A796" s="81"/>
      <c r="B796" s="81"/>
      <c r="C796" s="81"/>
      <c r="D796" s="143"/>
      <c r="E796" s="80"/>
      <c r="F796" s="91"/>
      <c r="G796" s="80"/>
      <c r="H796" s="80"/>
      <c r="I796" s="80"/>
      <c r="J796" s="80"/>
    </row>
    <row r="797" ht="22.5" customHeight="1">
      <c r="A797" s="81"/>
      <c r="B797" s="81"/>
      <c r="C797" s="81"/>
      <c r="D797" s="143"/>
      <c r="E797" s="80"/>
      <c r="F797" s="91"/>
      <c r="G797" s="80"/>
      <c r="H797" s="80"/>
      <c r="I797" s="80"/>
      <c r="J797" s="80"/>
    </row>
    <row r="798" ht="22.5" customHeight="1">
      <c r="A798" s="81"/>
      <c r="B798" s="81"/>
      <c r="C798" s="81"/>
      <c r="D798" s="143"/>
      <c r="E798" s="80"/>
      <c r="F798" s="91"/>
      <c r="G798" s="80"/>
      <c r="H798" s="80"/>
      <c r="I798" s="80"/>
      <c r="J798" s="80"/>
    </row>
    <row r="799" ht="22.5" customHeight="1">
      <c r="A799" s="81"/>
      <c r="B799" s="81"/>
      <c r="C799" s="81"/>
      <c r="D799" s="143"/>
      <c r="E799" s="80"/>
      <c r="F799" s="91"/>
      <c r="G799" s="80"/>
      <c r="H799" s="80"/>
      <c r="I799" s="80"/>
      <c r="J799" s="80"/>
    </row>
    <row r="800" ht="22.5" customHeight="1">
      <c r="A800" s="81"/>
      <c r="B800" s="81"/>
      <c r="C800" s="81"/>
      <c r="D800" s="143"/>
      <c r="E800" s="80"/>
      <c r="F800" s="91"/>
      <c r="G800" s="80"/>
      <c r="H800" s="80"/>
      <c r="I800" s="80"/>
      <c r="J800" s="80"/>
    </row>
    <row r="801" ht="22.5" customHeight="1">
      <c r="A801" s="81"/>
      <c r="B801" s="81"/>
      <c r="C801" s="81"/>
      <c r="D801" s="143"/>
      <c r="E801" s="80"/>
      <c r="F801" s="91"/>
      <c r="G801" s="80"/>
      <c r="H801" s="80"/>
      <c r="I801" s="80"/>
      <c r="J801" s="80"/>
    </row>
    <row r="802" ht="22.5" customHeight="1">
      <c r="A802" s="81"/>
      <c r="B802" s="81"/>
      <c r="C802" s="81"/>
      <c r="D802" s="143"/>
      <c r="E802" s="80"/>
      <c r="F802" s="91"/>
      <c r="G802" s="80"/>
      <c r="H802" s="80"/>
      <c r="I802" s="80"/>
      <c r="J802" s="80"/>
    </row>
    <row r="803" ht="22.5" customHeight="1">
      <c r="A803" s="81"/>
      <c r="B803" s="81"/>
      <c r="C803" s="81"/>
      <c r="D803" s="143"/>
      <c r="E803" s="80"/>
      <c r="F803" s="91"/>
      <c r="G803" s="80"/>
      <c r="H803" s="80"/>
      <c r="I803" s="80"/>
      <c r="J803" s="80"/>
    </row>
    <row r="804" ht="22.5" customHeight="1">
      <c r="A804" s="81"/>
      <c r="B804" s="81"/>
      <c r="C804" s="81"/>
      <c r="D804" s="143"/>
      <c r="E804" s="80"/>
      <c r="F804" s="91"/>
      <c r="G804" s="80"/>
      <c r="H804" s="80"/>
      <c r="I804" s="80"/>
      <c r="J804" s="80"/>
    </row>
    <row r="805" ht="22.5" customHeight="1">
      <c r="A805" s="81"/>
      <c r="B805" s="81"/>
      <c r="C805" s="81"/>
      <c r="D805" s="143"/>
      <c r="E805" s="80"/>
      <c r="F805" s="91"/>
      <c r="G805" s="80"/>
      <c r="H805" s="80"/>
      <c r="I805" s="80"/>
      <c r="J805" s="80"/>
    </row>
    <row r="806" ht="22.5" customHeight="1">
      <c r="A806" s="81"/>
      <c r="B806" s="81"/>
      <c r="C806" s="81"/>
      <c r="D806" s="143"/>
      <c r="E806" s="80"/>
      <c r="F806" s="91"/>
      <c r="G806" s="80"/>
      <c r="H806" s="80"/>
      <c r="I806" s="80"/>
      <c r="J806" s="80"/>
    </row>
    <row r="807" ht="22.5" customHeight="1">
      <c r="A807" s="81"/>
      <c r="B807" s="81"/>
      <c r="C807" s="81"/>
      <c r="D807" s="143"/>
      <c r="E807" s="80"/>
      <c r="F807" s="91"/>
      <c r="G807" s="80"/>
      <c r="H807" s="80"/>
      <c r="I807" s="80"/>
      <c r="J807" s="80"/>
    </row>
    <row r="808" ht="22.5" customHeight="1">
      <c r="A808" s="81"/>
      <c r="B808" s="81"/>
      <c r="C808" s="81"/>
      <c r="D808" s="143"/>
      <c r="E808" s="80"/>
      <c r="F808" s="91"/>
      <c r="G808" s="80"/>
      <c r="H808" s="80"/>
      <c r="I808" s="80"/>
      <c r="J808" s="80"/>
    </row>
    <row r="809" ht="22.5" customHeight="1">
      <c r="A809" s="81"/>
      <c r="B809" s="81"/>
      <c r="C809" s="81"/>
      <c r="D809" s="143"/>
      <c r="E809" s="80"/>
      <c r="F809" s="91"/>
      <c r="G809" s="80"/>
      <c r="H809" s="80"/>
      <c r="I809" s="80"/>
      <c r="J809" s="80"/>
    </row>
    <row r="810" ht="22.5" customHeight="1">
      <c r="A810" s="81"/>
      <c r="B810" s="81"/>
      <c r="C810" s="81"/>
      <c r="D810" s="143"/>
      <c r="E810" s="80"/>
      <c r="F810" s="91"/>
      <c r="G810" s="80"/>
      <c r="H810" s="80"/>
      <c r="I810" s="80"/>
      <c r="J810" s="80"/>
    </row>
    <row r="811" ht="22.5" customHeight="1">
      <c r="A811" s="81"/>
      <c r="B811" s="81"/>
      <c r="C811" s="81"/>
      <c r="D811" s="143"/>
      <c r="E811" s="80"/>
      <c r="F811" s="91"/>
      <c r="G811" s="80"/>
      <c r="H811" s="80"/>
      <c r="I811" s="80"/>
      <c r="J811" s="80"/>
    </row>
    <row r="812" ht="22.5" customHeight="1">
      <c r="A812" s="81"/>
      <c r="B812" s="81"/>
      <c r="C812" s="81"/>
      <c r="D812" s="143"/>
      <c r="E812" s="80"/>
      <c r="F812" s="91"/>
      <c r="G812" s="80"/>
      <c r="H812" s="80"/>
      <c r="I812" s="80"/>
      <c r="J812" s="80"/>
    </row>
    <row r="813" ht="22.5" customHeight="1">
      <c r="A813" s="81"/>
      <c r="B813" s="81"/>
      <c r="C813" s="81"/>
      <c r="D813" s="143"/>
      <c r="E813" s="80"/>
      <c r="F813" s="91"/>
      <c r="G813" s="80"/>
      <c r="H813" s="80"/>
      <c r="I813" s="80"/>
      <c r="J813" s="80"/>
    </row>
    <row r="814" ht="22.5" customHeight="1">
      <c r="A814" s="81"/>
      <c r="B814" s="81"/>
      <c r="C814" s="81"/>
      <c r="D814" s="143"/>
      <c r="E814" s="80"/>
      <c r="F814" s="91"/>
      <c r="G814" s="80"/>
      <c r="H814" s="80"/>
      <c r="I814" s="80"/>
      <c r="J814" s="80"/>
    </row>
    <row r="815" ht="22.5" customHeight="1">
      <c r="A815" s="81"/>
      <c r="B815" s="81"/>
      <c r="C815" s="81"/>
      <c r="D815" s="143"/>
      <c r="E815" s="80"/>
      <c r="F815" s="91"/>
      <c r="G815" s="80"/>
      <c r="H815" s="80"/>
      <c r="I815" s="80"/>
      <c r="J815" s="80"/>
    </row>
    <row r="816" ht="22.5" customHeight="1">
      <c r="A816" s="81"/>
      <c r="B816" s="81"/>
      <c r="C816" s="81"/>
      <c r="D816" s="143"/>
      <c r="E816" s="80"/>
      <c r="F816" s="91"/>
      <c r="G816" s="80"/>
      <c r="H816" s="80"/>
      <c r="I816" s="80"/>
      <c r="J816" s="80"/>
    </row>
    <row r="817" ht="22.5" customHeight="1">
      <c r="A817" s="81"/>
      <c r="B817" s="81"/>
      <c r="C817" s="81"/>
      <c r="D817" s="143"/>
      <c r="E817" s="80"/>
      <c r="F817" s="91"/>
      <c r="G817" s="80"/>
      <c r="H817" s="80"/>
      <c r="I817" s="80"/>
      <c r="J817" s="80"/>
    </row>
    <row r="818" ht="22.5" customHeight="1">
      <c r="A818" s="81"/>
      <c r="B818" s="81"/>
      <c r="C818" s="81"/>
      <c r="D818" s="143"/>
      <c r="E818" s="80"/>
      <c r="F818" s="91"/>
      <c r="G818" s="80"/>
      <c r="H818" s="80"/>
      <c r="I818" s="80"/>
      <c r="J818" s="80"/>
    </row>
    <row r="819" ht="22.5" customHeight="1">
      <c r="A819" s="81"/>
      <c r="B819" s="81"/>
      <c r="C819" s="81"/>
      <c r="D819" s="143"/>
      <c r="E819" s="80"/>
      <c r="F819" s="91"/>
      <c r="G819" s="80"/>
      <c r="H819" s="80"/>
      <c r="I819" s="80"/>
      <c r="J819" s="80"/>
    </row>
    <row r="820" ht="22.5" customHeight="1">
      <c r="A820" s="81"/>
      <c r="B820" s="81"/>
      <c r="C820" s="81"/>
      <c r="D820" s="143"/>
      <c r="E820" s="80"/>
      <c r="F820" s="91"/>
      <c r="G820" s="80"/>
      <c r="H820" s="80"/>
      <c r="I820" s="80"/>
      <c r="J820" s="80"/>
    </row>
    <row r="821" ht="22.5" customHeight="1">
      <c r="A821" s="81"/>
      <c r="B821" s="81"/>
      <c r="C821" s="81"/>
      <c r="D821" s="143"/>
      <c r="E821" s="80"/>
      <c r="F821" s="91"/>
      <c r="G821" s="80"/>
      <c r="H821" s="80"/>
      <c r="I821" s="80"/>
      <c r="J821" s="80"/>
    </row>
    <row r="822" ht="22.5" customHeight="1">
      <c r="A822" s="81"/>
      <c r="B822" s="81"/>
      <c r="C822" s="81"/>
      <c r="D822" s="143"/>
      <c r="E822" s="80"/>
      <c r="F822" s="91"/>
      <c r="G822" s="80"/>
      <c r="H822" s="80"/>
      <c r="I822" s="80"/>
      <c r="J822" s="80"/>
    </row>
    <row r="823" ht="22.5" customHeight="1">
      <c r="A823" s="81"/>
      <c r="B823" s="81"/>
      <c r="C823" s="81"/>
      <c r="D823" s="143"/>
      <c r="E823" s="80"/>
      <c r="F823" s="91"/>
      <c r="G823" s="80"/>
      <c r="H823" s="80"/>
      <c r="I823" s="80"/>
      <c r="J823" s="80"/>
    </row>
    <row r="824" ht="22.5" customHeight="1">
      <c r="A824" s="81"/>
      <c r="B824" s="81"/>
      <c r="C824" s="81"/>
      <c r="D824" s="143"/>
      <c r="E824" s="80"/>
      <c r="F824" s="91"/>
      <c r="G824" s="80"/>
      <c r="H824" s="80"/>
      <c r="I824" s="80"/>
      <c r="J824" s="80"/>
    </row>
    <row r="825" ht="22.5" customHeight="1">
      <c r="A825" s="81"/>
      <c r="B825" s="81"/>
      <c r="C825" s="81"/>
      <c r="D825" s="143"/>
      <c r="E825" s="80"/>
      <c r="F825" s="91"/>
      <c r="G825" s="80"/>
      <c r="H825" s="80"/>
      <c r="I825" s="80"/>
      <c r="J825" s="80"/>
    </row>
    <row r="826" ht="22.5" customHeight="1">
      <c r="A826" s="81"/>
      <c r="B826" s="81"/>
      <c r="C826" s="81"/>
      <c r="D826" s="143"/>
      <c r="E826" s="80"/>
      <c r="F826" s="91"/>
      <c r="G826" s="80"/>
      <c r="H826" s="80"/>
      <c r="I826" s="80"/>
      <c r="J826" s="80"/>
    </row>
    <row r="827" ht="22.5" customHeight="1">
      <c r="A827" s="81"/>
      <c r="B827" s="81"/>
      <c r="C827" s="81"/>
      <c r="D827" s="143"/>
      <c r="E827" s="80"/>
      <c r="F827" s="91"/>
      <c r="G827" s="80"/>
      <c r="H827" s="80"/>
      <c r="I827" s="80"/>
      <c r="J827" s="80"/>
    </row>
    <row r="828" ht="22.5" customHeight="1">
      <c r="A828" s="81"/>
      <c r="B828" s="81"/>
      <c r="C828" s="81"/>
      <c r="D828" s="143"/>
      <c r="E828" s="80"/>
      <c r="F828" s="91"/>
      <c r="G828" s="80"/>
      <c r="H828" s="80"/>
      <c r="I828" s="80"/>
      <c r="J828" s="80"/>
    </row>
    <row r="829" ht="22.5" customHeight="1">
      <c r="A829" s="81"/>
      <c r="B829" s="81"/>
      <c r="C829" s="81"/>
      <c r="D829" s="143"/>
      <c r="E829" s="80"/>
      <c r="F829" s="91"/>
      <c r="G829" s="80"/>
      <c r="H829" s="80"/>
      <c r="I829" s="80"/>
      <c r="J829" s="80"/>
    </row>
    <row r="830" ht="22.5" customHeight="1">
      <c r="A830" s="81"/>
      <c r="B830" s="81"/>
      <c r="C830" s="81"/>
      <c r="D830" s="143"/>
      <c r="E830" s="80"/>
      <c r="F830" s="91"/>
      <c r="G830" s="80"/>
      <c r="H830" s="80"/>
      <c r="I830" s="80"/>
      <c r="J830" s="80"/>
    </row>
    <row r="831" ht="22.5" customHeight="1">
      <c r="A831" s="81"/>
      <c r="B831" s="81"/>
      <c r="C831" s="81"/>
      <c r="D831" s="143"/>
      <c r="E831" s="80"/>
      <c r="F831" s="91"/>
      <c r="G831" s="80"/>
      <c r="H831" s="80"/>
      <c r="I831" s="80"/>
      <c r="J831" s="80"/>
    </row>
    <row r="832" ht="22.5" customHeight="1">
      <c r="A832" s="81"/>
      <c r="B832" s="81"/>
      <c r="C832" s="81"/>
      <c r="D832" s="143"/>
      <c r="E832" s="80"/>
      <c r="F832" s="91"/>
      <c r="G832" s="80"/>
      <c r="H832" s="80"/>
      <c r="I832" s="80"/>
      <c r="J832" s="80"/>
    </row>
    <row r="833" ht="22.5" customHeight="1">
      <c r="A833" s="81"/>
      <c r="B833" s="81"/>
      <c r="C833" s="81"/>
      <c r="D833" s="143"/>
      <c r="E833" s="80"/>
      <c r="F833" s="91"/>
      <c r="G833" s="80"/>
      <c r="H833" s="80"/>
      <c r="I833" s="80"/>
      <c r="J833" s="80"/>
    </row>
    <row r="834" ht="22.5" customHeight="1">
      <c r="A834" s="81"/>
      <c r="B834" s="81"/>
      <c r="C834" s="81"/>
      <c r="D834" s="143"/>
      <c r="E834" s="80"/>
      <c r="F834" s="91"/>
      <c r="G834" s="80"/>
      <c r="H834" s="80"/>
      <c r="I834" s="80"/>
      <c r="J834" s="80"/>
    </row>
    <row r="835" ht="22.5" customHeight="1">
      <c r="A835" s="81"/>
      <c r="B835" s="81"/>
      <c r="C835" s="81"/>
      <c r="D835" s="143"/>
      <c r="E835" s="80"/>
      <c r="F835" s="91"/>
      <c r="G835" s="80"/>
      <c r="H835" s="80"/>
      <c r="I835" s="80"/>
      <c r="J835" s="80"/>
    </row>
    <row r="836" ht="22.5" customHeight="1">
      <c r="A836" s="81"/>
      <c r="B836" s="81"/>
      <c r="C836" s="81"/>
      <c r="D836" s="143"/>
      <c r="E836" s="80"/>
      <c r="F836" s="91"/>
      <c r="G836" s="80"/>
      <c r="H836" s="80"/>
      <c r="I836" s="80"/>
      <c r="J836" s="80"/>
    </row>
    <row r="837" ht="22.5" customHeight="1">
      <c r="A837" s="81"/>
      <c r="B837" s="81"/>
      <c r="C837" s="81"/>
      <c r="D837" s="143"/>
      <c r="E837" s="80"/>
      <c r="F837" s="91"/>
      <c r="G837" s="80"/>
      <c r="H837" s="80"/>
      <c r="I837" s="80"/>
      <c r="J837" s="80"/>
    </row>
    <row r="838" ht="22.5" customHeight="1">
      <c r="A838" s="81"/>
      <c r="B838" s="81"/>
      <c r="C838" s="81"/>
      <c r="D838" s="143"/>
      <c r="E838" s="80"/>
      <c r="F838" s="91"/>
      <c r="G838" s="80"/>
      <c r="H838" s="80"/>
      <c r="I838" s="80"/>
      <c r="J838" s="80"/>
    </row>
    <row r="839" ht="22.5" customHeight="1">
      <c r="A839" s="81"/>
      <c r="B839" s="81"/>
      <c r="C839" s="81"/>
      <c r="D839" s="143"/>
      <c r="E839" s="80"/>
      <c r="F839" s="91"/>
      <c r="G839" s="80"/>
      <c r="H839" s="80"/>
      <c r="I839" s="80"/>
      <c r="J839" s="80"/>
    </row>
    <row r="840" ht="22.5" customHeight="1">
      <c r="A840" s="81"/>
      <c r="B840" s="81"/>
      <c r="C840" s="81"/>
      <c r="D840" s="143"/>
      <c r="E840" s="80"/>
      <c r="F840" s="91"/>
      <c r="G840" s="80"/>
      <c r="H840" s="80"/>
      <c r="I840" s="80"/>
      <c r="J840" s="80"/>
    </row>
    <row r="841" ht="22.5" customHeight="1">
      <c r="A841" s="81"/>
      <c r="B841" s="81"/>
      <c r="C841" s="81"/>
      <c r="D841" s="143"/>
      <c r="E841" s="80"/>
      <c r="F841" s="91"/>
      <c r="G841" s="80"/>
      <c r="H841" s="80"/>
      <c r="I841" s="80"/>
      <c r="J841" s="80"/>
    </row>
    <row r="842" ht="22.5" customHeight="1">
      <c r="A842" s="81"/>
      <c r="B842" s="81"/>
      <c r="C842" s="81"/>
      <c r="D842" s="143"/>
      <c r="E842" s="80"/>
      <c r="F842" s="91"/>
      <c r="G842" s="80"/>
      <c r="H842" s="80"/>
      <c r="I842" s="80"/>
      <c r="J842" s="80"/>
    </row>
    <row r="843" ht="22.5" customHeight="1">
      <c r="A843" s="81"/>
      <c r="B843" s="81"/>
      <c r="C843" s="81"/>
      <c r="D843" s="143"/>
      <c r="E843" s="80"/>
      <c r="F843" s="91"/>
      <c r="G843" s="80"/>
      <c r="H843" s="80"/>
      <c r="I843" s="80"/>
      <c r="J843" s="80"/>
    </row>
    <row r="844" ht="22.5" customHeight="1">
      <c r="A844" s="81"/>
      <c r="B844" s="81"/>
      <c r="C844" s="81"/>
      <c r="D844" s="143"/>
      <c r="E844" s="80"/>
      <c r="F844" s="91"/>
      <c r="G844" s="80"/>
      <c r="H844" s="80"/>
      <c r="I844" s="80"/>
      <c r="J844" s="80"/>
    </row>
    <row r="845" ht="22.5" customHeight="1">
      <c r="A845" s="81"/>
      <c r="B845" s="81"/>
      <c r="C845" s="81"/>
      <c r="D845" s="143"/>
      <c r="E845" s="80"/>
      <c r="F845" s="91"/>
      <c r="G845" s="80"/>
      <c r="H845" s="80"/>
      <c r="I845" s="80"/>
      <c r="J845" s="80"/>
    </row>
    <row r="846" ht="22.5" customHeight="1">
      <c r="A846" s="81"/>
      <c r="B846" s="81"/>
      <c r="C846" s="81"/>
      <c r="D846" s="143"/>
      <c r="E846" s="80"/>
      <c r="F846" s="91"/>
      <c r="G846" s="80"/>
      <c r="H846" s="80"/>
      <c r="I846" s="80"/>
      <c r="J846" s="80"/>
    </row>
    <row r="847" ht="22.5" customHeight="1">
      <c r="A847" s="81"/>
      <c r="B847" s="81"/>
      <c r="C847" s="81"/>
      <c r="D847" s="143"/>
      <c r="E847" s="80"/>
      <c r="F847" s="91"/>
      <c r="G847" s="80"/>
      <c r="H847" s="80"/>
      <c r="I847" s="80"/>
      <c r="J847" s="80"/>
    </row>
    <row r="848" ht="22.5" customHeight="1">
      <c r="A848" s="81"/>
      <c r="B848" s="81"/>
      <c r="C848" s="81"/>
      <c r="D848" s="143"/>
      <c r="E848" s="80"/>
      <c r="F848" s="91"/>
      <c r="G848" s="80"/>
      <c r="H848" s="80"/>
      <c r="I848" s="80"/>
      <c r="J848" s="80"/>
    </row>
    <row r="849" ht="22.5" customHeight="1">
      <c r="A849" s="81"/>
      <c r="B849" s="81"/>
      <c r="C849" s="81"/>
      <c r="D849" s="143"/>
      <c r="E849" s="80"/>
      <c r="F849" s="91"/>
      <c r="G849" s="80"/>
      <c r="H849" s="80"/>
      <c r="I849" s="80"/>
      <c r="J849" s="80"/>
    </row>
    <row r="850" ht="22.5" customHeight="1">
      <c r="A850" s="81"/>
      <c r="B850" s="81"/>
      <c r="C850" s="81"/>
      <c r="D850" s="143"/>
      <c r="E850" s="80"/>
      <c r="F850" s="91"/>
      <c r="G850" s="80"/>
      <c r="H850" s="80"/>
      <c r="I850" s="80"/>
      <c r="J850" s="80"/>
    </row>
    <row r="851" ht="22.5" customHeight="1">
      <c r="A851" s="81"/>
      <c r="B851" s="81"/>
      <c r="C851" s="81"/>
      <c r="D851" s="143"/>
      <c r="E851" s="80"/>
      <c r="F851" s="91"/>
      <c r="G851" s="80"/>
      <c r="H851" s="80"/>
      <c r="I851" s="80"/>
      <c r="J851" s="80"/>
    </row>
    <row r="852" ht="22.5" customHeight="1">
      <c r="A852" s="81"/>
      <c r="B852" s="81"/>
      <c r="C852" s="81"/>
      <c r="D852" s="143"/>
      <c r="E852" s="80"/>
      <c r="F852" s="91"/>
      <c r="G852" s="80"/>
      <c r="H852" s="80"/>
      <c r="I852" s="80"/>
      <c r="J852" s="80"/>
    </row>
    <row r="853" ht="22.5" customHeight="1">
      <c r="A853" s="81"/>
      <c r="B853" s="81"/>
      <c r="C853" s="81"/>
      <c r="D853" s="143"/>
      <c r="E853" s="80"/>
      <c r="F853" s="91"/>
      <c r="G853" s="80"/>
      <c r="H853" s="80"/>
      <c r="I853" s="80"/>
      <c r="J853" s="80"/>
    </row>
    <row r="854" ht="22.5" customHeight="1">
      <c r="A854" s="81"/>
      <c r="B854" s="81"/>
      <c r="C854" s="81"/>
      <c r="D854" s="143"/>
      <c r="E854" s="80"/>
      <c r="F854" s="91"/>
      <c r="G854" s="80"/>
      <c r="H854" s="80"/>
      <c r="I854" s="80"/>
      <c r="J854" s="80"/>
    </row>
    <row r="855" ht="22.5" customHeight="1">
      <c r="A855" s="81"/>
      <c r="B855" s="81"/>
      <c r="C855" s="81"/>
      <c r="D855" s="143"/>
      <c r="E855" s="80"/>
      <c r="F855" s="91"/>
      <c r="G855" s="80"/>
      <c r="H855" s="80"/>
      <c r="I855" s="80"/>
      <c r="J855" s="80"/>
    </row>
    <row r="856" ht="22.5" customHeight="1">
      <c r="A856" s="81"/>
      <c r="B856" s="81"/>
      <c r="C856" s="81"/>
      <c r="D856" s="143"/>
      <c r="E856" s="80"/>
      <c r="F856" s="91"/>
      <c r="G856" s="80"/>
      <c r="H856" s="80"/>
      <c r="I856" s="80"/>
      <c r="J856" s="80"/>
    </row>
    <row r="857" ht="22.5" customHeight="1">
      <c r="A857" s="81"/>
      <c r="B857" s="81"/>
      <c r="C857" s="81"/>
      <c r="D857" s="143"/>
      <c r="E857" s="80"/>
      <c r="F857" s="91"/>
      <c r="G857" s="80"/>
      <c r="H857" s="80"/>
      <c r="I857" s="80"/>
      <c r="J857" s="80"/>
    </row>
    <row r="858" ht="22.5" customHeight="1">
      <c r="A858" s="81"/>
      <c r="B858" s="81"/>
      <c r="C858" s="81"/>
      <c r="D858" s="143"/>
      <c r="E858" s="80"/>
      <c r="F858" s="91"/>
      <c r="G858" s="80"/>
      <c r="H858" s="80"/>
      <c r="I858" s="80"/>
      <c r="J858" s="80"/>
    </row>
    <row r="859" ht="22.5" customHeight="1">
      <c r="A859" s="81"/>
      <c r="B859" s="81"/>
      <c r="C859" s="81"/>
      <c r="D859" s="143"/>
      <c r="E859" s="80"/>
      <c r="F859" s="91"/>
      <c r="G859" s="80"/>
      <c r="H859" s="80"/>
      <c r="I859" s="80"/>
      <c r="J859" s="80"/>
    </row>
    <row r="860" ht="22.5" customHeight="1">
      <c r="A860" s="81"/>
      <c r="B860" s="81"/>
      <c r="C860" s="81"/>
      <c r="D860" s="143"/>
      <c r="E860" s="80"/>
      <c r="F860" s="91"/>
      <c r="G860" s="80"/>
      <c r="H860" s="80"/>
      <c r="I860" s="80"/>
      <c r="J860" s="80"/>
    </row>
    <row r="861" ht="22.5" customHeight="1">
      <c r="A861" s="81"/>
      <c r="B861" s="81"/>
      <c r="C861" s="81"/>
      <c r="D861" s="143"/>
      <c r="E861" s="80"/>
      <c r="F861" s="91"/>
      <c r="G861" s="80"/>
      <c r="H861" s="80"/>
      <c r="I861" s="80"/>
      <c r="J861" s="80"/>
    </row>
    <row r="862" ht="22.5" customHeight="1">
      <c r="A862" s="81"/>
      <c r="B862" s="81"/>
      <c r="C862" s="81"/>
      <c r="D862" s="143"/>
      <c r="E862" s="80"/>
      <c r="F862" s="91"/>
      <c r="G862" s="80"/>
      <c r="H862" s="80"/>
      <c r="I862" s="80"/>
      <c r="J862" s="80"/>
    </row>
    <row r="863" ht="22.5" customHeight="1">
      <c r="A863" s="81"/>
      <c r="B863" s="81"/>
      <c r="C863" s="81"/>
      <c r="D863" s="143"/>
      <c r="E863" s="80"/>
      <c r="F863" s="91"/>
      <c r="G863" s="80"/>
      <c r="H863" s="80"/>
      <c r="I863" s="80"/>
      <c r="J863" s="80"/>
    </row>
    <row r="864" ht="22.5" customHeight="1">
      <c r="A864" s="81"/>
      <c r="B864" s="81"/>
      <c r="C864" s="81"/>
      <c r="D864" s="143"/>
      <c r="E864" s="80"/>
      <c r="F864" s="91"/>
      <c r="G864" s="80"/>
      <c r="H864" s="80"/>
      <c r="I864" s="80"/>
      <c r="J864" s="80"/>
    </row>
    <row r="865" ht="22.5" customHeight="1">
      <c r="A865" s="81"/>
      <c r="B865" s="81"/>
      <c r="C865" s="81"/>
      <c r="D865" s="143"/>
      <c r="E865" s="80"/>
      <c r="F865" s="91"/>
      <c r="G865" s="80"/>
      <c r="H865" s="80"/>
      <c r="I865" s="80"/>
      <c r="J865" s="80"/>
    </row>
    <row r="866" ht="22.5" customHeight="1">
      <c r="A866" s="81"/>
      <c r="B866" s="81"/>
      <c r="C866" s="81"/>
      <c r="D866" s="143"/>
      <c r="E866" s="80"/>
      <c r="F866" s="91"/>
      <c r="G866" s="80"/>
      <c r="H866" s="80"/>
      <c r="I866" s="80"/>
      <c r="J866" s="80"/>
    </row>
    <row r="867" ht="22.5" customHeight="1">
      <c r="A867" s="81"/>
      <c r="B867" s="81"/>
      <c r="C867" s="81"/>
      <c r="D867" s="143"/>
      <c r="E867" s="80"/>
      <c r="F867" s="91"/>
      <c r="G867" s="80"/>
      <c r="H867" s="80"/>
      <c r="I867" s="80"/>
      <c r="J867" s="80"/>
    </row>
    <row r="868" ht="22.5" customHeight="1">
      <c r="A868" s="81"/>
      <c r="B868" s="81"/>
      <c r="C868" s="81"/>
      <c r="D868" s="143"/>
      <c r="E868" s="80"/>
      <c r="F868" s="91"/>
      <c r="G868" s="80"/>
      <c r="H868" s="80"/>
      <c r="I868" s="80"/>
      <c r="J868" s="80"/>
    </row>
    <row r="869" ht="22.5" customHeight="1">
      <c r="A869" s="81"/>
      <c r="B869" s="81"/>
      <c r="C869" s="81"/>
      <c r="D869" s="143"/>
      <c r="E869" s="80"/>
      <c r="F869" s="91"/>
      <c r="G869" s="80"/>
      <c r="H869" s="80"/>
      <c r="I869" s="80"/>
      <c r="J869" s="80"/>
    </row>
    <row r="870" ht="22.5" customHeight="1">
      <c r="A870" s="81"/>
      <c r="B870" s="81"/>
      <c r="C870" s="81"/>
      <c r="D870" s="143"/>
      <c r="E870" s="80"/>
      <c r="F870" s="91"/>
      <c r="G870" s="80"/>
      <c r="H870" s="80"/>
      <c r="I870" s="80"/>
      <c r="J870" s="80"/>
    </row>
    <row r="871" ht="22.5" customHeight="1">
      <c r="A871" s="81"/>
      <c r="B871" s="81"/>
      <c r="C871" s="81"/>
      <c r="D871" s="143"/>
      <c r="E871" s="80"/>
      <c r="F871" s="91"/>
      <c r="G871" s="80"/>
      <c r="H871" s="80"/>
      <c r="I871" s="80"/>
      <c r="J871" s="80"/>
    </row>
    <row r="872" ht="22.5" customHeight="1">
      <c r="A872" s="81"/>
      <c r="B872" s="81"/>
      <c r="C872" s="81"/>
      <c r="D872" s="143"/>
      <c r="E872" s="80"/>
      <c r="F872" s="91"/>
      <c r="G872" s="80"/>
      <c r="H872" s="80"/>
      <c r="I872" s="80"/>
      <c r="J872" s="80"/>
    </row>
    <row r="873" ht="22.5" customHeight="1">
      <c r="A873" s="81"/>
      <c r="B873" s="81"/>
      <c r="C873" s="81"/>
      <c r="D873" s="143"/>
      <c r="E873" s="80"/>
      <c r="F873" s="91"/>
      <c r="G873" s="80"/>
      <c r="H873" s="80"/>
      <c r="I873" s="80"/>
      <c r="J873" s="80"/>
    </row>
    <row r="874" ht="22.5" customHeight="1">
      <c r="A874" s="81"/>
      <c r="B874" s="81"/>
      <c r="C874" s="81"/>
      <c r="D874" s="143"/>
      <c r="E874" s="80"/>
      <c r="F874" s="91"/>
      <c r="G874" s="80"/>
      <c r="H874" s="80"/>
      <c r="I874" s="80"/>
      <c r="J874" s="80"/>
    </row>
    <row r="875" ht="22.5" customHeight="1">
      <c r="A875" s="81"/>
      <c r="B875" s="81"/>
      <c r="C875" s="81"/>
      <c r="D875" s="143"/>
      <c r="E875" s="80"/>
      <c r="F875" s="91"/>
      <c r="G875" s="80"/>
      <c r="H875" s="80"/>
      <c r="I875" s="80"/>
      <c r="J875" s="80"/>
    </row>
    <row r="876" ht="22.5" customHeight="1">
      <c r="A876" s="81"/>
      <c r="B876" s="81"/>
      <c r="C876" s="81"/>
      <c r="D876" s="143"/>
      <c r="E876" s="80"/>
      <c r="F876" s="91"/>
      <c r="G876" s="80"/>
      <c r="H876" s="80"/>
      <c r="I876" s="80"/>
      <c r="J876" s="80"/>
    </row>
    <row r="877" ht="22.5" customHeight="1">
      <c r="A877" s="81"/>
      <c r="B877" s="81"/>
      <c r="C877" s="81"/>
      <c r="D877" s="143"/>
      <c r="E877" s="80"/>
      <c r="F877" s="91"/>
      <c r="G877" s="80"/>
      <c r="H877" s="80"/>
      <c r="I877" s="80"/>
      <c r="J877" s="80"/>
    </row>
    <row r="878" ht="22.5" customHeight="1">
      <c r="A878" s="81"/>
      <c r="B878" s="81"/>
      <c r="C878" s="81"/>
      <c r="D878" s="143"/>
      <c r="E878" s="80"/>
      <c r="F878" s="91"/>
      <c r="G878" s="80"/>
      <c r="H878" s="80"/>
      <c r="I878" s="80"/>
      <c r="J878" s="80"/>
    </row>
    <row r="879" ht="22.5" customHeight="1">
      <c r="A879" s="81"/>
      <c r="B879" s="81"/>
      <c r="C879" s="81"/>
      <c r="D879" s="143"/>
      <c r="E879" s="80"/>
      <c r="F879" s="91"/>
      <c r="G879" s="80"/>
      <c r="H879" s="80"/>
      <c r="I879" s="80"/>
      <c r="J879" s="80"/>
    </row>
    <row r="880" ht="22.5" customHeight="1">
      <c r="A880" s="81"/>
      <c r="B880" s="81"/>
      <c r="C880" s="81"/>
      <c r="D880" s="143"/>
      <c r="E880" s="80"/>
      <c r="F880" s="91"/>
      <c r="G880" s="80"/>
      <c r="H880" s="80"/>
      <c r="I880" s="80"/>
      <c r="J880" s="80"/>
    </row>
    <row r="881" ht="22.5" customHeight="1">
      <c r="A881" s="81"/>
      <c r="B881" s="81"/>
      <c r="C881" s="81"/>
      <c r="D881" s="143"/>
      <c r="E881" s="80"/>
      <c r="F881" s="91"/>
      <c r="G881" s="80"/>
      <c r="H881" s="80"/>
      <c r="I881" s="80"/>
      <c r="J881" s="80"/>
    </row>
    <row r="882" ht="22.5" customHeight="1">
      <c r="A882" s="81"/>
      <c r="B882" s="81"/>
      <c r="C882" s="81"/>
      <c r="D882" s="143"/>
      <c r="E882" s="80"/>
      <c r="F882" s="91"/>
      <c r="G882" s="80"/>
      <c r="H882" s="80"/>
      <c r="I882" s="80"/>
      <c r="J882" s="80"/>
    </row>
    <row r="883" ht="22.5" customHeight="1">
      <c r="A883" s="81"/>
      <c r="B883" s="81"/>
      <c r="C883" s="81"/>
      <c r="D883" s="143"/>
      <c r="E883" s="80"/>
      <c r="F883" s="91"/>
      <c r="G883" s="80"/>
      <c r="H883" s="80"/>
      <c r="I883" s="80"/>
      <c r="J883" s="80"/>
    </row>
    <row r="884" ht="22.5" customHeight="1">
      <c r="A884" s="81"/>
      <c r="B884" s="81"/>
      <c r="C884" s="81"/>
      <c r="D884" s="143"/>
      <c r="E884" s="80"/>
      <c r="F884" s="91"/>
      <c r="G884" s="80"/>
      <c r="H884" s="80"/>
      <c r="I884" s="80"/>
      <c r="J884" s="80"/>
    </row>
    <row r="885" ht="22.5" customHeight="1">
      <c r="A885" s="81"/>
      <c r="B885" s="81"/>
      <c r="C885" s="81"/>
      <c r="D885" s="143"/>
      <c r="E885" s="80"/>
      <c r="F885" s="91"/>
      <c r="G885" s="80"/>
      <c r="H885" s="80"/>
      <c r="I885" s="80"/>
      <c r="J885" s="80"/>
    </row>
    <row r="886" ht="22.5" customHeight="1">
      <c r="A886" s="81"/>
      <c r="B886" s="81"/>
      <c r="C886" s="81"/>
      <c r="D886" s="143"/>
      <c r="E886" s="80"/>
      <c r="F886" s="91"/>
      <c r="G886" s="80"/>
      <c r="H886" s="80"/>
      <c r="I886" s="80"/>
      <c r="J886" s="80"/>
    </row>
    <row r="887" ht="22.5" customHeight="1">
      <c r="A887" s="81"/>
      <c r="B887" s="81"/>
      <c r="C887" s="81"/>
      <c r="D887" s="143"/>
      <c r="E887" s="80"/>
      <c r="F887" s="91"/>
      <c r="G887" s="80"/>
      <c r="H887" s="80"/>
      <c r="I887" s="80"/>
      <c r="J887" s="80"/>
    </row>
    <row r="888" ht="22.5" customHeight="1">
      <c r="A888" s="81"/>
      <c r="B888" s="81"/>
      <c r="C888" s="81"/>
      <c r="D888" s="143"/>
      <c r="E888" s="80"/>
      <c r="F888" s="91"/>
      <c r="G888" s="80"/>
      <c r="H888" s="80"/>
      <c r="I888" s="80"/>
      <c r="J888" s="80"/>
    </row>
    <row r="889" ht="22.5" customHeight="1">
      <c r="A889" s="81"/>
      <c r="B889" s="81"/>
      <c r="C889" s="81"/>
      <c r="D889" s="143"/>
      <c r="E889" s="80"/>
      <c r="F889" s="91"/>
      <c r="G889" s="80"/>
      <c r="H889" s="80"/>
      <c r="I889" s="80"/>
      <c r="J889" s="80"/>
    </row>
    <row r="890" ht="22.5" customHeight="1">
      <c r="A890" s="81"/>
      <c r="B890" s="81"/>
      <c r="C890" s="81"/>
      <c r="D890" s="143"/>
      <c r="E890" s="80"/>
      <c r="F890" s="91"/>
      <c r="G890" s="80"/>
      <c r="H890" s="80"/>
      <c r="I890" s="80"/>
      <c r="J890" s="80"/>
    </row>
    <row r="891" ht="22.5" customHeight="1">
      <c r="A891" s="81"/>
      <c r="B891" s="81"/>
      <c r="C891" s="81"/>
      <c r="D891" s="143"/>
      <c r="E891" s="80"/>
      <c r="F891" s="91"/>
      <c r="G891" s="80"/>
      <c r="H891" s="80"/>
      <c r="I891" s="80"/>
      <c r="J891" s="80"/>
    </row>
    <row r="892" ht="22.5" customHeight="1">
      <c r="A892" s="81"/>
      <c r="B892" s="81"/>
      <c r="C892" s="81"/>
      <c r="D892" s="143"/>
      <c r="E892" s="80"/>
      <c r="F892" s="91"/>
      <c r="G892" s="80"/>
      <c r="H892" s="80"/>
      <c r="I892" s="80"/>
      <c r="J892" s="80"/>
    </row>
    <row r="893" ht="22.5" customHeight="1">
      <c r="A893" s="81"/>
      <c r="B893" s="81"/>
      <c r="C893" s="81"/>
      <c r="D893" s="143"/>
      <c r="E893" s="80"/>
      <c r="F893" s="91"/>
      <c r="G893" s="80"/>
      <c r="H893" s="80"/>
      <c r="I893" s="80"/>
      <c r="J893" s="80"/>
    </row>
    <row r="894" ht="22.5" customHeight="1">
      <c r="A894" s="81"/>
      <c r="B894" s="81"/>
      <c r="C894" s="81"/>
      <c r="D894" s="143"/>
      <c r="E894" s="80"/>
      <c r="F894" s="91"/>
      <c r="G894" s="80"/>
      <c r="H894" s="80"/>
      <c r="I894" s="80"/>
      <c r="J894" s="80"/>
    </row>
    <row r="895" ht="22.5" customHeight="1">
      <c r="A895" s="81"/>
      <c r="B895" s="81"/>
      <c r="C895" s="81"/>
      <c r="D895" s="143"/>
      <c r="E895" s="80"/>
      <c r="F895" s="91"/>
      <c r="G895" s="80"/>
      <c r="H895" s="80"/>
      <c r="I895" s="80"/>
      <c r="J895" s="80"/>
    </row>
    <row r="896" ht="22.5" customHeight="1">
      <c r="A896" s="81"/>
      <c r="B896" s="81"/>
      <c r="C896" s="81"/>
      <c r="D896" s="143"/>
      <c r="E896" s="80"/>
      <c r="F896" s="91"/>
      <c r="G896" s="80"/>
      <c r="H896" s="80"/>
      <c r="I896" s="80"/>
      <c r="J896" s="80"/>
    </row>
    <row r="897" ht="22.5" customHeight="1">
      <c r="A897" s="81"/>
      <c r="B897" s="81"/>
      <c r="C897" s="81"/>
      <c r="D897" s="143"/>
      <c r="E897" s="80"/>
      <c r="F897" s="91"/>
      <c r="G897" s="80"/>
      <c r="H897" s="80"/>
      <c r="I897" s="80"/>
      <c r="J897" s="80"/>
    </row>
    <row r="898" ht="22.5" customHeight="1">
      <c r="A898" s="81"/>
      <c r="B898" s="81"/>
      <c r="C898" s="81"/>
      <c r="D898" s="143"/>
      <c r="E898" s="80"/>
      <c r="F898" s="91"/>
      <c r="G898" s="80"/>
      <c r="H898" s="80"/>
      <c r="I898" s="80"/>
      <c r="J898" s="80"/>
    </row>
    <row r="899" ht="22.5" customHeight="1">
      <c r="A899" s="81"/>
      <c r="B899" s="81"/>
      <c r="C899" s="81"/>
      <c r="D899" s="143"/>
      <c r="E899" s="80"/>
      <c r="F899" s="91"/>
      <c r="G899" s="80"/>
      <c r="H899" s="80"/>
      <c r="I899" s="80"/>
      <c r="J899" s="80"/>
    </row>
    <row r="900" ht="22.5" customHeight="1">
      <c r="A900" s="81"/>
      <c r="B900" s="81"/>
      <c r="C900" s="81"/>
      <c r="D900" s="143"/>
      <c r="E900" s="80"/>
      <c r="F900" s="91"/>
      <c r="G900" s="80"/>
      <c r="H900" s="80"/>
      <c r="I900" s="80"/>
      <c r="J900" s="80"/>
    </row>
    <row r="901" ht="22.5" customHeight="1">
      <c r="A901" s="81"/>
      <c r="B901" s="81"/>
      <c r="C901" s="81"/>
      <c r="D901" s="143"/>
      <c r="E901" s="80"/>
      <c r="F901" s="91"/>
      <c r="G901" s="80"/>
      <c r="H901" s="80"/>
      <c r="I901" s="80"/>
      <c r="J901" s="80"/>
    </row>
    <row r="902" ht="22.5" customHeight="1">
      <c r="A902" s="81"/>
      <c r="B902" s="81"/>
      <c r="C902" s="81"/>
      <c r="D902" s="143"/>
      <c r="E902" s="80"/>
      <c r="F902" s="91"/>
      <c r="G902" s="80"/>
      <c r="H902" s="80"/>
      <c r="I902" s="80"/>
      <c r="J902" s="80"/>
    </row>
    <row r="903" ht="22.5" customHeight="1">
      <c r="A903" s="81"/>
      <c r="B903" s="81"/>
      <c r="C903" s="81"/>
      <c r="D903" s="143"/>
      <c r="E903" s="80"/>
      <c r="F903" s="91"/>
      <c r="G903" s="80"/>
      <c r="H903" s="80"/>
      <c r="I903" s="80"/>
      <c r="J903" s="80"/>
    </row>
    <row r="904" ht="22.5" customHeight="1">
      <c r="A904" s="81"/>
      <c r="B904" s="81"/>
      <c r="C904" s="81"/>
      <c r="D904" s="143"/>
      <c r="E904" s="80"/>
      <c r="F904" s="91"/>
      <c r="G904" s="80"/>
      <c r="H904" s="80"/>
      <c r="I904" s="80"/>
      <c r="J904" s="80"/>
    </row>
    <row r="905" ht="22.5" customHeight="1">
      <c r="A905" s="81"/>
      <c r="B905" s="81"/>
      <c r="C905" s="81"/>
      <c r="D905" s="143"/>
      <c r="E905" s="80"/>
      <c r="F905" s="91"/>
      <c r="G905" s="80"/>
      <c r="H905" s="80"/>
      <c r="I905" s="80"/>
      <c r="J905" s="80"/>
    </row>
    <row r="906" ht="22.5" customHeight="1">
      <c r="A906" s="81"/>
      <c r="B906" s="81"/>
      <c r="C906" s="81"/>
      <c r="D906" s="143"/>
      <c r="E906" s="80"/>
      <c r="F906" s="91"/>
      <c r="G906" s="80"/>
      <c r="H906" s="80"/>
      <c r="I906" s="80"/>
      <c r="J906" s="80"/>
    </row>
    <row r="907" ht="22.5" customHeight="1">
      <c r="A907" s="81"/>
      <c r="B907" s="81"/>
      <c r="C907" s="81"/>
      <c r="D907" s="143"/>
      <c r="E907" s="80"/>
      <c r="F907" s="91"/>
      <c r="G907" s="80"/>
      <c r="H907" s="80"/>
      <c r="I907" s="80"/>
      <c r="J907" s="80"/>
    </row>
    <row r="908" ht="22.5" customHeight="1">
      <c r="A908" s="81"/>
      <c r="B908" s="81"/>
      <c r="C908" s="81"/>
      <c r="D908" s="143"/>
      <c r="E908" s="80"/>
      <c r="F908" s="91"/>
      <c r="G908" s="80"/>
      <c r="H908" s="80"/>
      <c r="I908" s="80"/>
      <c r="J908" s="80"/>
    </row>
    <row r="909" ht="22.5" customHeight="1">
      <c r="A909" s="81"/>
      <c r="B909" s="81"/>
      <c r="C909" s="81"/>
      <c r="D909" s="143"/>
      <c r="E909" s="80"/>
      <c r="F909" s="91"/>
      <c r="G909" s="80"/>
      <c r="H909" s="80"/>
      <c r="I909" s="80"/>
      <c r="J909" s="80"/>
    </row>
    <row r="910" ht="22.5" customHeight="1">
      <c r="A910" s="81"/>
      <c r="B910" s="81"/>
      <c r="C910" s="81"/>
      <c r="D910" s="143"/>
      <c r="E910" s="80"/>
      <c r="F910" s="91"/>
      <c r="G910" s="80"/>
      <c r="H910" s="80"/>
      <c r="I910" s="80"/>
      <c r="J910" s="80"/>
    </row>
    <row r="911" ht="22.5" customHeight="1">
      <c r="A911" s="81"/>
      <c r="B911" s="81"/>
      <c r="C911" s="81"/>
      <c r="D911" s="143"/>
      <c r="E911" s="80"/>
      <c r="F911" s="91"/>
      <c r="G911" s="80"/>
      <c r="H911" s="80"/>
      <c r="I911" s="80"/>
      <c r="J911" s="80"/>
    </row>
    <row r="912" ht="22.5" customHeight="1">
      <c r="A912" s="81"/>
      <c r="B912" s="81"/>
      <c r="C912" s="81"/>
      <c r="D912" s="143"/>
      <c r="E912" s="80"/>
      <c r="F912" s="91"/>
      <c r="G912" s="80"/>
      <c r="H912" s="80"/>
      <c r="I912" s="80"/>
      <c r="J912" s="80"/>
    </row>
    <row r="913" ht="22.5" customHeight="1">
      <c r="A913" s="81"/>
      <c r="B913" s="81"/>
      <c r="C913" s="81"/>
      <c r="D913" s="143"/>
      <c r="E913" s="80"/>
      <c r="F913" s="91"/>
      <c r="G913" s="80"/>
      <c r="H913" s="80"/>
      <c r="I913" s="80"/>
      <c r="J913" s="80"/>
    </row>
    <row r="914" ht="22.5" customHeight="1">
      <c r="A914" s="81"/>
      <c r="B914" s="81"/>
      <c r="C914" s="81"/>
      <c r="D914" s="143"/>
      <c r="E914" s="80"/>
      <c r="F914" s="91"/>
      <c r="G914" s="80"/>
      <c r="H914" s="80"/>
      <c r="I914" s="80"/>
      <c r="J914" s="80"/>
    </row>
    <row r="915" ht="22.5" customHeight="1">
      <c r="A915" s="81"/>
      <c r="B915" s="81"/>
      <c r="C915" s="81"/>
      <c r="D915" s="143"/>
      <c r="E915" s="80"/>
      <c r="F915" s="91"/>
      <c r="G915" s="80"/>
      <c r="H915" s="80"/>
      <c r="I915" s="80"/>
      <c r="J915" s="80"/>
    </row>
    <row r="916" ht="22.5" customHeight="1">
      <c r="A916" s="81"/>
      <c r="B916" s="81"/>
      <c r="C916" s="81"/>
      <c r="D916" s="143"/>
      <c r="E916" s="80"/>
      <c r="F916" s="91"/>
      <c r="G916" s="80"/>
      <c r="H916" s="80"/>
      <c r="I916" s="80"/>
      <c r="J916" s="80"/>
    </row>
    <row r="917" ht="22.5" customHeight="1">
      <c r="A917" s="81"/>
      <c r="B917" s="81"/>
      <c r="C917" s="81"/>
      <c r="D917" s="143"/>
      <c r="E917" s="80"/>
      <c r="F917" s="91"/>
      <c r="G917" s="80"/>
      <c r="H917" s="80"/>
      <c r="I917" s="80"/>
      <c r="J917" s="80"/>
    </row>
    <row r="918" ht="22.5" customHeight="1">
      <c r="A918" s="81"/>
      <c r="B918" s="81"/>
      <c r="C918" s="81"/>
      <c r="D918" s="143"/>
      <c r="E918" s="80"/>
      <c r="F918" s="91"/>
      <c r="G918" s="80"/>
      <c r="H918" s="80"/>
      <c r="I918" s="80"/>
      <c r="J918" s="80"/>
    </row>
    <row r="919" ht="22.5" customHeight="1">
      <c r="A919" s="81"/>
      <c r="B919" s="81"/>
      <c r="C919" s="81"/>
      <c r="D919" s="143"/>
      <c r="E919" s="80"/>
      <c r="F919" s="91"/>
      <c r="G919" s="80"/>
      <c r="H919" s="80"/>
      <c r="I919" s="80"/>
      <c r="J919" s="80"/>
    </row>
    <row r="920" ht="22.5" customHeight="1">
      <c r="A920" s="81"/>
      <c r="B920" s="81"/>
      <c r="C920" s="81"/>
      <c r="D920" s="143"/>
      <c r="E920" s="80"/>
      <c r="F920" s="91"/>
      <c r="G920" s="80"/>
      <c r="H920" s="80"/>
      <c r="I920" s="80"/>
      <c r="J920" s="80"/>
    </row>
    <row r="921" ht="22.5" customHeight="1">
      <c r="A921" s="81"/>
      <c r="B921" s="81"/>
      <c r="C921" s="81"/>
      <c r="D921" s="143"/>
      <c r="E921" s="80"/>
      <c r="F921" s="91"/>
      <c r="G921" s="80"/>
      <c r="H921" s="80"/>
      <c r="I921" s="80"/>
      <c r="J921" s="80"/>
    </row>
    <row r="922" ht="22.5" customHeight="1">
      <c r="A922" s="81"/>
      <c r="B922" s="81"/>
      <c r="C922" s="81"/>
      <c r="D922" s="143"/>
      <c r="E922" s="80"/>
      <c r="F922" s="91"/>
      <c r="G922" s="80"/>
      <c r="H922" s="80"/>
      <c r="I922" s="80"/>
      <c r="J922" s="80"/>
    </row>
    <row r="923" ht="22.5" customHeight="1">
      <c r="A923" s="81"/>
      <c r="B923" s="81"/>
      <c r="C923" s="81"/>
      <c r="D923" s="143"/>
      <c r="E923" s="80"/>
      <c r="F923" s="91"/>
      <c r="G923" s="80"/>
      <c r="H923" s="80"/>
      <c r="I923" s="80"/>
      <c r="J923" s="80"/>
    </row>
    <row r="924" ht="22.5" customHeight="1">
      <c r="A924" s="81"/>
      <c r="B924" s="81"/>
      <c r="C924" s="81"/>
      <c r="D924" s="143"/>
      <c r="E924" s="80"/>
      <c r="F924" s="91"/>
      <c r="G924" s="80"/>
      <c r="H924" s="80"/>
      <c r="I924" s="80"/>
      <c r="J924" s="80"/>
    </row>
    <row r="925" ht="22.5" customHeight="1">
      <c r="A925" s="81"/>
      <c r="B925" s="81"/>
      <c r="C925" s="81"/>
      <c r="D925" s="143"/>
      <c r="E925" s="80"/>
      <c r="F925" s="91"/>
      <c r="G925" s="80"/>
      <c r="H925" s="80"/>
      <c r="I925" s="80"/>
      <c r="J925" s="80"/>
    </row>
    <row r="926" ht="22.5" customHeight="1">
      <c r="A926" s="81"/>
      <c r="B926" s="81"/>
      <c r="C926" s="81"/>
      <c r="D926" s="143"/>
      <c r="E926" s="80"/>
      <c r="F926" s="91"/>
      <c r="G926" s="80"/>
      <c r="H926" s="80"/>
      <c r="I926" s="80"/>
      <c r="J926" s="80"/>
    </row>
    <row r="927" ht="22.5" customHeight="1">
      <c r="A927" s="81"/>
      <c r="B927" s="81"/>
      <c r="C927" s="81"/>
      <c r="D927" s="143"/>
      <c r="E927" s="80"/>
      <c r="F927" s="91"/>
      <c r="G927" s="80"/>
      <c r="H927" s="80"/>
      <c r="I927" s="80"/>
      <c r="J927" s="80"/>
    </row>
    <row r="928" ht="22.5" customHeight="1">
      <c r="A928" s="81"/>
      <c r="B928" s="81"/>
      <c r="C928" s="81"/>
      <c r="D928" s="143"/>
      <c r="E928" s="80"/>
      <c r="F928" s="91"/>
      <c r="G928" s="80"/>
      <c r="H928" s="80"/>
      <c r="I928" s="80"/>
      <c r="J928" s="80"/>
    </row>
    <row r="929" ht="22.5" customHeight="1">
      <c r="A929" s="81"/>
      <c r="B929" s="81"/>
      <c r="C929" s="81"/>
      <c r="D929" s="143"/>
      <c r="E929" s="80"/>
      <c r="F929" s="91"/>
      <c r="G929" s="80"/>
      <c r="H929" s="80"/>
      <c r="I929" s="80"/>
      <c r="J929" s="80"/>
    </row>
    <row r="930" ht="22.5" customHeight="1">
      <c r="A930" s="81"/>
      <c r="B930" s="81"/>
      <c r="C930" s="81"/>
      <c r="D930" s="143"/>
      <c r="E930" s="80"/>
      <c r="F930" s="91"/>
      <c r="G930" s="80"/>
      <c r="H930" s="80"/>
      <c r="I930" s="80"/>
      <c r="J930" s="80"/>
    </row>
    <row r="931" ht="22.5" customHeight="1">
      <c r="A931" s="81"/>
      <c r="B931" s="81"/>
      <c r="C931" s="81"/>
      <c r="D931" s="143"/>
      <c r="E931" s="80"/>
      <c r="F931" s="91"/>
      <c r="G931" s="80"/>
      <c r="H931" s="80"/>
      <c r="I931" s="80"/>
      <c r="J931" s="80"/>
    </row>
    <row r="932" ht="22.5" customHeight="1">
      <c r="A932" s="81"/>
      <c r="B932" s="81"/>
      <c r="C932" s="81"/>
      <c r="D932" s="143"/>
      <c r="E932" s="80"/>
      <c r="F932" s="91"/>
      <c r="G932" s="80"/>
      <c r="H932" s="80"/>
      <c r="I932" s="80"/>
      <c r="J932" s="80"/>
    </row>
    <row r="933" ht="22.5" customHeight="1">
      <c r="A933" s="81"/>
      <c r="B933" s="81"/>
      <c r="C933" s="81"/>
      <c r="D933" s="143"/>
      <c r="E933" s="80"/>
      <c r="F933" s="91"/>
      <c r="G933" s="80"/>
      <c r="H933" s="80"/>
      <c r="I933" s="80"/>
      <c r="J933" s="80"/>
    </row>
    <row r="934" ht="22.5" customHeight="1">
      <c r="A934" s="81"/>
      <c r="B934" s="81"/>
      <c r="C934" s="81"/>
      <c r="D934" s="143"/>
      <c r="E934" s="80"/>
      <c r="F934" s="91"/>
      <c r="G934" s="80"/>
      <c r="H934" s="80"/>
      <c r="I934" s="80"/>
      <c r="J934" s="80"/>
    </row>
    <row r="935" ht="22.5" customHeight="1">
      <c r="A935" s="81"/>
      <c r="B935" s="81"/>
      <c r="C935" s="81"/>
      <c r="D935" s="143"/>
      <c r="E935" s="80"/>
      <c r="F935" s="91"/>
      <c r="G935" s="80"/>
      <c r="H935" s="80"/>
      <c r="I935" s="80"/>
      <c r="J935" s="80"/>
    </row>
    <row r="936" ht="22.5" customHeight="1">
      <c r="A936" s="81"/>
      <c r="B936" s="81"/>
      <c r="C936" s="81"/>
      <c r="D936" s="143"/>
      <c r="E936" s="80"/>
      <c r="F936" s="91"/>
      <c r="G936" s="80"/>
      <c r="H936" s="80"/>
      <c r="I936" s="80"/>
      <c r="J936" s="80"/>
    </row>
    <row r="937" ht="22.5" customHeight="1">
      <c r="A937" s="81"/>
      <c r="B937" s="81"/>
      <c r="C937" s="81"/>
      <c r="D937" s="143"/>
      <c r="E937" s="80"/>
      <c r="F937" s="91"/>
      <c r="G937" s="80"/>
      <c r="H937" s="80"/>
      <c r="I937" s="80"/>
      <c r="J937" s="80"/>
    </row>
    <row r="938" ht="22.5" customHeight="1">
      <c r="A938" s="81"/>
      <c r="B938" s="81"/>
      <c r="C938" s="81"/>
      <c r="D938" s="143"/>
      <c r="E938" s="80"/>
      <c r="F938" s="91"/>
      <c r="G938" s="80"/>
      <c r="H938" s="80"/>
      <c r="I938" s="80"/>
      <c r="J938" s="80"/>
    </row>
    <row r="939" ht="22.5" customHeight="1">
      <c r="A939" s="81"/>
      <c r="B939" s="81"/>
      <c r="C939" s="81"/>
      <c r="D939" s="143"/>
      <c r="E939" s="80"/>
      <c r="F939" s="91"/>
      <c r="G939" s="80"/>
      <c r="H939" s="80"/>
      <c r="I939" s="80"/>
      <c r="J939" s="80"/>
    </row>
    <row r="940" ht="22.5" customHeight="1">
      <c r="A940" s="81"/>
      <c r="B940" s="81"/>
      <c r="C940" s="81"/>
      <c r="D940" s="143"/>
      <c r="E940" s="80"/>
      <c r="F940" s="91"/>
      <c r="G940" s="80"/>
      <c r="H940" s="80"/>
      <c r="I940" s="80"/>
      <c r="J940" s="80"/>
    </row>
    <row r="941" ht="22.5" customHeight="1">
      <c r="A941" s="81"/>
      <c r="B941" s="81"/>
      <c r="C941" s="81"/>
      <c r="D941" s="143"/>
      <c r="E941" s="80"/>
      <c r="F941" s="91"/>
      <c r="G941" s="80"/>
      <c r="H941" s="80"/>
      <c r="I941" s="80"/>
      <c r="J941" s="80"/>
    </row>
    <row r="942" ht="22.5" customHeight="1">
      <c r="A942" s="81"/>
      <c r="B942" s="81"/>
      <c r="C942" s="81"/>
      <c r="D942" s="143"/>
      <c r="E942" s="80"/>
      <c r="F942" s="91"/>
      <c r="G942" s="80"/>
      <c r="H942" s="80"/>
      <c r="I942" s="80"/>
      <c r="J942" s="80"/>
    </row>
    <row r="943" ht="22.5" customHeight="1">
      <c r="A943" s="81"/>
      <c r="B943" s="81"/>
      <c r="C943" s="81"/>
      <c r="D943" s="143"/>
      <c r="E943" s="80"/>
      <c r="F943" s="91"/>
      <c r="G943" s="80"/>
      <c r="H943" s="80"/>
      <c r="I943" s="80"/>
      <c r="J943" s="80"/>
    </row>
    <row r="944" ht="22.5" customHeight="1">
      <c r="A944" s="81"/>
      <c r="B944" s="81"/>
      <c r="C944" s="81"/>
      <c r="D944" s="143"/>
      <c r="E944" s="80"/>
      <c r="F944" s="91"/>
      <c r="G944" s="80"/>
      <c r="H944" s="80"/>
      <c r="I944" s="80"/>
      <c r="J944" s="80"/>
    </row>
    <row r="945" ht="22.5" customHeight="1">
      <c r="A945" s="81"/>
      <c r="B945" s="81"/>
      <c r="C945" s="81"/>
      <c r="D945" s="143"/>
      <c r="E945" s="80"/>
      <c r="F945" s="91"/>
      <c r="G945" s="80"/>
      <c r="H945" s="80"/>
      <c r="I945" s="80"/>
      <c r="J945" s="80"/>
    </row>
    <row r="946" ht="22.5" customHeight="1">
      <c r="A946" s="81"/>
      <c r="B946" s="81"/>
      <c r="C946" s="81"/>
      <c r="D946" s="143"/>
      <c r="E946" s="80"/>
      <c r="F946" s="91"/>
      <c r="G946" s="80"/>
      <c r="H946" s="80"/>
      <c r="I946" s="80"/>
      <c r="J946" s="80"/>
    </row>
    <row r="947" ht="22.5" customHeight="1">
      <c r="A947" s="81"/>
      <c r="B947" s="81"/>
      <c r="C947" s="81"/>
      <c r="D947" s="143"/>
      <c r="E947" s="80"/>
      <c r="F947" s="91"/>
      <c r="G947" s="80"/>
      <c r="H947" s="80"/>
      <c r="I947" s="80"/>
      <c r="J947" s="80"/>
    </row>
    <row r="948" ht="22.5" customHeight="1">
      <c r="A948" s="81"/>
      <c r="B948" s="81"/>
      <c r="C948" s="81"/>
      <c r="D948" s="143"/>
      <c r="E948" s="80"/>
      <c r="F948" s="91"/>
      <c r="G948" s="80"/>
      <c r="H948" s="80"/>
      <c r="I948" s="80"/>
      <c r="J948" s="80"/>
    </row>
    <row r="949" ht="22.5" customHeight="1">
      <c r="A949" s="81"/>
      <c r="B949" s="81"/>
      <c r="C949" s="81"/>
      <c r="D949" s="143"/>
      <c r="E949" s="80"/>
      <c r="F949" s="91"/>
      <c r="G949" s="80"/>
      <c r="H949" s="80"/>
      <c r="I949" s="80"/>
      <c r="J949" s="80"/>
    </row>
    <row r="950" ht="22.5" customHeight="1">
      <c r="A950" s="81"/>
      <c r="B950" s="81"/>
      <c r="C950" s="81"/>
      <c r="D950" s="143"/>
      <c r="E950" s="80"/>
      <c r="F950" s="91"/>
      <c r="G950" s="80"/>
      <c r="H950" s="80"/>
      <c r="I950" s="80"/>
      <c r="J950" s="80"/>
    </row>
    <row r="951" ht="22.5" customHeight="1">
      <c r="A951" s="81"/>
      <c r="B951" s="81"/>
      <c r="C951" s="81"/>
      <c r="D951" s="143"/>
      <c r="E951" s="80"/>
      <c r="F951" s="91"/>
      <c r="G951" s="80"/>
      <c r="H951" s="80"/>
      <c r="I951" s="80"/>
      <c r="J951" s="80"/>
    </row>
    <row r="952" ht="22.5" customHeight="1">
      <c r="A952" s="81"/>
      <c r="B952" s="81"/>
      <c r="C952" s="81"/>
      <c r="D952" s="143"/>
      <c r="E952" s="80"/>
      <c r="F952" s="91"/>
      <c r="G952" s="80"/>
      <c r="H952" s="80"/>
      <c r="I952" s="80"/>
      <c r="J952" s="80"/>
    </row>
    <row r="953" ht="22.5" customHeight="1">
      <c r="A953" s="81"/>
      <c r="B953" s="81"/>
      <c r="C953" s="81"/>
      <c r="D953" s="143"/>
      <c r="E953" s="80"/>
      <c r="F953" s="91"/>
      <c r="G953" s="80"/>
      <c r="H953" s="80"/>
      <c r="I953" s="80"/>
      <c r="J953" s="80"/>
    </row>
    <row r="954" ht="22.5" customHeight="1">
      <c r="A954" s="81"/>
      <c r="B954" s="81"/>
      <c r="C954" s="81"/>
      <c r="D954" s="143"/>
      <c r="E954" s="80"/>
      <c r="F954" s="91"/>
      <c r="G954" s="80"/>
      <c r="H954" s="80"/>
      <c r="I954" s="80"/>
      <c r="J954" s="80"/>
    </row>
    <row r="955" ht="22.5" customHeight="1">
      <c r="A955" s="81"/>
      <c r="B955" s="81"/>
      <c r="C955" s="81"/>
      <c r="D955" s="143"/>
      <c r="E955" s="80"/>
      <c r="F955" s="91"/>
      <c r="G955" s="80"/>
      <c r="H955" s="80"/>
      <c r="I955" s="80"/>
      <c r="J955" s="80"/>
    </row>
    <row r="956" ht="22.5" customHeight="1">
      <c r="A956" s="81"/>
      <c r="B956" s="81"/>
      <c r="C956" s="81"/>
      <c r="D956" s="143"/>
      <c r="E956" s="80"/>
      <c r="F956" s="91"/>
      <c r="G956" s="80"/>
      <c r="H956" s="80"/>
      <c r="I956" s="80"/>
      <c r="J956" s="80"/>
    </row>
    <row r="957" ht="22.5" customHeight="1">
      <c r="A957" s="81"/>
      <c r="B957" s="81"/>
      <c r="C957" s="81"/>
      <c r="D957" s="143"/>
      <c r="E957" s="80"/>
      <c r="F957" s="91"/>
      <c r="G957" s="80"/>
      <c r="H957" s="80"/>
      <c r="I957" s="80"/>
      <c r="J957" s="80"/>
    </row>
    <row r="958" ht="22.5" customHeight="1">
      <c r="A958" s="81"/>
      <c r="B958" s="81"/>
      <c r="C958" s="81"/>
      <c r="D958" s="143"/>
      <c r="E958" s="80"/>
      <c r="F958" s="91"/>
      <c r="G958" s="80"/>
      <c r="H958" s="80"/>
      <c r="I958" s="80"/>
      <c r="J958" s="80"/>
    </row>
    <row r="959" ht="22.5" customHeight="1">
      <c r="A959" s="81"/>
      <c r="B959" s="81"/>
      <c r="C959" s="81"/>
      <c r="D959" s="143"/>
      <c r="E959" s="80"/>
      <c r="F959" s="91"/>
      <c r="G959" s="80"/>
      <c r="H959" s="80"/>
      <c r="I959" s="80"/>
      <c r="J959" s="80"/>
    </row>
    <row r="960" ht="22.5" customHeight="1">
      <c r="A960" s="81"/>
      <c r="B960" s="81"/>
      <c r="C960" s="81"/>
      <c r="D960" s="143"/>
      <c r="E960" s="80"/>
      <c r="F960" s="91"/>
      <c r="G960" s="80"/>
      <c r="H960" s="80"/>
      <c r="I960" s="80"/>
      <c r="J960" s="80"/>
    </row>
    <row r="961" ht="22.5" customHeight="1">
      <c r="A961" s="81"/>
      <c r="B961" s="81"/>
      <c r="C961" s="81"/>
      <c r="D961" s="143"/>
      <c r="E961" s="80"/>
      <c r="F961" s="91"/>
      <c r="G961" s="80"/>
      <c r="H961" s="80"/>
      <c r="I961" s="80"/>
      <c r="J961" s="80"/>
    </row>
    <row r="962" ht="22.5" customHeight="1">
      <c r="A962" s="81"/>
      <c r="B962" s="81"/>
      <c r="C962" s="81"/>
      <c r="D962" s="143"/>
      <c r="E962" s="80"/>
      <c r="F962" s="91"/>
      <c r="G962" s="80"/>
      <c r="H962" s="80"/>
      <c r="I962" s="80"/>
      <c r="J962" s="80"/>
    </row>
    <row r="963" ht="22.5" customHeight="1">
      <c r="A963" s="81"/>
      <c r="B963" s="81"/>
      <c r="C963" s="81"/>
      <c r="D963" s="143"/>
      <c r="E963" s="80"/>
      <c r="F963" s="91"/>
      <c r="G963" s="80"/>
      <c r="H963" s="80"/>
      <c r="I963" s="80"/>
      <c r="J963" s="80"/>
    </row>
    <row r="964" ht="22.5" customHeight="1">
      <c r="A964" s="81"/>
      <c r="B964" s="81"/>
      <c r="C964" s="81"/>
      <c r="D964" s="143"/>
      <c r="E964" s="80"/>
      <c r="F964" s="91"/>
      <c r="G964" s="80"/>
      <c r="H964" s="80"/>
      <c r="I964" s="80"/>
      <c r="J964" s="80"/>
    </row>
    <row r="965" ht="22.5" customHeight="1">
      <c r="A965" s="81"/>
      <c r="B965" s="81"/>
      <c r="C965" s="81"/>
      <c r="D965" s="143"/>
      <c r="E965" s="80"/>
      <c r="F965" s="91"/>
      <c r="G965" s="80"/>
      <c r="H965" s="80"/>
      <c r="I965" s="80"/>
      <c r="J965" s="80"/>
    </row>
    <row r="966" ht="22.5" customHeight="1">
      <c r="A966" s="81"/>
      <c r="B966" s="81"/>
      <c r="C966" s="81"/>
      <c r="D966" s="143"/>
      <c r="E966" s="80"/>
      <c r="F966" s="91"/>
      <c r="G966" s="80"/>
      <c r="H966" s="80"/>
      <c r="I966" s="80"/>
      <c r="J966" s="80"/>
    </row>
    <row r="967" ht="22.5" customHeight="1">
      <c r="A967" s="81"/>
      <c r="B967" s="81"/>
      <c r="C967" s="81"/>
      <c r="D967" s="143"/>
      <c r="E967" s="80"/>
      <c r="F967" s="91"/>
      <c r="G967" s="80"/>
      <c r="H967" s="80"/>
      <c r="I967" s="80"/>
      <c r="J967" s="80"/>
    </row>
    <row r="968" ht="22.5" customHeight="1">
      <c r="A968" s="81"/>
      <c r="B968" s="81"/>
      <c r="C968" s="81"/>
      <c r="D968" s="143"/>
      <c r="E968" s="80"/>
      <c r="F968" s="91"/>
      <c r="G968" s="80"/>
      <c r="H968" s="80"/>
      <c r="I968" s="80"/>
      <c r="J968" s="80"/>
    </row>
    <row r="969" ht="22.5" customHeight="1">
      <c r="A969" s="81"/>
      <c r="B969" s="81"/>
      <c r="C969" s="81"/>
      <c r="D969" s="143"/>
      <c r="E969" s="80"/>
      <c r="F969" s="91"/>
      <c r="G969" s="80"/>
      <c r="H969" s="80"/>
      <c r="I969" s="80"/>
      <c r="J969" s="80"/>
    </row>
    <row r="970" ht="22.5" customHeight="1">
      <c r="A970" s="81"/>
      <c r="B970" s="81"/>
      <c r="C970" s="81"/>
      <c r="D970" s="143"/>
      <c r="E970" s="80"/>
      <c r="F970" s="91"/>
      <c r="G970" s="80"/>
      <c r="H970" s="80"/>
      <c r="I970" s="80"/>
      <c r="J970" s="80"/>
    </row>
    <row r="971" ht="22.5" customHeight="1">
      <c r="A971" s="81"/>
      <c r="B971" s="81"/>
      <c r="C971" s="81"/>
      <c r="D971" s="143"/>
      <c r="E971" s="80"/>
      <c r="F971" s="91"/>
      <c r="G971" s="80"/>
      <c r="H971" s="80"/>
      <c r="I971" s="80"/>
      <c r="J971" s="80"/>
    </row>
    <row r="972" ht="22.5" customHeight="1">
      <c r="A972" s="81"/>
      <c r="B972" s="81"/>
      <c r="C972" s="81"/>
      <c r="D972" s="143"/>
      <c r="E972" s="80"/>
      <c r="F972" s="91"/>
      <c r="G972" s="80"/>
      <c r="H972" s="80"/>
      <c r="I972" s="80"/>
      <c r="J972" s="80"/>
    </row>
    <row r="973" ht="22.5" customHeight="1">
      <c r="A973" s="81"/>
      <c r="B973" s="81"/>
      <c r="C973" s="81"/>
      <c r="D973" s="143"/>
      <c r="E973" s="80"/>
      <c r="F973" s="91"/>
      <c r="G973" s="80"/>
      <c r="H973" s="80"/>
      <c r="I973" s="80"/>
      <c r="J973" s="80"/>
    </row>
    <row r="974" ht="22.5" customHeight="1">
      <c r="A974" s="81"/>
      <c r="B974" s="81"/>
      <c r="C974" s="81"/>
      <c r="D974" s="143"/>
      <c r="E974" s="80"/>
      <c r="F974" s="91"/>
      <c r="G974" s="80"/>
      <c r="H974" s="80"/>
      <c r="I974" s="80"/>
      <c r="J974" s="80"/>
    </row>
    <row r="975" ht="22.5" customHeight="1">
      <c r="A975" s="81"/>
      <c r="B975" s="81"/>
      <c r="C975" s="81"/>
      <c r="D975" s="143"/>
      <c r="E975" s="80"/>
      <c r="F975" s="91"/>
      <c r="G975" s="80"/>
      <c r="H975" s="80"/>
      <c r="I975" s="80"/>
      <c r="J975" s="80"/>
    </row>
    <row r="976" ht="22.5" customHeight="1">
      <c r="A976" s="81"/>
      <c r="B976" s="81"/>
      <c r="C976" s="81"/>
      <c r="D976" s="143"/>
      <c r="E976" s="80"/>
      <c r="F976" s="91"/>
      <c r="G976" s="80"/>
      <c r="H976" s="80"/>
      <c r="I976" s="80"/>
      <c r="J976" s="80"/>
    </row>
    <row r="977" ht="22.5" customHeight="1">
      <c r="A977" s="81"/>
      <c r="B977" s="81"/>
      <c r="C977" s="81"/>
      <c r="D977" s="143"/>
      <c r="E977" s="80"/>
      <c r="F977" s="91"/>
      <c r="G977" s="80"/>
      <c r="H977" s="80"/>
      <c r="I977" s="80"/>
      <c r="J977" s="80"/>
    </row>
    <row r="978" ht="22.5" customHeight="1">
      <c r="A978" s="81"/>
      <c r="B978" s="81"/>
      <c r="C978" s="81"/>
      <c r="D978" s="143"/>
      <c r="E978" s="80"/>
      <c r="F978" s="91"/>
      <c r="G978" s="80"/>
      <c r="H978" s="80"/>
      <c r="I978" s="80"/>
      <c r="J978" s="80"/>
    </row>
    <row r="979" ht="22.5" customHeight="1">
      <c r="A979" s="81"/>
      <c r="B979" s="81"/>
      <c r="C979" s="81"/>
      <c r="D979" s="143"/>
      <c r="E979" s="80"/>
      <c r="F979" s="91"/>
      <c r="G979" s="80"/>
      <c r="H979" s="80"/>
      <c r="I979" s="80"/>
      <c r="J979" s="80"/>
    </row>
    <row r="980" ht="22.5" customHeight="1">
      <c r="A980" s="81"/>
      <c r="B980" s="81"/>
      <c r="C980" s="81"/>
      <c r="D980" s="143"/>
      <c r="E980" s="80"/>
      <c r="F980" s="91"/>
      <c r="G980" s="80"/>
      <c r="H980" s="80"/>
      <c r="I980" s="80"/>
      <c r="J980" s="80"/>
    </row>
    <row r="981" ht="22.5" customHeight="1">
      <c r="A981" s="81"/>
      <c r="B981" s="81"/>
      <c r="C981" s="81"/>
      <c r="D981" s="143"/>
      <c r="E981" s="80"/>
      <c r="F981" s="91"/>
      <c r="G981" s="80"/>
      <c r="H981" s="80"/>
      <c r="I981" s="80"/>
      <c r="J981" s="80"/>
    </row>
    <row r="982" ht="22.5" customHeight="1">
      <c r="A982" s="81"/>
      <c r="B982" s="81"/>
      <c r="C982" s="81"/>
      <c r="D982" s="143"/>
      <c r="E982" s="80"/>
      <c r="F982" s="91"/>
      <c r="G982" s="80"/>
      <c r="H982" s="80"/>
      <c r="I982" s="80"/>
      <c r="J982" s="80"/>
    </row>
    <row r="983" ht="22.5" customHeight="1">
      <c r="A983" s="81"/>
      <c r="B983" s="81"/>
      <c r="C983" s="81"/>
      <c r="D983" s="143"/>
      <c r="E983" s="80"/>
      <c r="F983" s="91"/>
      <c r="G983" s="80"/>
      <c r="H983" s="80"/>
      <c r="I983" s="80"/>
      <c r="J983" s="80"/>
    </row>
    <row r="984" ht="22.5" customHeight="1">
      <c r="A984" s="81"/>
      <c r="B984" s="81"/>
      <c r="C984" s="81"/>
      <c r="D984" s="143"/>
      <c r="E984" s="80"/>
      <c r="F984" s="91"/>
      <c r="G984" s="80"/>
      <c r="H984" s="80"/>
      <c r="I984" s="80"/>
      <c r="J984" s="80"/>
    </row>
    <row r="985" ht="22.5" customHeight="1">
      <c r="A985" s="81"/>
      <c r="B985" s="81"/>
      <c r="C985" s="81"/>
      <c r="D985" s="143"/>
      <c r="E985" s="80"/>
      <c r="F985" s="91"/>
      <c r="G985" s="80"/>
      <c r="H985" s="80"/>
      <c r="I985" s="80"/>
      <c r="J985" s="80"/>
    </row>
    <row r="986" ht="22.5" customHeight="1">
      <c r="A986" s="81"/>
      <c r="B986" s="81"/>
      <c r="C986" s="81"/>
      <c r="D986" s="143"/>
      <c r="E986" s="80"/>
      <c r="F986" s="91"/>
      <c r="G986" s="80"/>
      <c r="H986" s="80"/>
      <c r="I986" s="80"/>
      <c r="J986" s="80"/>
    </row>
    <row r="987" ht="22.5" customHeight="1">
      <c r="A987" s="81"/>
      <c r="B987" s="81"/>
      <c r="C987" s="81"/>
      <c r="D987" s="143"/>
      <c r="E987" s="80"/>
      <c r="F987" s="91"/>
      <c r="G987" s="80"/>
      <c r="H987" s="80"/>
      <c r="I987" s="80"/>
      <c r="J987" s="80"/>
    </row>
    <row r="988" ht="22.5" customHeight="1">
      <c r="A988" s="81"/>
      <c r="B988" s="81"/>
      <c r="C988" s="81"/>
      <c r="D988" s="143"/>
      <c r="E988" s="80"/>
      <c r="F988" s="91"/>
      <c r="G988" s="80"/>
      <c r="H988" s="80"/>
      <c r="I988" s="80"/>
      <c r="J988" s="80"/>
    </row>
    <row r="989" ht="22.5" customHeight="1">
      <c r="A989" s="81"/>
      <c r="B989" s="81"/>
      <c r="C989" s="81"/>
      <c r="D989" s="143"/>
      <c r="E989" s="80"/>
      <c r="F989" s="91"/>
      <c r="G989" s="80"/>
      <c r="H989" s="80"/>
      <c r="I989" s="80"/>
      <c r="J989" s="80"/>
    </row>
    <row r="990" ht="22.5" customHeight="1">
      <c r="A990" s="81"/>
      <c r="B990" s="81"/>
      <c r="C990" s="81"/>
      <c r="D990" s="143"/>
      <c r="E990" s="80"/>
      <c r="F990" s="91"/>
      <c r="G990" s="80"/>
      <c r="H990" s="80"/>
      <c r="I990" s="80"/>
      <c r="J990" s="80"/>
    </row>
    <row r="991" ht="22.5" customHeight="1">
      <c r="A991" s="81"/>
      <c r="B991" s="81"/>
      <c r="C991" s="81"/>
      <c r="D991" s="143"/>
      <c r="E991" s="80"/>
      <c r="F991" s="91"/>
      <c r="G991" s="80"/>
      <c r="H991" s="80"/>
      <c r="I991" s="80"/>
      <c r="J991" s="80"/>
    </row>
    <row r="992" ht="22.5" customHeight="1">
      <c r="A992" s="81"/>
      <c r="B992" s="81"/>
      <c r="C992" s="81"/>
      <c r="D992" s="143"/>
      <c r="E992" s="80"/>
      <c r="F992" s="91"/>
      <c r="G992" s="80"/>
      <c r="H992" s="80"/>
      <c r="I992" s="80"/>
      <c r="J992" s="80"/>
    </row>
    <row r="993" ht="22.5" customHeight="1">
      <c r="A993" s="81"/>
      <c r="B993" s="81"/>
      <c r="C993" s="81"/>
      <c r="D993" s="143"/>
      <c r="E993" s="80"/>
      <c r="F993" s="91"/>
      <c r="G993" s="80"/>
      <c r="H993" s="80"/>
      <c r="I993" s="80"/>
      <c r="J993" s="80"/>
    </row>
    <row r="994" ht="22.5" customHeight="1">
      <c r="A994" s="81"/>
      <c r="B994" s="81"/>
      <c r="C994" s="81"/>
      <c r="D994" s="143"/>
      <c r="E994" s="80"/>
      <c r="F994" s="91"/>
      <c r="G994" s="80"/>
      <c r="H994" s="80"/>
      <c r="I994" s="80"/>
      <c r="J994" s="80"/>
    </row>
    <row r="995" ht="22.5" customHeight="1">
      <c r="A995" s="81"/>
      <c r="B995" s="81"/>
      <c r="C995" s="81"/>
      <c r="D995" s="143"/>
      <c r="E995" s="80"/>
      <c r="F995" s="91"/>
      <c r="G995" s="80"/>
      <c r="H995" s="80"/>
      <c r="I995" s="80"/>
      <c r="J995" s="80"/>
    </row>
    <row r="996" ht="22.5" customHeight="1">
      <c r="A996" s="81"/>
      <c r="B996" s="81"/>
      <c r="C996" s="81"/>
      <c r="D996" s="143"/>
      <c r="E996" s="80"/>
      <c r="F996" s="91"/>
      <c r="G996" s="80"/>
      <c r="H996" s="80"/>
      <c r="I996" s="80"/>
      <c r="J996" s="80"/>
    </row>
    <row r="997" ht="22.5" customHeight="1">
      <c r="A997" s="81"/>
      <c r="B997" s="81"/>
      <c r="C997" s="81"/>
      <c r="D997" s="143"/>
      <c r="E997" s="80"/>
      <c r="F997" s="91"/>
      <c r="G997" s="80"/>
      <c r="H997" s="80"/>
      <c r="I997" s="80"/>
      <c r="J997" s="80"/>
    </row>
    <row r="998" ht="22.5" customHeight="1">
      <c r="A998" s="81"/>
      <c r="B998" s="81"/>
      <c r="C998" s="81"/>
      <c r="D998" s="143"/>
      <c r="E998" s="80"/>
      <c r="F998" s="91"/>
      <c r="G998" s="80"/>
      <c r="H998" s="80"/>
      <c r="I998" s="80"/>
      <c r="J998" s="80"/>
    </row>
    <row r="999" ht="22.5" customHeight="1">
      <c r="A999" s="81"/>
      <c r="B999" s="81"/>
      <c r="C999" s="81"/>
      <c r="D999" s="143"/>
      <c r="E999" s="80"/>
      <c r="F999" s="91"/>
      <c r="G999" s="80"/>
      <c r="H999" s="80"/>
      <c r="I999" s="80"/>
      <c r="J999" s="80"/>
    </row>
    <row r="1000" ht="22.5" customHeight="1">
      <c r="A1000" s="81"/>
      <c r="B1000" s="81"/>
      <c r="C1000" s="81"/>
      <c r="D1000" s="143"/>
      <c r="E1000" s="80"/>
      <c r="F1000" s="91"/>
      <c r="G1000" s="80"/>
      <c r="H1000" s="80"/>
      <c r="I1000" s="80"/>
      <c r="J1000" s="80"/>
    </row>
    <row r="1001" ht="22.5" customHeight="1">
      <c r="A1001" s="81"/>
      <c r="B1001" s="81"/>
      <c r="C1001" s="81"/>
      <c r="D1001" s="143"/>
      <c r="E1001" s="80"/>
      <c r="F1001" s="91"/>
      <c r="G1001" s="80"/>
      <c r="H1001" s="80"/>
      <c r="I1001" s="80"/>
      <c r="J1001" s="80"/>
    </row>
    <row r="1002" ht="22.5" customHeight="1">
      <c r="A1002" s="81"/>
      <c r="B1002" s="81"/>
      <c r="C1002" s="81"/>
      <c r="D1002" s="143"/>
      <c r="E1002" s="80"/>
      <c r="F1002" s="91"/>
      <c r="G1002" s="80"/>
      <c r="H1002" s="80"/>
      <c r="I1002" s="80"/>
      <c r="J1002" s="80"/>
    </row>
    <row r="1003" ht="22.5" customHeight="1">
      <c r="A1003" s="81"/>
      <c r="B1003" s="81"/>
      <c r="C1003" s="81"/>
      <c r="D1003" s="143"/>
      <c r="E1003" s="80"/>
      <c r="F1003" s="91"/>
      <c r="G1003" s="80"/>
      <c r="H1003" s="80"/>
      <c r="I1003" s="80"/>
      <c r="J1003" s="80"/>
    </row>
    <row r="1004" ht="22.5" customHeight="1">
      <c r="A1004" s="81"/>
      <c r="B1004" s="81"/>
      <c r="C1004" s="81"/>
      <c r="D1004" s="143"/>
      <c r="E1004" s="80"/>
      <c r="F1004" s="91"/>
      <c r="G1004" s="80"/>
      <c r="H1004" s="80"/>
      <c r="I1004" s="80"/>
      <c r="J1004" s="80"/>
    </row>
    <row r="1005" ht="22.5" customHeight="1">
      <c r="A1005" s="81"/>
      <c r="B1005" s="81"/>
      <c r="C1005" s="81"/>
      <c r="D1005" s="143"/>
      <c r="E1005" s="80"/>
      <c r="F1005" s="91"/>
      <c r="G1005" s="80"/>
      <c r="H1005" s="80"/>
      <c r="I1005" s="80"/>
      <c r="J1005" s="80"/>
    </row>
    <row r="1006" ht="22.5" customHeight="1">
      <c r="A1006" s="81"/>
      <c r="B1006" s="81"/>
      <c r="C1006" s="81"/>
      <c r="D1006" s="143"/>
      <c r="E1006" s="80"/>
      <c r="F1006" s="91"/>
      <c r="G1006" s="80"/>
      <c r="H1006" s="80"/>
      <c r="I1006" s="80"/>
      <c r="J1006" s="80"/>
    </row>
    <row r="1007" ht="22.5" customHeight="1">
      <c r="A1007" s="81"/>
      <c r="B1007" s="81"/>
      <c r="C1007" s="81"/>
      <c r="D1007" s="143"/>
      <c r="E1007" s="80"/>
      <c r="F1007" s="91"/>
      <c r="G1007" s="80"/>
      <c r="H1007" s="80"/>
      <c r="I1007" s="80"/>
      <c r="J1007" s="80"/>
    </row>
    <row r="1008" ht="22.5" customHeight="1">
      <c r="A1008" s="81"/>
      <c r="B1008" s="81"/>
      <c r="C1008" s="81"/>
      <c r="D1008" s="143"/>
      <c r="E1008" s="80"/>
      <c r="F1008" s="91"/>
      <c r="G1008" s="80"/>
      <c r="H1008" s="80"/>
      <c r="I1008" s="80"/>
      <c r="J1008" s="80"/>
    </row>
    <row r="1009" ht="22.5" customHeight="1">
      <c r="A1009" s="81"/>
      <c r="B1009" s="81"/>
      <c r="C1009" s="81"/>
      <c r="D1009" s="143"/>
      <c r="E1009" s="80"/>
      <c r="F1009" s="91"/>
      <c r="G1009" s="80"/>
      <c r="H1009" s="80"/>
      <c r="I1009" s="80"/>
      <c r="J1009" s="80"/>
    </row>
    <row r="1010" ht="22.5" customHeight="1">
      <c r="A1010" s="81"/>
      <c r="B1010" s="81"/>
      <c r="C1010" s="81"/>
      <c r="D1010" s="143"/>
      <c r="E1010" s="80"/>
      <c r="F1010" s="91"/>
      <c r="G1010" s="80"/>
      <c r="H1010" s="80"/>
      <c r="I1010" s="80"/>
      <c r="J1010" s="80"/>
    </row>
    <row r="1011" ht="22.5" customHeight="1">
      <c r="A1011" s="81"/>
      <c r="B1011" s="81"/>
      <c r="C1011" s="81"/>
      <c r="D1011" s="143"/>
      <c r="E1011" s="80"/>
      <c r="F1011" s="91"/>
      <c r="G1011" s="80"/>
      <c r="H1011" s="80"/>
      <c r="I1011" s="80"/>
      <c r="J1011" s="80"/>
    </row>
    <row r="1012" ht="22.5" customHeight="1">
      <c r="A1012" s="81"/>
      <c r="B1012" s="81"/>
      <c r="C1012" s="81"/>
      <c r="D1012" s="143"/>
      <c r="E1012" s="80"/>
      <c r="F1012" s="91"/>
      <c r="G1012" s="80"/>
      <c r="H1012" s="80"/>
      <c r="I1012" s="80"/>
      <c r="J1012" s="80"/>
    </row>
    <row r="1013" ht="22.5" customHeight="1">
      <c r="A1013" s="81"/>
      <c r="B1013" s="81"/>
      <c r="C1013" s="81"/>
      <c r="D1013" s="143"/>
      <c r="E1013" s="80"/>
      <c r="F1013" s="91"/>
      <c r="G1013" s="80"/>
      <c r="H1013" s="80"/>
      <c r="I1013" s="80"/>
      <c r="J1013" s="80"/>
    </row>
    <row r="1014" ht="22.5" customHeight="1">
      <c r="A1014" s="81"/>
      <c r="B1014" s="81"/>
      <c r="C1014" s="81"/>
      <c r="D1014" s="143"/>
      <c r="E1014" s="80"/>
      <c r="F1014" s="91"/>
      <c r="G1014" s="80"/>
      <c r="H1014" s="80"/>
      <c r="I1014" s="80"/>
      <c r="J1014" s="80"/>
    </row>
    <row r="1015" ht="22.5" customHeight="1">
      <c r="A1015" s="81"/>
      <c r="B1015" s="81"/>
      <c r="C1015" s="81"/>
      <c r="D1015" s="143"/>
      <c r="E1015" s="80"/>
      <c r="F1015" s="91"/>
      <c r="G1015" s="80"/>
      <c r="H1015" s="80"/>
      <c r="I1015" s="80"/>
      <c r="J1015" s="80"/>
    </row>
    <row r="1016" ht="22.5" customHeight="1">
      <c r="A1016" s="81"/>
      <c r="B1016" s="81"/>
      <c r="C1016" s="81"/>
      <c r="D1016" s="143"/>
      <c r="E1016" s="80"/>
      <c r="F1016" s="91"/>
      <c r="G1016" s="80"/>
      <c r="H1016" s="80"/>
      <c r="I1016" s="80"/>
      <c r="J1016" s="80"/>
    </row>
    <row r="1017" ht="22.5" customHeight="1">
      <c r="A1017" s="81"/>
      <c r="B1017" s="81"/>
      <c r="C1017" s="81"/>
      <c r="D1017" s="143"/>
      <c r="E1017" s="80"/>
      <c r="F1017" s="91"/>
      <c r="G1017" s="80"/>
      <c r="H1017" s="80"/>
      <c r="I1017" s="80"/>
      <c r="J1017" s="80"/>
    </row>
    <row r="1018" ht="22.5" customHeight="1">
      <c r="A1018" s="81"/>
      <c r="B1018" s="81"/>
      <c r="C1018" s="81"/>
      <c r="D1018" s="143"/>
      <c r="E1018" s="80"/>
      <c r="F1018" s="91"/>
      <c r="G1018" s="80"/>
      <c r="H1018" s="80"/>
      <c r="I1018" s="80"/>
      <c r="J1018" s="80"/>
    </row>
    <row r="1019" ht="22.5" customHeight="1">
      <c r="A1019" s="81"/>
      <c r="B1019" s="81"/>
      <c r="C1019" s="81"/>
      <c r="D1019" s="143"/>
      <c r="E1019" s="80"/>
      <c r="F1019" s="91"/>
      <c r="G1019" s="80"/>
      <c r="H1019" s="80"/>
      <c r="I1019" s="80"/>
      <c r="J1019" s="80"/>
    </row>
    <row r="1020" ht="22.5" customHeight="1">
      <c r="A1020" s="81"/>
      <c r="B1020" s="81"/>
      <c r="C1020" s="81"/>
      <c r="D1020" s="143"/>
      <c r="E1020" s="80"/>
      <c r="F1020" s="91"/>
      <c r="G1020" s="80"/>
      <c r="H1020" s="80"/>
      <c r="I1020" s="80"/>
      <c r="J1020" s="80"/>
    </row>
    <row r="1021" ht="22.5" customHeight="1">
      <c r="A1021" s="81"/>
      <c r="B1021" s="81"/>
      <c r="C1021" s="81"/>
      <c r="D1021" s="143"/>
      <c r="E1021" s="80"/>
      <c r="F1021" s="91"/>
      <c r="G1021" s="80"/>
      <c r="H1021" s="80"/>
      <c r="I1021" s="80"/>
      <c r="J1021" s="80"/>
    </row>
    <row r="1022" ht="22.5" customHeight="1">
      <c r="A1022" s="81"/>
      <c r="B1022" s="81"/>
      <c r="C1022" s="81"/>
      <c r="D1022" s="143"/>
      <c r="E1022" s="80"/>
      <c r="F1022" s="91"/>
      <c r="G1022" s="80"/>
      <c r="H1022" s="80"/>
      <c r="I1022" s="80"/>
      <c r="J1022" s="80"/>
    </row>
    <row r="1023" ht="22.5" customHeight="1">
      <c r="A1023" s="81"/>
      <c r="B1023" s="81"/>
      <c r="C1023" s="81"/>
      <c r="D1023" s="143"/>
      <c r="E1023" s="80"/>
      <c r="F1023" s="91"/>
      <c r="G1023" s="80"/>
      <c r="H1023" s="80"/>
      <c r="I1023" s="80"/>
      <c r="J1023" s="80"/>
    </row>
    <row r="1024" ht="22.5" customHeight="1">
      <c r="A1024" s="81"/>
      <c r="B1024" s="81"/>
      <c r="C1024" s="81"/>
      <c r="D1024" s="143"/>
      <c r="E1024" s="80"/>
      <c r="F1024" s="91"/>
      <c r="G1024" s="80"/>
      <c r="H1024" s="80"/>
      <c r="I1024" s="80"/>
      <c r="J1024" s="80"/>
    </row>
    <row r="1025" ht="22.5" customHeight="1">
      <c r="A1025" s="81"/>
      <c r="B1025" s="81"/>
      <c r="C1025" s="81"/>
      <c r="D1025" s="143"/>
      <c r="E1025" s="80"/>
      <c r="F1025" s="91"/>
      <c r="G1025" s="80"/>
      <c r="H1025" s="80"/>
      <c r="I1025" s="80"/>
      <c r="J1025" s="80"/>
    </row>
    <row r="1026" ht="22.5" customHeight="1">
      <c r="A1026" s="81"/>
      <c r="B1026" s="81"/>
      <c r="C1026" s="81"/>
      <c r="D1026" s="143"/>
      <c r="E1026" s="80"/>
      <c r="F1026" s="91"/>
      <c r="G1026" s="80"/>
      <c r="H1026" s="80"/>
      <c r="I1026" s="80"/>
      <c r="J1026" s="80"/>
    </row>
    <row r="1027" ht="22.5" customHeight="1">
      <c r="A1027" s="81"/>
      <c r="B1027" s="81"/>
      <c r="C1027" s="81"/>
      <c r="D1027" s="143"/>
      <c r="E1027" s="80"/>
      <c r="F1027" s="91"/>
      <c r="G1027" s="80"/>
      <c r="H1027" s="80"/>
      <c r="I1027" s="80"/>
      <c r="J1027" s="80"/>
    </row>
    <row r="1028" ht="22.5" customHeight="1">
      <c r="A1028" s="81"/>
      <c r="B1028" s="81"/>
      <c r="C1028" s="81"/>
      <c r="D1028" s="143"/>
      <c r="E1028" s="80"/>
      <c r="F1028" s="91"/>
      <c r="G1028" s="80"/>
      <c r="H1028" s="80"/>
      <c r="I1028" s="80"/>
      <c r="J1028" s="80"/>
    </row>
    <row r="1029" ht="22.5" customHeight="1">
      <c r="A1029" s="81"/>
      <c r="B1029" s="81"/>
      <c r="C1029" s="81"/>
      <c r="D1029" s="143"/>
      <c r="E1029" s="80"/>
      <c r="F1029" s="91"/>
      <c r="G1029" s="80"/>
      <c r="H1029" s="80"/>
      <c r="I1029" s="80"/>
      <c r="J1029" s="80"/>
    </row>
    <row r="1030" ht="22.5" customHeight="1">
      <c r="A1030" s="81"/>
      <c r="B1030" s="81"/>
      <c r="C1030" s="81"/>
      <c r="D1030" s="143"/>
      <c r="E1030" s="80"/>
      <c r="F1030" s="91"/>
      <c r="G1030" s="80"/>
      <c r="H1030" s="80"/>
      <c r="I1030" s="80"/>
      <c r="J1030" s="80"/>
    </row>
    <row r="1031" ht="22.5" customHeight="1">
      <c r="A1031" s="81"/>
      <c r="B1031" s="81"/>
      <c r="C1031" s="81"/>
      <c r="D1031" s="143"/>
      <c r="E1031" s="80"/>
      <c r="F1031" s="91"/>
      <c r="G1031" s="80"/>
      <c r="H1031" s="80"/>
      <c r="I1031" s="80"/>
      <c r="J1031" s="80"/>
    </row>
    <row r="1032" ht="22.5" customHeight="1">
      <c r="A1032" s="81"/>
      <c r="B1032" s="81"/>
      <c r="C1032" s="81"/>
      <c r="D1032" s="143"/>
      <c r="E1032" s="80"/>
      <c r="F1032" s="91"/>
      <c r="G1032" s="80"/>
      <c r="H1032" s="80"/>
      <c r="I1032" s="80"/>
      <c r="J1032" s="80"/>
    </row>
    <row r="1033" ht="22.5" customHeight="1">
      <c r="A1033" s="81"/>
      <c r="B1033" s="81"/>
      <c r="C1033" s="81"/>
      <c r="D1033" s="143"/>
      <c r="E1033" s="80"/>
      <c r="F1033" s="91"/>
      <c r="G1033" s="80"/>
      <c r="H1033" s="80"/>
      <c r="I1033" s="80"/>
      <c r="J1033" s="80"/>
    </row>
    <row r="1034" ht="22.5" customHeight="1">
      <c r="A1034" s="81"/>
      <c r="B1034" s="81"/>
      <c r="C1034" s="81"/>
      <c r="D1034" s="143"/>
      <c r="E1034" s="80"/>
      <c r="F1034" s="91"/>
      <c r="G1034" s="80"/>
      <c r="H1034" s="80"/>
      <c r="I1034" s="80"/>
      <c r="J1034" s="80"/>
    </row>
    <row r="1035" ht="22.5" customHeight="1">
      <c r="A1035" s="81"/>
      <c r="B1035" s="81"/>
      <c r="C1035" s="81"/>
      <c r="D1035" s="143"/>
      <c r="E1035" s="80"/>
      <c r="F1035" s="91"/>
      <c r="G1035" s="80"/>
      <c r="H1035" s="80"/>
      <c r="I1035" s="80"/>
      <c r="J1035" s="80"/>
    </row>
    <row r="1036" ht="22.5" customHeight="1">
      <c r="A1036" s="81"/>
      <c r="B1036" s="81"/>
      <c r="C1036" s="81"/>
      <c r="D1036" s="143"/>
      <c r="E1036" s="80"/>
      <c r="F1036" s="91"/>
      <c r="G1036" s="80"/>
      <c r="H1036" s="80"/>
      <c r="I1036" s="80"/>
      <c r="J1036" s="80"/>
    </row>
    <row r="1037" ht="22.5" customHeight="1">
      <c r="A1037" s="81"/>
      <c r="B1037" s="81"/>
      <c r="C1037" s="81"/>
      <c r="D1037" s="143"/>
      <c r="E1037" s="80"/>
      <c r="F1037" s="91"/>
      <c r="G1037" s="80"/>
      <c r="H1037" s="80"/>
      <c r="I1037" s="80"/>
      <c r="J1037" s="80"/>
    </row>
    <row r="1038" ht="22.5" customHeight="1">
      <c r="A1038" s="81"/>
      <c r="B1038" s="81"/>
      <c r="C1038" s="81"/>
      <c r="D1038" s="143"/>
      <c r="E1038" s="80"/>
      <c r="F1038" s="91"/>
      <c r="G1038" s="80"/>
      <c r="H1038" s="80"/>
      <c r="I1038" s="80"/>
      <c r="J1038" s="80"/>
    </row>
    <row r="1039" ht="22.5" customHeight="1">
      <c r="A1039" s="81"/>
      <c r="B1039" s="81"/>
      <c r="C1039" s="81"/>
      <c r="D1039" s="143"/>
      <c r="E1039" s="80"/>
      <c r="F1039" s="91"/>
      <c r="G1039" s="80"/>
      <c r="H1039" s="80"/>
      <c r="I1039" s="80"/>
      <c r="J1039" s="80"/>
    </row>
    <row r="1040" ht="22.5" customHeight="1">
      <c r="A1040" s="81"/>
      <c r="B1040" s="81"/>
      <c r="C1040" s="81"/>
      <c r="D1040" s="143"/>
      <c r="E1040" s="80"/>
      <c r="F1040" s="91"/>
      <c r="G1040" s="80"/>
      <c r="H1040" s="80"/>
      <c r="I1040" s="80"/>
      <c r="J1040" s="80"/>
    </row>
    <row r="1041" ht="22.5" customHeight="1">
      <c r="A1041" s="81"/>
      <c r="B1041" s="81"/>
      <c r="C1041" s="81"/>
      <c r="D1041" s="143"/>
      <c r="E1041" s="80"/>
      <c r="F1041" s="91"/>
      <c r="G1041" s="80"/>
      <c r="H1041" s="80"/>
      <c r="I1041" s="80"/>
      <c r="J1041" s="80"/>
    </row>
    <row r="1042" ht="22.5" customHeight="1">
      <c r="A1042" s="81"/>
      <c r="B1042" s="81"/>
      <c r="C1042" s="81"/>
      <c r="D1042" s="143"/>
      <c r="E1042" s="80"/>
      <c r="F1042" s="91"/>
      <c r="G1042" s="80"/>
      <c r="H1042" s="80"/>
      <c r="I1042" s="80"/>
      <c r="J1042" s="80"/>
    </row>
    <row r="1043" ht="22.5" customHeight="1">
      <c r="A1043" s="81"/>
      <c r="B1043" s="81"/>
      <c r="C1043" s="81"/>
      <c r="D1043" s="143"/>
      <c r="E1043" s="80"/>
      <c r="F1043" s="91"/>
      <c r="G1043" s="80"/>
      <c r="H1043" s="80"/>
      <c r="I1043" s="80"/>
      <c r="J1043" s="80"/>
    </row>
    <row r="1044" ht="22.5" customHeight="1">
      <c r="A1044" s="81"/>
      <c r="B1044" s="81"/>
      <c r="C1044" s="81"/>
      <c r="D1044" s="143"/>
      <c r="E1044" s="80"/>
      <c r="F1044" s="91"/>
      <c r="G1044" s="80"/>
      <c r="H1044" s="80"/>
      <c r="I1044" s="80"/>
      <c r="J1044" s="80"/>
    </row>
    <row r="1045" ht="22.5" customHeight="1">
      <c r="A1045" s="81"/>
      <c r="B1045" s="81"/>
      <c r="C1045" s="81"/>
      <c r="D1045" s="143"/>
      <c r="E1045" s="80"/>
      <c r="F1045" s="91"/>
      <c r="G1045" s="80"/>
      <c r="H1045" s="80"/>
      <c r="I1045" s="80"/>
      <c r="J1045" s="80"/>
    </row>
    <row r="1046" ht="22.5" customHeight="1">
      <c r="A1046" s="81"/>
      <c r="B1046" s="81"/>
      <c r="C1046" s="81"/>
      <c r="D1046" s="143"/>
      <c r="E1046" s="80"/>
      <c r="F1046" s="91"/>
      <c r="G1046" s="80"/>
      <c r="H1046" s="80"/>
      <c r="I1046" s="80"/>
      <c r="J1046" s="80"/>
    </row>
    <row r="1047" ht="22.5" customHeight="1">
      <c r="A1047" s="81"/>
      <c r="B1047" s="81"/>
      <c r="C1047" s="81"/>
      <c r="D1047" s="143"/>
      <c r="E1047" s="80"/>
      <c r="F1047" s="91"/>
      <c r="G1047" s="80"/>
      <c r="H1047" s="80"/>
      <c r="I1047" s="80"/>
      <c r="J1047" s="80"/>
    </row>
    <row r="1048" ht="22.5" customHeight="1">
      <c r="A1048" s="81"/>
      <c r="B1048" s="81"/>
      <c r="C1048" s="81"/>
      <c r="D1048" s="143"/>
      <c r="E1048" s="80"/>
      <c r="F1048" s="91"/>
      <c r="G1048" s="80"/>
      <c r="H1048" s="80"/>
      <c r="I1048" s="80"/>
      <c r="J1048" s="80"/>
    </row>
    <row r="1049" ht="22.5" customHeight="1">
      <c r="A1049" s="81"/>
      <c r="B1049" s="81"/>
      <c r="C1049" s="81"/>
      <c r="D1049" s="143"/>
      <c r="E1049" s="80"/>
      <c r="F1049" s="91"/>
      <c r="G1049" s="80"/>
      <c r="H1049" s="80"/>
      <c r="I1049" s="80"/>
      <c r="J1049" s="80"/>
    </row>
    <row r="1050" ht="22.5" customHeight="1">
      <c r="A1050" s="81"/>
      <c r="B1050" s="81"/>
      <c r="C1050" s="81"/>
      <c r="D1050" s="143"/>
      <c r="E1050" s="80"/>
      <c r="F1050" s="91"/>
      <c r="G1050" s="80"/>
      <c r="H1050" s="80"/>
      <c r="I1050" s="80"/>
      <c r="J1050" s="80"/>
    </row>
    <row r="1051" ht="22.5" customHeight="1">
      <c r="A1051" s="81"/>
      <c r="B1051" s="81"/>
      <c r="C1051" s="81"/>
      <c r="D1051" s="143"/>
      <c r="E1051" s="80"/>
      <c r="F1051" s="91"/>
      <c r="G1051" s="80"/>
      <c r="H1051" s="80"/>
      <c r="I1051" s="80"/>
      <c r="J1051" s="80"/>
    </row>
    <row r="1052" ht="22.5" customHeight="1">
      <c r="A1052" s="81"/>
      <c r="B1052" s="81"/>
      <c r="C1052" s="81"/>
      <c r="D1052" s="143"/>
      <c r="E1052" s="80"/>
      <c r="F1052" s="91"/>
      <c r="G1052" s="80"/>
      <c r="H1052" s="80"/>
      <c r="I1052" s="80"/>
      <c r="J1052" s="80"/>
    </row>
    <row r="1053" ht="22.5" customHeight="1">
      <c r="A1053" s="81"/>
      <c r="B1053" s="81"/>
      <c r="C1053" s="81"/>
      <c r="D1053" s="143"/>
      <c r="E1053" s="80"/>
      <c r="F1053" s="91"/>
      <c r="G1053" s="80"/>
      <c r="H1053" s="80"/>
      <c r="I1053" s="80"/>
      <c r="J1053" s="80"/>
    </row>
    <row r="1054" ht="22.5" customHeight="1">
      <c r="A1054" s="81"/>
      <c r="B1054" s="81"/>
      <c r="C1054" s="81"/>
      <c r="D1054" s="143"/>
      <c r="E1054" s="80"/>
      <c r="F1054" s="91"/>
      <c r="G1054" s="80"/>
      <c r="H1054" s="80"/>
      <c r="I1054" s="80"/>
      <c r="J1054" s="80"/>
    </row>
    <row r="1055" ht="22.5" customHeight="1">
      <c r="A1055" s="81"/>
      <c r="B1055" s="81"/>
      <c r="C1055" s="81"/>
      <c r="D1055" s="143"/>
      <c r="E1055" s="80"/>
      <c r="F1055" s="91"/>
      <c r="G1055" s="80"/>
      <c r="H1055" s="80"/>
      <c r="I1055" s="80"/>
      <c r="J1055" s="80"/>
    </row>
    <row r="1056" ht="22.5" customHeight="1">
      <c r="A1056" s="81"/>
      <c r="B1056" s="81"/>
      <c r="C1056" s="81"/>
      <c r="D1056" s="143"/>
      <c r="E1056" s="80"/>
      <c r="F1056" s="91"/>
      <c r="G1056" s="80"/>
      <c r="H1056" s="80"/>
      <c r="I1056" s="80"/>
      <c r="J1056" s="80"/>
    </row>
    <row r="1057" ht="22.5" customHeight="1">
      <c r="A1057" s="81"/>
      <c r="B1057" s="81"/>
      <c r="C1057" s="81"/>
      <c r="D1057" s="143"/>
      <c r="E1057" s="80"/>
      <c r="F1057" s="91"/>
      <c r="G1057" s="80"/>
      <c r="H1057" s="80"/>
      <c r="I1057" s="80"/>
      <c r="J1057" s="80"/>
    </row>
    <row r="1058" ht="22.5" customHeight="1">
      <c r="A1058" s="81"/>
      <c r="B1058" s="81"/>
      <c r="C1058" s="81"/>
      <c r="D1058" s="143"/>
      <c r="E1058" s="80"/>
      <c r="F1058" s="91"/>
      <c r="G1058" s="80"/>
      <c r="H1058" s="80"/>
      <c r="I1058" s="80"/>
      <c r="J1058" s="80"/>
    </row>
    <row r="1059" ht="22.5" customHeight="1">
      <c r="A1059" s="81"/>
      <c r="B1059" s="81"/>
      <c r="C1059" s="81"/>
      <c r="D1059" s="143"/>
      <c r="E1059" s="80"/>
      <c r="F1059" s="91"/>
      <c r="G1059" s="80"/>
      <c r="H1059" s="80"/>
      <c r="I1059" s="80"/>
      <c r="J1059" s="80"/>
    </row>
    <row r="1060" ht="22.5" customHeight="1">
      <c r="A1060" s="81"/>
      <c r="B1060" s="81"/>
      <c r="C1060" s="81"/>
      <c r="D1060" s="143"/>
      <c r="E1060" s="80"/>
      <c r="F1060" s="91"/>
      <c r="G1060" s="80"/>
      <c r="H1060" s="80"/>
      <c r="I1060" s="80"/>
      <c r="J1060" s="80"/>
    </row>
    <row r="1061" ht="22.5" customHeight="1">
      <c r="A1061" s="81"/>
      <c r="B1061" s="81"/>
      <c r="C1061" s="81"/>
      <c r="D1061" s="143"/>
      <c r="E1061" s="80"/>
      <c r="F1061" s="91"/>
      <c r="G1061" s="80"/>
      <c r="H1061" s="80"/>
      <c r="I1061" s="80"/>
      <c r="J1061" s="80"/>
    </row>
    <row r="1062" ht="22.5" customHeight="1">
      <c r="A1062" s="81"/>
      <c r="B1062" s="81"/>
      <c r="C1062" s="81"/>
      <c r="D1062" s="143"/>
      <c r="E1062" s="80"/>
      <c r="F1062" s="91"/>
      <c r="G1062" s="80"/>
      <c r="H1062" s="80"/>
      <c r="I1062" s="80"/>
      <c r="J1062" s="80"/>
    </row>
    <row r="1063" ht="22.5" customHeight="1">
      <c r="A1063" s="81"/>
      <c r="B1063" s="81"/>
      <c r="C1063" s="81"/>
      <c r="D1063" s="143"/>
      <c r="E1063" s="80"/>
      <c r="F1063" s="91"/>
      <c r="G1063" s="80"/>
      <c r="H1063" s="80"/>
      <c r="I1063" s="80"/>
      <c r="J1063" s="80"/>
    </row>
    <row r="1064" ht="22.5" customHeight="1">
      <c r="A1064" s="81"/>
      <c r="B1064" s="81"/>
      <c r="C1064" s="81"/>
      <c r="D1064" s="143"/>
      <c r="E1064" s="80"/>
      <c r="F1064" s="91"/>
      <c r="G1064" s="80"/>
      <c r="H1064" s="80"/>
      <c r="I1064" s="80"/>
      <c r="J1064" s="80"/>
    </row>
    <row r="1065" ht="22.5" customHeight="1">
      <c r="A1065" s="81"/>
      <c r="B1065" s="81"/>
      <c r="C1065" s="81"/>
      <c r="D1065" s="143"/>
      <c r="E1065" s="80"/>
      <c r="F1065" s="91"/>
      <c r="G1065" s="80"/>
      <c r="H1065" s="80"/>
      <c r="I1065" s="80"/>
      <c r="J1065" s="80"/>
    </row>
    <row r="1066" ht="22.5" customHeight="1">
      <c r="A1066" s="81"/>
      <c r="B1066" s="81"/>
      <c r="C1066" s="81"/>
      <c r="D1066" s="143"/>
      <c r="E1066" s="80"/>
      <c r="F1066" s="91"/>
      <c r="G1066" s="80"/>
      <c r="H1066" s="80"/>
      <c r="I1066" s="80"/>
      <c r="J1066" s="80"/>
    </row>
    <row r="1067" ht="22.5" customHeight="1">
      <c r="A1067" s="81"/>
      <c r="B1067" s="81"/>
      <c r="C1067" s="81"/>
      <c r="D1067" s="143"/>
      <c r="E1067" s="80"/>
      <c r="F1067" s="91"/>
      <c r="G1067" s="80"/>
      <c r="H1067" s="80"/>
      <c r="I1067" s="80"/>
      <c r="J1067" s="80"/>
    </row>
    <row r="1068" ht="22.5" customHeight="1">
      <c r="A1068" s="81"/>
      <c r="B1068" s="81"/>
      <c r="C1068" s="81"/>
      <c r="D1068" s="143"/>
      <c r="E1068" s="80"/>
      <c r="F1068" s="91"/>
      <c r="G1068" s="80"/>
      <c r="H1068" s="80"/>
      <c r="I1068" s="80"/>
      <c r="J1068" s="80"/>
    </row>
    <row r="1069" ht="22.5" customHeight="1">
      <c r="A1069" s="81"/>
      <c r="B1069" s="81"/>
      <c r="C1069" s="81"/>
      <c r="D1069" s="143"/>
      <c r="E1069" s="80"/>
      <c r="F1069" s="91"/>
      <c r="G1069" s="80"/>
      <c r="H1069" s="80"/>
      <c r="I1069" s="80"/>
      <c r="J1069" s="80"/>
    </row>
    <row r="1070" ht="22.5" customHeight="1">
      <c r="A1070" s="81"/>
      <c r="B1070" s="81"/>
      <c r="C1070" s="81"/>
      <c r="D1070" s="143"/>
      <c r="E1070" s="80"/>
      <c r="F1070" s="91"/>
      <c r="G1070" s="80"/>
      <c r="H1070" s="80"/>
      <c r="I1070" s="80"/>
      <c r="J1070" s="80"/>
    </row>
    <row r="1071" ht="22.5" customHeight="1">
      <c r="A1071" s="81"/>
      <c r="B1071" s="81"/>
      <c r="C1071" s="81"/>
      <c r="D1071" s="143"/>
      <c r="E1071" s="80"/>
      <c r="F1071" s="91"/>
      <c r="G1071" s="80"/>
      <c r="H1071" s="80"/>
      <c r="I1071" s="80"/>
      <c r="J1071" s="80"/>
    </row>
    <row r="1072" ht="22.5" customHeight="1">
      <c r="A1072" s="81"/>
      <c r="B1072" s="81"/>
      <c r="C1072" s="81"/>
      <c r="D1072" s="143"/>
      <c r="E1072" s="80"/>
      <c r="F1072" s="91"/>
      <c r="G1072" s="80"/>
      <c r="H1072" s="80"/>
      <c r="I1072" s="80"/>
      <c r="J1072" s="80"/>
    </row>
    <row r="1073" ht="22.5" customHeight="1">
      <c r="A1073" s="81"/>
      <c r="B1073" s="81"/>
      <c r="C1073" s="81"/>
      <c r="D1073" s="143"/>
      <c r="E1073" s="80"/>
      <c r="F1073" s="91"/>
      <c r="G1073" s="80"/>
      <c r="H1073" s="80"/>
      <c r="I1073" s="80"/>
      <c r="J1073" s="80"/>
    </row>
    <row r="1074" ht="22.5" customHeight="1">
      <c r="A1074" s="81"/>
      <c r="B1074" s="81"/>
      <c r="C1074" s="81"/>
      <c r="D1074" s="143"/>
      <c r="E1074" s="80"/>
      <c r="F1074" s="91"/>
      <c r="G1074" s="80"/>
      <c r="H1074" s="80"/>
      <c r="I1074" s="80"/>
      <c r="J1074" s="80"/>
    </row>
    <row r="1075" ht="22.5" customHeight="1">
      <c r="A1075" s="81"/>
      <c r="B1075" s="81"/>
      <c r="C1075" s="81"/>
      <c r="D1075" s="143"/>
      <c r="E1075" s="80"/>
      <c r="F1075" s="91"/>
      <c r="G1075" s="80"/>
      <c r="H1075" s="80"/>
      <c r="I1075" s="80"/>
      <c r="J1075" s="80"/>
    </row>
    <row r="1076" ht="22.5" customHeight="1">
      <c r="A1076" s="81"/>
      <c r="B1076" s="81"/>
      <c r="C1076" s="81"/>
      <c r="D1076" s="143"/>
      <c r="E1076" s="80"/>
      <c r="F1076" s="91"/>
      <c r="G1076" s="80"/>
      <c r="H1076" s="80"/>
      <c r="I1076" s="80"/>
      <c r="J1076" s="80"/>
    </row>
    <row r="1077" ht="22.5" customHeight="1">
      <c r="A1077" s="81"/>
      <c r="B1077" s="81"/>
      <c r="C1077" s="81"/>
      <c r="D1077" s="143"/>
      <c r="E1077" s="80"/>
      <c r="F1077" s="91"/>
      <c r="G1077" s="80"/>
      <c r="H1077" s="80"/>
      <c r="I1077" s="80"/>
      <c r="J1077" s="80"/>
    </row>
    <row r="1078" ht="22.5" customHeight="1">
      <c r="A1078" s="81"/>
      <c r="B1078" s="81"/>
      <c r="C1078" s="81"/>
      <c r="D1078" s="143"/>
      <c r="E1078" s="80"/>
      <c r="F1078" s="91"/>
      <c r="G1078" s="80"/>
      <c r="H1078" s="80"/>
      <c r="I1078" s="80"/>
      <c r="J1078" s="80"/>
    </row>
    <row r="1079" ht="22.5" customHeight="1">
      <c r="A1079" s="81"/>
      <c r="B1079" s="81"/>
      <c r="C1079" s="81"/>
      <c r="D1079" s="143"/>
      <c r="E1079" s="80"/>
      <c r="F1079" s="91"/>
      <c r="G1079" s="80"/>
      <c r="H1079" s="80"/>
      <c r="I1079" s="80"/>
      <c r="J1079" s="80"/>
    </row>
    <row r="1080" ht="22.5" customHeight="1">
      <c r="A1080" s="81"/>
      <c r="B1080" s="81"/>
      <c r="C1080" s="81"/>
      <c r="D1080" s="143"/>
      <c r="E1080" s="80"/>
      <c r="F1080" s="91"/>
      <c r="G1080" s="80"/>
      <c r="H1080" s="80"/>
      <c r="I1080" s="80"/>
      <c r="J1080" s="80"/>
    </row>
    <row r="1081" ht="22.5" customHeight="1">
      <c r="A1081" s="81"/>
      <c r="B1081" s="81"/>
      <c r="C1081" s="81"/>
      <c r="D1081" s="143"/>
      <c r="E1081" s="80"/>
      <c r="F1081" s="91"/>
      <c r="G1081" s="80"/>
      <c r="H1081" s="80"/>
      <c r="I1081" s="80"/>
      <c r="J1081" s="80"/>
    </row>
    <row r="1082" ht="22.5" customHeight="1">
      <c r="A1082" s="81"/>
      <c r="B1082" s="81"/>
      <c r="C1082" s="81"/>
      <c r="D1082" s="143"/>
      <c r="E1082" s="80"/>
      <c r="F1082" s="91"/>
      <c r="G1082" s="80"/>
      <c r="H1082" s="80"/>
      <c r="I1082" s="80"/>
      <c r="J1082" s="80"/>
    </row>
    <row r="1083" ht="22.5" customHeight="1">
      <c r="A1083" s="81"/>
      <c r="B1083" s="81"/>
      <c r="C1083" s="81"/>
      <c r="D1083" s="143"/>
      <c r="E1083" s="80"/>
      <c r="F1083" s="91"/>
      <c r="G1083" s="80"/>
      <c r="H1083" s="80"/>
      <c r="I1083" s="80"/>
      <c r="J1083" s="80"/>
    </row>
    <row r="1084" ht="22.5" customHeight="1">
      <c r="A1084" s="81"/>
      <c r="B1084" s="81"/>
      <c r="C1084" s="81"/>
      <c r="D1084" s="143"/>
      <c r="E1084" s="80"/>
      <c r="F1084" s="91"/>
      <c r="G1084" s="80"/>
      <c r="H1084" s="80"/>
      <c r="I1084" s="80"/>
      <c r="J1084" s="80"/>
    </row>
    <row r="1085" ht="22.5" customHeight="1">
      <c r="A1085" s="81"/>
      <c r="B1085" s="81"/>
      <c r="C1085" s="81"/>
      <c r="D1085" s="143"/>
      <c r="E1085" s="80"/>
      <c r="F1085" s="91"/>
      <c r="G1085" s="80"/>
      <c r="H1085" s="80"/>
      <c r="I1085" s="80"/>
      <c r="J1085" s="80"/>
    </row>
    <row r="1086" ht="22.5" customHeight="1">
      <c r="A1086" s="81"/>
      <c r="B1086" s="81"/>
      <c r="C1086" s="81"/>
      <c r="D1086" s="143"/>
      <c r="E1086" s="80"/>
      <c r="F1086" s="91"/>
      <c r="G1086" s="80"/>
      <c r="H1086" s="80"/>
      <c r="I1086" s="80"/>
      <c r="J1086" s="80"/>
    </row>
    <row r="1087" ht="22.5" customHeight="1">
      <c r="A1087" s="81"/>
      <c r="B1087" s="81"/>
      <c r="C1087" s="81"/>
      <c r="D1087" s="143"/>
      <c r="E1087" s="80"/>
      <c r="F1087" s="91"/>
      <c r="G1087" s="80"/>
      <c r="H1087" s="80"/>
      <c r="I1087" s="80"/>
      <c r="J1087" s="80"/>
    </row>
    <row r="1088" ht="22.5" customHeight="1">
      <c r="A1088" s="81"/>
      <c r="B1088" s="81"/>
      <c r="C1088" s="81"/>
      <c r="D1088" s="143"/>
      <c r="E1088" s="80"/>
      <c r="F1088" s="91"/>
      <c r="G1088" s="80"/>
      <c r="H1088" s="80"/>
      <c r="I1088" s="80"/>
      <c r="J1088" s="80"/>
    </row>
    <row r="1089" ht="22.5" customHeight="1">
      <c r="A1089" s="81"/>
      <c r="B1089" s="81"/>
      <c r="C1089" s="81"/>
      <c r="D1089" s="143"/>
      <c r="E1089" s="80"/>
      <c r="F1089" s="91"/>
      <c r="G1089" s="80"/>
      <c r="H1089" s="80"/>
      <c r="I1089" s="80"/>
      <c r="J1089" s="80"/>
    </row>
    <row r="1090" ht="22.5" customHeight="1">
      <c r="A1090" s="81"/>
      <c r="B1090" s="81"/>
      <c r="C1090" s="81"/>
      <c r="D1090" s="143"/>
      <c r="E1090" s="80"/>
      <c r="F1090" s="91"/>
      <c r="G1090" s="80"/>
      <c r="H1090" s="80"/>
      <c r="I1090" s="80"/>
      <c r="J1090" s="80"/>
    </row>
    <row r="1091" ht="22.5" customHeight="1">
      <c r="A1091" s="81"/>
      <c r="B1091" s="81"/>
      <c r="C1091" s="81"/>
      <c r="D1091" s="143"/>
      <c r="E1091" s="80"/>
      <c r="F1091" s="91"/>
      <c r="G1091" s="80"/>
      <c r="H1091" s="80"/>
      <c r="I1091" s="80"/>
      <c r="J1091" s="80"/>
    </row>
    <row r="1092" ht="22.5" customHeight="1">
      <c r="A1092" s="81"/>
      <c r="B1092" s="81"/>
      <c r="C1092" s="81"/>
      <c r="D1092" s="143"/>
      <c r="E1092" s="80"/>
      <c r="F1092" s="91"/>
      <c r="G1092" s="80"/>
      <c r="H1092" s="80"/>
      <c r="I1092" s="80"/>
      <c r="J1092" s="80"/>
    </row>
    <row r="1093" ht="22.5" customHeight="1">
      <c r="A1093" s="81"/>
      <c r="B1093" s="81"/>
      <c r="C1093" s="81"/>
      <c r="D1093" s="143"/>
      <c r="E1093" s="80"/>
      <c r="F1093" s="91"/>
      <c r="G1093" s="80"/>
      <c r="H1093" s="80"/>
      <c r="I1093" s="80"/>
      <c r="J1093" s="80"/>
    </row>
    <row r="1094" ht="22.5" customHeight="1">
      <c r="A1094" s="81"/>
      <c r="B1094" s="81"/>
      <c r="C1094" s="81"/>
      <c r="D1094" s="143"/>
      <c r="E1094" s="80"/>
      <c r="F1094" s="91"/>
      <c r="G1094" s="80"/>
      <c r="H1094" s="80"/>
      <c r="I1094" s="80"/>
      <c r="J1094" s="80"/>
    </row>
    <row r="1095" ht="22.5" customHeight="1">
      <c r="A1095" s="81"/>
      <c r="B1095" s="81"/>
      <c r="C1095" s="81"/>
      <c r="D1095" s="143"/>
      <c r="E1095" s="80"/>
      <c r="F1095" s="91"/>
      <c r="G1095" s="80"/>
      <c r="H1095" s="80"/>
      <c r="I1095" s="80"/>
      <c r="J1095" s="80"/>
    </row>
    <row r="1096" ht="22.5" customHeight="1">
      <c r="A1096" s="81"/>
      <c r="B1096" s="81"/>
      <c r="C1096" s="81"/>
      <c r="D1096" s="143"/>
      <c r="E1096" s="80"/>
      <c r="F1096" s="91"/>
      <c r="G1096" s="80"/>
      <c r="H1096" s="80"/>
      <c r="I1096" s="80"/>
      <c r="J1096" s="80"/>
    </row>
    <row r="1097" ht="22.5" customHeight="1">
      <c r="A1097" s="81"/>
      <c r="B1097" s="81"/>
      <c r="C1097" s="81"/>
      <c r="D1097" s="143"/>
      <c r="E1097" s="80"/>
      <c r="F1097" s="91"/>
      <c r="G1097" s="80"/>
      <c r="H1097" s="80"/>
      <c r="I1097" s="80"/>
      <c r="J1097" s="80"/>
    </row>
    <row r="1098" ht="22.5" customHeight="1">
      <c r="A1098" s="81"/>
      <c r="B1098" s="81"/>
      <c r="C1098" s="81"/>
      <c r="D1098" s="143"/>
      <c r="E1098" s="80"/>
      <c r="F1098" s="91"/>
      <c r="G1098" s="80"/>
      <c r="H1098" s="80"/>
      <c r="I1098" s="80"/>
      <c r="J1098" s="80"/>
    </row>
    <row r="1099" ht="22.5" customHeight="1">
      <c r="A1099" s="81"/>
      <c r="B1099" s="81"/>
      <c r="C1099" s="81"/>
      <c r="D1099" s="143"/>
      <c r="E1099" s="80"/>
      <c r="F1099" s="91"/>
      <c r="G1099" s="80"/>
      <c r="H1099" s="80"/>
      <c r="I1099" s="80"/>
      <c r="J1099" s="80"/>
    </row>
    <row r="1100" ht="22.5" customHeight="1">
      <c r="A1100" s="81"/>
      <c r="B1100" s="81"/>
      <c r="C1100" s="81"/>
      <c r="D1100" s="143"/>
      <c r="E1100" s="80"/>
      <c r="F1100" s="91"/>
      <c r="G1100" s="80"/>
      <c r="H1100" s="80"/>
      <c r="I1100" s="80"/>
      <c r="J1100" s="80"/>
    </row>
    <row r="1101" ht="22.5" customHeight="1">
      <c r="A1101" s="81"/>
      <c r="B1101" s="81"/>
      <c r="C1101" s="81"/>
      <c r="D1101" s="143"/>
      <c r="E1101" s="80"/>
      <c r="F1101" s="91"/>
      <c r="G1101" s="80"/>
      <c r="H1101" s="80"/>
      <c r="I1101" s="80"/>
      <c r="J1101" s="80"/>
    </row>
    <row r="1102" ht="22.5" customHeight="1">
      <c r="A1102" s="81"/>
      <c r="B1102" s="81"/>
      <c r="C1102" s="81"/>
      <c r="D1102" s="143"/>
      <c r="E1102" s="80"/>
      <c r="F1102" s="91"/>
      <c r="G1102" s="80"/>
      <c r="H1102" s="80"/>
      <c r="I1102" s="80"/>
      <c r="J1102" s="80"/>
    </row>
    <row r="1103" ht="22.5" customHeight="1">
      <c r="A1103" s="81"/>
      <c r="B1103" s="81"/>
      <c r="C1103" s="81"/>
      <c r="D1103" s="143"/>
      <c r="E1103" s="80"/>
      <c r="F1103" s="91"/>
      <c r="G1103" s="80"/>
      <c r="H1103" s="80"/>
      <c r="I1103" s="80"/>
      <c r="J1103" s="80"/>
    </row>
    <row r="1104" ht="22.5" customHeight="1">
      <c r="A1104" s="81"/>
      <c r="B1104" s="81"/>
      <c r="C1104" s="81"/>
      <c r="D1104" s="143"/>
      <c r="E1104" s="80"/>
      <c r="F1104" s="91"/>
      <c r="G1104" s="80"/>
      <c r="H1104" s="80"/>
      <c r="I1104" s="80"/>
      <c r="J1104" s="80"/>
    </row>
    <row r="1105" ht="22.5" customHeight="1">
      <c r="A1105" s="81"/>
      <c r="B1105" s="81"/>
      <c r="C1105" s="81"/>
      <c r="D1105" s="143"/>
      <c r="E1105" s="80"/>
      <c r="F1105" s="91"/>
      <c r="G1105" s="80"/>
      <c r="H1105" s="80"/>
      <c r="I1105" s="80"/>
      <c r="J1105" s="80"/>
    </row>
    <row r="1106" ht="22.5" customHeight="1">
      <c r="A1106" s="81"/>
      <c r="B1106" s="81"/>
      <c r="C1106" s="81"/>
      <c r="D1106" s="143"/>
      <c r="E1106" s="80"/>
      <c r="F1106" s="91"/>
      <c r="G1106" s="80"/>
      <c r="H1106" s="80"/>
      <c r="I1106" s="80"/>
      <c r="J1106" s="80"/>
    </row>
    <row r="1107" ht="22.5" customHeight="1">
      <c r="A1107" s="81"/>
      <c r="B1107" s="81"/>
      <c r="C1107" s="81"/>
      <c r="D1107" s="143"/>
      <c r="E1107" s="80"/>
      <c r="F1107" s="91"/>
      <c r="G1107" s="80"/>
      <c r="H1107" s="80"/>
      <c r="I1107" s="80"/>
      <c r="J1107" s="80"/>
    </row>
    <row r="1108" ht="22.5" customHeight="1">
      <c r="A1108" s="81"/>
      <c r="B1108" s="81"/>
      <c r="C1108" s="81"/>
      <c r="D1108" s="143"/>
      <c r="E1108" s="80"/>
      <c r="F1108" s="91"/>
      <c r="G1108" s="80"/>
      <c r="H1108" s="80"/>
      <c r="I1108" s="80"/>
      <c r="J1108" s="80"/>
    </row>
    <row r="1109" ht="22.5" customHeight="1">
      <c r="A1109" s="81"/>
      <c r="B1109" s="81"/>
      <c r="C1109" s="81"/>
      <c r="D1109" s="143"/>
      <c r="E1109" s="80"/>
      <c r="F1109" s="91"/>
      <c r="G1109" s="80"/>
      <c r="H1109" s="80"/>
      <c r="I1109" s="80"/>
      <c r="J1109" s="80"/>
    </row>
    <row r="1110" ht="22.5" customHeight="1">
      <c r="A1110" s="81"/>
      <c r="B1110" s="81"/>
      <c r="C1110" s="81"/>
      <c r="D1110" s="143"/>
      <c r="E1110" s="80"/>
      <c r="F1110" s="91"/>
      <c r="G1110" s="80"/>
      <c r="H1110" s="80"/>
      <c r="I1110" s="80"/>
      <c r="J1110" s="80"/>
    </row>
    <row r="1111" ht="22.5" customHeight="1">
      <c r="A1111" s="81"/>
      <c r="B1111" s="81"/>
      <c r="C1111" s="81"/>
      <c r="D1111" s="143"/>
      <c r="E1111" s="80"/>
      <c r="F1111" s="91"/>
      <c r="G1111" s="80"/>
      <c r="H1111" s="80"/>
      <c r="I1111" s="80"/>
      <c r="J1111" s="80"/>
    </row>
    <row r="1112" ht="22.5" customHeight="1">
      <c r="A1112" s="81"/>
      <c r="B1112" s="81"/>
      <c r="C1112" s="81"/>
      <c r="D1112" s="143"/>
      <c r="E1112" s="80"/>
      <c r="F1112" s="91"/>
      <c r="G1112" s="80"/>
      <c r="H1112" s="80"/>
      <c r="I1112" s="80"/>
      <c r="J1112" s="80"/>
    </row>
    <row r="1113" ht="22.5" customHeight="1">
      <c r="A1113" s="81"/>
      <c r="B1113" s="81"/>
      <c r="C1113" s="81"/>
      <c r="D1113" s="143"/>
      <c r="E1113" s="80"/>
      <c r="F1113" s="91"/>
      <c r="G1113" s="80"/>
      <c r="H1113" s="80"/>
      <c r="I1113" s="80"/>
      <c r="J1113" s="80"/>
    </row>
    <row r="1114" ht="22.5" customHeight="1">
      <c r="A1114" s="81"/>
      <c r="B1114" s="81"/>
      <c r="C1114" s="81"/>
      <c r="D1114" s="143"/>
      <c r="E1114" s="80"/>
      <c r="F1114" s="91"/>
      <c r="G1114" s="80"/>
      <c r="H1114" s="80"/>
      <c r="I1114" s="80"/>
      <c r="J1114" s="80"/>
    </row>
    <row r="1115" ht="22.5" customHeight="1">
      <c r="A1115" s="81"/>
      <c r="B1115" s="81"/>
      <c r="C1115" s="81"/>
      <c r="D1115" s="143"/>
      <c r="E1115" s="80"/>
      <c r="F1115" s="91"/>
      <c r="G1115" s="80"/>
      <c r="H1115" s="80"/>
      <c r="I1115" s="80"/>
      <c r="J1115" s="80"/>
    </row>
    <row r="1116" ht="22.5" customHeight="1">
      <c r="A1116" s="81"/>
      <c r="B1116" s="81"/>
      <c r="C1116" s="81"/>
      <c r="D1116" s="143"/>
      <c r="E1116" s="80"/>
      <c r="F1116" s="91"/>
      <c r="G1116" s="80"/>
      <c r="H1116" s="80"/>
      <c r="I1116" s="80"/>
      <c r="J1116" s="80"/>
    </row>
    <row r="1117" ht="22.5" customHeight="1">
      <c r="A1117" s="81"/>
      <c r="B1117" s="81"/>
      <c r="C1117" s="81"/>
      <c r="D1117" s="143"/>
      <c r="E1117" s="80"/>
      <c r="F1117" s="91"/>
      <c r="G1117" s="80"/>
      <c r="H1117" s="80"/>
      <c r="I1117" s="80"/>
      <c r="J1117" s="80"/>
    </row>
    <row r="1118" ht="22.5" customHeight="1">
      <c r="A1118" s="81"/>
      <c r="B1118" s="81"/>
      <c r="C1118" s="81"/>
      <c r="D1118" s="143"/>
      <c r="E1118" s="80"/>
      <c r="F1118" s="91"/>
      <c r="G1118" s="80"/>
      <c r="H1118" s="80"/>
      <c r="I1118" s="80"/>
      <c r="J1118" s="80"/>
    </row>
    <row r="1119" ht="22.5" customHeight="1">
      <c r="A1119" s="81"/>
      <c r="B1119" s="81"/>
      <c r="C1119" s="81"/>
      <c r="D1119" s="143"/>
      <c r="E1119" s="80"/>
      <c r="F1119" s="91"/>
      <c r="G1119" s="80"/>
      <c r="H1119" s="80"/>
      <c r="I1119" s="80"/>
      <c r="J1119" s="80"/>
    </row>
    <row r="1120" ht="22.5" customHeight="1">
      <c r="A1120" s="81"/>
      <c r="B1120" s="81"/>
      <c r="C1120" s="81"/>
      <c r="D1120" s="143"/>
      <c r="E1120" s="80"/>
      <c r="F1120" s="91"/>
      <c r="G1120" s="80"/>
      <c r="H1120" s="80"/>
      <c r="I1120" s="80"/>
      <c r="J1120" s="80"/>
    </row>
    <row r="1121" ht="22.5" customHeight="1">
      <c r="A1121" s="81"/>
      <c r="B1121" s="81"/>
      <c r="C1121" s="81"/>
      <c r="D1121" s="143"/>
      <c r="E1121" s="80"/>
      <c r="F1121" s="91"/>
      <c r="G1121" s="80"/>
      <c r="H1121" s="80"/>
      <c r="I1121" s="80"/>
      <c r="J1121" s="80"/>
    </row>
    <row r="1122" ht="22.5" customHeight="1">
      <c r="A1122" s="81"/>
      <c r="B1122" s="81"/>
      <c r="C1122" s="81"/>
      <c r="D1122" s="143"/>
      <c r="E1122" s="80"/>
      <c r="F1122" s="91"/>
      <c r="G1122" s="80"/>
      <c r="H1122" s="80"/>
      <c r="I1122" s="80"/>
      <c r="J1122" s="80"/>
    </row>
    <row r="1123" ht="22.5" customHeight="1">
      <c r="A1123" s="81"/>
      <c r="B1123" s="81"/>
      <c r="C1123" s="81"/>
      <c r="D1123" s="143"/>
      <c r="E1123" s="80"/>
      <c r="F1123" s="91"/>
      <c r="G1123" s="80"/>
      <c r="H1123" s="80"/>
      <c r="I1123" s="80"/>
      <c r="J1123" s="80"/>
    </row>
    <row r="1124" ht="22.5" customHeight="1">
      <c r="A1124" s="81"/>
      <c r="B1124" s="81"/>
      <c r="C1124" s="81"/>
      <c r="D1124" s="143"/>
      <c r="E1124" s="80"/>
      <c r="F1124" s="91"/>
      <c r="G1124" s="80"/>
      <c r="H1124" s="80"/>
      <c r="I1124" s="80"/>
      <c r="J1124" s="80"/>
    </row>
    <row r="1125" ht="22.5" customHeight="1">
      <c r="A1125" s="81"/>
      <c r="B1125" s="81"/>
      <c r="C1125" s="81"/>
      <c r="D1125" s="143"/>
      <c r="E1125" s="80"/>
      <c r="F1125" s="91"/>
      <c r="G1125" s="80"/>
      <c r="H1125" s="80"/>
      <c r="I1125" s="80"/>
      <c r="J1125" s="80"/>
    </row>
    <row r="1126" ht="22.5" customHeight="1">
      <c r="A1126" s="81"/>
      <c r="B1126" s="81"/>
      <c r="C1126" s="81"/>
      <c r="D1126" s="143"/>
      <c r="E1126" s="80"/>
      <c r="F1126" s="91"/>
      <c r="G1126" s="80"/>
      <c r="H1126" s="80"/>
      <c r="I1126" s="80"/>
      <c r="J1126" s="80"/>
    </row>
    <row r="1127" ht="22.5" customHeight="1">
      <c r="A1127" s="81"/>
      <c r="B1127" s="81"/>
      <c r="C1127" s="81"/>
      <c r="D1127" s="143"/>
      <c r="E1127" s="80"/>
      <c r="F1127" s="91"/>
      <c r="G1127" s="80"/>
      <c r="H1127" s="80"/>
      <c r="I1127" s="80"/>
      <c r="J1127" s="80"/>
    </row>
    <row r="1128" ht="22.5" customHeight="1">
      <c r="A1128" s="81"/>
      <c r="B1128" s="81"/>
      <c r="C1128" s="81"/>
      <c r="D1128" s="143"/>
      <c r="E1128" s="80"/>
      <c r="F1128" s="91"/>
      <c r="G1128" s="80"/>
      <c r="H1128" s="80"/>
      <c r="I1128" s="80"/>
      <c r="J1128" s="80"/>
    </row>
    <row r="1129" ht="22.5" customHeight="1">
      <c r="A1129" s="81"/>
      <c r="B1129" s="81"/>
      <c r="C1129" s="81"/>
      <c r="D1129" s="143"/>
      <c r="E1129" s="80"/>
      <c r="F1129" s="91"/>
      <c r="G1129" s="80"/>
      <c r="H1129" s="80"/>
      <c r="I1129" s="80"/>
      <c r="J1129" s="80"/>
    </row>
    <row r="1130" ht="22.5" customHeight="1">
      <c r="A1130" s="81"/>
      <c r="B1130" s="81"/>
      <c r="C1130" s="81"/>
      <c r="D1130" s="143"/>
      <c r="E1130" s="80"/>
      <c r="F1130" s="91"/>
      <c r="G1130" s="80"/>
      <c r="H1130" s="80"/>
      <c r="I1130" s="80"/>
      <c r="J1130" s="80"/>
    </row>
    <row r="1131" ht="22.5" customHeight="1">
      <c r="A1131" s="81"/>
      <c r="B1131" s="81"/>
      <c r="C1131" s="81"/>
      <c r="D1131" s="143"/>
      <c r="E1131" s="80"/>
      <c r="F1131" s="91"/>
      <c r="G1131" s="80"/>
      <c r="H1131" s="80"/>
      <c r="I1131" s="80"/>
      <c r="J1131" s="80"/>
    </row>
    <row r="1132" ht="22.5" customHeight="1">
      <c r="A1132" s="81"/>
      <c r="B1132" s="81"/>
      <c r="C1132" s="81"/>
      <c r="D1132" s="143"/>
      <c r="E1132" s="80"/>
      <c r="F1132" s="91"/>
      <c r="G1132" s="80"/>
      <c r="H1132" s="80"/>
      <c r="I1132" s="80"/>
      <c r="J1132" s="80"/>
    </row>
    <row r="1133" ht="22.5" customHeight="1">
      <c r="A1133" s="81"/>
      <c r="B1133" s="81"/>
      <c r="C1133" s="81"/>
      <c r="D1133" s="143"/>
      <c r="E1133" s="80"/>
      <c r="F1133" s="91"/>
      <c r="G1133" s="80"/>
      <c r="H1133" s="80"/>
      <c r="I1133" s="80"/>
      <c r="J1133" s="80"/>
    </row>
    <row r="1134" ht="22.5" customHeight="1">
      <c r="A1134" s="81"/>
      <c r="B1134" s="81"/>
      <c r="C1134" s="81"/>
      <c r="D1134" s="143"/>
      <c r="E1134" s="80"/>
      <c r="F1134" s="91"/>
      <c r="G1134" s="80"/>
      <c r="H1134" s="80"/>
      <c r="I1134" s="80"/>
      <c r="J1134" s="80"/>
    </row>
    <row r="1135" ht="22.5" customHeight="1">
      <c r="A1135" s="81"/>
      <c r="B1135" s="81"/>
      <c r="C1135" s="81"/>
      <c r="D1135" s="143"/>
      <c r="E1135" s="80"/>
      <c r="F1135" s="91"/>
      <c r="G1135" s="80"/>
      <c r="H1135" s="80"/>
      <c r="I1135" s="80"/>
      <c r="J1135" s="80"/>
    </row>
    <row r="1136" ht="22.5" customHeight="1">
      <c r="A1136" s="81"/>
      <c r="B1136" s="81"/>
      <c r="C1136" s="81"/>
      <c r="D1136" s="143"/>
      <c r="E1136" s="80"/>
      <c r="F1136" s="91"/>
      <c r="G1136" s="80"/>
      <c r="H1136" s="80"/>
      <c r="I1136" s="80"/>
      <c r="J1136" s="80"/>
    </row>
    <row r="1137" ht="22.5" customHeight="1">
      <c r="A1137" s="81"/>
      <c r="B1137" s="81"/>
      <c r="C1137" s="81"/>
      <c r="D1137" s="143"/>
      <c r="E1137" s="80"/>
      <c r="F1137" s="91"/>
      <c r="G1137" s="80"/>
      <c r="H1137" s="80"/>
      <c r="I1137" s="80"/>
      <c r="J1137" s="80"/>
    </row>
    <row r="1138" ht="22.5" customHeight="1">
      <c r="A1138" s="81"/>
      <c r="B1138" s="81"/>
      <c r="C1138" s="81"/>
      <c r="D1138" s="143"/>
      <c r="E1138" s="80"/>
      <c r="F1138" s="91"/>
      <c r="G1138" s="80"/>
      <c r="H1138" s="80"/>
      <c r="I1138" s="80"/>
      <c r="J1138" s="80"/>
    </row>
    <row r="1139" ht="22.5" customHeight="1">
      <c r="A1139" s="81"/>
      <c r="B1139" s="81"/>
      <c r="C1139" s="81"/>
      <c r="D1139" s="143"/>
      <c r="E1139" s="80"/>
      <c r="F1139" s="91"/>
      <c r="G1139" s="80"/>
      <c r="H1139" s="80"/>
      <c r="I1139" s="80"/>
      <c r="J1139" s="80"/>
    </row>
    <row r="1140" ht="22.5" customHeight="1">
      <c r="A1140" s="81"/>
      <c r="B1140" s="81"/>
      <c r="C1140" s="81"/>
      <c r="D1140" s="143"/>
      <c r="E1140" s="80"/>
      <c r="F1140" s="91"/>
      <c r="G1140" s="80"/>
      <c r="H1140" s="80"/>
      <c r="I1140" s="80"/>
      <c r="J1140" s="80"/>
    </row>
    <row r="1141" ht="22.5" customHeight="1">
      <c r="A1141" s="81"/>
      <c r="B1141" s="81"/>
      <c r="C1141" s="81"/>
      <c r="D1141" s="143"/>
      <c r="E1141" s="80"/>
      <c r="F1141" s="91"/>
      <c r="G1141" s="80"/>
      <c r="H1141" s="80"/>
      <c r="I1141" s="80"/>
      <c r="J1141" s="80"/>
    </row>
    <row r="1142" ht="22.5" customHeight="1">
      <c r="A1142" s="81"/>
      <c r="B1142" s="81"/>
      <c r="C1142" s="81"/>
      <c r="D1142" s="143"/>
      <c r="E1142" s="80"/>
      <c r="F1142" s="91"/>
      <c r="G1142" s="80"/>
      <c r="H1142" s="80"/>
      <c r="I1142" s="80"/>
      <c r="J1142" s="80"/>
    </row>
    <row r="1143" ht="22.5" customHeight="1">
      <c r="A1143" s="81"/>
      <c r="B1143" s="81"/>
      <c r="C1143" s="81"/>
      <c r="D1143" s="143"/>
      <c r="E1143" s="80"/>
      <c r="F1143" s="91"/>
      <c r="G1143" s="80"/>
      <c r="H1143" s="80"/>
      <c r="I1143" s="80"/>
      <c r="J1143" s="80"/>
    </row>
    <row r="1144" ht="22.5" customHeight="1">
      <c r="A1144" s="81"/>
      <c r="B1144" s="81"/>
      <c r="C1144" s="81"/>
      <c r="D1144" s="143"/>
      <c r="E1144" s="80"/>
      <c r="F1144" s="91"/>
      <c r="G1144" s="80"/>
      <c r="H1144" s="80"/>
      <c r="I1144" s="80"/>
      <c r="J1144" s="80"/>
    </row>
    <row r="1145" ht="22.5" customHeight="1">
      <c r="A1145" s="81"/>
      <c r="B1145" s="81"/>
      <c r="C1145" s="81"/>
      <c r="D1145" s="143"/>
      <c r="E1145" s="80"/>
      <c r="F1145" s="91"/>
      <c r="G1145" s="80"/>
      <c r="H1145" s="80"/>
      <c r="I1145" s="80"/>
      <c r="J1145" s="80"/>
    </row>
    <row r="1146" ht="22.5" customHeight="1">
      <c r="A1146" s="81"/>
      <c r="B1146" s="81"/>
      <c r="C1146" s="81"/>
      <c r="D1146" s="143"/>
      <c r="E1146" s="80"/>
      <c r="F1146" s="91"/>
      <c r="G1146" s="80"/>
      <c r="H1146" s="80"/>
      <c r="I1146" s="80"/>
      <c r="J1146" s="80"/>
    </row>
    <row r="1147" ht="22.5" customHeight="1">
      <c r="A1147" s="81"/>
      <c r="B1147" s="81"/>
      <c r="C1147" s="81"/>
      <c r="D1147" s="143"/>
      <c r="E1147" s="80"/>
      <c r="F1147" s="91"/>
      <c r="G1147" s="80"/>
      <c r="H1147" s="80"/>
      <c r="I1147" s="80"/>
      <c r="J1147" s="80"/>
    </row>
    <row r="1148" ht="22.5" customHeight="1">
      <c r="A1148" s="81"/>
      <c r="B1148" s="81"/>
      <c r="C1148" s="81"/>
      <c r="D1148" s="143"/>
      <c r="E1148" s="80"/>
      <c r="F1148" s="91"/>
      <c r="G1148" s="80"/>
      <c r="H1148" s="80"/>
      <c r="I1148" s="80"/>
      <c r="J1148" s="80"/>
    </row>
    <row r="1149" ht="22.5" customHeight="1">
      <c r="A1149" s="81"/>
      <c r="B1149" s="81"/>
      <c r="C1149" s="81"/>
      <c r="D1149" s="143"/>
      <c r="E1149" s="80"/>
      <c r="F1149" s="91"/>
      <c r="G1149" s="80"/>
      <c r="H1149" s="80"/>
      <c r="I1149" s="80"/>
      <c r="J1149" s="80"/>
    </row>
    <row r="1150" ht="22.5" customHeight="1">
      <c r="A1150" s="81"/>
      <c r="B1150" s="81"/>
      <c r="C1150" s="81"/>
      <c r="D1150" s="143"/>
      <c r="E1150" s="80"/>
      <c r="F1150" s="91"/>
      <c r="G1150" s="80"/>
      <c r="H1150" s="80"/>
      <c r="I1150" s="80"/>
      <c r="J1150" s="80"/>
    </row>
    <row r="1151" ht="22.5" customHeight="1">
      <c r="A1151" s="81"/>
      <c r="B1151" s="81"/>
      <c r="C1151" s="81"/>
      <c r="D1151" s="143"/>
      <c r="E1151" s="80"/>
      <c r="F1151" s="91"/>
      <c r="G1151" s="80"/>
      <c r="H1151" s="80"/>
      <c r="I1151" s="80"/>
      <c r="J1151" s="80"/>
    </row>
    <row r="1152" ht="22.5" customHeight="1">
      <c r="A1152" s="81"/>
      <c r="B1152" s="81"/>
      <c r="C1152" s="81"/>
      <c r="D1152" s="143"/>
      <c r="E1152" s="80"/>
      <c r="F1152" s="91"/>
      <c r="G1152" s="80"/>
      <c r="H1152" s="80"/>
      <c r="I1152" s="80"/>
      <c r="J1152" s="80"/>
    </row>
    <row r="1153" ht="22.5" customHeight="1">
      <c r="A1153" s="81"/>
      <c r="B1153" s="81"/>
      <c r="C1153" s="81"/>
      <c r="D1153" s="143"/>
      <c r="E1153" s="80"/>
      <c r="F1153" s="91"/>
      <c r="G1153" s="80"/>
      <c r="H1153" s="80"/>
      <c r="I1153" s="80"/>
      <c r="J1153" s="80"/>
    </row>
    <row r="1154" ht="22.5" customHeight="1">
      <c r="A1154" s="81"/>
      <c r="B1154" s="81"/>
      <c r="C1154" s="81"/>
      <c r="D1154" s="143"/>
      <c r="E1154" s="80"/>
      <c r="F1154" s="91"/>
      <c r="G1154" s="80"/>
      <c r="H1154" s="80"/>
      <c r="I1154" s="80"/>
      <c r="J1154" s="80"/>
    </row>
    <row r="1155" ht="22.5" customHeight="1">
      <c r="A1155" s="81"/>
      <c r="B1155" s="81"/>
      <c r="C1155" s="81"/>
      <c r="D1155" s="143"/>
      <c r="E1155" s="80"/>
      <c r="F1155" s="91"/>
      <c r="G1155" s="80"/>
      <c r="H1155" s="80"/>
      <c r="I1155" s="80"/>
      <c r="J1155" s="80"/>
    </row>
    <row r="1156" ht="22.5" customHeight="1">
      <c r="A1156" s="81"/>
      <c r="B1156" s="81"/>
      <c r="C1156" s="81"/>
      <c r="D1156" s="143"/>
      <c r="E1156" s="80"/>
      <c r="F1156" s="91"/>
      <c r="G1156" s="80"/>
      <c r="H1156" s="80"/>
      <c r="I1156" s="80"/>
      <c r="J1156" s="80"/>
    </row>
    <row r="1157" ht="22.5" customHeight="1">
      <c r="A1157" s="81"/>
      <c r="B1157" s="81"/>
      <c r="C1157" s="81"/>
      <c r="D1157" s="143"/>
      <c r="E1157" s="80"/>
      <c r="F1157" s="91"/>
      <c r="G1157" s="80"/>
      <c r="H1157" s="80"/>
      <c r="I1157" s="80"/>
      <c r="J1157" s="80"/>
    </row>
    <row r="1158" ht="22.5" customHeight="1">
      <c r="A1158" s="81"/>
      <c r="B1158" s="81"/>
      <c r="C1158" s="81"/>
      <c r="D1158" s="143"/>
      <c r="E1158" s="80"/>
      <c r="F1158" s="91"/>
      <c r="G1158" s="80"/>
      <c r="H1158" s="80"/>
      <c r="I1158" s="80"/>
      <c r="J1158" s="80"/>
    </row>
    <row r="1159" ht="22.5" customHeight="1">
      <c r="A1159" s="81"/>
      <c r="B1159" s="81"/>
      <c r="C1159" s="81"/>
      <c r="D1159" s="143"/>
      <c r="E1159" s="80"/>
      <c r="F1159" s="91"/>
      <c r="G1159" s="80"/>
      <c r="H1159" s="80"/>
      <c r="I1159" s="80"/>
      <c r="J1159" s="80"/>
    </row>
    <row r="1160" ht="22.5" customHeight="1">
      <c r="A1160" s="81"/>
      <c r="B1160" s="81"/>
      <c r="C1160" s="81"/>
      <c r="D1160" s="143"/>
      <c r="E1160" s="80"/>
      <c r="F1160" s="91"/>
      <c r="G1160" s="80"/>
      <c r="H1160" s="80"/>
      <c r="I1160" s="80"/>
      <c r="J1160" s="80"/>
    </row>
    <row r="1161" ht="22.5" customHeight="1">
      <c r="A1161" s="81"/>
      <c r="B1161" s="81"/>
      <c r="C1161" s="81"/>
      <c r="D1161" s="143"/>
      <c r="E1161" s="80"/>
      <c r="F1161" s="91"/>
      <c r="G1161" s="80"/>
      <c r="H1161" s="80"/>
      <c r="I1161" s="80"/>
      <c r="J1161" s="80"/>
    </row>
    <row r="1162" ht="22.5" customHeight="1">
      <c r="A1162" s="81"/>
      <c r="B1162" s="81"/>
      <c r="C1162" s="81"/>
      <c r="D1162" s="143"/>
      <c r="E1162" s="80"/>
      <c r="F1162" s="91"/>
      <c r="G1162" s="80"/>
      <c r="H1162" s="80"/>
      <c r="I1162" s="80"/>
      <c r="J1162" s="80"/>
    </row>
    <row r="1163">
      <c r="D1163" s="144"/>
      <c r="I1163" s="103"/>
    </row>
    <row r="1164">
      <c r="D1164" s="144"/>
      <c r="I1164" s="103"/>
    </row>
    <row r="1165">
      <c r="D1165" s="144"/>
      <c r="I1165" s="103"/>
    </row>
    <row r="1166">
      <c r="D1166" s="144"/>
      <c r="I1166" s="103"/>
    </row>
    <row r="1167">
      <c r="D1167" s="144"/>
      <c r="I1167" s="103"/>
    </row>
    <row r="1168">
      <c r="D1168" s="144"/>
      <c r="I1168" s="103"/>
    </row>
    <row r="1169">
      <c r="D1169" s="144"/>
      <c r="I1169" s="103"/>
    </row>
    <row r="1170">
      <c r="D1170" s="144"/>
      <c r="I1170" s="103"/>
    </row>
    <row r="1171">
      <c r="D1171" s="144"/>
      <c r="I1171" s="103"/>
    </row>
    <row r="1172">
      <c r="D1172" s="144"/>
      <c r="I1172" s="103"/>
    </row>
    <row r="1173">
      <c r="D1173" s="144"/>
      <c r="I1173" s="103"/>
    </row>
    <row r="1174">
      <c r="D1174" s="144"/>
    </row>
  </sheetData>
  <dataValidations>
    <dataValidation type="custom" allowBlank="1" showDropDown="1" sqref="H2:H1162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14.5"/>
  </cols>
  <sheetData>
    <row r="1">
      <c r="C1" s="145" t="s">
        <v>425</v>
      </c>
    </row>
    <row r="2">
      <c r="C2" s="146" t="s">
        <v>426</v>
      </c>
      <c r="D2" s="147">
        <v>46030.0</v>
      </c>
      <c r="E2" s="148" t="s">
        <v>427</v>
      </c>
      <c r="F2" s="149"/>
      <c r="G2" s="149"/>
    </row>
    <row r="3">
      <c r="C3" s="149"/>
      <c r="D3" s="147">
        <v>46023.0</v>
      </c>
      <c r="E3" s="148" t="s">
        <v>428</v>
      </c>
      <c r="F3" s="149"/>
      <c r="G3" s="149"/>
    </row>
    <row r="4">
      <c r="D4" s="148"/>
      <c r="E4" s="150"/>
    </row>
    <row r="5">
      <c r="D5" s="148"/>
      <c r="E5" s="150"/>
    </row>
    <row r="7">
      <c r="C7" s="151" t="s">
        <v>429</v>
      </c>
      <c r="D7" s="151" t="s">
        <v>430</v>
      </c>
      <c r="E7" s="151" t="s">
        <v>431</v>
      </c>
      <c r="F7" s="152" t="s">
        <v>432</v>
      </c>
      <c r="G7" s="151" t="s">
        <v>433</v>
      </c>
    </row>
    <row r="8">
      <c r="C8" s="153">
        <v>1.0</v>
      </c>
      <c r="D8" s="154" t="s">
        <v>18</v>
      </c>
      <c r="E8" s="155">
        <f>$D$2</f>
        <v>46030</v>
      </c>
      <c r="F8" s="156">
        <f>SUMIFS(
 'BULAN BERJALAN BANUA'!H:H,
 'BULAN BERJALAN BANUA'!A:A, $D$8,
 'BULAN BERJALAN BANUA'!D:D, "&gt;="&amp;EOMONTH(E8,-1)+1,
 'BULAN BERJALAN BANUA'!D:D, "&lt;="&amp;E8)</f>
        <v>900000</v>
      </c>
      <c r="G8" s="157">
        <f>IF(F8=0, 0, F9/F8)</f>
        <v>1</v>
      </c>
      <c r="J8" s="158"/>
    </row>
    <row r="9">
      <c r="C9" s="7"/>
      <c r="D9" s="7"/>
      <c r="E9" s="159">
        <f>$D$3</f>
        <v>46023</v>
      </c>
      <c r="F9" s="160">
        <f>SUMIFS(
 'BULAN BERJALAN BANUA'!H:H,
 'BULAN BERJALAN BANUA'!A:A, $D$8,
 'BULAN BERJALAN BANUA'!D:D, "&gt;="&amp;EOMONTH(E9,-1)+1,
 'BULAN BERJALAN BANUA'!D:D, "&lt;="&amp;E9)</f>
        <v>900000</v>
      </c>
      <c r="G9" s="161"/>
    </row>
    <row r="10">
      <c r="C10" s="153">
        <v>2.0</v>
      </c>
      <c r="D10" s="162" t="s">
        <v>19</v>
      </c>
      <c r="E10" s="155">
        <f>$D$2</f>
        <v>46030</v>
      </c>
      <c r="F10" s="156">
        <f>SUMIFS(
 'BULAN BERJALAN BANUA'!H:H,
 'BULAN BERJALAN BANUA'!A:A, $D$10,
 'BULAN BERJALAN BANUA'!D:D, "&gt;="&amp;EOMONTH(E10,-1)+1,
 'BULAN BERJALAN BANUA'!D:D, "&lt;="&amp;E10)</f>
        <v>0</v>
      </c>
      <c r="G10" s="157">
        <f>IF(F10=0, 0, F11/F10)</f>
        <v>0</v>
      </c>
    </row>
    <row r="11">
      <c r="C11" s="7"/>
      <c r="D11" s="7"/>
      <c r="E11" s="155">
        <f>$D$3</f>
        <v>46023</v>
      </c>
      <c r="F11" s="160">
        <f>SUMIFS(
 'BULAN BERJALAN BANUA'!H:H,
 'BULAN BERJALAN BANUA'!A:A, $D$10,
 'BULAN BERJALAN BANUA'!D:D, "&gt;="&amp;EOMONTH(E11,-1)+1,
 'BULAN BERJALAN BANUA'!D:D, "&lt;="&amp;E11)</f>
        <v>0</v>
      </c>
      <c r="G11" s="161"/>
    </row>
    <row r="12">
      <c r="C12" s="153">
        <v>3.0</v>
      </c>
      <c r="D12" s="162" t="s">
        <v>20</v>
      </c>
      <c r="E12" s="155">
        <f>$D$2</f>
        <v>46030</v>
      </c>
      <c r="F12" s="156">
        <f>SUMIFS(
 'BULAN BERJALAN BANUA'!H:H,
 'BULAN BERJALAN BANUA'!A:A, $D$12,
 'BULAN BERJALAN BANUA'!D:D, "&gt;="&amp;EOMONTH(E12,-1)+1,
 'BULAN BERJALAN BANUA'!D:D, "&lt;="&amp;E12)</f>
        <v>0</v>
      </c>
      <c r="G12" s="157">
        <f>IF(F12=0, 0, F13/F12)</f>
        <v>0</v>
      </c>
    </row>
    <row r="13">
      <c r="C13" s="7"/>
      <c r="D13" s="7"/>
      <c r="E13" s="155">
        <f>$D$3</f>
        <v>46023</v>
      </c>
      <c r="F13" s="160">
        <f>SUMIFS(
 'BULAN BERJALAN BANUA'!H:H,
 'BULAN BERJALAN BANUA'!A:A, $D$12,
 'BULAN BERJALAN BANUA'!D:D, "&gt;="&amp;EOMONTH(E13,-1)+1,
 'BULAN BERJALAN BANUA'!D:D, "&lt;="&amp;E13)</f>
        <v>0</v>
      </c>
      <c r="G13" s="161"/>
    </row>
    <row r="14">
      <c r="C14" s="153">
        <v>4.0</v>
      </c>
      <c r="D14" s="162" t="s">
        <v>21</v>
      </c>
      <c r="E14" s="155">
        <f>$D$2</f>
        <v>46030</v>
      </c>
      <c r="F14" s="156">
        <f>SUMIFS(
 'BULAN BERJALAN BANUA'!H:H,
 'BULAN BERJALAN BANUA'!A:A, $D$14,
 'BULAN BERJALAN BANUA'!D:D, "&gt;="&amp;EOMONTH(E14,-1)+1,
 'BULAN BERJALAN BANUA'!D:D, "&lt;="&amp;E14)</f>
        <v>0</v>
      </c>
      <c r="G14" s="157">
        <f>IF(F14=0, 0, F15/F14)</f>
        <v>0</v>
      </c>
    </row>
    <row r="15">
      <c r="C15" s="7"/>
      <c r="D15" s="7"/>
      <c r="E15" s="155">
        <f>$D$3</f>
        <v>46023</v>
      </c>
      <c r="F15" s="160">
        <f>SUMIFS(
 'BULAN BERJALAN BANUA'!H:H,
 'BULAN BERJALAN BANUA'!A:A, $D$14,
 'BULAN BERJALAN BANUA'!D:D, "&gt;="&amp;EOMONTH(E15,-1)+1,
 'BULAN BERJALAN BANUA'!D:D, "&lt;="&amp;E15)</f>
        <v>0</v>
      </c>
      <c r="G15" s="161"/>
    </row>
    <row r="16">
      <c r="C16" s="153">
        <v>5.0</v>
      </c>
      <c r="D16" s="162" t="s">
        <v>22</v>
      </c>
      <c r="E16" s="155">
        <f>$D$2</f>
        <v>46030</v>
      </c>
      <c r="F16" s="156">
        <f>SUMIFS(
 'BULAN BERJALAN BANUA'!H:H,
 'BULAN BERJALAN BANUA'!A:A, $D$16,
 'BULAN BERJALAN BANUA'!D:D, "&gt;="&amp;EOMONTH(E16,-1)+1,
 'BULAN BERJALAN BANUA'!D:D, "&lt;="&amp;E16)</f>
        <v>0</v>
      </c>
      <c r="G16" s="157">
        <f>IF(F16=0, 0, F17/F16)</f>
        <v>0</v>
      </c>
    </row>
    <row r="17">
      <c r="C17" s="7"/>
      <c r="D17" s="7"/>
      <c r="E17" s="155">
        <f>$D$3</f>
        <v>46023</v>
      </c>
      <c r="F17" s="160">
        <f>SUMIFS(
 'BULAN BERJALAN BANUA'!H:H,
 'BULAN BERJALAN BANUA'!A:A, $D$16,
 'BULAN BERJALAN BANUA'!D:D, "&gt;="&amp;EOMONTH(E17,-1)+1,
 'BULAN BERJALAN BANUA'!D:D, "&lt;="&amp;E17)</f>
        <v>0</v>
      </c>
      <c r="G17" s="161"/>
    </row>
    <row r="18">
      <c r="C18" s="153">
        <v>6.0</v>
      </c>
      <c r="D18" s="162" t="s">
        <v>23</v>
      </c>
      <c r="E18" s="155">
        <f>$D$2</f>
        <v>46030</v>
      </c>
      <c r="F18" s="156">
        <f>SUMIFS(
 'BULAN BERJALAN BANUA'!H:H,
 'BULAN BERJALAN BANUA'!A:A, $D$18,
 'BULAN BERJALAN BANUA'!D:D, "&gt;="&amp;EOMONTH(E18,-1)+1,
 'BULAN BERJALAN BANUA'!D:D, "&lt;="&amp;E18)</f>
        <v>0</v>
      </c>
      <c r="G18" s="157">
        <f>IF(F18=0, 0, F19/F18)</f>
        <v>0</v>
      </c>
    </row>
    <row r="19">
      <c r="C19" s="7"/>
      <c r="D19" s="7"/>
      <c r="E19" s="155">
        <f>$D$3</f>
        <v>46023</v>
      </c>
      <c r="F19" s="160">
        <f>SUMIFS(
 'BULAN BERJALAN BANUA'!H:H,
 'BULAN BERJALAN BANUA'!A:A, $D$18,
 'BULAN BERJALAN BANUA'!D:D, "&gt;="&amp;EOMONTH(E19,-1)+1,
 'BULAN BERJALAN BANUA'!D:D, "&lt;="&amp;E19)</f>
        <v>0</v>
      </c>
      <c r="G19" s="161"/>
    </row>
    <row r="20">
      <c r="C20" s="153">
        <v>7.0</v>
      </c>
      <c r="D20" s="162" t="s">
        <v>24</v>
      </c>
      <c r="E20" s="155">
        <f>$D$2</f>
        <v>46030</v>
      </c>
      <c r="F20" s="156">
        <f>SUMIFS(
 'BULAN BERJALAN BANUA'!H:H,
 'BULAN BERJALAN BANUA'!A:A, $D$20,
 'BULAN BERJALAN BANUA'!D:D, "&gt;="&amp;EOMONTH(E20,-1)+1,
 'BULAN BERJALAN BANUA'!D:D, "&lt;="&amp;E20)</f>
        <v>0</v>
      </c>
      <c r="G20" s="157">
        <f>IF(F20=0, 0, F21/F20)</f>
        <v>0</v>
      </c>
    </row>
    <row r="21">
      <c r="C21" s="7"/>
      <c r="D21" s="7"/>
      <c r="E21" s="155">
        <f>$D$3</f>
        <v>46023</v>
      </c>
      <c r="F21" s="160">
        <f>SUMIFS(
 'BULAN BERJALAN BANUA'!H:H,
 'BULAN BERJALAN BANUA'!A:A, $D$20,
 'BULAN BERJALAN BANUA'!D:D, "&gt;="&amp;EOMONTH(E21,-1)+1,
 'BULAN BERJALAN BANUA'!D:D, "&lt;="&amp;E21)</f>
        <v>0</v>
      </c>
      <c r="G21" s="161"/>
    </row>
    <row r="22">
      <c r="C22" s="153">
        <v>8.0</v>
      </c>
      <c r="D22" s="162" t="s">
        <v>25</v>
      </c>
      <c r="E22" s="155">
        <f>$D$2</f>
        <v>46030</v>
      </c>
      <c r="F22" s="156">
        <f>SUMIFS(
 'BULAN BERJALAN BANUA'!H:H,
 'BULAN BERJALAN BANUA'!A:A, $D$22,
 'BULAN BERJALAN BANUA'!D:D, "&gt;="&amp;EOMONTH(E22,-1)+1,
 'BULAN BERJALAN BANUA'!D:D, "&lt;="&amp;E22)</f>
        <v>1900000</v>
      </c>
      <c r="G22" s="157">
        <f>IF(F22=0, 0, F23/F22)</f>
        <v>0</v>
      </c>
    </row>
    <row r="23">
      <c r="C23" s="7"/>
      <c r="D23" s="7"/>
      <c r="E23" s="155">
        <f>$D$3</f>
        <v>46023</v>
      </c>
      <c r="F23" s="160">
        <f>SUMIFS(
 'BULAN BERJALAN BANUA'!H:H,
 'BULAN BERJALAN BANUA'!A:A, $D$22,
 'BULAN BERJALAN BANUA'!D:D, "&gt;="&amp;EOMONTH(E23,-1)+1,
 'BULAN BERJALAN BANUA'!D:D, "&lt;="&amp;E23)</f>
        <v>0</v>
      </c>
      <c r="G23" s="161"/>
    </row>
    <row r="24">
      <c r="C24" s="153">
        <v>9.0</v>
      </c>
      <c r="D24" s="162" t="s">
        <v>26</v>
      </c>
      <c r="E24" s="155">
        <f>$D$2</f>
        <v>46030</v>
      </c>
      <c r="F24" s="156">
        <f>SUMIFS(
 'BULAN BERJALAN BANUA'!H:H,
 'BULAN BERJALAN BANUA'!A:A, $D$24,
 'BULAN BERJALAN BANUA'!D:D, "&gt;="&amp;EOMONTH(E24,-1)+1,
 'BULAN BERJALAN BANUA'!D:D, "&lt;="&amp;E24)</f>
        <v>0</v>
      </c>
      <c r="G24" s="157">
        <f>IF(F24=0, 0, F25/F24)</f>
        <v>0</v>
      </c>
    </row>
    <row r="25">
      <c r="C25" s="7"/>
      <c r="D25" s="7"/>
      <c r="E25" s="155">
        <f>$D$3</f>
        <v>46023</v>
      </c>
      <c r="F25" s="160">
        <f>SUMIFS(
 'BULAN BERJALAN BANUA'!H:H,
 'BULAN BERJALAN BANUA'!A:A, $D$24,
 'BULAN BERJALAN BANUA'!D:D, "&gt;="&amp;EOMONTH(E25,-1)+1,
 'BULAN BERJALAN BANUA'!D:D, "&lt;="&amp;E25)</f>
        <v>0</v>
      </c>
      <c r="G25" s="161"/>
    </row>
    <row r="26">
      <c r="C26" s="153">
        <v>10.0</v>
      </c>
      <c r="D26" s="162" t="s">
        <v>27</v>
      </c>
      <c r="E26" s="155">
        <f>$D$2</f>
        <v>46030</v>
      </c>
      <c r="F26" s="156">
        <f>SUMIFS(
 'BULAN BERJALAN BANUA'!H:H,
 'BULAN BERJALAN BANUA'!A:A, $D$26,
 'BULAN BERJALAN BANUA'!D:D, "&gt;="&amp;EOMONTH(E26,-1)+1,
 'BULAN BERJALAN BANUA'!D:D, "&lt;="&amp;E26)</f>
        <v>0</v>
      </c>
      <c r="G26" s="157">
        <f>IF(F26=0, 0, F27/F26)</f>
        <v>0</v>
      </c>
    </row>
    <row r="27">
      <c r="C27" s="7"/>
      <c r="D27" s="7"/>
      <c r="E27" s="155">
        <f>$D$3</f>
        <v>46023</v>
      </c>
      <c r="F27" s="160">
        <f>SUMIFS(
 'BULAN BERJALAN BANUA'!H:H,
 'BULAN BERJALAN BANUA'!A:A, $D$26,
 'BULAN BERJALAN BANUA'!D:D, "&gt;="&amp;EOMONTH(E27,-1)+1,
 'BULAN BERJALAN BANUA'!D:D, "&lt;="&amp;E27)</f>
        <v>0</v>
      </c>
      <c r="G27" s="161"/>
    </row>
    <row r="28">
      <c r="C28" s="153">
        <v>11.0</v>
      </c>
      <c r="D28" s="162" t="s">
        <v>28</v>
      </c>
      <c r="E28" s="155">
        <f>$D$2</f>
        <v>46030</v>
      </c>
      <c r="F28" s="156">
        <f>SUMIFS(
 'BULAN BERJALAN BANUA'!H:H,
 'BULAN BERJALAN BANUA'!A:A, $D$28,
 'BULAN BERJALAN BANUA'!D:D, "&gt;="&amp;EOMONTH(E28,-1)+1,
 'BULAN BERJALAN BANUA'!D:D, "&lt;="&amp;E28)</f>
        <v>2340000</v>
      </c>
      <c r="G28" s="157">
        <f>IF(F28=0, 0, F29/F28)</f>
        <v>0</v>
      </c>
    </row>
    <row r="29">
      <c r="C29" s="7"/>
      <c r="D29" s="7"/>
      <c r="E29" s="155">
        <f>$D$3</f>
        <v>46023</v>
      </c>
      <c r="F29" s="160">
        <f>SUMIFS(
 'BULAN BERJALAN BANUA'!H:H,
 'BULAN BERJALAN BANUA'!A:A, $D$28,
 'BULAN BERJALAN BANUA'!D:D, "&gt;="&amp;EOMONTH(E29,-1)+1,
 'BULAN BERJALAN BANUA'!D:D, "&lt;="&amp;E29)</f>
        <v>0</v>
      </c>
      <c r="G29" s="161"/>
    </row>
    <row r="30">
      <c r="C30" s="153">
        <v>12.0</v>
      </c>
      <c r="D30" s="162" t="s">
        <v>29</v>
      </c>
      <c r="E30" s="155">
        <f>$D$2</f>
        <v>46030</v>
      </c>
      <c r="F30" s="156">
        <f>SUMIFS(
 'BULAN BERJALAN BANUA'!H:H,
 'BULAN BERJALAN BANUA'!A:A, $D$30,
 'BULAN BERJALAN BANUA'!D:D, "&gt;="&amp;EOMONTH(E30,-1)+1,
 'BULAN BERJALAN BANUA'!D:D, "&lt;="&amp;E30)</f>
        <v>0</v>
      </c>
      <c r="G30" s="157">
        <f>IF(F30=0, 0, F31/F30)</f>
        <v>0</v>
      </c>
    </row>
    <row r="31">
      <c r="C31" s="7"/>
      <c r="D31" s="7"/>
      <c r="E31" s="155">
        <f>$D$3</f>
        <v>46023</v>
      </c>
      <c r="F31" s="160">
        <f>SUMIFS(
 'BULAN BERJALAN BANUA'!H:H,
 'BULAN BERJALAN BANUA'!A:A, $D$30,
 'BULAN BERJALAN BANUA'!D:D, "&gt;="&amp;EOMONTH(E31,-1)+1,
 'BULAN BERJALAN BANUA'!D:D, "&lt;="&amp;E31)</f>
        <v>0</v>
      </c>
      <c r="G31" s="161"/>
    </row>
    <row r="32">
      <c r="C32" s="153">
        <v>10.0</v>
      </c>
      <c r="D32" s="163" t="s">
        <v>30</v>
      </c>
      <c r="E32" s="155">
        <f>$D$2</f>
        <v>46030</v>
      </c>
      <c r="F32" s="156">
        <f>SUMIFS(
 'BULAN BERJALAN BANUA'!H:H,
 'BULAN BERJALAN BANUA'!A:A, $D$32,
 'BULAN BERJALAN BANUA'!D:D, "&gt;="&amp;EOMONTH(E32,-1)+1,
 'BULAN BERJALAN BANUA'!D:D, "&lt;="&amp;E32)</f>
        <v>0</v>
      </c>
      <c r="G32" s="157">
        <f>IF(F32=0, 0, F33/F32)</f>
        <v>0</v>
      </c>
    </row>
    <row r="33">
      <c r="C33" s="7"/>
      <c r="D33" s="7"/>
      <c r="E33" s="155">
        <f>$D$3</f>
        <v>46023</v>
      </c>
      <c r="F33" s="160">
        <f>SUMIFS(
 'BULAN BERJALAN BANUA'!H:H,
 'BULAN BERJALAN BANUA'!A:A, $D$32,
 'BULAN BERJALAN BANUA'!D:D, "&gt;="&amp;EOMONTH(E33,-1)+1,
 'BULAN BERJALAN BANUA'!D:D, "&lt;="&amp;E33)</f>
        <v>0</v>
      </c>
      <c r="G33" s="161"/>
    </row>
    <row r="34">
      <c r="C34" s="153">
        <v>11.0</v>
      </c>
      <c r="D34" s="163" t="s">
        <v>31</v>
      </c>
      <c r="E34" s="155">
        <f>$D$2</f>
        <v>46030</v>
      </c>
      <c r="F34" s="156">
        <f>SUMIFS(
 'BULAN BERJALAN BANUA'!H:H,
 'BULAN BERJALAN BANUA'!A:A, $D$34,
 'BULAN BERJALAN BANUA'!D:D, "&gt;="&amp;EOMONTH(E34,-1)+1,
 'BULAN BERJALAN BANUA'!D:D, "&lt;="&amp;E34)</f>
        <v>0</v>
      </c>
      <c r="G34" s="157">
        <f>IF(F34=0, 0, F35/F34)</f>
        <v>0</v>
      </c>
    </row>
    <row r="35">
      <c r="C35" s="7"/>
      <c r="D35" s="7"/>
      <c r="E35" s="155">
        <f>$D$3</f>
        <v>46023</v>
      </c>
      <c r="F35" s="160">
        <f>SUMIFS(
 'BULAN BERJALAN BANUA'!H:H,
 'BULAN BERJALAN BANUA'!A:A, $D$34,
 'BULAN BERJALAN BANUA'!D:D, "&gt;="&amp;EOMONTH(E35,-1)+1,
 'BULAN BERJALAN BANUA'!D:D, "&lt;="&amp;E35)</f>
        <v>0</v>
      </c>
      <c r="G35" s="161"/>
    </row>
    <row r="36">
      <c r="C36" s="153">
        <v>12.0</v>
      </c>
      <c r="D36" s="163" t="s">
        <v>32</v>
      </c>
      <c r="E36" s="155">
        <f>$D$2</f>
        <v>46030</v>
      </c>
      <c r="F36" s="156">
        <f>SUMIFS(
 'BULAN BERJALAN BANUA'!H:H,
 'BULAN BERJALAN BANUA'!A:A, $D$36,
 'BULAN BERJALAN BANUA'!D:D, "&gt;="&amp;EOMONTH(E36,-1)+1,
 'BULAN BERJALAN BANUA'!D:D, "&lt;="&amp;E36)</f>
        <v>0</v>
      </c>
      <c r="G36" s="157">
        <f>IF(F36=0, 0, F37/F36)</f>
        <v>0</v>
      </c>
    </row>
    <row r="37">
      <c r="C37" s="7"/>
      <c r="D37" s="7"/>
      <c r="E37" s="155">
        <f>$D$3</f>
        <v>46023</v>
      </c>
      <c r="F37" s="164">
        <f>SUMIFS(
 'BULAN BERJALAN BANUA'!H:H,
 'BULAN BERJALAN BANUA'!A:A, $D$36,
 'BULAN BERJALAN BANUA'!D:D, "&gt;="&amp;EOMONTH(E37,-1)+1,
 'BULAN BERJALAN BANUA'!D:D, "&lt;="&amp;E37)</f>
        <v>0</v>
      </c>
      <c r="G37" s="161"/>
    </row>
    <row r="38">
      <c r="C38" s="165">
        <v>13.0</v>
      </c>
      <c r="D38" s="163" t="s">
        <v>5</v>
      </c>
      <c r="E38" s="155">
        <f>$D$2</f>
        <v>46030</v>
      </c>
      <c r="F38" s="156">
        <f t="shared" ref="F38:F39" si="1">F8+F10+F12+F14+F16+F18+F20+F22+F24+F26+F28+F30+F32+F34+F36</f>
        <v>5140000</v>
      </c>
      <c r="G38" s="157">
        <f>IF(F38=0, 0, F39/F38)</f>
        <v>0.1750972763</v>
      </c>
    </row>
    <row r="39">
      <c r="C39" s="7"/>
      <c r="D39" s="7"/>
      <c r="E39" s="155">
        <f>$D$3</f>
        <v>46023</v>
      </c>
      <c r="F39" s="160">
        <f t="shared" si="1"/>
        <v>900000</v>
      </c>
      <c r="G39" s="161"/>
    </row>
    <row r="40">
      <c r="D40" s="23"/>
      <c r="E40" s="23"/>
      <c r="F40" s="23"/>
      <c r="G40" s="23"/>
    </row>
  </sheetData>
  <mergeCells count="49">
    <mergeCell ref="C1:G1"/>
    <mergeCell ref="C8:C9"/>
    <mergeCell ref="D8:D9"/>
    <mergeCell ref="G8:G9"/>
    <mergeCell ref="C10:C11"/>
    <mergeCell ref="D10:D11"/>
    <mergeCell ref="G10:G11"/>
    <mergeCell ref="C12:C13"/>
    <mergeCell ref="D12:D13"/>
    <mergeCell ref="G12:G13"/>
    <mergeCell ref="C14:C15"/>
    <mergeCell ref="D14:D15"/>
    <mergeCell ref="C16:C17"/>
    <mergeCell ref="D16:D17"/>
    <mergeCell ref="C24:C25"/>
    <mergeCell ref="C26:C27"/>
    <mergeCell ref="C28:C29"/>
    <mergeCell ref="C30:C31"/>
    <mergeCell ref="C32:C33"/>
    <mergeCell ref="C34:C35"/>
    <mergeCell ref="C36:C37"/>
    <mergeCell ref="C38:C39"/>
    <mergeCell ref="D26:D27"/>
    <mergeCell ref="D28:D29"/>
    <mergeCell ref="D30:D31"/>
    <mergeCell ref="D32:D33"/>
    <mergeCell ref="D34:D35"/>
    <mergeCell ref="D36:D37"/>
    <mergeCell ref="D38:D39"/>
    <mergeCell ref="C18:C19"/>
    <mergeCell ref="D18:D19"/>
    <mergeCell ref="C20:C21"/>
    <mergeCell ref="D20:D21"/>
    <mergeCell ref="C22:C23"/>
    <mergeCell ref="D22:D23"/>
    <mergeCell ref="D24:D25"/>
    <mergeCell ref="G28:G29"/>
    <mergeCell ref="G30:G31"/>
    <mergeCell ref="G32:G33"/>
    <mergeCell ref="G34:G35"/>
    <mergeCell ref="G36:G37"/>
    <mergeCell ref="G38:G39"/>
    <mergeCell ref="G14:G15"/>
    <mergeCell ref="G16:G17"/>
    <mergeCell ref="G18:G19"/>
    <mergeCell ref="G20:G21"/>
    <mergeCell ref="G22:G23"/>
    <mergeCell ref="G24:G25"/>
    <mergeCell ref="G26:G27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14.5"/>
  </cols>
  <sheetData>
    <row r="1">
      <c r="A1" s="18" t="s">
        <v>47</v>
      </c>
      <c r="C1" s="145" t="s">
        <v>434</v>
      </c>
    </row>
    <row r="2">
      <c r="C2" s="146"/>
      <c r="E2" s="146" t="s">
        <v>435</v>
      </c>
      <c r="F2" s="166">
        <v>46054.0</v>
      </c>
      <c r="G2" s="167" t="s">
        <v>436</v>
      </c>
    </row>
    <row r="3">
      <c r="C3" s="149"/>
      <c r="D3" s="168"/>
      <c r="E3" s="167"/>
      <c r="F3" s="166">
        <v>46054.0</v>
      </c>
      <c r="G3" s="167" t="s">
        <v>428</v>
      </c>
    </row>
    <row r="4">
      <c r="D4" s="169"/>
      <c r="E4" s="167"/>
      <c r="F4" s="150"/>
      <c r="G4" s="150"/>
    </row>
    <row r="5">
      <c r="A5" s="170"/>
      <c r="C5" s="151" t="s">
        <v>429</v>
      </c>
      <c r="D5" s="171" t="s">
        <v>430</v>
      </c>
      <c r="E5" s="172" t="s">
        <v>431</v>
      </c>
      <c r="F5" s="152" t="s">
        <v>432</v>
      </c>
      <c r="G5" s="151" t="s">
        <v>433</v>
      </c>
    </row>
    <row r="6">
      <c r="C6" s="153">
        <v>1.0</v>
      </c>
      <c r="D6" s="173" t="s">
        <v>18</v>
      </c>
      <c r="E6" s="174">
        <f>$F$2</f>
        <v>46054</v>
      </c>
      <c r="F6" s="175">
        <f>SUMIFS('BULAN BERJALAN BANUA'!H:H,
'BULAN BERJALAN BANUA'!A:A,$D$6,
'BULAN BERJALAN BANUA'!D:D,"&gt;="&amp;EOMONTH(E6-1)+1,
'BULAN BERJALAN BANUA'!D:D,"&lt;="&amp;EOMONTH(E6,0))</f>
        <v>0</v>
      </c>
      <c r="G6" s="157">
        <f>IF(F6=0, 0, F7/F6)</f>
        <v>0</v>
      </c>
      <c r="J6" s="158"/>
    </row>
    <row r="7">
      <c r="C7" s="7"/>
      <c r="D7" s="7"/>
      <c r="E7" s="174">
        <f>$F$3</f>
        <v>46054</v>
      </c>
      <c r="F7" s="176">
        <f>SUMIFS('BULAN BERJALAN BANUA'!H:H,
'BULAN BERJALAN BANUA'!A:A,$D$7,
'BULAN BERJALAN BANUA'!D:D,"&gt;="&amp;EOMONTH(E7,-1)+1,
'BULAN BERJALAN BANUA'!D:D,"&lt;="&amp;EOMONTH(E7,0))</f>
        <v>0</v>
      </c>
      <c r="G7" s="161"/>
    </row>
    <row r="8">
      <c r="C8" s="153">
        <v>2.0</v>
      </c>
      <c r="D8" s="177" t="s">
        <v>19</v>
      </c>
      <c r="E8" s="174">
        <f>$F$2</f>
        <v>46054</v>
      </c>
      <c r="F8" s="178">
        <f>SUMIFS('BULAN BERJALAN BANUA'!H:H,
'BULAN BERJALAN BANUA'!A:A,$D$8,
'BULAN BERJALAN BANUA'!D:D,"&gt;="&amp;EOMONTH(E8,-1)+1,
'BULAN BERJALAN BANUA'!D:D,"&lt;="&amp;EOMONTH(E8,0))</f>
        <v>0</v>
      </c>
      <c r="G8" s="157">
        <f>IF(F8=0, 0, F9/F8)</f>
        <v>0</v>
      </c>
    </row>
    <row r="9">
      <c r="C9" s="7"/>
      <c r="D9" s="7"/>
      <c r="E9" s="174">
        <f>$F$3</f>
        <v>46054</v>
      </c>
      <c r="F9" s="176">
        <f>SUMIFS('BULAN BERJALAN BANUA'!H:H,
'BULAN BERJALAN BANUA'!A:A,$D$8,
'BULAN BERJALAN BANUA'!D:D,"&gt;="&amp;EOMONTH(E9,-1)+1,
'BULAN BERJALAN BANUA'!D:D,"&lt;="&amp;EOMONTH(E9,0))</f>
        <v>0</v>
      </c>
      <c r="G9" s="161"/>
    </row>
    <row r="10">
      <c r="C10" s="153">
        <v>3.0</v>
      </c>
      <c r="D10" s="177" t="s">
        <v>20</v>
      </c>
      <c r="E10" s="174">
        <f>$F$2</f>
        <v>46054</v>
      </c>
      <c r="F10" s="178">
        <f>SUMIFS('BULAN BERJALAN BANUA'!H:H,
'BULAN BERJALAN BANUA'!A:A,$D$11,
'BULAN BERJALAN BANUA'!D:D,"&gt;="&amp;EOMONTH(E10,-1)+1,
'BULAN BERJALAN BANUA'!D:D,"&lt;="&amp;EOMONTH(E10,0))</f>
        <v>0</v>
      </c>
      <c r="G10" s="157">
        <f>IF(F10=0, 0, F11/F10)</f>
        <v>0</v>
      </c>
    </row>
    <row r="11">
      <c r="C11" s="7"/>
      <c r="D11" s="7"/>
      <c r="E11" s="174">
        <f>$F$3</f>
        <v>46054</v>
      </c>
      <c r="F11" s="179">
        <f>SUMIFS('BULAN BERJALAN BANUA'!H:H,
'BULAN BERJALAN BANUA'!A:A,$D$11,
'BULAN BERJALAN BANUA'!D:D,"&gt;="&amp;EOMONTH(E11,-1)+1,
'BULAN BERJALAN BANUA'!D:D,"&lt;="&amp;EOMONTH(E11,0))</f>
        <v>0</v>
      </c>
      <c r="G11" s="161"/>
    </row>
    <row r="12">
      <c r="C12" s="153">
        <v>4.0</v>
      </c>
      <c r="D12" s="177" t="s">
        <v>21</v>
      </c>
      <c r="E12" s="174">
        <f>$F$2</f>
        <v>46054</v>
      </c>
      <c r="F12" s="156">
        <f>SUMIFS('BULAN BERJALAN BANUA'!H:H,
'BULAN BERJALAN BANUA'!A:A,$D$12,
'BULAN BERJALAN BANUA'!D:D,"&gt;="&amp;EOMONTH(E12,-1)+1,
'BULAN BERJALAN BANUA'!D:D,"&lt;="&amp;EOMONTH(E12,0))</f>
        <v>0</v>
      </c>
      <c r="G12" s="157">
        <f>IF(F12=0, 0, F13/F12)</f>
        <v>0</v>
      </c>
    </row>
    <row r="13">
      <c r="C13" s="7"/>
      <c r="D13" s="7"/>
      <c r="E13" s="174">
        <f>$F$3</f>
        <v>46054</v>
      </c>
      <c r="F13" s="160">
        <f>SUMIFS('BULAN BERJALAN BANUA'!H:H,
'BULAN BERJALAN BANUA'!A:A,$D$12,
'BULAN BERJALAN BANUA'!D:D,"&gt;="&amp;EOMONTH(E13,-1)+1,
'BULAN BERJALAN BANUA'!D:D,"&lt;="&amp;EOMONTH(E13,0))</f>
        <v>0</v>
      </c>
      <c r="G13" s="161"/>
    </row>
    <row r="14">
      <c r="C14" s="153">
        <v>5.0</v>
      </c>
      <c r="D14" s="177" t="s">
        <v>22</v>
      </c>
      <c r="E14" s="174">
        <f>$F$2</f>
        <v>46054</v>
      </c>
      <c r="F14" s="156">
        <f>SUMIFS('BULAN BERJALAN BANUA'!H:H,
'BULAN BERJALAN BANUA'!A:A,$D$14,
'BULAN BERJALAN BANUA'!D:D,"&gt;="&amp;EOMONTH(E16,-1)+1,
'BULAN BERJALAN BANUA'!D:D,"&lt;="&amp;EOMONTH(E16,0))</f>
        <v>0</v>
      </c>
      <c r="G14" s="157">
        <f>IF(F14=0, 0, F15/F14)</f>
        <v>0</v>
      </c>
    </row>
    <row r="15">
      <c r="C15" s="7"/>
      <c r="D15" s="7"/>
      <c r="E15" s="174">
        <f>$F$3</f>
        <v>46054</v>
      </c>
      <c r="F15" s="160">
        <f>SUMIFS(
'BULAN BERJALAN BANUA'!H:H,
'BULAN BERJALAN BANUA'!A:A,,
'BULAN BERJALAN BANUA'!D:D,"&gt;="&amp;EOMONTH(D3,-1)+1,
'BULAN BERJALAN BANUA'!D:D,"&lt;="&amp;EOMONTH(D3,0)
)</f>
        <v>0</v>
      </c>
      <c r="G15" s="161"/>
    </row>
    <row r="16">
      <c r="C16" s="153">
        <v>6.0</v>
      </c>
      <c r="D16" s="177" t="s">
        <v>23</v>
      </c>
      <c r="E16" s="174">
        <f>$F$2</f>
        <v>46054</v>
      </c>
      <c r="F16" s="156">
        <f>SUMIFS(
'BULAN BERJALAN BANUA'!H:H,
'BULAN BERJALAN BANUA'!A:A,$D$16,
'BULAN BERJALAN BANUA'!D:D,"&gt;="&amp;EOMONTH(E16,-1)+1,
'BULAN BERJALAN BANUA'!D:D,"&lt;="&amp;EOMONTH(E16,0)
)</f>
        <v>0</v>
      </c>
      <c r="G16" s="157">
        <f>IF(F16=0, 0, F17/F16)</f>
        <v>0</v>
      </c>
    </row>
    <row r="17">
      <c r="C17" s="7"/>
      <c r="D17" s="7"/>
      <c r="E17" s="174">
        <f>$F$3</f>
        <v>46054</v>
      </c>
      <c r="F17" s="176">
        <f>SUMIFS(
'BULAN BERJALAN BANUA'!H:H,
'BULAN BERJALAN BANUA'!A:A,$D$16,
'BULAN BERJALAN BANUA'!D:D,"&gt;="&amp;EOMONTH(E17,-1)+1,
'BULAN BERJALAN BANUA'!D:D,"&lt;="&amp;EOMONTH(E17,0)
)</f>
        <v>0</v>
      </c>
      <c r="G17" s="161"/>
    </row>
    <row r="18">
      <c r="C18" s="153">
        <v>7.0</v>
      </c>
      <c r="D18" s="177" t="s">
        <v>24</v>
      </c>
      <c r="E18" s="174">
        <f>$F$2</f>
        <v>46054</v>
      </c>
      <c r="F18" s="178">
        <f>SUMIFS(
'BULAN BERJALAN BANUA'!H:H,
'BULAN BERJALAN BANUA'!A:A,$D$18,
'BULAN BERJALAN BANUA'!D:D,"&gt;="&amp;EOMONTH(E18,-1)+1,
'BULAN BERJALAN BANUA'!D:D,"&lt;="&amp;EOMONTH(E18,0)
)</f>
        <v>0</v>
      </c>
      <c r="G18" s="157">
        <f>IF(F18=0, 0, F19/F18)</f>
        <v>0</v>
      </c>
    </row>
    <row r="19">
      <c r="C19" s="7"/>
      <c r="D19" s="7"/>
      <c r="E19" s="174">
        <f>$F$3</f>
        <v>46054</v>
      </c>
      <c r="F19" s="176">
        <f>SUMIFS(
'BULAN BERJALAN BANUA'!H:H,
'BULAN BERJALAN BANUA'!A:A,D18,
'BULAN BERJALAN BANUA'!D:D,"&gt;="&amp;EOMONTH(E18,-1)+1,
'BULAN BERJALAN BANUA'!D:D,"&lt;="&amp;EOMONTH(E19,0)
)</f>
        <v>0</v>
      </c>
      <c r="G19" s="161"/>
    </row>
    <row r="20">
      <c r="C20" s="153">
        <v>8.0</v>
      </c>
      <c r="D20" s="177" t="s">
        <v>25</v>
      </c>
      <c r="E20" s="174">
        <f>$F$2</f>
        <v>46054</v>
      </c>
      <c r="F20" s="178">
        <f>SUMIFS(
'BULAN BERJALAN BANUA'!H:H,
'BULAN BERJALAN BANUA'!A:A,$D$20,
'BULAN BERJALAN BANUA'!D:D,"&gt;="&amp;EOMONTH(E20,-1)+1,
'BULAN BERJALAN BANUA'!D:D,"&lt;="&amp;EOMONTH(E20,0)
)</f>
        <v>3400000</v>
      </c>
      <c r="G20" s="157">
        <f>IF(F20=0, 0, F21/F20)</f>
        <v>1</v>
      </c>
    </row>
    <row r="21">
      <c r="C21" s="7"/>
      <c r="D21" s="7"/>
      <c r="E21" s="174">
        <f>$F$3</f>
        <v>46054</v>
      </c>
      <c r="F21" s="176">
        <f>SUMIFS(
'BULAN BERJALAN BANUA'!H:H,
'BULAN BERJALAN BANUA'!A:A,D20,
'BULAN BERJALAN BANUA'!D:D,"&gt;="&amp;EOMONTH(E21,-1)+1,
'BULAN BERJALAN BANUA'!D:D,"&lt;="&amp;EOMONTH(E21,0)
)</f>
        <v>3400000</v>
      </c>
      <c r="G21" s="161"/>
    </row>
    <row r="22">
      <c r="C22" s="153">
        <v>9.0</v>
      </c>
      <c r="D22" s="177" t="s">
        <v>26</v>
      </c>
      <c r="E22" s="174">
        <f>$F$2</f>
        <v>46054</v>
      </c>
      <c r="F22" s="178">
        <f>SUMIFS(
'BULAN BERJALAN BANUA'!H:H,
'BULAN BERJALAN BANUA'!A:A,$D$22,
'BULAN BERJALAN BANUA'!D:D,"&gt;="&amp;EOMONTH(E22,-1)+1,
'BULAN BERJALAN BANUA'!D:D,"&lt;="&amp;EOMONTH(E22,0)
)</f>
        <v>0</v>
      </c>
      <c r="G22" s="157">
        <f>IF(F22=0, 0, F23/F22)</f>
        <v>0</v>
      </c>
    </row>
    <row r="23">
      <c r="C23" s="7"/>
      <c r="D23" s="7"/>
      <c r="E23" s="174">
        <f>$F$3</f>
        <v>46054</v>
      </c>
      <c r="F23" s="176">
        <f>SUMIFS(
'BULAN BERJALAN BANUA'!H:H,
'BULAN BERJALAN BANUA'!A:A,$D$22,
'BULAN BERJALAN BANUA'!D:D,"&gt;="&amp;EOMONTH(E23,-1)+1,
'BULAN BERJALAN BANUA'!D:D,"&lt;="&amp;EOMONTH(E23,0)
)</f>
        <v>0</v>
      </c>
      <c r="G23" s="161"/>
    </row>
    <row r="24">
      <c r="C24" s="153">
        <v>10.0</v>
      </c>
      <c r="D24" s="177" t="s">
        <v>27</v>
      </c>
      <c r="E24" s="174">
        <f>$F$2</f>
        <v>46054</v>
      </c>
      <c r="F24" s="178">
        <f>SUMIFS(
'BULAN BERJALAN BANUA'!H:H,
'BULAN BERJALAN BANUA'!A:A,$D$24,
'BULAN BERJALAN BANUA'!D:D,"&gt;="&amp;EOMONTH(E24,-1)+1,
'BULAN BERJALAN BANUA'!D:D,"&lt;="&amp;EOMONTH(E24,0)
)</f>
        <v>0</v>
      </c>
      <c r="G24" s="157">
        <f>IF(F24=0, 0, F25/F24)</f>
        <v>0</v>
      </c>
    </row>
    <row r="25">
      <c r="C25" s="7"/>
      <c r="D25" s="7"/>
      <c r="E25" s="174">
        <f>$F$3</f>
        <v>46054</v>
      </c>
      <c r="F25" s="176">
        <f>SUMIFS('BULAN BERJALAN BANUA'!H:H,
'BULAN BERJALAN BANUA'!A:A,$D$25,
'BULAN BERJALAN BANUA'!D:D,"&gt;="&amp;EOMONTH(E25,-1)+1,
'BULAN BERJALAN BANUA'!D:D,"&lt;="&amp;EOMONTH(E25,0))</f>
        <v>0</v>
      </c>
      <c r="G25" s="161"/>
    </row>
    <row r="26">
      <c r="C26" s="153">
        <v>11.0</v>
      </c>
      <c r="D26" s="177" t="s">
        <v>28</v>
      </c>
      <c r="E26" s="174">
        <f>$F$2</f>
        <v>46054</v>
      </c>
      <c r="F26" s="178">
        <f>SUMIFS('BULAN BERJALAN BANUA'!H:H,
'BULAN BERJALAN BANUA'!A:A,$D$27,
'BULAN BERJALAN BANUA'!D:D,"&gt;="&amp;EOMONTH(E26,-1)+1,
'BULAN BERJALAN BANUA'!D:D,"&lt;="&amp;EOMONTH(E26,0))</f>
        <v>0</v>
      </c>
      <c r="G26" s="157">
        <f>IF(F26=0, 0, F27/F26)</f>
        <v>0</v>
      </c>
    </row>
    <row r="27">
      <c r="C27" s="7"/>
      <c r="D27" s="7"/>
      <c r="E27" s="174">
        <f>$F$3</f>
        <v>46054</v>
      </c>
      <c r="F27" s="176">
        <f>SUMIFS('BULAN BERJALAN BANUA'!H:H,
'BULAN BERJALAN BANUA'!A:A,$D$27,
'BULAN BERJALAN BANUA'!D:D,"&gt;="&amp;EOMONTH(E27,-1)+1,
'BULAN BERJALAN BANUA'!D:D,"&lt;="&amp;EOMONTH(E27,0))</f>
        <v>0</v>
      </c>
      <c r="G27" s="161"/>
    </row>
    <row r="28">
      <c r="C28" s="153">
        <v>12.0</v>
      </c>
      <c r="D28" s="177" t="s">
        <v>29</v>
      </c>
      <c r="E28" s="174">
        <f>$F$2</f>
        <v>46054</v>
      </c>
      <c r="F28" s="180">
        <f>SUMIFS('BULAN BERJALAN BANUA'!H:H,
'BULAN BERJALAN BANUA'!A:A,$D$28,
'BULAN BERJALAN BANUA'!D:D,"&gt;="&amp;EOMONTH(E28,-1)+1,
'BULAN BERJALAN BANUA'!D:D,"&lt;="&amp;EOMONTH(E28,0))</f>
        <v>0</v>
      </c>
      <c r="G28" s="157">
        <f>IF(F28=0, 0, F29/F28)</f>
        <v>0</v>
      </c>
    </row>
    <row r="29">
      <c r="C29" s="7"/>
      <c r="D29" s="7"/>
      <c r="E29" s="174">
        <f>$F$3</f>
        <v>46054</v>
      </c>
      <c r="F29" s="160">
        <f>IFERROR(SUMIFS('LAPORAN HARIAN'!D:D,'LAPORAN HARIAN'!B:B,$C29,'LAPORAN HARIAN'!C:C,$E29),0)</f>
        <v>0</v>
      </c>
      <c r="G29" s="161"/>
    </row>
    <row r="30">
      <c r="C30" s="153">
        <v>10.0</v>
      </c>
      <c r="D30" s="181" t="s">
        <v>30</v>
      </c>
      <c r="E30" s="174">
        <f>$F$2</f>
        <v>46054</v>
      </c>
      <c r="F30" s="156">
        <f>SUMIFS('BULAN BERJALAN BANUA'!H:H,
'BULAN BERJALAN BANUA'!A:A,$D$31,
'BULAN BERJALAN BANUA'!D:D,"&gt;="&amp;EOMONTH(E30,-1)+1,
'BULAN BERJALAN BANUA'!D:D,"&lt;="&amp;EOMONTH(E30,0))</f>
        <v>0</v>
      </c>
      <c r="G30" s="157">
        <f>IF(F30=0, 0, F31/F30)</f>
        <v>0</v>
      </c>
    </row>
    <row r="31">
      <c r="C31" s="7"/>
      <c r="D31" s="7"/>
      <c r="E31" s="174">
        <f>$F$3</f>
        <v>46054</v>
      </c>
      <c r="F31" s="160">
        <f>IFERROR(SUMIFS('LAPORAN HARIAN'!D:D,'LAPORAN HARIAN'!B:B,$C31,'LAPORAN HARIAN'!C:C,$E31),0)</f>
        <v>0</v>
      </c>
      <c r="G31" s="161"/>
    </row>
    <row r="32">
      <c r="C32" s="153">
        <v>11.0</v>
      </c>
      <c r="D32" s="181" t="s">
        <v>31</v>
      </c>
      <c r="E32" s="174">
        <f>$F$2</f>
        <v>46054</v>
      </c>
      <c r="F32" s="156">
        <f>SUMIFS('BULAN BERJALAN BANUA'!H:H,
'BULAN BERJALAN BANUA'!A:A,$D$33,
'BULAN BERJALAN BANUA'!D:D,"&gt;="&amp;EOMONTH(E32,-1)+1,
'BULAN BERJALAN BANUA'!D:D,"&lt;="&amp;EOMONTH(E32,0))</f>
        <v>0</v>
      </c>
      <c r="G32" s="157">
        <f>IF(F32=0, 0, F33/F32)</f>
        <v>0</v>
      </c>
    </row>
    <row r="33">
      <c r="C33" s="7"/>
      <c r="D33" s="7"/>
      <c r="E33" s="174">
        <f>$F$3</f>
        <v>46054</v>
      </c>
      <c r="F33" s="160">
        <f>SUMIFS('BULAN BERJALAN BANUA'!H:H,
'BULAN BERJALAN BANUA'!A:A,$D$33,
'BULAN BERJALAN BANUA'!D:D,"&gt;="&amp;EOMONTH(E33,-1)+1,
'BULAN BERJALAN BANUA'!D:D,"&lt;="&amp;EOMONTH(E33,0))</f>
        <v>0</v>
      </c>
      <c r="G33" s="161"/>
    </row>
    <row r="34">
      <c r="C34" s="153">
        <v>12.0</v>
      </c>
      <c r="D34" s="181" t="s">
        <v>32</v>
      </c>
      <c r="E34" s="174">
        <f>$F$2</f>
        <v>46054</v>
      </c>
      <c r="F34" s="156">
        <f>SUMIFS('BULAN BERJALAN BANUA'!H:H,
'BULAN BERJALAN BANUA'!A:A,$D$35,
'BULAN BERJALAN BANUA'!D:D,"&gt;="&amp;EOMONTH(E34,-1)+1,
'BULAN BERJALAN BANUA'!D:D,"&lt;="&amp;EOMONTH(E34,0))</f>
        <v>0</v>
      </c>
      <c r="G34" s="157">
        <f>IF(F34=0, 0, F35/F34)</f>
        <v>0</v>
      </c>
    </row>
    <row r="35">
      <c r="C35" s="7"/>
      <c r="D35" s="7"/>
      <c r="E35" s="174">
        <f>$F$3</f>
        <v>46054</v>
      </c>
      <c r="F35" s="160">
        <f>SUMIFS('BULAN BERJALAN BANUA'!H:H,
'BULAN BERJALAN BANUA'!A:A,D34,
'BULAN BERJALAN BANUA'!D:D,"&gt;="&amp;EOMONTH(E35,-1)+1,
'BULAN BERJALAN BANUA'!D:D,"&lt;="&amp;EOMONTH(E35,0))</f>
        <v>0</v>
      </c>
      <c r="G35" s="161"/>
    </row>
    <row r="36">
      <c r="C36" s="165">
        <v>13.0</v>
      </c>
      <c r="D36" s="181" t="s">
        <v>5</v>
      </c>
      <c r="E36" s="174">
        <f>$F$2</f>
        <v>46054</v>
      </c>
      <c r="F36" s="182">
        <f t="shared" ref="F36:F37" si="1">F6+F8+F10+F12+F14+F16+F18+F20+F22+F24+F26+F28+F30+F32+F34</f>
        <v>3400000</v>
      </c>
      <c r="G36" s="157">
        <f>IF(F36=0, 0, F37/F36)</f>
        <v>1</v>
      </c>
    </row>
    <row r="37">
      <c r="C37" s="7"/>
      <c r="D37" s="7"/>
      <c r="E37" s="174">
        <f>$F$3</f>
        <v>46054</v>
      </c>
      <c r="F37" s="179">
        <f t="shared" si="1"/>
        <v>3400000</v>
      </c>
      <c r="G37" s="161"/>
    </row>
    <row r="38">
      <c r="D38" s="183"/>
      <c r="E38" s="184"/>
      <c r="F38" s="185"/>
      <c r="G38" s="186"/>
    </row>
    <row r="39">
      <c r="D39" s="187"/>
      <c r="E39" s="188"/>
    </row>
    <row r="40">
      <c r="C40" s="189"/>
      <c r="D40" s="190"/>
      <c r="E40" s="191"/>
      <c r="F40" s="189"/>
      <c r="G40" s="189"/>
    </row>
    <row r="41">
      <c r="C41" s="192"/>
      <c r="D41" s="193"/>
      <c r="E41" s="194"/>
      <c r="F41" s="195"/>
      <c r="G41" s="195"/>
    </row>
    <row r="42">
      <c r="C42" s="195"/>
      <c r="D42" s="193"/>
      <c r="E42" s="194"/>
      <c r="F42" s="195"/>
      <c r="G42" s="195"/>
    </row>
    <row r="43">
      <c r="C43" s="32"/>
      <c r="D43" s="193"/>
      <c r="E43" s="194"/>
      <c r="F43" s="32"/>
      <c r="G43" s="32"/>
    </row>
    <row r="44">
      <c r="C44" s="32"/>
      <c r="D44" s="193"/>
      <c r="E44" s="194"/>
      <c r="F44" s="32"/>
      <c r="G44" s="32"/>
    </row>
    <row r="45">
      <c r="C45" s="32"/>
      <c r="D45" s="196"/>
      <c r="E45" s="197"/>
      <c r="F45" s="32"/>
      <c r="G45" s="32"/>
    </row>
    <row r="46">
      <c r="C46" s="198"/>
      <c r="D46" s="199"/>
      <c r="E46" s="200"/>
      <c r="F46" s="201"/>
      <c r="G46" s="198"/>
    </row>
    <row r="47">
      <c r="C47" s="202"/>
      <c r="D47" s="203"/>
      <c r="E47" s="184"/>
      <c r="F47" s="204"/>
      <c r="G47" s="205"/>
    </row>
    <row r="48">
      <c r="C48" s="202"/>
      <c r="D48" s="203"/>
      <c r="E48" s="184"/>
      <c r="F48" s="204"/>
      <c r="G48" s="205"/>
    </row>
    <row r="49">
      <c r="C49" s="202"/>
      <c r="D49" s="206"/>
      <c r="E49" s="184"/>
      <c r="F49" s="204"/>
      <c r="G49" s="205"/>
    </row>
    <row r="50">
      <c r="C50" s="202"/>
      <c r="D50" s="206"/>
      <c r="E50" s="184"/>
      <c r="F50" s="204"/>
      <c r="G50" s="205"/>
    </row>
    <row r="51">
      <c r="C51" s="202"/>
      <c r="D51" s="206"/>
      <c r="E51" s="184"/>
      <c r="F51" s="204"/>
      <c r="G51" s="205"/>
    </row>
    <row r="52">
      <c r="C52" s="202"/>
      <c r="D52" s="206"/>
      <c r="E52" s="184"/>
      <c r="F52" s="204"/>
      <c r="G52" s="205"/>
    </row>
    <row r="53">
      <c r="C53" s="202"/>
      <c r="D53" s="206"/>
      <c r="E53" s="184"/>
      <c r="F53" s="204"/>
      <c r="G53" s="205"/>
    </row>
    <row r="54">
      <c r="C54" s="202"/>
      <c r="D54" s="206"/>
      <c r="E54" s="184"/>
      <c r="F54" s="204"/>
      <c r="G54" s="205"/>
    </row>
    <row r="55">
      <c r="C55" s="202"/>
      <c r="D55" s="206"/>
      <c r="E55" s="184"/>
      <c r="F55" s="204"/>
      <c r="G55" s="205"/>
    </row>
    <row r="56">
      <c r="C56" s="202"/>
      <c r="D56" s="206"/>
      <c r="E56" s="184"/>
      <c r="F56" s="204"/>
      <c r="G56" s="205"/>
    </row>
    <row r="57">
      <c r="C57" s="202"/>
      <c r="D57" s="206"/>
      <c r="E57" s="184"/>
      <c r="F57" s="204"/>
      <c r="G57" s="205"/>
    </row>
    <row r="58">
      <c r="C58" s="202"/>
      <c r="D58" s="206"/>
      <c r="E58" s="184"/>
      <c r="F58" s="204"/>
      <c r="G58" s="205"/>
    </row>
    <row r="59">
      <c r="C59" s="202"/>
      <c r="D59" s="206"/>
      <c r="E59" s="184"/>
      <c r="F59" s="204"/>
      <c r="G59" s="205"/>
    </row>
    <row r="60">
      <c r="C60" s="202"/>
      <c r="D60" s="206"/>
      <c r="E60" s="184"/>
      <c r="F60" s="204"/>
      <c r="G60" s="205"/>
    </row>
    <row r="61">
      <c r="C61" s="202"/>
      <c r="D61" s="206"/>
      <c r="E61" s="184"/>
      <c r="F61" s="204"/>
      <c r="G61" s="205"/>
    </row>
    <row r="62">
      <c r="C62" s="202"/>
      <c r="D62" s="206"/>
      <c r="E62" s="184"/>
      <c r="F62" s="204"/>
      <c r="G62" s="205"/>
    </row>
    <row r="63">
      <c r="C63" s="202"/>
      <c r="D63" s="206"/>
      <c r="E63" s="184"/>
      <c r="F63" s="204"/>
      <c r="G63" s="205"/>
    </row>
    <row r="64">
      <c r="C64" s="202"/>
      <c r="D64" s="206"/>
      <c r="E64" s="184"/>
      <c r="F64" s="204"/>
      <c r="G64" s="205"/>
    </row>
    <row r="65">
      <c r="C65" s="202"/>
      <c r="D65" s="206"/>
      <c r="E65" s="184"/>
      <c r="F65" s="204"/>
      <c r="G65" s="205"/>
    </row>
    <row r="66">
      <c r="C66" s="202"/>
      <c r="D66" s="206"/>
      <c r="E66" s="184"/>
      <c r="F66" s="204"/>
      <c r="G66" s="205"/>
    </row>
    <row r="67">
      <c r="C67" s="202"/>
      <c r="D67" s="206"/>
      <c r="E67" s="184"/>
      <c r="F67" s="204"/>
      <c r="G67" s="205"/>
    </row>
    <row r="68">
      <c r="C68" s="202"/>
      <c r="D68" s="206"/>
      <c r="E68" s="184"/>
      <c r="F68" s="204"/>
      <c r="G68" s="205"/>
    </row>
    <row r="69">
      <c r="C69" s="202"/>
      <c r="D69" s="206"/>
      <c r="E69" s="184"/>
      <c r="F69" s="204"/>
      <c r="G69" s="205"/>
    </row>
    <row r="70">
      <c r="C70" s="202"/>
      <c r="D70" s="206"/>
      <c r="E70" s="184"/>
      <c r="F70" s="204"/>
      <c r="G70" s="205"/>
    </row>
    <row r="71">
      <c r="C71" s="202"/>
      <c r="D71" s="207"/>
      <c r="E71" s="184"/>
      <c r="F71" s="204"/>
      <c r="G71" s="205"/>
    </row>
    <row r="72">
      <c r="C72" s="202"/>
      <c r="D72" s="207"/>
      <c r="E72" s="184"/>
      <c r="F72" s="204"/>
      <c r="G72" s="205"/>
    </row>
    <row r="73">
      <c r="C73" s="202"/>
      <c r="D73" s="207"/>
      <c r="E73" s="184"/>
      <c r="F73" s="204"/>
      <c r="G73" s="205"/>
    </row>
    <row r="74">
      <c r="C74" s="202"/>
      <c r="D74" s="207"/>
      <c r="E74" s="184"/>
      <c r="F74" s="204"/>
      <c r="G74" s="205"/>
    </row>
    <row r="75">
      <c r="C75" s="202"/>
      <c r="D75" s="207"/>
      <c r="E75" s="184"/>
      <c r="F75" s="204"/>
      <c r="G75" s="205"/>
    </row>
    <row r="76">
      <c r="C76" s="202"/>
      <c r="D76" s="207"/>
      <c r="E76" s="184"/>
      <c r="F76" s="204"/>
      <c r="G76" s="205"/>
    </row>
    <row r="77">
      <c r="C77" s="208"/>
      <c r="D77" s="207"/>
      <c r="E77" s="184"/>
      <c r="F77" s="204"/>
      <c r="G77" s="205"/>
    </row>
    <row r="78">
      <c r="C78" s="208"/>
      <c r="D78" s="207"/>
      <c r="E78" s="184"/>
      <c r="F78" s="204"/>
      <c r="G78" s="205"/>
    </row>
    <row r="79">
      <c r="D79" s="187"/>
      <c r="E79" s="188"/>
    </row>
    <row r="80">
      <c r="D80" s="187"/>
      <c r="E80" s="188"/>
    </row>
    <row r="81">
      <c r="D81" s="187"/>
      <c r="E81" s="188"/>
    </row>
    <row r="82">
      <c r="D82" s="187"/>
      <c r="E82" s="188"/>
    </row>
    <row r="83">
      <c r="D83" s="187"/>
      <c r="E83" s="188"/>
    </row>
    <row r="84">
      <c r="D84" s="187"/>
      <c r="E84" s="188"/>
    </row>
    <row r="85">
      <c r="D85" s="187"/>
      <c r="E85" s="188"/>
    </row>
    <row r="86">
      <c r="D86" s="187"/>
      <c r="E86" s="188"/>
    </row>
    <row r="87">
      <c r="D87" s="187"/>
      <c r="E87" s="188"/>
    </row>
    <row r="88">
      <c r="D88" s="187"/>
      <c r="E88" s="188"/>
    </row>
    <row r="89">
      <c r="D89" s="187"/>
      <c r="E89" s="188"/>
    </row>
    <row r="90">
      <c r="D90" s="187"/>
      <c r="E90" s="188"/>
    </row>
    <row r="91">
      <c r="D91" s="187"/>
      <c r="E91" s="188"/>
    </row>
    <row r="92">
      <c r="D92" s="187"/>
      <c r="E92" s="188"/>
    </row>
    <row r="93">
      <c r="D93" s="187"/>
      <c r="E93" s="188"/>
    </row>
    <row r="94">
      <c r="D94" s="187"/>
      <c r="E94" s="188"/>
    </row>
    <row r="95">
      <c r="D95" s="187"/>
      <c r="E95" s="188"/>
    </row>
    <row r="96">
      <c r="D96" s="187"/>
      <c r="E96" s="188"/>
    </row>
    <row r="97">
      <c r="D97" s="187"/>
      <c r="E97" s="188"/>
    </row>
    <row r="98">
      <c r="D98" s="187"/>
      <c r="E98" s="188"/>
    </row>
    <row r="99">
      <c r="D99" s="187"/>
      <c r="E99" s="188"/>
    </row>
    <row r="100">
      <c r="D100" s="187"/>
      <c r="E100" s="188"/>
    </row>
    <row r="101">
      <c r="D101" s="187"/>
      <c r="E101" s="188"/>
    </row>
    <row r="102">
      <c r="D102" s="187"/>
      <c r="E102" s="188"/>
    </row>
    <row r="103">
      <c r="D103" s="187"/>
      <c r="E103" s="188"/>
    </row>
    <row r="104">
      <c r="D104" s="187"/>
      <c r="E104" s="188"/>
    </row>
    <row r="105">
      <c r="D105" s="187"/>
      <c r="E105" s="188"/>
    </row>
    <row r="106">
      <c r="D106" s="187"/>
      <c r="E106" s="188"/>
    </row>
    <row r="107">
      <c r="D107" s="187"/>
      <c r="E107" s="188"/>
    </row>
    <row r="108">
      <c r="D108" s="187"/>
      <c r="E108" s="188"/>
    </row>
    <row r="109">
      <c r="D109" s="187"/>
      <c r="E109" s="188"/>
    </row>
    <row r="110">
      <c r="D110" s="187"/>
      <c r="E110" s="188"/>
    </row>
    <row r="111">
      <c r="D111" s="187"/>
      <c r="E111" s="188"/>
    </row>
    <row r="112">
      <c r="D112" s="187"/>
      <c r="E112" s="188"/>
    </row>
    <row r="113">
      <c r="D113" s="187"/>
      <c r="E113" s="188"/>
    </row>
    <row r="114">
      <c r="D114" s="187"/>
      <c r="E114" s="188"/>
    </row>
    <row r="115">
      <c r="D115" s="187"/>
      <c r="E115" s="188"/>
    </row>
    <row r="116">
      <c r="D116" s="187"/>
      <c r="E116" s="188"/>
    </row>
    <row r="117">
      <c r="D117" s="187"/>
      <c r="E117" s="188"/>
    </row>
    <row r="118">
      <c r="D118" s="187"/>
      <c r="E118" s="188"/>
    </row>
    <row r="119">
      <c r="D119" s="187"/>
      <c r="E119" s="188"/>
    </row>
    <row r="120">
      <c r="D120" s="187"/>
      <c r="E120" s="188"/>
    </row>
    <row r="121">
      <c r="D121" s="187"/>
      <c r="E121" s="188"/>
    </row>
    <row r="122">
      <c r="D122" s="187"/>
      <c r="E122" s="188"/>
    </row>
    <row r="123">
      <c r="D123" s="187"/>
      <c r="E123" s="188"/>
    </row>
    <row r="124">
      <c r="D124" s="187"/>
      <c r="E124" s="188"/>
    </row>
    <row r="125">
      <c r="D125" s="187"/>
      <c r="E125" s="188"/>
    </row>
    <row r="126">
      <c r="D126" s="187"/>
      <c r="E126" s="188"/>
    </row>
    <row r="127">
      <c r="D127" s="187"/>
      <c r="E127" s="188"/>
    </row>
    <row r="128">
      <c r="D128" s="187"/>
      <c r="E128" s="188"/>
    </row>
    <row r="129">
      <c r="D129" s="187"/>
      <c r="E129" s="188"/>
    </row>
    <row r="130">
      <c r="D130" s="187"/>
      <c r="E130" s="188"/>
    </row>
    <row r="131">
      <c r="D131" s="187"/>
      <c r="E131" s="188"/>
    </row>
    <row r="132">
      <c r="D132" s="187"/>
      <c r="E132" s="188"/>
    </row>
    <row r="133">
      <c r="D133" s="187"/>
      <c r="E133" s="188"/>
    </row>
    <row r="134">
      <c r="D134" s="187"/>
      <c r="E134" s="188"/>
    </row>
    <row r="135">
      <c r="D135" s="187"/>
      <c r="E135" s="188"/>
    </row>
    <row r="136">
      <c r="D136" s="187"/>
      <c r="E136" s="188"/>
    </row>
    <row r="137">
      <c r="D137" s="187"/>
      <c r="E137" s="188"/>
    </row>
    <row r="138">
      <c r="D138" s="187"/>
      <c r="E138" s="188"/>
    </row>
    <row r="139">
      <c r="D139" s="187"/>
      <c r="E139" s="188"/>
    </row>
    <row r="140">
      <c r="D140" s="187"/>
      <c r="E140" s="188"/>
    </row>
    <row r="141">
      <c r="D141" s="187"/>
      <c r="E141" s="188"/>
    </row>
    <row r="142">
      <c r="D142" s="187"/>
      <c r="E142" s="188"/>
    </row>
    <row r="143">
      <c r="D143" s="187"/>
      <c r="E143" s="188"/>
    </row>
    <row r="144">
      <c r="D144" s="187"/>
      <c r="E144" s="188"/>
    </row>
    <row r="145">
      <c r="D145" s="187"/>
      <c r="E145" s="188"/>
    </row>
    <row r="146">
      <c r="D146" s="187"/>
      <c r="E146" s="188"/>
    </row>
    <row r="147">
      <c r="D147" s="187"/>
      <c r="E147" s="188"/>
    </row>
    <row r="148">
      <c r="D148" s="187"/>
      <c r="E148" s="188"/>
    </row>
    <row r="149">
      <c r="D149" s="187"/>
      <c r="E149" s="188"/>
    </row>
    <row r="150">
      <c r="D150" s="187"/>
      <c r="E150" s="188"/>
    </row>
    <row r="151">
      <c r="D151" s="187"/>
      <c r="E151" s="188"/>
    </row>
    <row r="152">
      <c r="D152" s="187"/>
      <c r="E152" s="188"/>
    </row>
    <row r="153">
      <c r="D153" s="187"/>
      <c r="E153" s="188"/>
    </row>
    <row r="154">
      <c r="D154" s="187"/>
      <c r="E154" s="188"/>
    </row>
    <row r="155">
      <c r="D155" s="187"/>
      <c r="E155" s="188"/>
    </row>
    <row r="156">
      <c r="D156" s="187"/>
      <c r="E156" s="188"/>
    </row>
    <row r="157">
      <c r="D157" s="187"/>
      <c r="E157" s="188"/>
    </row>
    <row r="158">
      <c r="D158" s="187"/>
      <c r="E158" s="188"/>
    </row>
    <row r="159">
      <c r="D159" s="187"/>
      <c r="E159" s="188"/>
    </row>
    <row r="160">
      <c r="D160" s="187"/>
      <c r="E160" s="188"/>
    </row>
    <row r="161">
      <c r="D161" s="187"/>
      <c r="E161" s="188"/>
    </row>
    <row r="162">
      <c r="D162" s="187"/>
      <c r="E162" s="188"/>
    </row>
    <row r="163">
      <c r="D163" s="187"/>
      <c r="E163" s="188"/>
    </row>
    <row r="164">
      <c r="D164" s="187"/>
      <c r="E164" s="188"/>
    </row>
    <row r="165">
      <c r="D165" s="187"/>
      <c r="E165" s="188"/>
    </row>
    <row r="166">
      <c r="D166" s="187"/>
      <c r="E166" s="188"/>
    </row>
    <row r="167">
      <c r="D167" s="187"/>
      <c r="E167" s="188"/>
    </row>
    <row r="168">
      <c r="D168" s="187"/>
      <c r="E168" s="188"/>
    </row>
    <row r="169">
      <c r="D169" s="187"/>
      <c r="E169" s="188"/>
    </row>
    <row r="170">
      <c r="D170" s="187"/>
      <c r="E170" s="188"/>
    </row>
    <row r="171">
      <c r="D171" s="187"/>
      <c r="E171" s="188"/>
    </row>
    <row r="172">
      <c r="D172" s="187"/>
      <c r="E172" s="188"/>
    </row>
    <row r="173">
      <c r="D173" s="187"/>
      <c r="E173" s="188"/>
    </row>
    <row r="174">
      <c r="D174" s="187"/>
      <c r="E174" s="188"/>
    </row>
    <row r="175">
      <c r="D175" s="187"/>
      <c r="E175" s="188"/>
    </row>
    <row r="176">
      <c r="D176" s="187"/>
      <c r="E176" s="188"/>
    </row>
    <row r="177">
      <c r="D177" s="187"/>
      <c r="E177" s="188"/>
    </row>
    <row r="178">
      <c r="D178" s="187"/>
      <c r="E178" s="188"/>
    </row>
    <row r="179">
      <c r="D179" s="187"/>
      <c r="E179" s="188"/>
    </row>
    <row r="180">
      <c r="D180" s="187"/>
      <c r="E180" s="188"/>
    </row>
    <row r="181">
      <c r="D181" s="187"/>
      <c r="E181" s="188"/>
    </row>
    <row r="182">
      <c r="D182" s="187"/>
      <c r="E182" s="188"/>
    </row>
    <row r="183">
      <c r="D183" s="187"/>
      <c r="E183" s="188"/>
    </row>
    <row r="184">
      <c r="D184" s="187"/>
      <c r="E184" s="188"/>
    </row>
    <row r="185">
      <c r="D185" s="187"/>
      <c r="E185" s="188"/>
    </row>
    <row r="186">
      <c r="D186" s="187"/>
      <c r="E186" s="188"/>
    </row>
    <row r="187">
      <c r="D187" s="187"/>
      <c r="E187" s="188"/>
    </row>
    <row r="188">
      <c r="D188" s="187"/>
      <c r="E188" s="188"/>
    </row>
    <row r="189">
      <c r="D189" s="187"/>
      <c r="E189" s="188"/>
    </row>
    <row r="190">
      <c r="D190" s="187"/>
      <c r="E190" s="188"/>
    </row>
    <row r="191">
      <c r="D191" s="187"/>
      <c r="E191" s="188"/>
    </row>
    <row r="192">
      <c r="D192" s="187"/>
      <c r="E192" s="188"/>
    </row>
    <row r="193">
      <c r="D193" s="187"/>
      <c r="E193" s="188"/>
    </row>
    <row r="194">
      <c r="D194" s="187"/>
      <c r="E194" s="188"/>
    </row>
    <row r="195">
      <c r="D195" s="187"/>
      <c r="E195" s="188"/>
    </row>
    <row r="196">
      <c r="D196" s="187"/>
      <c r="E196" s="188"/>
    </row>
    <row r="197">
      <c r="D197" s="187"/>
      <c r="E197" s="188"/>
    </row>
    <row r="198">
      <c r="D198" s="187"/>
      <c r="E198" s="188"/>
    </row>
    <row r="199">
      <c r="D199" s="187"/>
      <c r="E199" s="188"/>
    </row>
    <row r="200">
      <c r="D200" s="187"/>
      <c r="E200" s="188"/>
    </row>
    <row r="201">
      <c r="D201" s="187"/>
      <c r="E201" s="188"/>
    </row>
    <row r="202">
      <c r="D202" s="187"/>
      <c r="E202" s="188"/>
    </row>
    <row r="203">
      <c r="D203" s="187"/>
      <c r="E203" s="188"/>
    </row>
    <row r="204">
      <c r="D204" s="187"/>
      <c r="E204" s="188"/>
    </row>
    <row r="205">
      <c r="D205" s="187"/>
      <c r="E205" s="188"/>
    </row>
    <row r="206">
      <c r="D206" s="187"/>
      <c r="E206" s="188"/>
    </row>
    <row r="207">
      <c r="D207" s="187"/>
      <c r="E207" s="188"/>
    </row>
    <row r="208">
      <c r="D208" s="187"/>
      <c r="E208" s="188"/>
    </row>
    <row r="209">
      <c r="D209" s="187"/>
      <c r="E209" s="188"/>
    </row>
    <row r="210">
      <c r="D210" s="187"/>
      <c r="E210" s="188"/>
    </row>
    <row r="211">
      <c r="D211" s="187"/>
      <c r="E211" s="188"/>
    </row>
    <row r="212">
      <c r="D212" s="187"/>
      <c r="E212" s="188"/>
    </row>
    <row r="213">
      <c r="D213" s="187"/>
      <c r="E213" s="188"/>
    </row>
    <row r="214">
      <c r="D214" s="187"/>
      <c r="E214" s="188"/>
    </row>
    <row r="215">
      <c r="D215" s="187"/>
      <c r="E215" s="188"/>
    </row>
    <row r="216">
      <c r="D216" s="187"/>
      <c r="E216" s="188"/>
    </row>
    <row r="217">
      <c r="D217" s="187"/>
      <c r="E217" s="188"/>
    </row>
    <row r="218">
      <c r="D218" s="187"/>
      <c r="E218" s="188"/>
    </row>
    <row r="219">
      <c r="D219" s="187"/>
      <c r="E219" s="188"/>
    </row>
    <row r="220">
      <c r="D220" s="187"/>
      <c r="E220" s="188"/>
    </row>
    <row r="221">
      <c r="D221" s="187"/>
      <c r="E221" s="188"/>
    </row>
    <row r="222">
      <c r="D222" s="187"/>
      <c r="E222" s="188"/>
    </row>
    <row r="223">
      <c r="D223" s="187"/>
      <c r="E223" s="188"/>
    </row>
    <row r="224">
      <c r="D224" s="187"/>
      <c r="E224" s="188"/>
    </row>
    <row r="225">
      <c r="D225" s="187"/>
      <c r="E225" s="188"/>
    </row>
    <row r="226">
      <c r="D226" s="187"/>
      <c r="E226" s="188"/>
    </row>
    <row r="227">
      <c r="D227" s="187"/>
      <c r="E227" s="188"/>
    </row>
    <row r="228">
      <c r="D228" s="187"/>
      <c r="E228" s="188"/>
    </row>
    <row r="229">
      <c r="D229" s="187"/>
      <c r="E229" s="188"/>
    </row>
    <row r="230">
      <c r="D230" s="187"/>
      <c r="E230" s="188"/>
    </row>
    <row r="231">
      <c r="D231" s="187"/>
      <c r="E231" s="188"/>
    </row>
    <row r="232">
      <c r="D232" s="187"/>
      <c r="E232" s="188"/>
    </row>
    <row r="233">
      <c r="D233" s="187"/>
      <c r="E233" s="188"/>
    </row>
    <row r="234">
      <c r="D234" s="187"/>
      <c r="E234" s="188"/>
    </row>
    <row r="235">
      <c r="D235" s="187"/>
      <c r="E235" s="188"/>
    </row>
    <row r="236">
      <c r="D236" s="187"/>
      <c r="E236" s="188"/>
    </row>
    <row r="237">
      <c r="D237" s="187"/>
      <c r="E237" s="188"/>
    </row>
    <row r="238">
      <c r="D238" s="187"/>
      <c r="E238" s="188"/>
    </row>
    <row r="239">
      <c r="D239" s="187"/>
      <c r="E239" s="188"/>
    </row>
    <row r="240">
      <c r="D240" s="187"/>
      <c r="E240" s="188"/>
    </row>
    <row r="241">
      <c r="D241" s="187"/>
      <c r="E241" s="188"/>
    </row>
    <row r="242">
      <c r="D242" s="187"/>
      <c r="E242" s="188"/>
    </row>
    <row r="243">
      <c r="D243" s="187"/>
      <c r="E243" s="188"/>
    </row>
    <row r="244">
      <c r="D244" s="187"/>
      <c r="E244" s="188"/>
    </row>
    <row r="245">
      <c r="D245" s="187"/>
      <c r="E245" s="188"/>
    </row>
    <row r="246">
      <c r="D246" s="187"/>
      <c r="E246" s="188"/>
    </row>
    <row r="247">
      <c r="D247" s="187"/>
      <c r="E247" s="188"/>
    </row>
    <row r="248">
      <c r="D248" s="187"/>
      <c r="E248" s="188"/>
    </row>
    <row r="249">
      <c r="D249" s="187"/>
      <c r="E249" s="188"/>
    </row>
    <row r="250">
      <c r="D250" s="187"/>
      <c r="E250" s="188"/>
    </row>
    <row r="251">
      <c r="D251" s="187"/>
      <c r="E251" s="188"/>
    </row>
    <row r="252">
      <c r="D252" s="187"/>
      <c r="E252" s="188"/>
    </row>
    <row r="253">
      <c r="D253" s="187"/>
      <c r="E253" s="188"/>
    </row>
    <row r="254">
      <c r="D254" s="187"/>
      <c r="E254" s="188"/>
    </row>
    <row r="255">
      <c r="D255" s="187"/>
      <c r="E255" s="188"/>
    </row>
    <row r="256">
      <c r="D256" s="187"/>
      <c r="E256" s="188"/>
    </row>
    <row r="257">
      <c r="D257" s="187"/>
      <c r="E257" s="188"/>
    </row>
    <row r="258">
      <c r="D258" s="187"/>
      <c r="E258" s="188"/>
    </row>
    <row r="259">
      <c r="D259" s="187"/>
      <c r="E259" s="188"/>
    </row>
    <row r="260">
      <c r="D260" s="187"/>
      <c r="E260" s="188"/>
    </row>
    <row r="261">
      <c r="D261" s="187"/>
      <c r="E261" s="188"/>
    </row>
    <row r="262">
      <c r="D262" s="187"/>
      <c r="E262" s="188"/>
    </row>
    <row r="263">
      <c r="D263" s="187"/>
      <c r="E263" s="188"/>
    </row>
    <row r="264">
      <c r="D264" s="187"/>
      <c r="E264" s="188"/>
    </row>
    <row r="265">
      <c r="D265" s="187"/>
      <c r="E265" s="188"/>
    </row>
    <row r="266">
      <c r="D266" s="187"/>
      <c r="E266" s="188"/>
    </row>
    <row r="267">
      <c r="D267" s="187"/>
      <c r="E267" s="188"/>
    </row>
    <row r="268">
      <c r="D268" s="187"/>
      <c r="E268" s="188"/>
    </row>
    <row r="269">
      <c r="D269" s="187"/>
      <c r="E269" s="188"/>
    </row>
    <row r="270">
      <c r="D270" s="187"/>
      <c r="E270" s="188"/>
    </row>
    <row r="271">
      <c r="D271" s="187"/>
      <c r="E271" s="188"/>
    </row>
    <row r="272">
      <c r="D272" s="187"/>
      <c r="E272" s="188"/>
    </row>
    <row r="273">
      <c r="D273" s="187"/>
      <c r="E273" s="188"/>
    </row>
    <row r="274">
      <c r="D274" s="187"/>
      <c r="E274" s="188"/>
    </row>
    <row r="275">
      <c r="D275" s="187"/>
      <c r="E275" s="188"/>
    </row>
    <row r="276">
      <c r="D276" s="187"/>
      <c r="E276" s="188"/>
    </row>
    <row r="277">
      <c r="D277" s="187"/>
      <c r="E277" s="188"/>
    </row>
    <row r="278">
      <c r="D278" s="187"/>
      <c r="E278" s="188"/>
    </row>
    <row r="279">
      <c r="D279" s="187"/>
      <c r="E279" s="188"/>
    </row>
    <row r="280">
      <c r="D280" s="187"/>
      <c r="E280" s="188"/>
    </row>
    <row r="281">
      <c r="D281" s="187"/>
      <c r="E281" s="188"/>
    </row>
    <row r="282">
      <c r="D282" s="187"/>
      <c r="E282" s="188"/>
    </row>
    <row r="283">
      <c r="D283" s="187"/>
      <c r="E283" s="188"/>
    </row>
    <row r="284">
      <c r="D284" s="187"/>
      <c r="E284" s="188"/>
    </row>
    <row r="285">
      <c r="D285" s="187"/>
      <c r="E285" s="188"/>
    </row>
    <row r="286">
      <c r="D286" s="187"/>
      <c r="E286" s="188"/>
    </row>
    <row r="287">
      <c r="D287" s="187"/>
      <c r="E287" s="188"/>
    </row>
    <row r="288">
      <c r="D288" s="187"/>
      <c r="E288" s="188"/>
    </row>
    <row r="289">
      <c r="D289" s="187"/>
      <c r="E289" s="188"/>
    </row>
    <row r="290">
      <c r="D290" s="187"/>
      <c r="E290" s="188"/>
    </row>
    <row r="291">
      <c r="D291" s="187"/>
      <c r="E291" s="188"/>
    </row>
    <row r="292">
      <c r="D292" s="187"/>
      <c r="E292" s="188"/>
    </row>
    <row r="293">
      <c r="D293" s="187"/>
      <c r="E293" s="188"/>
    </row>
    <row r="294">
      <c r="D294" s="187"/>
      <c r="E294" s="188"/>
    </row>
    <row r="295">
      <c r="D295" s="187"/>
      <c r="E295" s="188"/>
    </row>
    <row r="296">
      <c r="D296" s="187"/>
      <c r="E296" s="188"/>
    </row>
    <row r="297">
      <c r="D297" s="187"/>
      <c r="E297" s="188"/>
    </row>
    <row r="298">
      <c r="D298" s="187"/>
      <c r="E298" s="188"/>
    </row>
    <row r="299">
      <c r="D299" s="187"/>
      <c r="E299" s="188"/>
    </row>
    <row r="300">
      <c r="D300" s="187"/>
      <c r="E300" s="188"/>
    </row>
    <row r="301">
      <c r="D301" s="187"/>
      <c r="E301" s="188"/>
    </row>
    <row r="302">
      <c r="D302" s="187"/>
      <c r="E302" s="188"/>
    </row>
    <row r="303">
      <c r="D303" s="187"/>
      <c r="E303" s="188"/>
    </row>
    <row r="304">
      <c r="D304" s="187"/>
      <c r="E304" s="188"/>
    </row>
    <row r="305">
      <c r="D305" s="187"/>
      <c r="E305" s="188"/>
    </row>
    <row r="306">
      <c r="D306" s="187"/>
      <c r="E306" s="188"/>
    </row>
    <row r="307">
      <c r="D307" s="187"/>
      <c r="E307" s="188"/>
    </row>
    <row r="308">
      <c r="D308" s="187"/>
      <c r="E308" s="188"/>
    </row>
    <row r="309">
      <c r="D309" s="187"/>
      <c r="E309" s="188"/>
    </row>
    <row r="310">
      <c r="D310" s="187"/>
      <c r="E310" s="188"/>
    </row>
    <row r="311">
      <c r="D311" s="187"/>
      <c r="E311" s="188"/>
    </row>
    <row r="312">
      <c r="D312" s="187"/>
      <c r="E312" s="188"/>
    </row>
    <row r="313">
      <c r="D313" s="187"/>
      <c r="E313" s="188"/>
    </row>
    <row r="314">
      <c r="D314" s="187"/>
      <c r="E314" s="188"/>
    </row>
    <row r="315">
      <c r="D315" s="187"/>
      <c r="E315" s="188"/>
    </row>
    <row r="316">
      <c r="D316" s="187"/>
      <c r="E316" s="188"/>
    </row>
    <row r="317">
      <c r="D317" s="187"/>
      <c r="E317" s="188"/>
    </row>
    <row r="318">
      <c r="D318" s="187"/>
      <c r="E318" s="188"/>
    </row>
    <row r="319">
      <c r="D319" s="187"/>
      <c r="E319" s="188"/>
    </row>
    <row r="320">
      <c r="D320" s="187"/>
      <c r="E320" s="188"/>
    </row>
    <row r="321">
      <c r="D321" s="187"/>
      <c r="E321" s="188"/>
    </row>
    <row r="322">
      <c r="D322" s="187"/>
      <c r="E322" s="188"/>
    </row>
    <row r="323">
      <c r="D323" s="187"/>
      <c r="E323" s="188"/>
    </row>
    <row r="324">
      <c r="D324" s="187"/>
      <c r="E324" s="188"/>
    </row>
    <row r="325">
      <c r="D325" s="187"/>
      <c r="E325" s="188"/>
    </row>
    <row r="326">
      <c r="D326" s="187"/>
      <c r="E326" s="188"/>
    </row>
    <row r="327">
      <c r="D327" s="187"/>
      <c r="E327" s="188"/>
    </row>
    <row r="328">
      <c r="D328" s="187"/>
      <c r="E328" s="188"/>
    </row>
    <row r="329">
      <c r="D329" s="187"/>
      <c r="E329" s="188"/>
    </row>
    <row r="330">
      <c r="D330" s="187"/>
      <c r="E330" s="188"/>
    </row>
    <row r="331">
      <c r="D331" s="187"/>
      <c r="E331" s="188"/>
    </row>
    <row r="332">
      <c r="D332" s="187"/>
      <c r="E332" s="188"/>
    </row>
    <row r="333">
      <c r="D333" s="187"/>
      <c r="E333" s="188"/>
    </row>
    <row r="334">
      <c r="D334" s="187"/>
      <c r="E334" s="188"/>
    </row>
    <row r="335">
      <c r="D335" s="187"/>
      <c r="E335" s="188"/>
    </row>
    <row r="336">
      <c r="D336" s="187"/>
      <c r="E336" s="188"/>
    </row>
    <row r="337">
      <c r="D337" s="187"/>
      <c r="E337" s="188"/>
    </row>
    <row r="338">
      <c r="D338" s="187"/>
      <c r="E338" s="188"/>
    </row>
    <row r="339">
      <c r="D339" s="187"/>
      <c r="E339" s="188"/>
    </row>
    <row r="340">
      <c r="D340" s="187"/>
      <c r="E340" s="188"/>
    </row>
    <row r="341">
      <c r="D341" s="187"/>
      <c r="E341" s="188"/>
    </row>
    <row r="342">
      <c r="D342" s="187"/>
      <c r="E342" s="188"/>
    </row>
    <row r="343">
      <c r="D343" s="187"/>
      <c r="E343" s="188"/>
    </row>
    <row r="344">
      <c r="D344" s="187"/>
      <c r="E344" s="188"/>
    </row>
    <row r="345">
      <c r="D345" s="187"/>
      <c r="E345" s="188"/>
    </row>
    <row r="346">
      <c r="D346" s="187"/>
      <c r="E346" s="188"/>
    </row>
    <row r="347">
      <c r="D347" s="187"/>
      <c r="E347" s="188"/>
    </row>
    <row r="348">
      <c r="D348" s="187"/>
      <c r="E348" s="188"/>
    </row>
    <row r="349">
      <c r="D349" s="187"/>
      <c r="E349" s="188"/>
    </row>
    <row r="350">
      <c r="D350" s="187"/>
      <c r="E350" s="188"/>
    </row>
    <row r="351">
      <c r="D351" s="187"/>
      <c r="E351" s="188"/>
    </row>
    <row r="352">
      <c r="D352" s="187"/>
      <c r="E352" s="188"/>
    </row>
    <row r="353">
      <c r="D353" s="187"/>
      <c r="E353" s="188"/>
    </row>
    <row r="354">
      <c r="D354" s="187"/>
      <c r="E354" s="188"/>
    </row>
    <row r="355">
      <c r="D355" s="187"/>
      <c r="E355" s="188"/>
    </row>
    <row r="356">
      <c r="D356" s="187"/>
      <c r="E356" s="188"/>
    </row>
    <row r="357">
      <c r="D357" s="187"/>
      <c r="E357" s="188"/>
    </row>
    <row r="358">
      <c r="D358" s="187"/>
      <c r="E358" s="188"/>
    </row>
    <row r="359">
      <c r="D359" s="187"/>
      <c r="E359" s="188"/>
    </row>
    <row r="360">
      <c r="D360" s="187"/>
      <c r="E360" s="188"/>
    </row>
    <row r="361">
      <c r="D361" s="187"/>
      <c r="E361" s="188"/>
    </row>
    <row r="362">
      <c r="D362" s="187"/>
      <c r="E362" s="188"/>
    </row>
    <row r="363">
      <c r="D363" s="187"/>
      <c r="E363" s="188"/>
    </row>
    <row r="364">
      <c r="D364" s="187"/>
      <c r="E364" s="188"/>
    </row>
    <row r="365">
      <c r="D365" s="187"/>
      <c r="E365" s="188"/>
    </row>
    <row r="366">
      <c r="D366" s="187"/>
      <c r="E366" s="188"/>
    </row>
    <row r="367">
      <c r="D367" s="187"/>
      <c r="E367" s="188"/>
    </row>
    <row r="368">
      <c r="D368" s="187"/>
      <c r="E368" s="188"/>
    </row>
    <row r="369">
      <c r="D369" s="187"/>
      <c r="E369" s="188"/>
    </row>
    <row r="370">
      <c r="D370" s="187"/>
      <c r="E370" s="188"/>
    </row>
    <row r="371">
      <c r="D371" s="187"/>
      <c r="E371" s="188"/>
    </row>
    <row r="372">
      <c r="D372" s="187"/>
      <c r="E372" s="188"/>
    </row>
    <row r="373">
      <c r="D373" s="187"/>
      <c r="E373" s="188"/>
    </row>
    <row r="374">
      <c r="D374" s="187"/>
      <c r="E374" s="188"/>
    </row>
    <row r="375">
      <c r="D375" s="187"/>
      <c r="E375" s="188"/>
    </row>
    <row r="376">
      <c r="D376" s="187"/>
      <c r="E376" s="188"/>
    </row>
    <row r="377">
      <c r="D377" s="187"/>
      <c r="E377" s="188"/>
    </row>
    <row r="378">
      <c r="D378" s="187"/>
      <c r="E378" s="188"/>
    </row>
    <row r="379">
      <c r="D379" s="187"/>
      <c r="E379" s="188"/>
    </row>
    <row r="380">
      <c r="D380" s="187"/>
      <c r="E380" s="188"/>
    </row>
    <row r="381">
      <c r="D381" s="187"/>
      <c r="E381" s="188"/>
    </row>
    <row r="382">
      <c r="D382" s="187"/>
      <c r="E382" s="188"/>
    </row>
    <row r="383">
      <c r="D383" s="187"/>
      <c r="E383" s="188"/>
    </row>
    <row r="384">
      <c r="D384" s="187"/>
      <c r="E384" s="188"/>
    </row>
    <row r="385">
      <c r="D385" s="187"/>
      <c r="E385" s="188"/>
    </row>
    <row r="386">
      <c r="D386" s="187"/>
      <c r="E386" s="188"/>
    </row>
    <row r="387">
      <c r="D387" s="187"/>
      <c r="E387" s="188"/>
    </row>
    <row r="388">
      <c r="D388" s="187"/>
      <c r="E388" s="188"/>
    </row>
    <row r="389">
      <c r="D389" s="187"/>
      <c r="E389" s="188"/>
    </row>
    <row r="390">
      <c r="D390" s="187"/>
      <c r="E390" s="188"/>
    </row>
    <row r="391">
      <c r="D391" s="187"/>
      <c r="E391" s="188"/>
    </row>
    <row r="392">
      <c r="D392" s="187"/>
      <c r="E392" s="188"/>
    </row>
    <row r="393">
      <c r="D393" s="187"/>
      <c r="E393" s="188"/>
    </row>
    <row r="394">
      <c r="D394" s="187"/>
      <c r="E394" s="188"/>
    </row>
    <row r="395">
      <c r="D395" s="187"/>
      <c r="E395" s="188"/>
    </row>
    <row r="396">
      <c r="D396" s="187"/>
      <c r="E396" s="188"/>
    </row>
    <row r="397">
      <c r="D397" s="187"/>
      <c r="E397" s="188"/>
    </row>
    <row r="398">
      <c r="D398" s="187"/>
      <c r="E398" s="188"/>
    </row>
    <row r="399">
      <c r="D399" s="187"/>
      <c r="E399" s="188"/>
    </row>
    <row r="400">
      <c r="D400" s="187"/>
      <c r="E400" s="188"/>
    </row>
    <row r="401">
      <c r="D401" s="187"/>
      <c r="E401" s="188"/>
    </row>
    <row r="402">
      <c r="D402" s="187"/>
      <c r="E402" s="188"/>
    </row>
    <row r="403">
      <c r="D403" s="187"/>
      <c r="E403" s="188"/>
    </row>
    <row r="404">
      <c r="D404" s="187"/>
      <c r="E404" s="188"/>
    </row>
    <row r="405">
      <c r="D405" s="187"/>
      <c r="E405" s="188"/>
    </row>
    <row r="406">
      <c r="D406" s="187"/>
      <c r="E406" s="188"/>
    </row>
    <row r="407">
      <c r="D407" s="187"/>
      <c r="E407" s="188"/>
    </row>
    <row r="408">
      <c r="D408" s="187"/>
      <c r="E408" s="188"/>
    </row>
    <row r="409">
      <c r="D409" s="187"/>
      <c r="E409" s="188"/>
    </row>
    <row r="410">
      <c r="D410" s="187"/>
      <c r="E410" s="188"/>
    </row>
    <row r="411">
      <c r="D411" s="187"/>
      <c r="E411" s="188"/>
    </row>
    <row r="412">
      <c r="D412" s="187"/>
      <c r="E412" s="188"/>
    </row>
    <row r="413">
      <c r="D413" s="187"/>
      <c r="E413" s="188"/>
    </row>
    <row r="414">
      <c r="D414" s="187"/>
      <c r="E414" s="188"/>
    </row>
    <row r="415">
      <c r="D415" s="187"/>
      <c r="E415" s="188"/>
    </row>
    <row r="416">
      <c r="D416" s="187"/>
      <c r="E416" s="188"/>
    </row>
    <row r="417">
      <c r="D417" s="187"/>
      <c r="E417" s="188"/>
    </row>
    <row r="418">
      <c r="D418" s="187"/>
      <c r="E418" s="188"/>
    </row>
    <row r="419">
      <c r="D419" s="187"/>
      <c r="E419" s="188"/>
    </row>
    <row r="420">
      <c r="D420" s="187"/>
      <c r="E420" s="188"/>
    </row>
    <row r="421">
      <c r="D421" s="187"/>
      <c r="E421" s="188"/>
    </row>
    <row r="422">
      <c r="D422" s="187"/>
      <c r="E422" s="188"/>
    </row>
    <row r="423">
      <c r="D423" s="187"/>
      <c r="E423" s="188"/>
    </row>
    <row r="424">
      <c r="D424" s="187"/>
      <c r="E424" s="188"/>
    </row>
    <row r="425">
      <c r="D425" s="187"/>
      <c r="E425" s="188"/>
    </row>
    <row r="426">
      <c r="D426" s="187"/>
      <c r="E426" s="188"/>
    </row>
    <row r="427">
      <c r="D427" s="187"/>
      <c r="E427" s="188"/>
    </row>
    <row r="428">
      <c r="D428" s="187"/>
      <c r="E428" s="188"/>
    </row>
    <row r="429">
      <c r="D429" s="187"/>
      <c r="E429" s="188"/>
    </row>
    <row r="430">
      <c r="D430" s="187"/>
      <c r="E430" s="188"/>
    </row>
    <row r="431">
      <c r="D431" s="187"/>
      <c r="E431" s="188"/>
    </row>
    <row r="432">
      <c r="D432" s="187"/>
      <c r="E432" s="188"/>
    </row>
    <row r="433">
      <c r="D433" s="187"/>
      <c r="E433" s="188"/>
    </row>
    <row r="434">
      <c r="D434" s="187"/>
      <c r="E434" s="188"/>
    </row>
    <row r="435">
      <c r="D435" s="187"/>
      <c r="E435" s="188"/>
    </row>
    <row r="436">
      <c r="D436" s="187"/>
      <c r="E436" s="188"/>
    </row>
    <row r="437">
      <c r="D437" s="187"/>
      <c r="E437" s="188"/>
    </row>
    <row r="438">
      <c r="D438" s="187"/>
      <c r="E438" s="188"/>
    </row>
    <row r="439">
      <c r="D439" s="187"/>
      <c r="E439" s="188"/>
    </row>
    <row r="440">
      <c r="D440" s="187"/>
      <c r="E440" s="188"/>
    </row>
    <row r="441">
      <c r="D441" s="187"/>
      <c r="E441" s="188"/>
    </row>
    <row r="442">
      <c r="D442" s="187"/>
      <c r="E442" s="188"/>
    </row>
    <row r="443">
      <c r="D443" s="187"/>
      <c r="E443" s="188"/>
    </row>
    <row r="444">
      <c r="D444" s="187"/>
      <c r="E444" s="188"/>
    </row>
    <row r="445">
      <c r="D445" s="187"/>
      <c r="E445" s="188"/>
    </row>
    <row r="446">
      <c r="D446" s="187"/>
      <c r="E446" s="188"/>
    </row>
    <row r="447">
      <c r="D447" s="187"/>
      <c r="E447" s="188"/>
    </row>
    <row r="448">
      <c r="D448" s="187"/>
      <c r="E448" s="188"/>
    </row>
    <row r="449">
      <c r="D449" s="187"/>
      <c r="E449" s="188"/>
    </row>
    <row r="450">
      <c r="D450" s="187"/>
      <c r="E450" s="188"/>
    </row>
    <row r="451">
      <c r="D451" s="187"/>
      <c r="E451" s="188"/>
    </row>
    <row r="452">
      <c r="D452" s="187"/>
      <c r="E452" s="188"/>
    </row>
    <row r="453">
      <c r="D453" s="187"/>
      <c r="E453" s="188"/>
    </row>
    <row r="454">
      <c r="D454" s="187"/>
      <c r="E454" s="188"/>
    </row>
    <row r="455">
      <c r="D455" s="187"/>
      <c r="E455" s="188"/>
    </row>
    <row r="456">
      <c r="D456" s="187"/>
      <c r="E456" s="188"/>
    </row>
    <row r="457">
      <c r="D457" s="187"/>
      <c r="E457" s="188"/>
    </row>
    <row r="458">
      <c r="D458" s="187"/>
      <c r="E458" s="188"/>
    </row>
    <row r="459">
      <c r="D459" s="187"/>
      <c r="E459" s="188"/>
    </row>
    <row r="460">
      <c r="D460" s="187"/>
      <c r="E460" s="188"/>
    </row>
    <row r="461">
      <c r="D461" s="187"/>
      <c r="E461" s="188"/>
    </row>
    <row r="462">
      <c r="D462" s="187"/>
      <c r="E462" s="188"/>
    </row>
    <row r="463">
      <c r="D463" s="187"/>
      <c r="E463" s="188"/>
    </row>
    <row r="464">
      <c r="D464" s="187"/>
      <c r="E464" s="188"/>
    </row>
    <row r="465">
      <c r="D465" s="187"/>
      <c r="E465" s="188"/>
    </row>
    <row r="466">
      <c r="D466" s="187"/>
      <c r="E466" s="188"/>
    </row>
    <row r="467">
      <c r="D467" s="187"/>
      <c r="E467" s="188"/>
    </row>
    <row r="468">
      <c r="D468" s="187"/>
      <c r="E468" s="188"/>
    </row>
    <row r="469">
      <c r="D469" s="187"/>
      <c r="E469" s="188"/>
    </row>
    <row r="470">
      <c r="D470" s="187"/>
      <c r="E470" s="188"/>
    </row>
    <row r="471">
      <c r="D471" s="187"/>
      <c r="E471" s="188"/>
    </row>
    <row r="472">
      <c r="D472" s="187"/>
      <c r="E472" s="188"/>
    </row>
    <row r="473">
      <c r="D473" s="187"/>
      <c r="E473" s="188"/>
    </row>
    <row r="474">
      <c r="D474" s="187"/>
      <c r="E474" s="188"/>
    </row>
    <row r="475">
      <c r="D475" s="187"/>
      <c r="E475" s="188"/>
    </row>
    <row r="476">
      <c r="D476" s="187"/>
      <c r="E476" s="188"/>
    </row>
    <row r="477">
      <c r="D477" s="187"/>
      <c r="E477" s="188"/>
    </row>
    <row r="478">
      <c r="D478" s="187"/>
      <c r="E478" s="188"/>
    </row>
    <row r="479">
      <c r="D479" s="187"/>
      <c r="E479" s="188"/>
    </row>
    <row r="480">
      <c r="D480" s="187"/>
      <c r="E480" s="188"/>
    </row>
    <row r="481">
      <c r="D481" s="187"/>
      <c r="E481" s="188"/>
    </row>
    <row r="482">
      <c r="D482" s="187"/>
      <c r="E482" s="188"/>
    </row>
    <row r="483">
      <c r="D483" s="187"/>
      <c r="E483" s="188"/>
    </row>
    <row r="484">
      <c r="D484" s="187"/>
      <c r="E484" s="188"/>
    </row>
    <row r="485">
      <c r="D485" s="187"/>
      <c r="E485" s="188"/>
    </row>
    <row r="486">
      <c r="D486" s="187"/>
      <c r="E486" s="188"/>
    </row>
    <row r="487">
      <c r="D487" s="187"/>
      <c r="E487" s="188"/>
    </row>
    <row r="488">
      <c r="D488" s="187"/>
      <c r="E488" s="188"/>
    </row>
    <row r="489">
      <c r="D489" s="187"/>
      <c r="E489" s="188"/>
    </row>
    <row r="490">
      <c r="D490" s="187"/>
      <c r="E490" s="188"/>
    </row>
    <row r="491">
      <c r="D491" s="187"/>
      <c r="E491" s="188"/>
    </row>
    <row r="492">
      <c r="D492" s="187"/>
      <c r="E492" s="188"/>
    </row>
    <row r="493">
      <c r="D493" s="187"/>
      <c r="E493" s="188"/>
    </row>
    <row r="494">
      <c r="D494" s="187"/>
      <c r="E494" s="188"/>
    </row>
    <row r="495">
      <c r="D495" s="187"/>
      <c r="E495" s="188"/>
    </row>
    <row r="496">
      <c r="D496" s="187"/>
      <c r="E496" s="188"/>
    </row>
    <row r="497">
      <c r="D497" s="187"/>
      <c r="E497" s="188"/>
    </row>
    <row r="498">
      <c r="D498" s="187"/>
      <c r="E498" s="188"/>
    </row>
    <row r="499">
      <c r="D499" s="187"/>
      <c r="E499" s="188"/>
    </row>
    <row r="500">
      <c r="D500" s="187"/>
      <c r="E500" s="188"/>
    </row>
    <row r="501">
      <c r="D501" s="187"/>
      <c r="E501" s="188"/>
    </row>
    <row r="502">
      <c r="D502" s="187"/>
      <c r="E502" s="188"/>
    </row>
    <row r="503">
      <c r="D503" s="187"/>
      <c r="E503" s="188"/>
    </row>
    <row r="504">
      <c r="D504" s="187"/>
      <c r="E504" s="188"/>
    </row>
    <row r="505">
      <c r="D505" s="187"/>
      <c r="E505" s="188"/>
    </row>
    <row r="506">
      <c r="D506" s="187"/>
      <c r="E506" s="188"/>
    </row>
    <row r="507">
      <c r="D507" s="187"/>
      <c r="E507" s="188"/>
    </row>
    <row r="508">
      <c r="D508" s="187"/>
      <c r="E508" s="188"/>
    </row>
    <row r="509">
      <c r="D509" s="187"/>
      <c r="E509" s="188"/>
    </row>
    <row r="510">
      <c r="D510" s="187"/>
      <c r="E510" s="188"/>
    </row>
    <row r="511">
      <c r="D511" s="187"/>
      <c r="E511" s="188"/>
    </row>
    <row r="512">
      <c r="D512" s="187"/>
      <c r="E512" s="188"/>
    </row>
    <row r="513">
      <c r="D513" s="187"/>
      <c r="E513" s="188"/>
    </row>
    <row r="514">
      <c r="D514" s="187"/>
      <c r="E514" s="188"/>
    </row>
    <row r="515">
      <c r="D515" s="187"/>
      <c r="E515" s="188"/>
    </row>
    <row r="516">
      <c r="D516" s="187"/>
      <c r="E516" s="188"/>
    </row>
    <row r="517">
      <c r="D517" s="187"/>
      <c r="E517" s="188"/>
    </row>
    <row r="518">
      <c r="D518" s="187"/>
      <c r="E518" s="188"/>
    </row>
    <row r="519">
      <c r="D519" s="187"/>
      <c r="E519" s="188"/>
    </row>
    <row r="520">
      <c r="D520" s="187"/>
      <c r="E520" s="188"/>
    </row>
    <row r="521">
      <c r="D521" s="187"/>
      <c r="E521" s="188"/>
    </row>
    <row r="522">
      <c r="D522" s="187"/>
      <c r="E522" s="188"/>
    </row>
    <row r="523">
      <c r="D523" s="187"/>
      <c r="E523" s="188"/>
    </row>
    <row r="524">
      <c r="D524" s="187"/>
      <c r="E524" s="188"/>
    </row>
    <row r="525">
      <c r="D525" s="187"/>
      <c r="E525" s="188"/>
    </row>
    <row r="526">
      <c r="D526" s="187"/>
      <c r="E526" s="188"/>
    </row>
    <row r="527">
      <c r="D527" s="187"/>
      <c r="E527" s="188"/>
    </row>
    <row r="528">
      <c r="D528" s="187"/>
      <c r="E528" s="188"/>
    </row>
    <row r="529">
      <c r="D529" s="187"/>
      <c r="E529" s="188"/>
    </row>
    <row r="530">
      <c r="D530" s="187"/>
      <c r="E530" s="188"/>
    </row>
    <row r="531">
      <c r="D531" s="187"/>
      <c r="E531" s="188"/>
    </row>
    <row r="532">
      <c r="D532" s="187"/>
      <c r="E532" s="188"/>
    </row>
    <row r="533">
      <c r="D533" s="187"/>
      <c r="E533" s="188"/>
    </row>
    <row r="534">
      <c r="D534" s="187"/>
      <c r="E534" s="188"/>
    </row>
    <row r="535">
      <c r="D535" s="187"/>
      <c r="E535" s="188"/>
    </row>
    <row r="536">
      <c r="D536" s="187"/>
      <c r="E536" s="188"/>
    </row>
    <row r="537">
      <c r="D537" s="187"/>
      <c r="E537" s="188"/>
    </row>
    <row r="538">
      <c r="D538" s="187"/>
      <c r="E538" s="188"/>
    </row>
    <row r="539">
      <c r="D539" s="187"/>
      <c r="E539" s="188"/>
    </row>
    <row r="540">
      <c r="D540" s="187"/>
      <c r="E540" s="188"/>
    </row>
    <row r="541">
      <c r="D541" s="187"/>
      <c r="E541" s="188"/>
    </row>
    <row r="542">
      <c r="D542" s="187"/>
      <c r="E542" s="188"/>
    </row>
    <row r="543">
      <c r="D543" s="187"/>
      <c r="E543" s="188"/>
    </row>
    <row r="544">
      <c r="D544" s="187"/>
      <c r="E544" s="188"/>
    </row>
    <row r="545">
      <c r="D545" s="187"/>
      <c r="E545" s="188"/>
    </row>
    <row r="546">
      <c r="D546" s="187"/>
      <c r="E546" s="188"/>
    </row>
    <row r="547">
      <c r="D547" s="187"/>
      <c r="E547" s="188"/>
    </row>
    <row r="548">
      <c r="D548" s="187"/>
      <c r="E548" s="188"/>
    </row>
    <row r="549">
      <c r="D549" s="187"/>
      <c r="E549" s="188"/>
    </row>
    <row r="550">
      <c r="D550" s="187"/>
      <c r="E550" s="188"/>
    </row>
    <row r="551">
      <c r="D551" s="187"/>
      <c r="E551" s="188"/>
    </row>
    <row r="552">
      <c r="D552" s="187"/>
      <c r="E552" s="188"/>
    </row>
    <row r="553">
      <c r="D553" s="187"/>
      <c r="E553" s="188"/>
    </row>
    <row r="554">
      <c r="D554" s="187"/>
      <c r="E554" s="188"/>
    </row>
    <row r="555">
      <c r="D555" s="187"/>
      <c r="E555" s="188"/>
    </row>
    <row r="556">
      <c r="D556" s="187"/>
      <c r="E556" s="188"/>
    </row>
    <row r="557">
      <c r="D557" s="187"/>
      <c r="E557" s="188"/>
    </row>
    <row r="558">
      <c r="D558" s="187"/>
      <c r="E558" s="188"/>
    </row>
    <row r="559">
      <c r="D559" s="187"/>
      <c r="E559" s="188"/>
    </row>
    <row r="560">
      <c r="D560" s="187"/>
      <c r="E560" s="188"/>
    </row>
    <row r="561">
      <c r="D561" s="187"/>
      <c r="E561" s="188"/>
    </row>
    <row r="562">
      <c r="D562" s="187"/>
      <c r="E562" s="188"/>
    </row>
    <row r="563">
      <c r="D563" s="187"/>
      <c r="E563" s="188"/>
    </row>
    <row r="564">
      <c r="D564" s="187"/>
      <c r="E564" s="188"/>
    </row>
    <row r="565">
      <c r="D565" s="187"/>
      <c r="E565" s="188"/>
    </row>
    <row r="566">
      <c r="D566" s="187"/>
      <c r="E566" s="188"/>
    </row>
    <row r="567">
      <c r="D567" s="187"/>
      <c r="E567" s="188"/>
    </row>
    <row r="568">
      <c r="D568" s="187"/>
      <c r="E568" s="188"/>
    </row>
    <row r="569">
      <c r="D569" s="187"/>
      <c r="E569" s="188"/>
    </row>
    <row r="570">
      <c r="D570" s="187"/>
      <c r="E570" s="188"/>
    </row>
    <row r="571">
      <c r="D571" s="187"/>
      <c r="E571" s="188"/>
    </row>
    <row r="572">
      <c r="D572" s="187"/>
      <c r="E572" s="188"/>
    </row>
    <row r="573">
      <c r="D573" s="187"/>
      <c r="E573" s="188"/>
    </row>
    <row r="574">
      <c r="D574" s="187"/>
      <c r="E574" s="188"/>
    </row>
    <row r="575">
      <c r="D575" s="187"/>
      <c r="E575" s="188"/>
    </row>
    <row r="576">
      <c r="D576" s="187"/>
      <c r="E576" s="188"/>
    </row>
    <row r="577">
      <c r="D577" s="187"/>
      <c r="E577" s="188"/>
    </row>
    <row r="578">
      <c r="D578" s="187"/>
      <c r="E578" s="188"/>
    </row>
    <row r="579">
      <c r="D579" s="187"/>
      <c r="E579" s="188"/>
    </row>
    <row r="580">
      <c r="D580" s="187"/>
      <c r="E580" s="188"/>
    </row>
    <row r="581">
      <c r="D581" s="187"/>
      <c r="E581" s="188"/>
    </row>
    <row r="582">
      <c r="D582" s="187"/>
      <c r="E582" s="188"/>
    </row>
    <row r="583">
      <c r="D583" s="187"/>
      <c r="E583" s="188"/>
    </row>
    <row r="584">
      <c r="D584" s="187"/>
      <c r="E584" s="188"/>
    </row>
    <row r="585">
      <c r="D585" s="187"/>
      <c r="E585" s="188"/>
    </row>
    <row r="586">
      <c r="D586" s="187"/>
      <c r="E586" s="188"/>
    </row>
    <row r="587">
      <c r="D587" s="187"/>
      <c r="E587" s="188"/>
    </row>
    <row r="588">
      <c r="D588" s="187"/>
      <c r="E588" s="188"/>
    </row>
    <row r="589">
      <c r="D589" s="187"/>
      <c r="E589" s="188"/>
    </row>
    <row r="590">
      <c r="D590" s="187"/>
      <c r="E590" s="188"/>
    </row>
    <row r="591">
      <c r="D591" s="187"/>
      <c r="E591" s="188"/>
    </row>
    <row r="592">
      <c r="D592" s="187"/>
      <c r="E592" s="188"/>
    </row>
    <row r="593">
      <c r="D593" s="187"/>
      <c r="E593" s="188"/>
    </row>
    <row r="594">
      <c r="D594" s="187"/>
      <c r="E594" s="188"/>
    </row>
    <row r="595">
      <c r="D595" s="187"/>
      <c r="E595" s="188"/>
    </row>
    <row r="596">
      <c r="D596" s="187"/>
      <c r="E596" s="188"/>
    </row>
    <row r="597">
      <c r="D597" s="187"/>
      <c r="E597" s="188"/>
    </row>
    <row r="598">
      <c r="D598" s="187"/>
      <c r="E598" s="188"/>
    </row>
    <row r="599">
      <c r="D599" s="187"/>
      <c r="E599" s="188"/>
    </row>
    <row r="600">
      <c r="D600" s="187"/>
      <c r="E600" s="188"/>
    </row>
    <row r="601">
      <c r="D601" s="187"/>
      <c r="E601" s="188"/>
    </row>
    <row r="602">
      <c r="D602" s="187"/>
      <c r="E602" s="188"/>
    </row>
    <row r="603">
      <c r="D603" s="187"/>
      <c r="E603" s="188"/>
    </row>
    <row r="604">
      <c r="D604" s="187"/>
      <c r="E604" s="188"/>
    </row>
    <row r="605">
      <c r="D605" s="187"/>
      <c r="E605" s="188"/>
    </row>
    <row r="606">
      <c r="D606" s="187"/>
      <c r="E606" s="188"/>
    </row>
    <row r="607">
      <c r="D607" s="187"/>
      <c r="E607" s="188"/>
    </row>
    <row r="608">
      <c r="D608" s="187"/>
      <c r="E608" s="188"/>
    </row>
    <row r="609">
      <c r="D609" s="187"/>
      <c r="E609" s="188"/>
    </row>
    <row r="610">
      <c r="D610" s="187"/>
      <c r="E610" s="188"/>
    </row>
    <row r="611">
      <c r="D611" s="187"/>
      <c r="E611" s="188"/>
    </row>
    <row r="612">
      <c r="D612" s="187"/>
      <c r="E612" s="188"/>
    </row>
    <row r="613">
      <c r="D613" s="187"/>
      <c r="E613" s="188"/>
    </row>
    <row r="614">
      <c r="D614" s="187"/>
      <c r="E614" s="188"/>
    </row>
    <row r="615">
      <c r="D615" s="187"/>
      <c r="E615" s="188"/>
    </row>
    <row r="616">
      <c r="D616" s="187"/>
      <c r="E616" s="188"/>
    </row>
    <row r="617">
      <c r="D617" s="187"/>
      <c r="E617" s="188"/>
    </row>
    <row r="618">
      <c r="D618" s="187"/>
      <c r="E618" s="188"/>
    </row>
    <row r="619">
      <c r="D619" s="187"/>
      <c r="E619" s="188"/>
    </row>
    <row r="620">
      <c r="D620" s="187"/>
      <c r="E620" s="188"/>
    </row>
    <row r="621">
      <c r="D621" s="187"/>
      <c r="E621" s="188"/>
    </row>
    <row r="622">
      <c r="D622" s="187"/>
      <c r="E622" s="188"/>
    </row>
    <row r="623">
      <c r="D623" s="187"/>
      <c r="E623" s="188"/>
    </row>
    <row r="624">
      <c r="D624" s="187"/>
      <c r="E624" s="188"/>
    </row>
    <row r="625">
      <c r="D625" s="187"/>
      <c r="E625" s="188"/>
    </row>
    <row r="626">
      <c r="D626" s="187"/>
      <c r="E626" s="188"/>
    </row>
    <row r="627">
      <c r="D627" s="187"/>
      <c r="E627" s="188"/>
    </row>
    <row r="628">
      <c r="D628" s="187"/>
      <c r="E628" s="188"/>
    </row>
    <row r="629">
      <c r="D629" s="187"/>
      <c r="E629" s="188"/>
    </row>
    <row r="630">
      <c r="D630" s="187"/>
      <c r="E630" s="188"/>
    </row>
    <row r="631">
      <c r="D631" s="187"/>
      <c r="E631" s="188"/>
    </row>
    <row r="632">
      <c r="D632" s="187"/>
      <c r="E632" s="188"/>
    </row>
    <row r="633">
      <c r="D633" s="187"/>
      <c r="E633" s="188"/>
    </row>
    <row r="634">
      <c r="D634" s="187"/>
      <c r="E634" s="188"/>
    </row>
    <row r="635">
      <c r="D635" s="187"/>
      <c r="E635" s="188"/>
    </row>
    <row r="636">
      <c r="D636" s="187"/>
      <c r="E636" s="188"/>
    </row>
    <row r="637">
      <c r="D637" s="187"/>
      <c r="E637" s="188"/>
    </row>
    <row r="638">
      <c r="D638" s="187"/>
      <c r="E638" s="188"/>
    </row>
    <row r="639">
      <c r="D639" s="187"/>
      <c r="E639" s="188"/>
    </row>
    <row r="640">
      <c r="D640" s="187"/>
      <c r="E640" s="188"/>
    </row>
    <row r="641">
      <c r="D641" s="187"/>
      <c r="E641" s="188"/>
    </row>
    <row r="642">
      <c r="D642" s="187"/>
      <c r="E642" s="188"/>
    </row>
    <row r="643">
      <c r="D643" s="187"/>
      <c r="E643" s="188"/>
    </row>
    <row r="644">
      <c r="D644" s="187"/>
      <c r="E644" s="188"/>
    </row>
    <row r="645">
      <c r="D645" s="187"/>
      <c r="E645" s="188"/>
    </row>
    <row r="646">
      <c r="D646" s="187"/>
      <c r="E646" s="188"/>
    </row>
    <row r="647">
      <c r="D647" s="187"/>
      <c r="E647" s="188"/>
    </row>
    <row r="648">
      <c r="D648" s="187"/>
      <c r="E648" s="188"/>
    </row>
    <row r="649">
      <c r="D649" s="187"/>
      <c r="E649" s="188"/>
    </row>
    <row r="650">
      <c r="D650" s="187"/>
      <c r="E650" s="188"/>
    </row>
    <row r="651">
      <c r="D651" s="187"/>
      <c r="E651" s="188"/>
    </row>
    <row r="652">
      <c r="D652" s="187"/>
      <c r="E652" s="188"/>
    </row>
    <row r="653">
      <c r="D653" s="187"/>
      <c r="E653" s="188"/>
    </row>
    <row r="654">
      <c r="D654" s="187"/>
      <c r="E654" s="188"/>
    </row>
    <row r="655">
      <c r="D655" s="187"/>
      <c r="E655" s="188"/>
    </row>
    <row r="656">
      <c r="D656" s="187"/>
      <c r="E656" s="188"/>
    </row>
    <row r="657">
      <c r="D657" s="187"/>
      <c r="E657" s="188"/>
    </row>
    <row r="658">
      <c r="D658" s="187"/>
      <c r="E658" s="188"/>
    </row>
    <row r="659">
      <c r="D659" s="187"/>
      <c r="E659" s="188"/>
    </row>
    <row r="660">
      <c r="D660" s="187"/>
      <c r="E660" s="188"/>
    </row>
    <row r="661">
      <c r="D661" s="187"/>
      <c r="E661" s="188"/>
    </row>
    <row r="662">
      <c r="D662" s="187"/>
      <c r="E662" s="188"/>
    </row>
    <row r="663">
      <c r="D663" s="187"/>
      <c r="E663" s="188"/>
    </row>
    <row r="664">
      <c r="D664" s="187"/>
      <c r="E664" s="188"/>
    </row>
    <row r="665">
      <c r="D665" s="187"/>
      <c r="E665" s="188"/>
    </row>
    <row r="666">
      <c r="D666" s="187"/>
      <c r="E666" s="188"/>
    </row>
    <row r="667">
      <c r="D667" s="187"/>
      <c r="E667" s="188"/>
    </row>
    <row r="668">
      <c r="D668" s="187"/>
      <c r="E668" s="188"/>
    </row>
    <row r="669">
      <c r="D669" s="187"/>
      <c r="E669" s="188"/>
    </row>
    <row r="670">
      <c r="D670" s="187"/>
      <c r="E670" s="188"/>
    </row>
    <row r="671">
      <c r="D671" s="187"/>
      <c r="E671" s="188"/>
    </row>
    <row r="672">
      <c r="D672" s="187"/>
      <c r="E672" s="188"/>
    </row>
    <row r="673">
      <c r="D673" s="187"/>
      <c r="E673" s="188"/>
    </row>
    <row r="674">
      <c r="D674" s="187"/>
      <c r="E674" s="188"/>
    </row>
    <row r="675">
      <c r="D675" s="187"/>
      <c r="E675" s="188"/>
    </row>
    <row r="676">
      <c r="D676" s="187"/>
      <c r="E676" s="188"/>
    </row>
    <row r="677">
      <c r="D677" s="187"/>
      <c r="E677" s="188"/>
    </row>
    <row r="678">
      <c r="D678" s="187"/>
      <c r="E678" s="188"/>
    </row>
    <row r="679">
      <c r="D679" s="187"/>
      <c r="E679" s="188"/>
    </row>
    <row r="680">
      <c r="D680" s="187"/>
      <c r="E680" s="188"/>
    </row>
    <row r="681">
      <c r="D681" s="187"/>
      <c r="E681" s="188"/>
    </row>
    <row r="682">
      <c r="D682" s="187"/>
      <c r="E682" s="188"/>
    </row>
    <row r="683">
      <c r="D683" s="187"/>
      <c r="E683" s="188"/>
    </row>
    <row r="684">
      <c r="D684" s="187"/>
      <c r="E684" s="188"/>
    </row>
    <row r="685">
      <c r="D685" s="187"/>
      <c r="E685" s="188"/>
    </row>
    <row r="686">
      <c r="D686" s="187"/>
      <c r="E686" s="188"/>
    </row>
    <row r="687">
      <c r="D687" s="187"/>
      <c r="E687" s="188"/>
    </row>
    <row r="688">
      <c r="D688" s="187"/>
      <c r="E688" s="188"/>
    </row>
    <row r="689">
      <c r="D689" s="187"/>
      <c r="E689" s="188"/>
    </row>
    <row r="690">
      <c r="D690" s="187"/>
      <c r="E690" s="188"/>
    </row>
    <row r="691">
      <c r="D691" s="187"/>
      <c r="E691" s="188"/>
    </row>
    <row r="692">
      <c r="D692" s="187"/>
      <c r="E692" s="188"/>
    </row>
    <row r="693">
      <c r="D693" s="187"/>
      <c r="E693" s="188"/>
    </row>
    <row r="694">
      <c r="D694" s="187"/>
      <c r="E694" s="188"/>
    </row>
    <row r="695">
      <c r="D695" s="187"/>
      <c r="E695" s="188"/>
    </row>
    <row r="696">
      <c r="D696" s="187"/>
      <c r="E696" s="188"/>
    </row>
    <row r="697">
      <c r="D697" s="187"/>
      <c r="E697" s="188"/>
    </row>
    <row r="698">
      <c r="D698" s="187"/>
      <c r="E698" s="188"/>
    </row>
    <row r="699">
      <c r="D699" s="187"/>
      <c r="E699" s="188"/>
    </row>
    <row r="700">
      <c r="D700" s="187"/>
      <c r="E700" s="188"/>
    </row>
    <row r="701">
      <c r="D701" s="187"/>
      <c r="E701" s="188"/>
    </row>
    <row r="702">
      <c r="D702" s="187"/>
      <c r="E702" s="188"/>
    </row>
    <row r="703">
      <c r="D703" s="187"/>
      <c r="E703" s="188"/>
    </row>
    <row r="704">
      <c r="D704" s="187"/>
      <c r="E704" s="188"/>
    </row>
    <row r="705">
      <c r="D705" s="187"/>
      <c r="E705" s="188"/>
    </row>
    <row r="706">
      <c r="D706" s="187"/>
      <c r="E706" s="188"/>
    </row>
    <row r="707">
      <c r="D707" s="187"/>
      <c r="E707" s="188"/>
    </row>
    <row r="708">
      <c r="D708" s="187"/>
      <c r="E708" s="188"/>
    </row>
    <row r="709">
      <c r="D709" s="187"/>
      <c r="E709" s="188"/>
    </row>
    <row r="710">
      <c r="D710" s="187"/>
      <c r="E710" s="188"/>
    </row>
    <row r="711">
      <c r="D711" s="187"/>
      <c r="E711" s="188"/>
    </row>
    <row r="712">
      <c r="D712" s="187"/>
      <c r="E712" s="188"/>
    </row>
    <row r="713">
      <c r="D713" s="187"/>
      <c r="E713" s="188"/>
    </row>
    <row r="714">
      <c r="D714" s="187"/>
      <c r="E714" s="188"/>
    </row>
    <row r="715">
      <c r="D715" s="187"/>
      <c r="E715" s="188"/>
    </row>
    <row r="716">
      <c r="D716" s="187"/>
      <c r="E716" s="188"/>
    </row>
    <row r="717">
      <c r="D717" s="187"/>
      <c r="E717" s="188"/>
    </row>
    <row r="718">
      <c r="D718" s="187"/>
      <c r="E718" s="188"/>
    </row>
    <row r="719">
      <c r="D719" s="187"/>
      <c r="E719" s="188"/>
    </row>
    <row r="720">
      <c r="D720" s="187"/>
      <c r="E720" s="188"/>
    </row>
    <row r="721">
      <c r="D721" s="187"/>
      <c r="E721" s="188"/>
    </row>
    <row r="722">
      <c r="D722" s="187"/>
      <c r="E722" s="188"/>
    </row>
    <row r="723">
      <c r="D723" s="187"/>
      <c r="E723" s="188"/>
    </row>
    <row r="724">
      <c r="D724" s="187"/>
      <c r="E724" s="188"/>
    </row>
    <row r="725">
      <c r="D725" s="187"/>
      <c r="E725" s="188"/>
    </row>
    <row r="726">
      <c r="D726" s="187"/>
      <c r="E726" s="188"/>
    </row>
    <row r="727">
      <c r="D727" s="187"/>
      <c r="E727" s="188"/>
    </row>
    <row r="728">
      <c r="D728" s="187"/>
      <c r="E728" s="188"/>
    </row>
    <row r="729">
      <c r="D729" s="187"/>
      <c r="E729" s="188"/>
    </row>
    <row r="730">
      <c r="D730" s="187"/>
      <c r="E730" s="188"/>
    </row>
    <row r="731">
      <c r="D731" s="187"/>
      <c r="E731" s="188"/>
    </row>
    <row r="732">
      <c r="D732" s="187"/>
      <c r="E732" s="188"/>
    </row>
    <row r="733">
      <c r="D733" s="187"/>
      <c r="E733" s="188"/>
    </row>
    <row r="734">
      <c r="D734" s="187"/>
      <c r="E734" s="188"/>
    </row>
    <row r="735">
      <c r="D735" s="187"/>
      <c r="E735" s="188"/>
    </row>
    <row r="736">
      <c r="D736" s="187"/>
      <c r="E736" s="188"/>
    </row>
    <row r="737">
      <c r="D737" s="187"/>
      <c r="E737" s="188"/>
    </row>
    <row r="738">
      <c r="D738" s="187"/>
      <c r="E738" s="188"/>
    </row>
    <row r="739">
      <c r="D739" s="187"/>
      <c r="E739" s="188"/>
    </row>
    <row r="740">
      <c r="D740" s="187"/>
      <c r="E740" s="188"/>
    </row>
    <row r="741">
      <c r="D741" s="187"/>
      <c r="E741" s="188"/>
    </row>
    <row r="742">
      <c r="D742" s="187"/>
      <c r="E742" s="188"/>
    </row>
    <row r="743">
      <c r="D743" s="187"/>
      <c r="E743" s="188"/>
    </row>
    <row r="744">
      <c r="D744" s="187"/>
      <c r="E744" s="188"/>
    </row>
    <row r="745">
      <c r="D745" s="187"/>
      <c r="E745" s="188"/>
    </row>
    <row r="746">
      <c r="D746" s="187"/>
      <c r="E746" s="188"/>
    </row>
    <row r="747">
      <c r="D747" s="187"/>
      <c r="E747" s="188"/>
    </row>
    <row r="748">
      <c r="D748" s="187"/>
      <c r="E748" s="188"/>
    </row>
    <row r="749">
      <c r="D749" s="187"/>
      <c r="E749" s="188"/>
    </row>
    <row r="750">
      <c r="D750" s="187"/>
      <c r="E750" s="188"/>
    </row>
    <row r="751">
      <c r="D751" s="187"/>
      <c r="E751" s="188"/>
    </row>
    <row r="752">
      <c r="D752" s="187"/>
      <c r="E752" s="188"/>
    </row>
    <row r="753">
      <c r="D753" s="187"/>
      <c r="E753" s="188"/>
    </row>
    <row r="754">
      <c r="D754" s="187"/>
      <c r="E754" s="188"/>
    </row>
    <row r="755">
      <c r="D755" s="187"/>
      <c r="E755" s="188"/>
    </row>
    <row r="756">
      <c r="D756" s="187"/>
      <c r="E756" s="188"/>
    </row>
    <row r="757">
      <c r="D757" s="187"/>
      <c r="E757" s="188"/>
    </row>
    <row r="758">
      <c r="D758" s="187"/>
      <c r="E758" s="188"/>
    </row>
    <row r="759">
      <c r="D759" s="187"/>
      <c r="E759" s="188"/>
    </row>
    <row r="760">
      <c r="D760" s="187"/>
      <c r="E760" s="188"/>
    </row>
    <row r="761">
      <c r="D761" s="187"/>
      <c r="E761" s="188"/>
    </row>
    <row r="762">
      <c r="D762" s="187"/>
      <c r="E762" s="188"/>
    </row>
    <row r="763">
      <c r="D763" s="187"/>
      <c r="E763" s="188"/>
    </row>
    <row r="764">
      <c r="D764" s="187"/>
      <c r="E764" s="188"/>
    </row>
    <row r="765">
      <c r="D765" s="187"/>
      <c r="E765" s="188"/>
    </row>
    <row r="766">
      <c r="D766" s="187"/>
      <c r="E766" s="188"/>
    </row>
    <row r="767">
      <c r="D767" s="187"/>
      <c r="E767" s="188"/>
    </row>
    <row r="768">
      <c r="D768" s="187"/>
      <c r="E768" s="188"/>
    </row>
    <row r="769">
      <c r="D769" s="187"/>
      <c r="E769" s="188"/>
    </row>
    <row r="770">
      <c r="D770" s="187"/>
      <c r="E770" s="188"/>
    </row>
    <row r="771">
      <c r="D771" s="187"/>
      <c r="E771" s="188"/>
    </row>
    <row r="772">
      <c r="D772" s="187"/>
      <c r="E772" s="188"/>
    </row>
    <row r="773">
      <c r="D773" s="187"/>
      <c r="E773" s="188"/>
    </row>
    <row r="774">
      <c r="D774" s="187"/>
      <c r="E774" s="188"/>
    </row>
    <row r="775">
      <c r="D775" s="187"/>
      <c r="E775" s="188"/>
    </row>
    <row r="776">
      <c r="D776" s="187"/>
      <c r="E776" s="188"/>
    </row>
    <row r="777">
      <c r="D777" s="187"/>
      <c r="E777" s="188"/>
    </row>
    <row r="778">
      <c r="D778" s="187"/>
      <c r="E778" s="188"/>
    </row>
    <row r="779">
      <c r="D779" s="187"/>
      <c r="E779" s="188"/>
    </row>
    <row r="780">
      <c r="D780" s="187"/>
      <c r="E780" s="188"/>
    </row>
    <row r="781">
      <c r="D781" s="187"/>
      <c r="E781" s="188"/>
    </row>
    <row r="782">
      <c r="D782" s="187"/>
      <c r="E782" s="188"/>
    </row>
    <row r="783">
      <c r="D783" s="187"/>
      <c r="E783" s="188"/>
    </row>
    <row r="784">
      <c r="D784" s="187"/>
      <c r="E784" s="188"/>
    </row>
    <row r="785">
      <c r="D785" s="187"/>
      <c r="E785" s="188"/>
    </row>
    <row r="786">
      <c r="D786" s="187"/>
      <c r="E786" s="188"/>
    </row>
    <row r="787">
      <c r="D787" s="187"/>
      <c r="E787" s="188"/>
    </row>
    <row r="788">
      <c r="D788" s="187"/>
      <c r="E788" s="188"/>
    </row>
    <row r="789">
      <c r="D789" s="187"/>
      <c r="E789" s="188"/>
    </row>
    <row r="790">
      <c r="D790" s="187"/>
      <c r="E790" s="188"/>
    </row>
    <row r="791">
      <c r="D791" s="187"/>
      <c r="E791" s="188"/>
    </row>
    <row r="792">
      <c r="D792" s="187"/>
      <c r="E792" s="188"/>
    </row>
    <row r="793">
      <c r="D793" s="187"/>
      <c r="E793" s="188"/>
    </row>
    <row r="794">
      <c r="D794" s="187"/>
      <c r="E794" s="188"/>
    </row>
    <row r="795">
      <c r="D795" s="187"/>
      <c r="E795" s="188"/>
    </row>
    <row r="796">
      <c r="D796" s="187"/>
      <c r="E796" s="188"/>
    </row>
    <row r="797">
      <c r="D797" s="187"/>
      <c r="E797" s="188"/>
    </row>
    <row r="798">
      <c r="D798" s="187"/>
      <c r="E798" s="188"/>
    </row>
    <row r="799">
      <c r="D799" s="187"/>
      <c r="E799" s="188"/>
    </row>
    <row r="800">
      <c r="D800" s="187"/>
      <c r="E800" s="188"/>
    </row>
    <row r="801">
      <c r="D801" s="187"/>
      <c r="E801" s="188"/>
    </row>
    <row r="802">
      <c r="D802" s="187"/>
      <c r="E802" s="188"/>
    </row>
    <row r="803">
      <c r="D803" s="187"/>
      <c r="E803" s="188"/>
    </row>
    <row r="804">
      <c r="D804" s="187"/>
      <c r="E804" s="188"/>
    </row>
    <row r="805">
      <c r="D805" s="187"/>
      <c r="E805" s="188"/>
    </row>
    <row r="806">
      <c r="D806" s="187"/>
      <c r="E806" s="188"/>
    </row>
    <row r="807">
      <c r="D807" s="187"/>
      <c r="E807" s="188"/>
    </row>
    <row r="808">
      <c r="D808" s="187"/>
      <c r="E808" s="188"/>
    </row>
    <row r="809">
      <c r="D809" s="187"/>
      <c r="E809" s="188"/>
    </row>
    <row r="810">
      <c r="D810" s="187"/>
      <c r="E810" s="188"/>
    </row>
    <row r="811">
      <c r="D811" s="187"/>
      <c r="E811" s="188"/>
    </row>
    <row r="812">
      <c r="D812" s="187"/>
      <c r="E812" s="188"/>
    </row>
    <row r="813">
      <c r="D813" s="187"/>
      <c r="E813" s="188"/>
    </row>
    <row r="814">
      <c r="D814" s="187"/>
      <c r="E814" s="188"/>
    </row>
    <row r="815">
      <c r="D815" s="187"/>
      <c r="E815" s="188"/>
    </row>
    <row r="816">
      <c r="D816" s="187"/>
      <c r="E816" s="188"/>
    </row>
    <row r="817">
      <c r="D817" s="187"/>
      <c r="E817" s="188"/>
    </row>
    <row r="818">
      <c r="D818" s="187"/>
      <c r="E818" s="188"/>
    </row>
    <row r="819">
      <c r="D819" s="187"/>
      <c r="E819" s="188"/>
    </row>
    <row r="820">
      <c r="D820" s="187"/>
      <c r="E820" s="188"/>
    </row>
    <row r="821">
      <c r="D821" s="187"/>
      <c r="E821" s="188"/>
    </row>
    <row r="822">
      <c r="D822" s="187"/>
      <c r="E822" s="188"/>
    </row>
    <row r="823">
      <c r="D823" s="187"/>
      <c r="E823" s="188"/>
    </row>
    <row r="824">
      <c r="D824" s="187"/>
      <c r="E824" s="188"/>
    </row>
    <row r="825">
      <c r="D825" s="187"/>
      <c r="E825" s="188"/>
    </row>
    <row r="826">
      <c r="D826" s="187"/>
      <c r="E826" s="188"/>
    </row>
    <row r="827">
      <c r="D827" s="187"/>
      <c r="E827" s="188"/>
    </row>
    <row r="828">
      <c r="D828" s="187"/>
      <c r="E828" s="188"/>
    </row>
    <row r="829">
      <c r="D829" s="187"/>
      <c r="E829" s="188"/>
    </row>
    <row r="830">
      <c r="D830" s="187"/>
      <c r="E830" s="188"/>
    </row>
    <row r="831">
      <c r="D831" s="187"/>
      <c r="E831" s="188"/>
    </row>
    <row r="832">
      <c r="D832" s="187"/>
      <c r="E832" s="188"/>
    </row>
    <row r="833">
      <c r="D833" s="187"/>
      <c r="E833" s="188"/>
    </row>
    <row r="834">
      <c r="D834" s="187"/>
      <c r="E834" s="188"/>
    </row>
    <row r="835">
      <c r="D835" s="187"/>
      <c r="E835" s="188"/>
    </row>
    <row r="836">
      <c r="D836" s="187"/>
      <c r="E836" s="188"/>
    </row>
    <row r="837">
      <c r="D837" s="187"/>
      <c r="E837" s="188"/>
    </row>
    <row r="838">
      <c r="D838" s="187"/>
      <c r="E838" s="188"/>
    </row>
    <row r="839">
      <c r="D839" s="187"/>
      <c r="E839" s="188"/>
    </row>
    <row r="840">
      <c r="D840" s="187"/>
      <c r="E840" s="188"/>
    </row>
    <row r="841">
      <c r="D841" s="187"/>
      <c r="E841" s="188"/>
    </row>
    <row r="842">
      <c r="D842" s="187"/>
      <c r="E842" s="188"/>
    </row>
    <row r="843">
      <c r="D843" s="187"/>
      <c r="E843" s="188"/>
    </row>
    <row r="844">
      <c r="D844" s="187"/>
      <c r="E844" s="188"/>
    </row>
    <row r="845">
      <c r="D845" s="187"/>
      <c r="E845" s="188"/>
    </row>
    <row r="846">
      <c r="D846" s="187"/>
      <c r="E846" s="188"/>
    </row>
    <row r="847">
      <c r="D847" s="187"/>
      <c r="E847" s="188"/>
    </row>
    <row r="848">
      <c r="D848" s="187"/>
      <c r="E848" s="188"/>
    </row>
    <row r="849">
      <c r="D849" s="187"/>
      <c r="E849" s="188"/>
    </row>
    <row r="850">
      <c r="D850" s="187"/>
      <c r="E850" s="188"/>
    </row>
    <row r="851">
      <c r="D851" s="187"/>
      <c r="E851" s="188"/>
    </row>
    <row r="852">
      <c r="D852" s="187"/>
      <c r="E852" s="188"/>
    </row>
    <row r="853">
      <c r="D853" s="187"/>
      <c r="E853" s="188"/>
    </row>
    <row r="854">
      <c r="D854" s="187"/>
      <c r="E854" s="188"/>
    </row>
    <row r="855">
      <c r="D855" s="187"/>
      <c r="E855" s="188"/>
    </row>
    <row r="856">
      <c r="D856" s="187"/>
      <c r="E856" s="188"/>
    </row>
    <row r="857">
      <c r="D857" s="187"/>
      <c r="E857" s="188"/>
    </row>
    <row r="858">
      <c r="D858" s="187"/>
      <c r="E858" s="188"/>
    </row>
    <row r="859">
      <c r="D859" s="187"/>
      <c r="E859" s="188"/>
    </row>
    <row r="860">
      <c r="D860" s="187"/>
      <c r="E860" s="188"/>
    </row>
    <row r="861">
      <c r="D861" s="187"/>
      <c r="E861" s="188"/>
    </row>
    <row r="862">
      <c r="D862" s="187"/>
      <c r="E862" s="188"/>
    </row>
    <row r="863">
      <c r="D863" s="187"/>
      <c r="E863" s="188"/>
    </row>
    <row r="864">
      <c r="D864" s="187"/>
      <c r="E864" s="188"/>
    </row>
    <row r="865">
      <c r="D865" s="187"/>
      <c r="E865" s="188"/>
    </row>
    <row r="866">
      <c r="D866" s="187"/>
      <c r="E866" s="188"/>
    </row>
    <row r="867">
      <c r="D867" s="187"/>
      <c r="E867" s="188"/>
    </row>
    <row r="868">
      <c r="D868" s="187"/>
      <c r="E868" s="188"/>
    </row>
    <row r="869">
      <c r="D869" s="187"/>
      <c r="E869" s="188"/>
    </row>
    <row r="870">
      <c r="D870" s="187"/>
      <c r="E870" s="188"/>
    </row>
    <row r="871">
      <c r="D871" s="187"/>
      <c r="E871" s="188"/>
    </row>
    <row r="872">
      <c r="D872" s="187"/>
      <c r="E872" s="188"/>
    </row>
    <row r="873">
      <c r="D873" s="187"/>
      <c r="E873" s="188"/>
    </row>
    <row r="874">
      <c r="D874" s="187"/>
      <c r="E874" s="188"/>
    </row>
    <row r="875">
      <c r="D875" s="187"/>
      <c r="E875" s="188"/>
    </row>
    <row r="876">
      <c r="D876" s="187"/>
      <c r="E876" s="188"/>
    </row>
    <row r="877">
      <c r="D877" s="187"/>
      <c r="E877" s="188"/>
    </row>
    <row r="878">
      <c r="D878" s="187"/>
      <c r="E878" s="188"/>
    </row>
    <row r="879">
      <c r="D879" s="187"/>
      <c r="E879" s="188"/>
    </row>
    <row r="880">
      <c r="D880" s="187"/>
      <c r="E880" s="188"/>
    </row>
    <row r="881">
      <c r="D881" s="187"/>
      <c r="E881" s="188"/>
    </row>
    <row r="882">
      <c r="D882" s="187"/>
      <c r="E882" s="188"/>
    </row>
    <row r="883">
      <c r="D883" s="187"/>
      <c r="E883" s="188"/>
    </row>
    <row r="884">
      <c r="D884" s="187"/>
      <c r="E884" s="188"/>
    </row>
    <row r="885">
      <c r="D885" s="187"/>
      <c r="E885" s="188"/>
    </row>
    <row r="886">
      <c r="D886" s="187"/>
      <c r="E886" s="188"/>
    </row>
    <row r="887">
      <c r="D887" s="187"/>
      <c r="E887" s="188"/>
    </row>
    <row r="888">
      <c r="D888" s="187"/>
      <c r="E888" s="188"/>
    </row>
    <row r="889">
      <c r="D889" s="187"/>
      <c r="E889" s="188"/>
    </row>
    <row r="890">
      <c r="D890" s="187"/>
      <c r="E890" s="188"/>
    </row>
    <row r="891">
      <c r="D891" s="187"/>
      <c r="E891" s="188"/>
    </row>
    <row r="892">
      <c r="D892" s="187"/>
      <c r="E892" s="188"/>
    </row>
    <row r="893">
      <c r="D893" s="187"/>
      <c r="E893" s="188"/>
    </row>
    <row r="894">
      <c r="D894" s="187"/>
      <c r="E894" s="188"/>
    </row>
    <row r="895">
      <c r="D895" s="187"/>
      <c r="E895" s="188"/>
    </row>
    <row r="896">
      <c r="D896" s="187"/>
      <c r="E896" s="188"/>
    </row>
    <row r="897">
      <c r="D897" s="187"/>
      <c r="E897" s="188"/>
    </row>
    <row r="898">
      <c r="D898" s="187"/>
      <c r="E898" s="188"/>
    </row>
    <row r="899">
      <c r="D899" s="187"/>
      <c r="E899" s="188"/>
    </row>
    <row r="900">
      <c r="D900" s="187"/>
      <c r="E900" s="188"/>
    </row>
    <row r="901">
      <c r="D901" s="187"/>
      <c r="E901" s="188"/>
    </row>
    <row r="902">
      <c r="D902" s="187"/>
      <c r="E902" s="188"/>
    </row>
    <row r="903">
      <c r="D903" s="187"/>
      <c r="E903" s="188"/>
    </row>
    <row r="904">
      <c r="D904" s="187"/>
      <c r="E904" s="188"/>
    </row>
    <row r="905">
      <c r="D905" s="187"/>
      <c r="E905" s="188"/>
    </row>
    <row r="906">
      <c r="D906" s="187"/>
      <c r="E906" s="188"/>
    </row>
    <row r="907">
      <c r="D907" s="187"/>
      <c r="E907" s="188"/>
    </row>
    <row r="908">
      <c r="D908" s="187"/>
      <c r="E908" s="188"/>
    </row>
    <row r="909">
      <c r="D909" s="187"/>
      <c r="E909" s="188"/>
    </row>
    <row r="910">
      <c r="D910" s="187"/>
      <c r="E910" s="188"/>
    </row>
    <row r="911">
      <c r="D911" s="187"/>
      <c r="E911" s="188"/>
    </row>
    <row r="912">
      <c r="D912" s="187"/>
      <c r="E912" s="188"/>
    </row>
    <row r="913">
      <c r="D913" s="187"/>
      <c r="E913" s="188"/>
    </row>
    <row r="914">
      <c r="D914" s="187"/>
      <c r="E914" s="188"/>
    </row>
    <row r="915">
      <c r="D915" s="187"/>
      <c r="E915" s="188"/>
    </row>
    <row r="916">
      <c r="D916" s="187"/>
      <c r="E916" s="188"/>
    </row>
    <row r="917">
      <c r="D917" s="187"/>
      <c r="E917" s="188"/>
    </row>
    <row r="918">
      <c r="D918" s="187"/>
      <c r="E918" s="188"/>
    </row>
    <row r="919">
      <c r="D919" s="187"/>
      <c r="E919" s="188"/>
    </row>
    <row r="920">
      <c r="D920" s="187"/>
      <c r="E920" s="188"/>
    </row>
    <row r="921">
      <c r="D921" s="187"/>
      <c r="E921" s="188"/>
    </row>
    <row r="922">
      <c r="D922" s="187"/>
      <c r="E922" s="188"/>
    </row>
    <row r="923">
      <c r="D923" s="187"/>
      <c r="E923" s="188"/>
    </row>
    <row r="924">
      <c r="D924" s="187"/>
      <c r="E924" s="188"/>
    </row>
    <row r="925">
      <c r="D925" s="187"/>
      <c r="E925" s="188"/>
    </row>
    <row r="926">
      <c r="D926" s="187"/>
      <c r="E926" s="188"/>
    </row>
    <row r="927">
      <c r="D927" s="187"/>
      <c r="E927" s="188"/>
    </row>
    <row r="928">
      <c r="D928" s="187"/>
      <c r="E928" s="188"/>
    </row>
    <row r="929">
      <c r="D929" s="187"/>
      <c r="E929" s="188"/>
    </row>
    <row r="930">
      <c r="D930" s="187"/>
      <c r="E930" s="188"/>
    </row>
    <row r="931">
      <c r="D931" s="187"/>
      <c r="E931" s="188"/>
    </row>
    <row r="932">
      <c r="D932" s="187"/>
      <c r="E932" s="188"/>
    </row>
    <row r="933">
      <c r="D933" s="187"/>
      <c r="E933" s="188"/>
    </row>
    <row r="934">
      <c r="D934" s="187"/>
      <c r="E934" s="188"/>
    </row>
    <row r="935">
      <c r="D935" s="187"/>
      <c r="E935" s="188"/>
    </row>
    <row r="936">
      <c r="D936" s="187"/>
      <c r="E936" s="188"/>
    </row>
    <row r="937">
      <c r="D937" s="187"/>
      <c r="E937" s="188"/>
    </row>
    <row r="938">
      <c r="D938" s="187"/>
      <c r="E938" s="188"/>
    </row>
    <row r="939">
      <c r="D939" s="187"/>
      <c r="E939" s="188"/>
    </row>
    <row r="940">
      <c r="D940" s="187"/>
      <c r="E940" s="188"/>
    </row>
    <row r="941">
      <c r="D941" s="187"/>
      <c r="E941" s="188"/>
    </row>
    <row r="942">
      <c r="D942" s="187"/>
      <c r="E942" s="188"/>
    </row>
    <row r="943">
      <c r="D943" s="187"/>
      <c r="E943" s="188"/>
    </row>
    <row r="944">
      <c r="D944" s="187"/>
      <c r="E944" s="188"/>
    </row>
    <row r="945">
      <c r="D945" s="187"/>
      <c r="E945" s="188"/>
    </row>
    <row r="946">
      <c r="D946" s="187"/>
      <c r="E946" s="188"/>
    </row>
    <row r="947">
      <c r="D947" s="187"/>
      <c r="E947" s="188"/>
    </row>
    <row r="948">
      <c r="D948" s="187"/>
      <c r="E948" s="188"/>
    </row>
    <row r="949">
      <c r="D949" s="187"/>
      <c r="E949" s="188"/>
    </row>
    <row r="950">
      <c r="D950" s="187"/>
      <c r="E950" s="188"/>
    </row>
    <row r="951">
      <c r="D951" s="187"/>
      <c r="E951" s="188"/>
    </row>
    <row r="952">
      <c r="D952" s="187"/>
      <c r="E952" s="188"/>
    </row>
    <row r="953">
      <c r="D953" s="187"/>
      <c r="E953" s="188"/>
    </row>
    <row r="954">
      <c r="D954" s="187"/>
      <c r="E954" s="188"/>
    </row>
    <row r="955">
      <c r="D955" s="187"/>
      <c r="E955" s="188"/>
    </row>
    <row r="956">
      <c r="D956" s="187"/>
      <c r="E956" s="188"/>
    </row>
    <row r="957">
      <c r="D957" s="187"/>
      <c r="E957" s="188"/>
    </row>
    <row r="958">
      <c r="D958" s="187"/>
      <c r="E958" s="188"/>
    </row>
    <row r="959">
      <c r="D959" s="187"/>
      <c r="E959" s="188"/>
    </row>
    <row r="960">
      <c r="D960" s="187"/>
      <c r="E960" s="188"/>
    </row>
    <row r="961">
      <c r="D961" s="187"/>
      <c r="E961" s="188"/>
    </row>
    <row r="962">
      <c r="D962" s="187"/>
      <c r="E962" s="188"/>
    </row>
    <row r="963">
      <c r="D963" s="187"/>
      <c r="E963" s="188"/>
    </row>
    <row r="964">
      <c r="D964" s="187"/>
      <c r="E964" s="188"/>
    </row>
    <row r="965">
      <c r="D965" s="187"/>
      <c r="E965" s="188"/>
    </row>
    <row r="966">
      <c r="D966" s="187"/>
      <c r="E966" s="188"/>
    </row>
    <row r="967">
      <c r="D967" s="187"/>
      <c r="E967" s="188"/>
    </row>
    <row r="968">
      <c r="D968" s="187"/>
      <c r="E968" s="188"/>
    </row>
    <row r="969">
      <c r="D969" s="187"/>
      <c r="E969" s="188"/>
    </row>
    <row r="970">
      <c r="D970" s="187"/>
      <c r="E970" s="188"/>
    </row>
    <row r="971">
      <c r="D971" s="187"/>
      <c r="E971" s="188"/>
    </row>
    <row r="972">
      <c r="D972" s="187"/>
      <c r="E972" s="188"/>
    </row>
    <row r="973">
      <c r="D973" s="187"/>
      <c r="E973" s="188"/>
    </row>
    <row r="974">
      <c r="D974" s="187"/>
      <c r="E974" s="188"/>
    </row>
    <row r="975">
      <c r="D975" s="187"/>
      <c r="E975" s="188"/>
    </row>
    <row r="976">
      <c r="D976" s="187"/>
      <c r="E976" s="188"/>
    </row>
    <row r="977">
      <c r="D977" s="187"/>
      <c r="E977" s="188"/>
    </row>
    <row r="978">
      <c r="D978" s="187"/>
      <c r="E978" s="188"/>
    </row>
    <row r="979">
      <c r="D979" s="187"/>
      <c r="E979" s="188"/>
    </row>
    <row r="980">
      <c r="D980" s="187"/>
      <c r="E980" s="188"/>
    </row>
    <row r="981">
      <c r="D981" s="187"/>
      <c r="E981" s="188"/>
    </row>
    <row r="982">
      <c r="D982" s="187"/>
      <c r="E982" s="188"/>
    </row>
    <row r="983">
      <c r="D983" s="187"/>
      <c r="E983" s="188"/>
    </row>
    <row r="984">
      <c r="D984" s="187"/>
      <c r="E984" s="188"/>
    </row>
    <row r="985">
      <c r="D985" s="187"/>
      <c r="E985" s="188"/>
    </row>
    <row r="986">
      <c r="D986" s="187"/>
      <c r="E986" s="188"/>
    </row>
    <row r="987">
      <c r="D987" s="187"/>
      <c r="E987" s="188"/>
    </row>
    <row r="988">
      <c r="D988" s="187"/>
      <c r="E988" s="188"/>
    </row>
    <row r="989">
      <c r="D989" s="187"/>
      <c r="E989" s="188"/>
    </row>
    <row r="990">
      <c r="D990" s="187"/>
      <c r="E990" s="188"/>
    </row>
    <row r="991">
      <c r="D991" s="187"/>
      <c r="E991" s="188"/>
    </row>
    <row r="992">
      <c r="D992" s="187"/>
      <c r="E992" s="188"/>
    </row>
    <row r="993">
      <c r="D993" s="187"/>
      <c r="E993" s="188"/>
    </row>
    <row r="994">
      <c r="D994" s="187"/>
      <c r="E994" s="188"/>
    </row>
    <row r="995">
      <c r="D995" s="187"/>
      <c r="E995" s="188"/>
    </row>
    <row r="996">
      <c r="D996" s="187"/>
      <c r="E996" s="188"/>
    </row>
    <row r="997">
      <c r="D997" s="187"/>
      <c r="E997" s="188"/>
    </row>
    <row r="998">
      <c r="D998" s="187"/>
      <c r="E998" s="188"/>
    </row>
    <row r="999">
      <c r="D999" s="187"/>
      <c r="E999" s="188"/>
    </row>
    <row r="1000">
      <c r="D1000" s="187"/>
      <c r="E1000" s="188"/>
    </row>
    <row r="1001">
      <c r="D1001" s="187"/>
      <c r="E1001" s="188"/>
    </row>
    <row r="1002">
      <c r="D1002" s="187"/>
      <c r="E1002" s="188"/>
    </row>
    <row r="1003">
      <c r="D1003" s="187"/>
      <c r="E1003" s="188"/>
    </row>
  </sheetData>
  <mergeCells count="49">
    <mergeCell ref="C1:G1"/>
    <mergeCell ref="C6:C7"/>
    <mergeCell ref="D6:D7"/>
    <mergeCell ref="G6:G7"/>
    <mergeCell ref="C8:C9"/>
    <mergeCell ref="D8:D9"/>
    <mergeCell ref="G8:G9"/>
    <mergeCell ref="C10:C11"/>
    <mergeCell ref="D10:D11"/>
    <mergeCell ref="G10:G11"/>
    <mergeCell ref="C12:C13"/>
    <mergeCell ref="D12:D13"/>
    <mergeCell ref="C14:C15"/>
    <mergeCell ref="D14:D15"/>
    <mergeCell ref="C22:C23"/>
    <mergeCell ref="C24:C25"/>
    <mergeCell ref="C26:C27"/>
    <mergeCell ref="C28:C29"/>
    <mergeCell ref="C30:C31"/>
    <mergeCell ref="C32:C33"/>
    <mergeCell ref="C34:C35"/>
    <mergeCell ref="C36:C37"/>
    <mergeCell ref="D24:D25"/>
    <mergeCell ref="D26:D27"/>
    <mergeCell ref="D28:D29"/>
    <mergeCell ref="D30:D31"/>
    <mergeCell ref="D32:D33"/>
    <mergeCell ref="D34:D35"/>
    <mergeCell ref="D36:D37"/>
    <mergeCell ref="C16:C17"/>
    <mergeCell ref="D16:D17"/>
    <mergeCell ref="C18:C19"/>
    <mergeCell ref="D18:D19"/>
    <mergeCell ref="C20:C21"/>
    <mergeCell ref="D20:D21"/>
    <mergeCell ref="D22:D23"/>
    <mergeCell ref="G26:G27"/>
    <mergeCell ref="G28:G29"/>
    <mergeCell ref="G30:G31"/>
    <mergeCell ref="G32:G33"/>
    <mergeCell ref="G34:G35"/>
    <mergeCell ref="G36:G37"/>
    <mergeCell ref="G12:G13"/>
    <mergeCell ref="G14:G15"/>
    <mergeCell ref="G16:G17"/>
    <mergeCell ref="G18:G19"/>
    <mergeCell ref="G20:G21"/>
    <mergeCell ref="G22:G23"/>
    <mergeCell ref="G24:G25"/>
  </mergeCells>
  <dataValidations>
    <dataValidation type="custom" allowBlank="1" showDropDown="1" sqref="F2:F3">
      <formula1>OR(NOT(ISERROR(DATEVALUE(F2))), AND(ISNUMBER(F2), LEFT(CELL("format", F2))="D"))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14.5"/>
  </cols>
  <sheetData>
    <row r="1">
      <c r="C1" s="145" t="s">
        <v>437</v>
      </c>
    </row>
    <row r="2">
      <c r="C2" s="146" t="s">
        <v>426</v>
      </c>
      <c r="D2" s="147">
        <v>46030.0</v>
      </c>
      <c r="E2" s="148" t="s">
        <v>438</v>
      </c>
      <c r="F2" s="149"/>
      <c r="G2" s="149"/>
      <c r="I2" s="18" t="s">
        <v>439</v>
      </c>
      <c r="J2" s="209"/>
    </row>
    <row r="3">
      <c r="C3" s="149"/>
      <c r="D3" s="147">
        <v>46066.0</v>
      </c>
      <c r="E3" s="148" t="s">
        <v>440</v>
      </c>
      <c r="F3" s="149"/>
      <c r="G3" s="149"/>
      <c r="J3" s="209"/>
    </row>
    <row r="5">
      <c r="C5" s="151" t="s">
        <v>429</v>
      </c>
      <c r="D5" s="151" t="s">
        <v>430</v>
      </c>
      <c r="E5" s="151" t="s">
        <v>431</v>
      </c>
      <c r="F5" s="152" t="s">
        <v>432</v>
      </c>
      <c r="G5" s="151" t="s">
        <v>433</v>
      </c>
      <c r="H5" s="210" t="s">
        <v>441</v>
      </c>
    </row>
    <row r="6">
      <c r="C6" s="153">
        <v>1.0</v>
      </c>
      <c r="D6" s="154" t="s">
        <v>18</v>
      </c>
      <c r="E6" s="155">
        <f>$D$2</f>
        <v>46030</v>
      </c>
      <c r="F6" s="156">
        <f>SUMIFS('BULAN BERJALAN BANUA'!H:H,'BULAN BERJALAN BANUA'!A:A,$D$6,'BULAN BERJALAN BANUA'!D:D,"&gt;="&amp;EOMONTH(E6,-1)+1,'BULAN BERJALAN BANUA'!D:D,"&lt;="&amp;E6)</f>
        <v>900000</v>
      </c>
      <c r="G6" s="157">
        <f>IF(F6=0, 0, F7/F6)</f>
        <v>1.477777778</v>
      </c>
      <c r="H6" s="211">
        <f>abs(F6-F7)</f>
        <v>430000</v>
      </c>
      <c r="K6" s="209"/>
      <c r="L6" s="212"/>
      <c r="M6" s="158"/>
    </row>
    <row r="7">
      <c r="C7" s="7"/>
      <c r="D7" s="7"/>
      <c r="E7" s="155">
        <f>$D$3</f>
        <v>46066</v>
      </c>
      <c r="F7" s="160">
        <f>SUMIFS(
 'BULAN BERJALAN BANUA'!H:H,
 'BULAN BERJALAN BANUA'!A:A, $D$6,
 'BULAN BERJALAN BANUA'!D:D, "&gt;="&amp;EOMONTH(E7,-1)+1,
 'BULAN BERJALAN BANUA'!D:D, "&lt;="&amp;E7)</f>
        <v>1330000</v>
      </c>
      <c r="G7" s="161"/>
      <c r="K7" s="209"/>
      <c r="L7" s="212"/>
    </row>
    <row r="8">
      <c r="C8" s="153">
        <v>2.0</v>
      </c>
      <c r="D8" s="162" t="s">
        <v>19</v>
      </c>
      <c r="E8" s="155">
        <f>$D$2</f>
        <v>46030</v>
      </c>
      <c r="F8" s="156">
        <f>SUMIFS(
 'BULAN BERJALAN BANUA'!H:H,
 'BULAN BERJALAN BANUA'!A:A, $D$8,
 'BULAN BERJALAN BANUA'!D:D, "&gt;="&amp;EOMONTH(E8,-1)+1,
 'BULAN BERJALAN BANUA'!D:D, "&lt;="&amp;E8)</f>
        <v>0</v>
      </c>
      <c r="G8" s="157">
        <f>IF(F8=0, 0, F9/F8)</f>
        <v>0</v>
      </c>
      <c r="H8" s="213">
        <f>abs(F8-F9)</f>
        <v>0</v>
      </c>
      <c r="K8" s="209"/>
      <c r="L8" s="212"/>
      <c r="M8" s="158"/>
    </row>
    <row r="9">
      <c r="C9" s="7"/>
      <c r="D9" s="7"/>
      <c r="E9" s="155">
        <f>$D$3</f>
        <v>46066</v>
      </c>
      <c r="F9" s="160">
        <f>SUMIFS(
 'BULAN BERJALAN BANUA'!H:H,
 'BULAN BERJALAN BANUA'!A:A, $D$8,
 'BULAN BERJALAN BANUA'!D:D, "&gt;="&amp;EOMONTH(E9,-1)+1,
 'BULAN BERJALAN BANUA'!D:D, "&lt;="&amp;E9)</f>
        <v>0</v>
      </c>
      <c r="G9" s="161"/>
      <c r="K9" s="209"/>
      <c r="L9" s="212"/>
    </row>
    <row r="10">
      <c r="C10" s="165">
        <v>3.0</v>
      </c>
      <c r="D10" s="162" t="s">
        <v>20</v>
      </c>
      <c r="E10" s="155">
        <f>$D$2</f>
        <v>46030</v>
      </c>
      <c r="F10" s="156">
        <f>SUMIFS(
 'BULAN BERJALAN BANUA'!H:H,
 'BULAN BERJALAN BANUA'!A:A, $D$10,
 'BULAN BERJALAN BANUA'!D:D, "&gt;="&amp;EOMONTH(E10,-1)+1,
 'BULAN BERJALAN BANUA'!D:D, "&lt;="&amp;E10)</f>
        <v>0</v>
      </c>
      <c r="G10" s="157">
        <f>IF(F10=0, 0, F11/F10)</f>
        <v>0</v>
      </c>
      <c r="H10" s="213">
        <f>abs(F10-F11)</f>
        <v>0</v>
      </c>
      <c r="K10" s="209"/>
      <c r="L10" s="212"/>
      <c r="M10" s="158"/>
    </row>
    <row r="11">
      <c r="C11" s="7"/>
      <c r="D11" s="7"/>
      <c r="E11" s="155">
        <f>$D$3</f>
        <v>46066</v>
      </c>
      <c r="F11" s="160">
        <f>SUMIFS(
 'BULAN BERJALAN BANUA'!H:H,
 'BULAN BERJALAN BANUA'!A:A, $D$10,
 'BULAN BERJALAN BANUA'!D:D, "&gt;="&amp;EOMONTH(E11,-1)+1,
 'BULAN BERJALAN BANUA'!D:D, "&lt;="&amp;E11)</f>
        <v>0</v>
      </c>
      <c r="G11" s="161"/>
      <c r="K11" s="209"/>
      <c r="L11" s="212"/>
    </row>
    <row r="12">
      <c r="C12" s="165">
        <v>4.0</v>
      </c>
      <c r="D12" s="162" t="s">
        <v>21</v>
      </c>
      <c r="E12" s="155">
        <f>$D$2</f>
        <v>46030</v>
      </c>
      <c r="F12" s="156">
        <f>SUMIFS(
 'BULAN BERJALAN BANUA'!H:H,
 'BULAN BERJALAN BANUA'!A:A, $D$12,
 'BULAN BERJALAN BANUA'!D:D, "&gt;="&amp;EOMONTH(E12,-1)+1,
 'BULAN BERJALAN BANUA'!D:D, "&lt;="&amp;E12)</f>
        <v>0</v>
      </c>
      <c r="G12" s="157">
        <f>IF(F12=0, 0, F13/F12)</f>
        <v>0</v>
      </c>
      <c r="H12" s="213">
        <f>abs(F12-F13)</f>
        <v>0</v>
      </c>
      <c r="K12" s="209"/>
      <c r="L12" s="212"/>
      <c r="M12" s="158"/>
    </row>
    <row r="13">
      <c r="C13" s="7"/>
      <c r="D13" s="7"/>
      <c r="E13" s="155">
        <f>$D$3</f>
        <v>46066</v>
      </c>
      <c r="F13" s="160">
        <f>SUMIFS(
 'BULAN BERJALAN BANUA'!H:H,
 'BULAN BERJALAN BANUA'!A:A, $D$12,
 'BULAN BERJALAN BANUA'!D:D, "&gt;="&amp;EOMONTH(E13,-1)+1,
 'BULAN BERJALAN BANUA'!D:D, "&lt;="&amp;E13)</f>
        <v>0</v>
      </c>
      <c r="G13" s="161"/>
      <c r="K13" s="209"/>
      <c r="L13" s="212"/>
    </row>
    <row r="14">
      <c r="C14" s="165">
        <v>5.0</v>
      </c>
      <c r="D14" s="162" t="s">
        <v>22</v>
      </c>
      <c r="E14" s="155">
        <f>$D$2</f>
        <v>46030</v>
      </c>
      <c r="F14" s="156">
        <f>SUMIFS(
 'BULAN BERJALAN BANUA'!H:H,
 'BULAN BERJALAN BANUA'!A:A, $D$14,
 'BULAN BERJALAN BANUA'!D:D, "&gt;="&amp;EOMONTH(E14,-1)+1,
 'BULAN BERJALAN BANUA'!D:D, "&lt;="&amp;E14)</f>
        <v>0</v>
      </c>
      <c r="G14" s="157">
        <f>IF(F14=0, 0, F15/F14)</f>
        <v>0</v>
      </c>
      <c r="H14" s="213">
        <f>abs(F14-F15)</f>
        <v>0</v>
      </c>
      <c r="K14" s="209"/>
      <c r="L14" s="212"/>
      <c r="M14" s="158"/>
    </row>
    <row r="15">
      <c r="C15" s="7"/>
      <c r="D15" s="7"/>
      <c r="E15" s="155">
        <f>$D$3</f>
        <v>46066</v>
      </c>
      <c r="F15" s="160">
        <f>SUMIFS(
 'BULAN BERJALAN BANUA'!H:H,
 'BULAN BERJALAN BANUA'!A:A, $D$14,
 'BULAN BERJALAN BANUA'!D:D, "&gt;="&amp;EOMONTH(E15,-1)+1,
 'BULAN BERJALAN BANUA'!D:D, "&lt;="&amp;E15)</f>
        <v>0</v>
      </c>
      <c r="G15" s="161"/>
      <c r="K15" s="209"/>
      <c r="L15" s="212"/>
    </row>
    <row r="16">
      <c r="C16" s="165">
        <v>6.0</v>
      </c>
      <c r="D16" s="162" t="s">
        <v>23</v>
      </c>
      <c r="E16" s="155">
        <f>$D$2</f>
        <v>46030</v>
      </c>
      <c r="F16" s="156">
        <f>SUMIFS(
 'BULAN BERJALAN BANUA'!H:H,
 'BULAN BERJALAN BANUA'!A:A, $D$16,
 'BULAN BERJALAN BANUA'!D:D, "&gt;="&amp;EOMONTH(E16,-1)+1,
 'BULAN BERJALAN BANUA'!D:D, "&lt;="&amp;E16)</f>
        <v>0</v>
      </c>
      <c r="G16" s="157">
        <f>IF(F16=0, 0, F17/F16)</f>
        <v>0</v>
      </c>
      <c r="H16" s="213">
        <f>abs(F16-F17)</f>
        <v>0</v>
      </c>
      <c r="K16" s="209"/>
      <c r="L16" s="212"/>
      <c r="M16" s="158"/>
    </row>
    <row r="17">
      <c r="C17" s="7"/>
      <c r="D17" s="7"/>
      <c r="E17" s="155">
        <f>$D$3</f>
        <v>46066</v>
      </c>
      <c r="F17" s="160">
        <f>SUMIFS(
 'BULAN BERJALAN BANUA'!H:H,
 'BULAN BERJALAN BANUA'!A:A, $D$16,
 'BULAN BERJALAN BANUA'!D:D, "&gt;="&amp;EOMONTH(E17,-1)+1,
 'BULAN BERJALAN BANUA'!D:D, "&lt;="&amp;E17)</f>
        <v>0</v>
      </c>
      <c r="G17" s="161"/>
      <c r="K17" s="209"/>
      <c r="L17" s="212"/>
    </row>
    <row r="18">
      <c r="C18" s="165">
        <v>7.0</v>
      </c>
      <c r="D18" s="162" t="s">
        <v>24</v>
      </c>
      <c r="E18" s="155">
        <f>$D$2</f>
        <v>46030</v>
      </c>
      <c r="F18" s="156">
        <f>SUMIFS(
 'BULAN BERJALAN BANUA'!H:H,
 'BULAN BERJALAN BANUA'!A:A, $D$18,
 'BULAN BERJALAN BANUA'!D:D, "&gt;="&amp;EOMONTH(E18,-1)+1,
 'BULAN BERJALAN BANUA'!D:D, "&lt;="&amp;E18)</f>
        <v>0</v>
      </c>
      <c r="G18" s="157">
        <f>IF(F18=0, 0, F19/F18)</f>
        <v>0</v>
      </c>
      <c r="H18" s="213">
        <f>abs(F18-F19)</f>
        <v>0</v>
      </c>
      <c r="K18" s="209"/>
      <c r="L18" s="212"/>
      <c r="M18" s="158"/>
    </row>
    <row r="19">
      <c r="C19" s="7"/>
      <c r="D19" s="7"/>
      <c r="E19" s="155">
        <f>$D$3</f>
        <v>46066</v>
      </c>
      <c r="F19" s="160">
        <f>SUMIFS(
 'BULAN BERJALAN BANUA'!H:H,
 'BULAN BERJALAN BANUA'!A:A, $D$18,
 'BULAN BERJALAN BANUA'!D:D, "&gt;="&amp;EOMONTH(E19,-1)+1,
 'BULAN BERJALAN BANUA'!D:D, "&lt;="&amp;E19)</f>
        <v>0</v>
      </c>
      <c r="G19" s="161"/>
      <c r="K19" s="209"/>
      <c r="L19" s="212"/>
    </row>
    <row r="20">
      <c r="C20" s="165">
        <v>8.0</v>
      </c>
      <c r="D20" s="162" t="s">
        <v>25</v>
      </c>
      <c r="E20" s="155">
        <f>$D$2</f>
        <v>46030</v>
      </c>
      <c r="F20" s="156">
        <f>SUMIFS(
 'BULAN BERJALAN BANUA'!H:H,
 'BULAN BERJALAN BANUA'!A:A, $D$20,
 'BULAN BERJALAN BANUA'!D:D, "&gt;="&amp;EOMONTH(E20,-1)+1,
 'BULAN BERJALAN BANUA'!D:D, "&lt;="&amp;E20)</f>
        <v>1900000</v>
      </c>
      <c r="G20" s="157">
        <f>IF(F20=0, 0, F21/F20)</f>
        <v>1.789473684</v>
      </c>
      <c r="H20" s="213">
        <f>abs(F20-F21)</f>
        <v>1500000</v>
      </c>
      <c r="K20" s="209"/>
      <c r="L20" s="212"/>
      <c r="M20" s="158"/>
    </row>
    <row r="21">
      <c r="C21" s="7"/>
      <c r="D21" s="7"/>
      <c r="E21" s="155">
        <f>$D$3</f>
        <v>46066</v>
      </c>
      <c r="F21" s="160">
        <f>SUMIFS(
 'BULAN BERJALAN BANUA'!H:H,
 'BULAN BERJALAN BANUA'!A:A, $D$20,
 'BULAN BERJALAN BANUA'!D:D, "&gt;="&amp;EOMONTH(E21,-1)+1,
 'BULAN BERJALAN BANUA'!D:D, "&lt;="&amp;E21)</f>
        <v>3400000</v>
      </c>
      <c r="G21" s="161"/>
      <c r="K21" s="209"/>
      <c r="L21" s="212"/>
    </row>
    <row r="22">
      <c r="C22" s="165">
        <v>9.0</v>
      </c>
      <c r="D22" s="162" t="s">
        <v>26</v>
      </c>
      <c r="E22" s="155">
        <f>$D$2</f>
        <v>46030</v>
      </c>
      <c r="F22" s="156">
        <f>SUMIFS(
 'BULAN BERJALAN BANUA'!H:H,
 'BULAN BERJALAN BANUA'!A:A, $D$22,
 'BULAN BERJALAN BANUA'!D:D, "&gt;="&amp;EOMONTH(E22,-1)+1,
 'BULAN BERJALAN BANUA'!D:D, "&lt;="&amp;E22)</f>
        <v>0</v>
      </c>
      <c r="G22" s="157">
        <f>IF(F22=0, 0, F23/F22)</f>
        <v>0</v>
      </c>
      <c r="H22" s="213">
        <f>abs(F22-F23)</f>
        <v>0</v>
      </c>
      <c r="K22" s="209"/>
      <c r="L22" s="212"/>
      <c r="M22" s="158"/>
    </row>
    <row r="23">
      <c r="C23" s="7"/>
      <c r="D23" s="7"/>
      <c r="E23" s="155">
        <f>$D$3</f>
        <v>46066</v>
      </c>
      <c r="F23" s="160">
        <f>SUMIFS(
 'BULAN BERJALAN BANUA'!H:H,
 'BULAN BERJALAN BANUA'!A:A, $D$22,
 'BULAN BERJALAN BANUA'!D:D, "&gt;="&amp;EOMONTH(E23,-1)+1,
 'BULAN BERJALAN BANUA'!D:D, "&lt;="&amp;E23)</f>
        <v>0</v>
      </c>
      <c r="G23" s="161"/>
      <c r="K23" s="209"/>
      <c r="L23" s="212"/>
    </row>
    <row r="24">
      <c r="C24" s="165">
        <v>10.0</v>
      </c>
      <c r="D24" s="162" t="s">
        <v>27</v>
      </c>
      <c r="E24" s="155">
        <f>$D$2</f>
        <v>46030</v>
      </c>
      <c r="F24" s="156">
        <f>SUMIFS(
 'BULAN BERJALAN BANUA'!H:H,
 'BULAN BERJALAN BANUA'!A:A, $D$24,
 'BULAN BERJALAN BANUA'!D:D, "&gt;="&amp;EOMONTH(E24,-1)+1,
 'BULAN BERJALAN BANUA'!D:D, "&lt;="&amp;E24)</f>
        <v>0</v>
      </c>
      <c r="G24" s="157">
        <f>IF(F24=0, 0, F25/F24)</f>
        <v>0</v>
      </c>
      <c r="H24" s="213">
        <f>abs(F24-F25)</f>
        <v>0</v>
      </c>
      <c r="K24" s="209"/>
      <c r="L24" s="212"/>
      <c r="M24" s="158"/>
    </row>
    <row r="25">
      <c r="C25" s="7"/>
      <c r="D25" s="7"/>
      <c r="E25" s="155">
        <f>$D$3</f>
        <v>46066</v>
      </c>
      <c r="F25" s="160">
        <f>SUMIFS(
 'BULAN BERJALAN BANUA'!H:H,
 'BULAN BERJALAN BANUA'!A:A, $D$24,
 'BULAN BERJALAN BANUA'!D:D, "&gt;="&amp;EOMONTH(E25,-1)+1,
 'BULAN BERJALAN BANUA'!D:D, "&lt;="&amp;E25)</f>
        <v>0</v>
      </c>
      <c r="G25" s="161"/>
      <c r="K25" s="209"/>
      <c r="L25" s="212"/>
    </row>
    <row r="26">
      <c r="C26" s="165">
        <v>11.0</v>
      </c>
      <c r="D26" s="162" t="s">
        <v>28</v>
      </c>
      <c r="E26" s="155">
        <f>$D$2</f>
        <v>46030</v>
      </c>
      <c r="F26" s="156">
        <f>SUMIFS(
 'BULAN BERJALAN BANUA'!H:H,
 'BULAN BERJALAN BANUA'!A:A, $D$26,
 'BULAN BERJALAN BANUA'!D:D, "&gt;="&amp;EOMONTH(E26,-1)+1,
 'BULAN BERJALAN BANUA'!D:D, "&lt;="&amp;E26)</f>
        <v>2340000</v>
      </c>
      <c r="G26" s="157">
        <f>IF(F26=0, 0, F27/F26)</f>
        <v>0.3418803419</v>
      </c>
      <c r="H26" s="213">
        <f>abs(F26-F27)</f>
        <v>1540000</v>
      </c>
      <c r="K26" s="209"/>
      <c r="L26" s="212"/>
      <c r="M26" s="158"/>
    </row>
    <row r="27">
      <c r="C27" s="7"/>
      <c r="D27" s="7"/>
      <c r="E27" s="155">
        <f>$D$3</f>
        <v>46066</v>
      </c>
      <c r="F27" s="160">
        <f>SUMIFS(
 'BULAN BERJALAN BANUA'!H:H,
 'BULAN BERJALAN BANUA'!A:A, $D$26,
 'BULAN BERJALAN BANUA'!D:D, "&gt;="&amp;EOMONTH(E27,-1)+1,
 'BULAN BERJALAN BANUA'!D:D, "&lt;="&amp;E27)</f>
        <v>800000</v>
      </c>
      <c r="G27" s="161"/>
      <c r="K27" s="209"/>
      <c r="L27" s="212"/>
    </row>
    <row r="28">
      <c r="C28" s="165">
        <v>12.0</v>
      </c>
      <c r="D28" s="162" t="s">
        <v>29</v>
      </c>
      <c r="E28" s="155">
        <f>$D$2</f>
        <v>46030</v>
      </c>
      <c r="F28" s="156">
        <f>SUMIFS(
 'BULAN BERJALAN BANUA'!H:H,
 'BULAN BERJALAN BANUA'!A:A, $D$28,
 'BULAN BERJALAN BANUA'!D:D, "&gt;="&amp;EOMONTH(E28,-1)+1,
 'BULAN BERJALAN BANUA'!D:D, "&lt;="&amp;E28)</f>
        <v>0</v>
      </c>
      <c r="G28" s="157">
        <f>IF(F28=0, 0, F29/F28)</f>
        <v>0</v>
      </c>
      <c r="H28" s="213">
        <f>abs(F28-F29)</f>
        <v>0</v>
      </c>
      <c r="K28" s="209"/>
      <c r="L28" s="212"/>
      <c r="M28" s="158"/>
    </row>
    <row r="29">
      <c r="C29" s="7"/>
      <c r="D29" s="7"/>
      <c r="E29" s="155">
        <f>$D$3</f>
        <v>46066</v>
      </c>
      <c r="F29" s="160">
        <f>SUMIFS(
 'BULAN BERJALAN BANUA'!H:H,
 'BULAN BERJALAN BANUA'!A:A, $D$28,
 'BULAN BERJALAN BANUA'!D:D, "&gt;="&amp;EOMONTH(E29,-1)+1,
 'BULAN BERJALAN BANUA'!D:D, "&lt;="&amp;E29)</f>
        <v>0</v>
      </c>
      <c r="G29" s="161"/>
      <c r="K29" s="209"/>
      <c r="L29" s="212"/>
    </row>
    <row r="30">
      <c r="C30" s="165">
        <v>13.0</v>
      </c>
      <c r="D30" s="163" t="s">
        <v>30</v>
      </c>
      <c r="E30" s="155">
        <f>$D$2</f>
        <v>46030</v>
      </c>
      <c r="F30" s="156">
        <f>SUMIFS(
 'BULAN BERJALAN BANUA'!H:H,
 'BULAN BERJALAN BANUA'!A:A, $D$30,
 'BULAN BERJALAN BANUA'!D:D, "&gt;="&amp;EOMONTH(E30,-1)+1,
 'BULAN BERJALAN BANUA'!D:D, "&lt;="&amp;E30)</f>
        <v>0</v>
      </c>
      <c r="G30" s="157">
        <f>IF(F30=0, 0, F31/F30)</f>
        <v>0</v>
      </c>
      <c r="H30" s="213">
        <f>abs(F30-F31)</f>
        <v>0</v>
      </c>
      <c r="K30" s="209"/>
      <c r="L30" s="212"/>
      <c r="M30" s="158"/>
    </row>
    <row r="31">
      <c r="C31" s="7"/>
      <c r="D31" s="7"/>
      <c r="E31" s="155">
        <f>$D$3</f>
        <v>46066</v>
      </c>
      <c r="F31" s="160">
        <f>SUMIFS(
 'BULAN BERJALAN BANUA'!H:H,
 'BULAN BERJALAN BANUA'!A:A, $D$30,
 'BULAN BERJALAN BANUA'!D:D, "&gt;="&amp;EOMONTH(E31,-1)+1,
 'BULAN BERJALAN BANUA'!D:D, "&lt;="&amp;E31)</f>
        <v>0</v>
      </c>
      <c r="G31" s="161"/>
      <c r="K31" s="209"/>
      <c r="L31" s="212"/>
    </row>
    <row r="32">
      <c r="C32" s="165">
        <v>14.0</v>
      </c>
      <c r="D32" s="163" t="s">
        <v>31</v>
      </c>
      <c r="E32" s="155">
        <f>$D$2</f>
        <v>46030</v>
      </c>
      <c r="F32" s="156">
        <f>SUMIFS(
 'BULAN BERJALAN BANUA'!H:H,
 'BULAN BERJALAN BANUA'!A:A, $D$32,
 'BULAN BERJALAN BANUA'!D:D, "&gt;="&amp;EOMONTH(E32,-1)+1,
 'BULAN BERJALAN BANUA'!D:D, "&lt;="&amp;E32)</f>
        <v>0</v>
      </c>
      <c r="G32" s="157">
        <f>IF(F32=0, 0, F33/F32)</f>
        <v>0</v>
      </c>
      <c r="H32" s="213">
        <f>abs(F32-F33)</f>
        <v>5765000</v>
      </c>
      <c r="K32" s="209"/>
      <c r="L32" s="212"/>
      <c r="M32" s="158"/>
    </row>
    <row r="33">
      <c r="C33" s="7"/>
      <c r="D33" s="7"/>
      <c r="E33" s="155">
        <f>$D$3</f>
        <v>46066</v>
      </c>
      <c r="F33" s="160">
        <f>SUMIFS(
 'BULAN BERJALAN BANUA'!H:H,
 'BULAN BERJALAN BANUA'!A:A, $D$32,
 'BULAN BERJALAN BANUA'!D:D, "&gt;="&amp;EOMONTH(E33,-1)+1,
 'BULAN BERJALAN BANUA'!D:D, "&lt;="&amp;E33)</f>
        <v>5765000</v>
      </c>
      <c r="G33" s="161"/>
      <c r="K33" s="209"/>
      <c r="L33" s="212"/>
    </row>
    <row r="34">
      <c r="C34" s="165">
        <v>15.0</v>
      </c>
      <c r="D34" s="163" t="s">
        <v>32</v>
      </c>
      <c r="E34" s="155">
        <f>$D$2</f>
        <v>46030</v>
      </c>
      <c r="F34" s="156">
        <f>SUMIFS(
 'BULAN BERJALAN BANUA'!H:H,
 'BULAN BERJALAN BANUA'!A:A, $D$34,
 'BULAN BERJALAN BANUA'!D:D, "&gt;="&amp;EOMONTH(E34,-1)+1,
 'BULAN BERJALAN BANUA'!D:D, "&lt;="&amp;E34)</f>
        <v>0</v>
      </c>
      <c r="G34" s="157">
        <f>IF(F34=0, 0, F35/F34)</f>
        <v>0</v>
      </c>
      <c r="H34" s="213">
        <f>abs(F34-F35)</f>
        <v>0</v>
      </c>
      <c r="K34" s="209"/>
      <c r="L34" s="212"/>
      <c r="M34" s="158"/>
    </row>
    <row r="35">
      <c r="C35" s="7"/>
      <c r="D35" s="7"/>
      <c r="E35" s="155">
        <f>$D$3</f>
        <v>46066</v>
      </c>
      <c r="F35" s="164">
        <f>SUMIFS(
 'BULAN BERJALAN BANUA'!H:H,
 'BULAN BERJALAN BANUA'!A:A, $D$34,
 'BULAN BERJALAN BANUA'!D:D, "&gt;="&amp;EOMONTH(E35,-1)+1,
 'BULAN BERJALAN BANUA'!D:D, "&lt;="&amp;E35)</f>
        <v>0</v>
      </c>
      <c r="G35" s="161"/>
      <c r="K35" s="209"/>
      <c r="L35" s="212"/>
    </row>
    <row r="36">
      <c r="C36" s="165">
        <v>16.0</v>
      </c>
      <c r="D36" s="163" t="s">
        <v>5</v>
      </c>
      <c r="E36" s="155">
        <f>$D$2</f>
        <v>46030</v>
      </c>
      <c r="F36" s="156">
        <f t="shared" ref="F36:F37" si="1">F6+F8+F10+F12+F14+F16+F18+F20+F22+F24+F26+F28+F30+F32+F34</f>
        <v>5140000</v>
      </c>
      <c r="G36" s="157">
        <f>IF(F36=0, 0, F37/F36)</f>
        <v>2.197470817</v>
      </c>
      <c r="H36" s="213">
        <f>abs(F36-F37)</f>
        <v>6155000</v>
      </c>
      <c r="K36" s="209"/>
      <c r="L36" s="212"/>
      <c r="M36" s="158"/>
    </row>
    <row r="37">
      <c r="C37" s="7"/>
      <c r="D37" s="7"/>
      <c r="E37" s="155">
        <f>$D$3</f>
        <v>46066</v>
      </c>
      <c r="F37" s="160">
        <f t="shared" si="1"/>
        <v>11295000</v>
      </c>
      <c r="G37" s="161"/>
      <c r="K37" s="209"/>
      <c r="L37" s="212"/>
    </row>
    <row r="38">
      <c r="D38" s="23"/>
      <c r="E38" s="23"/>
      <c r="F38" s="23"/>
      <c r="G38" s="23"/>
    </row>
  </sheetData>
  <mergeCells count="66">
    <mergeCell ref="G28:G29"/>
    <mergeCell ref="G30:G31"/>
    <mergeCell ref="G14:G15"/>
    <mergeCell ref="G16:G17"/>
    <mergeCell ref="G18:G19"/>
    <mergeCell ref="G20:G21"/>
    <mergeCell ref="G22:G23"/>
    <mergeCell ref="G24:G25"/>
    <mergeCell ref="G26:G27"/>
    <mergeCell ref="C1:G1"/>
    <mergeCell ref="C6:C7"/>
    <mergeCell ref="D6:D7"/>
    <mergeCell ref="H6:H7"/>
    <mergeCell ref="M6:M7"/>
    <mergeCell ref="D8:D9"/>
    <mergeCell ref="H8:H9"/>
    <mergeCell ref="C8:C9"/>
    <mergeCell ref="C10:C11"/>
    <mergeCell ref="D10:D11"/>
    <mergeCell ref="C12:C13"/>
    <mergeCell ref="D12:D13"/>
    <mergeCell ref="C14:C15"/>
    <mergeCell ref="D14:D15"/>
    <mergeCell ref="G6:G7"/>
    <mergeCell ref="G8:G9"/>
    <mergeCell ref="G10:G11"/>
    <mergeCell ref="H10:H11"/>
    <mergeCell ref="G12:G13"/>
    <mergeCell ref="H12:H13"/>
    <mergeCell ref="H14:H15"/>
    <mergeCell ref="C22:C23"/>
    <mergeCell ref="C24:C25"/>
    <mergeCell ref="C26:C27"/>
    <mergeCell ref="C28:C29"/>
    <mergeCell ref="C30:C31"/>
    <mergeCell ref="C32:C33"/>
    <mergeCell ref="C34:C35"/>
    <mergeCell ref="C36:C37"/>
    <mergeCell ref="D24:D25"/>
    <mergeCell ref="D26:D27"/>
    <mergeCell ref="D28:D29"/>
    <mergeCell ref="D30:D31"/>
    <mergeCell ref="D32:D33"/>
    <mergeCell ref="D34:D35"/>
    <mergeCell ref="D36:D37"/>
    <mergeCell ref="C16:C17"/>
    <mergeCell ref="D16:D17"/>
    <mergeCell ref="C18:C19"/>
    <mergeCell ref="D18:D19"/>
    <mergeCell ref="C20:C21"/>
    <mergeCell ref="D20:D21"/>
    <mergeCell ref="D22:D23"/>
    <mergeCell ref="H30:H31"/>
    <mergeCell ref="G32:G33"/>
    <mergeCell ref="H32:H33"/>
    <mergeCell ref="G34:G35"/>
    <mergeCell ref="H34:H35"/>
    <mergeCell ref="G36:G37"/>
    <mergeCell ref="H36:H37"/>
    <mergeCell ref="H16:H17"/>
    <mergeCell ref="H18:H19"/>
    <mergeCell ref="H20:H21"/>
    <mergeCell ref="H22:H23"/>
    <mergeCell ref="H24:H25"/>
    <mergeCell ref="H26:H27"/>
    <mergeCell ref="H28:H29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4"/>
      <c r="B1" s="214"/>
      <c r="C1" s="214"/>
      <c r="D1" s="214"/>
      <c r="E1" s="214"/>
      <c r="F1" s="215"/>
      <c r="G1" s="216" t="s">
        <v>442</v>
      </c>
      <c r="R1" s="215"/>
      <c r="S1" s="215"/>
      <c r="T1" s="215"/>
      <c r="U1" s="215"/>
      <c r="V1" s="215"/>
      <c r="W1" s="215"/>
      <c r="X1" s="215"/>
      <c r="Y1" s="215"/>
      <c r="Z1" s="215"/>
    </row>
    <row r="2">
      <c r="A2" s="214" t="s">
        <v>443</v>
      </c>
      <c r="F2" s="215"/>
      <c r="G2" s="217" t="s">
        <v>444</v>
      </c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>
      <c r="A3" s="218" t="s">
        <v>445</v>
      </c>
      <c r="B3" s="219" t="s">
        <v>446</v>
      </c>
      <c r="C3" s="220" t="s">
        <v>447</v>
      </c>
      <c r="D3" s="218" t="s">
        <v>441</v>
      </c>
      <c r="E3" s="218" t="s">
        <v>448</v>
      </c>
      <c r="F3" s="215"/>
      <c r="G3" s="221" t="s">
        <v>435</v>
      </c>
      <c r="H3" s="222" t="s">
        <v>449</v>
      </c>
      <c r="I3" s="222" t="s">
        <v>450</v>
      </c>
      <c r="J3" s="222" t="s">
        <v>389</v>
      </c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>
      <c r="A4" s="223">
        <v>1.0</v>
      </c>
      <c r="B4" s="224">
        <f>IF(NOVEMBER!D16="", 0, NOVEMBER!D16)
</f>
        <v>130000</v>
      </c>
      <c r="C4" s="225">
        <f>IF(DESEMBER!D16="", 0, DESEMBER!D16)
</f>
        <v>4560000</v>
      </c>
      <c r="D4" s="224">
        <f t="shared" ref="D4:D34" si="1">C4-B4</f>
        <v>4430000</v>
      </c>
      <c r="E4" s="226">
        <f t="shared" ref="E4:E8" si="2">IF(AND(C4=0,B4=0),0,IF(AND(B4=0,C4&gt;0),1,(C4-B4)/B4))
</f>
        <v>34.07692308</v>
      </c>
      <c r="F4" s="215"/>
      <c r="G4" s="227" t="s">
        <v>387</v>
      </c>
      <c r="H4" s="224">
        <f>B4</f>
        <v>130000</v>
      </c>
      <c r="I4" s="228">
        <f>IF(AND(H4=0,H5=0),0,IF(AND(H4=0,H5&gt;0),1,(H5-H4)/H4))
</f>
        <v>34.07692308</v>
      </c>
      <c r="J4" s="229">
        <f>NOVEMBER!$E$7</f>
        <v>70000000</v>
      </c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23">
        <v>2.0</v>
      </c>
      <c r="B5" s="224">
        <f>IF(NOVEMBER!D17="", 0, NOVEMBER!D17)
</f>
        <v>0</v>
      </c>
      <c r="C5" s="225">
        <f>IF(DESEMBER!D17="", 0, DESEMBER!D17)
</f>
        <v>4760000</v>
      </c>
      <c r="D5" s="224">
        <f t="shared" si="1"/>
        <v>4760000</v>
      </c>
      <c r="E5" s="226">
        <f t="shared" si="2"/>
        <v>1</v>
      </c>
      <c r="F5" s="215"/>
      <c r="G5" s="227" t="s">
        <v>451</v>
      </c>
      <c r="H5" s="224">
        <f>C4</f>
        <v>4560000</v>
      </c>
      <c r="I5" s="7"/>
      <c r="J5" s="229">
        <f>DESEMBER!$F$7</f>
        <v>70000000</v>
      </c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23">
        <v>3.0</v>
      </c>
      <c r="B6" s="224">
        <f>IF(NOVEMBER!D18="", 0, NOVEMBER!D18)
</f>
        <v>0</v>
      </c>
      <c r="C6" s="225">
        <f>IF(DESEMBER!D18="", 0, DESEMBER!D18)
</f>
        <v>1800000</v>
      </c>
      <c r="D6" s="224">
        <f t="shared" si="1"/>
        <v>1800000</v>
      </c>
      <c r="E6" s="226">
        <f t="shared" si="2"/>
        <v>1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23">
        <v>4.0</v>
      </c>
      <c r="B7" s="224">
        <f>IF(NOVEMBER!D19="", 0, NOVEMBER!D19)
</f>
        <v>200000</v>
      </c>
      <c r="C7" s="225">
        <f>IF(DESEMBER!D19="", 0, DESEMBER!D19)
</f>
        <v>675000</v>
      </c>
      <c r="D7" s="224">
        <f t="shared" si="1"/>
        <v>475000</v>
      </c>
      <c r="E7" s="226">
        <f t="shared" si="2"/>
        <v>2.375</v>
      </c>
      <c r="F7" s="215"/>
      <c r="G7" s="230" t="str">
        <f>LET(
  bulanLalu, G4,
  bulanIni, G5,
  orderLalu, H4,
  orderIni, H5,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naik 3408% dari NOVEMBER ke DESEMBER</v>
      </c>
      <c r="H7" s="231"/>
      <c r="I7" s="231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23">
        <v>5.0</v>
      </c>
      <c r="B8" s="224">
        <f>IF(NOVEMBER!D20="", 0, NOVEMBER!D20)
</f>
        <v>0</v>
      </c>
      <c r="C8" s="232">
        <f>IF(DESEMBER!D20="", 0, DESEMBER!D20)
</f>
        <v>205000</v>
      </c>
      <c r="D8" s="224">
        <f t="shared" si="1"/>
        <v>205000</v>
      </c>
      <c r="E8" s="226">
        <f t="shared" si="2"/>
        <v>1</v>
      </c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23">
        <v>6.0</v>
      </c>
      <c r="B9" s="224">
        <f>IF(NOVEMBER!D21="", 0, NOVEMBER!D21)
</f>
        <v>0</v>
      </c>
      <c r="C9" s="223">
        <f>IF(DESEMBER!D21="", 0, DESEMBER!D21)
</f>
        <v>0</v>
      </c>
      <c r="D9" s="224">
        <f t="shared" si="1"/>
        <v>0</v>
      </c>
      <c r="E9" s="233" t="s">
        <v>47</v>
      </c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23">
        <v>7.0</v>
      </c>
      <c r="B10" s="224">
        <f>IF(NOVEMBER!D22="", 0, NOVEMBER!D22)
</f>
        <v>0</v>
      </c>
      <c r="C10" s="223">
        <f>IF(DESEMBER!D22="", 0, DESEMBER!D22)
</f>
        <v>0</v>
      </c>
      <c r="D10" s="224">
        <f t="shared" si="1"/>
        <v>0</v>
      </c>
      <c r="E10" s="226">
        <f t="shared" ref="E10:E34" si="3">IF(AND(C10=0,B10=0),0,IF(AND(B10=0,C10&gt;0),1,(C10-B10)/B10))
</f>
        <v>0</v>
      </c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23">
        <v>8.0</v>
      </c>
      <c r="B11" s="224">
        <f>IF(NOVEMBER!D23="", 0, NOVEMBER!D23)
</f>
        <v>0</v>
      </c>
      <c r="C11" s="223">
        <f>IF(DESEMBER!D23="", 0, DESEMBER!D23)
</f>
        <v>0</v>
      </c>
      <c r="D11" s="224">
        <f t="shared" si="1"/>
        <v>0</v>
      </c>
      <c r="E11" s="226">
        <f t="shared" si="3"/>
        <v>0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23">
        <v>9.0</v>
      </c>
      <c r="B12" s="224">
        <f>IF(NOVEMBER!D24="", 0, NOVEMBER!D24)
</f>
        <v>0</v>
      </c>
      <c r="C12" s="223">
        <f>IF(DESEMBER!D24="", 0, DESEMBER!D24)
</f>
        <v>0</v>
      </c>
      <c r="D12" s="224">
        <f t="shared" si="1"/>
        <v>0</v>
      </c>
      <c r="E12" s="226">
        <f t="shared" si="3"/>
        <v>0</v>
      </c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23">
        <v>10.0</v>
      </c>
      <c r="B13" s="224">
        <f>IF(NOVEMBER!D25="", 0, NOVEMBER!D25)
</f>
        <v>0</v>
      </c>
      <c r="C13" s="223">
        <f>IF(DESEMBER!D25="", 0, DESEMBER!D25)
</f>
        <v>0</v>
      </c>
      <c r="D13" s="224">
        <f t="shared" si="1"/>
        <v>0</v>
      </c>
      <c r="E13" s="226">
        <f t="shared" si="3"/>
        <v>0</v>
      </c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23">
        <v>11.0</v>
      </c>
      <c r="B14" s="224">
        <f>IF(NOVEMBER!D26="", 0, NOVEMBER!D26)
</f>
        <v>3215000</v>
      </c>
      <c r="C14" s="223">
        <f>IF(DESEMBER!D26="", 0, DESEMBER!D26)
</f>
        <v>0</v>
      </c>
      <c r="D14" s="224">
        <f t="shared" si="1"/>
        <v>-3215000</v>
      </c>
      <c r="E14" s="226">
        <f t="shared" si="3"/>
        <v>-1</v>
      </c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23">
        <v>12.0</v>
      </c>
      <c r="B15" s="224">
        <f>IF(NOVEMBER!D27="", 0, NOVEMBER!D27)
</f>
        <v>11535000</v>
      </c>
      <c r="C15" s="223">
        <f>IF(DESEMBER!D27="", 0, DESEMBER!D27)
</f>
        <v>0</v>
      </c>
      <c r="D15" s="224">
        <f t="shared" si="1"/>
        <v>-11535000</v>
      </c>
      <c r="E15" s="226">
        <f t="shared" si="3"/>
        <v>-1</v>
      </c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23">
        <v>13.0</v>
      </c>
      <c r="B16" s="224">
        <f>IF(NOVEMBER!D28="", 0, NOVEMBER!D28)
</f>
        <v>0</v>
      </c>
      <c r="C16" s="225">
        <f>IF(DESEMBER!D28="", 0, DESEMBER!D28)
</f>
        <v>170000</v>
      </c>
      <c r="D16" s="224">
        <f t="shared" si="1"/>
        <v>170000</v>
      </c>
      <c r="E16" s="226">
        <f t="shared" si="3"/>
        <v>1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23">
        <v>14.0</v>
      </c>
      <c r="B17" s="224">
        <f>IF(NOVEMBER!D29="", 0, NOVEMBER!D29)
</f>
        <v>250000</v>
      </c>
      <c r="C17" s="223">
        <f>IF(DESEMBER!D29="", 0, DESEMBER!D29)
</f>
        <v>0</v>
      </c>
      <c r="D17" s="224">
        <f t="shared" si="1"/>
        <v>-250000</v>
      </c>
      <c r="E17" s="226">
        <f t="shared" si="3"/>
        <v>-1</v>
      </c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23">
        <v>15.0</v>
      </c>
      <c r="B18" s="224">
        <f>IF(NOVEMBER!D30="", 0, NOVEMBER!D30)
</f>
        <v>0</v>
      </c>
      <c r="C18" s="223">
        <f>IF(DESEMBER!D30="", 0, DESEMBER!D30)
</f>
        <v>0</v>
      </c>
      <c r="D18" s="224">
        <f t="shared" si="1"/>
        <v>0</v>
      </c>
      <c r="E18" s="226">
        <f t="shared" si="3"/>
        <v>0</v>
      </c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>
      <c r="A19" s="223">
        <v>16.0</v>
      </c>
      <c r="B19" s="224">
        <f>IF(NOVEMBER!D31="", 0, NOVEMBER!D31)
</f>
        <v>0</v>
      </c>
      <c r="C19" s="223">
        <f>IF(DESEMBER!D31="", 0, DESEMBER!D31)
</f>
        <v>0</v>
      </c>
      <c r="D19" s="224">
        <f t="shared" si="1"/>
        <v>0</v>
      </c>
      <c r="E19" s="226">
        <f t="shared" si="3"/>
        <v>0</v>
      </c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>
      <c r="A20" s="223">
        <v>17.0</v>
      </c>
      <c r="B20" s="224">
        <f>NOVEMBER!D35</f>
        <v>7350000</v>
      </c>
      <c r="C20" s="223">
        <f>IF(DESEMBER!D32="", 0, DESEMBER!D32)
</f>
        <v>0</v>
      </c>
      <c r="D20" s="224">
        <f t="shared" si="1"/>
        <v>-7350000</v>
      </c>
      <c r="E20" s="226">
        <f t="shared" si="3"/>
        <v>-1</v>
      </c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>
      <c r="A21" s="223">
        <v>18.0</v>
      </c>
      <c r="B21" s="224">
        <f>IF(NOVEMBER!D33="", 0, NOVEMBER!D33)
</f>
        <v>0</v>
      </c>
      <c r="C21" s="225">
        <f>IF(DESEMBER!D33="", 0, DESEMBER!D33)
</f>
        <v>1200000</v>
      </c>
      <c r="D21" s="224">
        <f t="shared" si="1"/>
        <v>1200000</v>
      </c>
      <c r="E21" s="226">
        <f t="shared" si="3"/>
        <v>1</v>
      </c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>
      <c r="A22" s="223">
        <v>19.0</v>
      </c>
      <c r="B22" s="224">
        <f>IF(NOVEMBER!D34="", 0, NOVEMBER!D34)
</f>
        <v>0</v>
      </c>
      <c r="C22" s="223">
        <f>IF(DESEMBER!D34="", 0, DESEMBER!D34)
</f>
        <v>0</v>
      </c>
      <c r="D22" s="224">
        <f t="shared" si="1"/>
        <v>0</v>
      </c>
      <c r="E22" s="226">
        <f t="shared" si="3"/>
        <v>0</v>
      </c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>
      <c r="A23" s="223">
        <v>20.0</v>
      </c>
      <c r="B23" s="224">
        <f>IF(NOVEMBER!D35="", 0, NOVEMBER!D35)
</f>
        <v>7350000</v>
      </c>
      <c r="C23" s="223">
        <f>IF(DESEMBER!D35="", 0, DESEMBER!D35)
</f>
        <v>0</v>
      </c>
      <c r="D23" s="224">
        <f t="shared" si="1"/>
        <v>-7350000</v>
      </c>
      <c r="E23" s="226">
        <f t="shared" si="3"/>
        <v>-1</v>
      </c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>
      <c r="A24" s="223">
        <v>21.0</v>
      </c>
      <c r="B24" s="224">
        <f>IF(NOVEMBER!D36="", 0, NOVEMBER!D36)
</f>
        <v>0</v>
      </c>
      <c r="C24" s="223">
        <f>IF(DESEMBER!D36="", 0, DESEMBER!D36)
</f>
        <v>0</v>
      </c>
      <c r="D24" s="224">
        <f t="shared" si="1"/>
        <v>0</v>
      </c>
      <c r="E24" s="226">
        <f t="shared" si="3"/>
        <v>0</v>
      </c>
      <c r="F24" s="215"/>
      <c r="G24" s="234"/>
      <c r="H24" s="234"/>
      <c r="I24" s="234"/>
      <c r="J24" s="234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>
      <c r="A25" s="223">
        <v>22.0</v>
      </c>
      <c r="B25" s="224">
        <f>IF(NOVEMBER!D37="", 0, NOVEMBER!D37)
</f>
        <v>1790000</v>
      </c>
      <c r="C25" s="223">
        <f>IF(DESEMBER!D37="", 0, DESEMBER!D37)
</f>
        <v>0</v>
      </c>
      <c r="D25" s="224">
        <f t="shared" si="1"/>
        <v>-1790000</v>
      </c>
      <c r="E25" s="226">
        <f t="shared" si="3"/>
        <v>-1</v>
      </c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>
      <c r="A26" s="223">
        <v>23.0</v>
      </c>
      <c r="B26" s="224">
        <f>IF(NOVEMBER!D38="", 0, NOVEMBER!D38)
</f>
        <v>0</v>
      </c>
      <c r="C26" s="223">
        <f>IF(DESEMBER!D38="", 0, DESEMBER!D38)
</f>
        <v>0</v>
      </c>
      <c r="D26" s="224">
        <f t="shared" si="1"/>
        <v>0</v>
      </c>
      <c r="E26" s="226">
        <f t="shared" si="3"/>
        <v>0</v>
      </c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>
      <c r="A27" s="223">
        <v>24.0</v>
      </c>
      <c r="B27" s="224">
        <f>IF(NOVEMBER!D39="", 0, NOVEMBER!D39)
</f>
        <v>0</v>
      </c>
      <c r="C27" s="223">
        <f>IF(DESEMBER!D39="", 0, DESEMBER!D39)
</f>
        <v>0</v>
      </c>
      <c r="D27" s="224">
        <f t="shared" si="1"/>
        <v>0</v>
      </c>
      <c r="E27" s="226">
        <f t="shared" si="3"/>
        <v>0</v>
      </c>
      <c r="F27" s="215"/>
      <c r="G27" s="216" t="s">
        <v>442</v>
      </c>
      <c r="R27" s="215"/>
      <c r="S27" s="215"/>
      <c r="T27" s="215"/>
      <c r="U27" s="215"/>
      <c r="V27" s="215"/>
      <c r="W27" s="215"/>
      <c r="X27" s="215"/>
      <c r="Y27" s="215"/>
      <c r="Z27" s="215"/>
    </row>
    <row r="28">
      <c r="A28" s="223">
        <v>25.0</v>
      </c>
      <c r="B28" s="224">
        <f>IF(NOVEMBER!D40="", 0, NOVEMBER!D40)
</f>
        <v>0</v>
      </c>
      <c r="C28" s="223">
        <f>IF(DESEMBER!D40="", 0, DESEMBER!D40)
</f>
        <v>0</v>
      </c>
      <c r="D28" s="224">
        <f t="shared" si="1"/>
        <v>0</v>
      </c>
      <c r="E28" s="226">
        <f t="shared" si="3"/>
        <v>0</v>
      </c>
      <c r="F28" s="215"/>
      <c r="G28" s="217" t="s">
        <v>444</v>
      </c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>
      <c r="A29" s="223">
        <v>26.0</v>
      </c>
      <c r="B29" s="224">
        <f>IF(NOVEMBER!D41="", 0, NOVEMBER!D41)
</f>
        <v>0</v>
      </c>
      <c r="C29" s="232">
        <f>IF(DESEMBER!D41="", 0, DESEMBER!D41)
</f>
        <v>1595000</v>
      </c>
      <c r="D29" s="224">
        <f t="shared" si="1"/>
        <v>1595000</v>
      </c>
      <c r="E29" s="226">
        <f t="shared" si="3"/>
        <v>1</v>
      </c>
      <c r="F29" s="215"/>
      <c r="G29" s="221" t="s">
        <v>435</v>
      </c>
      <c r="H29" s="222" t="s">
        <v>449</v>
      </c>
      <c r="I29" s="222" t="s">
        <v>450</v>
      </c>
      <c r="J29" s="222" t="s">
        <v>389</v>
      </c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>
      <c r="A30" s="223">
        <v>27.0</v>
      </c>
      <c r="B30" s="224">
        <f>IF(NOVEMBER!D42="", 0, NOVEMBER!D42)
</f>
        <v>0</v>
      </c>
      <c r="C30" s="223">
        <f>IF(DESEMBER!D42="", 0, DESEMBER!D42)
</f>
        <v>0</v>
      </c>
      <c r="D30" s="224">
        <f t="shared" si="1"/>
        <v>0</v>
      </c>
      <c r="E30" s="226">
        <f t="shared" si="3"/>
        <v>0</v>
      </c>
      <c r="F30" s="215"/>
      <c r="G30" s="227" t="s">
        <v>387</v>
      </c>
      <c r="H30" s="224">
        <f>B5</f>
        <v>0</v>
      </c>
      <c r="I30" s="228">
        <f>IF(AND(H30=0,H31=0),0,IF(AND(H30=0,H31&gt;0),1,(H31-H30)/H30))
</f>
        <v>1</v>
      </c>
      <c r="J30" s="229">
        <f>NOVEMBER!$E$7</f>
        <v>70000000</v>
      </c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>
      <c r="A31" s="223">
        <v>28.0</v>
      </c>
      <c r="B31" s="224">
        <f>IF(NOVEMBER!D43="", 0, NOVEMBER!D43)
</f>
        <v>0</v>
      </c>
      <c r="C31" s="223">
        <f>IF(DESEMBER!D43="", 0, DESEMBER!D43)
</f>
        <v>0</v>
      </c>
      <c r="D31" s="224">
        <f t="shared" si="1"/>
        <v>0</v>
      </c>
      <c r="E31" s="226">
        <f t="shared" si="3"/>
        <v>0</v>
      </c>
      <c r="F31" s="215"/>
      <c r="G31" s="227" t="s">
        <v>451</v>
      </c>
      <c r="H31" s="224">
        <f>C5</f>
        <v>4760000</v>
      </c>
      <c r="I31" s="7"/>
      <c r="J31" s="229">
        <f>DESEMBER!$F$7</f>
        <v>70000000</v>
      </c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>
      <c r="A32" s="223">
        <v>29.0</v>
      </c>
      <c r="B32" s="224">
        <f>IF(NOVEMBER!D44="", 0, NOVEMBER!D44)
</f>
        <v>0</v>
      </c>
      <c r="C32" s="225">
        <f>IF(DESEMBER!D44="", 0, DESEMBER!D44)
</f>
        <v>24720000</v>
      </c>
      <c r="D32" s="224">
        <f t="shared" si="1"/>
        <v>24720000</v>
      </c>
      <c r="E32" s="226">
        <f t="shared" si="3"/>
        <v>1</v>
      </c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>
      <c r="A33" s="223">
        <v>30.0</v>
      </c>
      <c r="B33" s="224">
        <f>IF(NOVEMBER!D45="", 0, NOVEMBER!D45)
</f>
        <v>0</v>
      </c>
      <c r="C33" s="223">
        <f>IF(DESEMBER!D45="", 0, DESEMBER!D45)
</f>
        <v>0</v>
      </c>
      <c r="D33" s="224">
        <f t="shared" si="1"/>
        <v>0</v>
      </c>
      <c r="E33" s="226">
        <f t="shared" si="3"/>
        <v>0</v>
      </c>
      <c r="F33" s="215"/>
      <c r="G33" s="230" t="str">
        <f>LET(
  bulanLalu, G30,
  bulanIni, G31,
  orderLalu, H30,
  orderIni, H31,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33" s="231"/>
      <c r="I33" s="231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>
      <c r="A34" s="233">
        <v>31.0</v>
      </c>
      <c r="B34" s="224">
        <f>IF(NOVEMBER!D46="", 0, NOVEMBER!D46)
</f>
        <v>0</v>
      </c>
      <c r="C34" s="223">
        <f>IF(DESEMBER!D46="", 0, DESEMBER!D46)
</f>
        <v>0</v>
      </c>
      <c r="D34" s="224">
        <f t="shared" si="1"/>
        <v>0</v>
      </c>
      <c r="E34" s="226">
        <f t="shared" si="3"/>
        <v>0</v>
      </c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>
      <c r="A35" s="223" t="s">
        <v>5</v>
      </c>
      <c r="B35" s="224">
        <f>SUM(B4:B33)</f>
        <v>31820000</v>
      </c>
      <c r="C35" s="224">
        <f>SUM(C4:C34)</f>
        <v>39685000</v>
      </c>
      <c r="D35" s="215"/>
      <c r="E35" s="23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>
      <c r="A36" s="215"/>
      <c r="B36" s="236"/>
      <c r="C36" s="237"/>
      <c r="D36" s="215"/>
      <c r="E36" s="23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>
      <c r="A37" s="215"/>
      <c r="B37" s="236"/>
      <c r="C37" s="237"/>
      <c r="D37" s="215"/>
      <c r="E37" s="23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>
      <c r="A38" s="215"/>
      <c r="B38" s="236"/>
      <c r="C38" s="237"/>
      <c r="D38" s="215"/>
      <c r="E38" s="23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>
      <c r="A39" s="215"/>
      <c r="B39" s="236"/>
      <c r="C39" s="237"/>
      <c r="D39" s="215"/>
      <c r="E39" s="235"/>
      <c r="F39" s="238" t="s">
        <v>47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>
      <c r="A40" s="215"/>
      <c r="B40" s="236"/>
      <c r="C40" s="237"/>
      <c r="D40" s="215"/>
      <c r="E40" s="23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>
      <c r="A41" s="215"/>
      <c r="B41" s="236"/>
      <c r="C41" s="237"/>
      <c r="D41" s="215"/>
      <c r="E41" s="23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>
      <c r="A42" s="215"/>
      <c r="B42" s="236"/>
      <c r="C42" s="237"/>
      <c r="D42" s="215"/>
      <c r="E42" s="23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>
      <c r="A43" s="215"/>
      <c r="B43" s="236"/>
      <c r="C43" s="237"/>
      <c r="D43" s="215"/>
      <c r="E43" s="23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>
      <c r="A44" s="215"/>
      <c r="B44" s="236"/>
      <c r="C44" s="237"/>
      <c r="D44" s="215"/>
      <c r="E44" s="23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>
      <c r="A45" s="215"/>
      <c r="B45" s="236"/>
      <c r="C45" s="237"/>
      <c r="D45" s="215"/>
      <c r="E45" s="23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>
      <c r="A46" s="215"/>
      <c r="B46" s="236"/>
      <c r="C46" s="237"/>
      <c r="D46" s="215"/>
      <c r="E46" s="23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>
      <c r="A47" s="215"/>
      <c r="B47" s="236"/>
      <c r="C47" s="237"/>
      <c r="D47" s="215"/>
      <c r="E47" s="23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>
      <c r="A48" s="215"/>
      <c r="B48" s="236"/>
      <c r="C48" s="237"/>
      <c r="D48" s="215"/>
      <c r="E48" s="23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>
      <c r="A49" s="215"/>
      <c r="B49" s="236"/>
      <c r="C49" s="237"/>
      <c r="D49" s="215"/>
      <c r="E49" s="23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>
      <c r="A50" s="215"/>
      <c r="B50" s="236"/>
      <c r="C50" s="237"/>
      <c r="D50" s="215"/>
      <c r="E50" s="23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>
      <c r="A51" s="215"/>
      <c r="B51" s="236"/>
      <c r="C51" s="237"/>
      <c r="D51" s="215"/>
      <c r="E51" s="23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>
      <c r="A52" s="215"/>
      <c r="B52" s="236"/>
      <c r="C52" s="237"/>
      <c r="D52" s="215"/>
      <c r="E52" s="23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>
      <c r="A53" s="215"/>
      <c r="B53" s="236"/>
      <c r="C53" s="237"/>
      <c r="D53" s="215"/>
      <c r="E53" s="235"/>
      <c r="F53" s="215"/>
      <c r="G53" s="216" t="s">
        <v>452</v>
      </c>
      <c r="R53" s="215"/>
      <c r="S53" s="215"/>
      <c r="T53" s="215"/>
      <c r="U53" s="215"/>
      <c r="V53" s="215"/>
      <c r="W53" s="215"/>
      <c r="X53" s="215"/>
      <c r="Y53" s="215"/>
      <c r="Z53" s="215"/>
    </row>
    <row r="54">
      <c r="A54" s="215"/>
      <c r="B54" s="236"/>
      <c r="C54" s="237"/>
      <c r="D54" s="215"/>
      <c r="E54" s="235"/>
      <c r="F54" s="215"/>
      <c r="G54" s="217" t="s">
        <v>444</v>
      </c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>
      <c r="A55" s="215"/>
      <c r="B55" s="236"/>
      <c r="C55" s="237"/>
      <c r="D55" s="215"/>
      <c r="E55" s="235"/>
      <c r="F55" s="215"/>
      <c r="G55" s="221" t="s">
        <v>435</v>
      </c>
      <c r="H55" s="222" t="s">
        <v>449</v>
      </c>
      <c r="I55" s="222" t="s">
        <v>450</v>
      </c>
      <c r="J55" s="222" t="s">
        <v>389</v>
      </c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>
      <c r="A56" s="215"/>
      <c r="B56" s="236"/>
      <c r="C56" s="237"/>
      <c r="D56" s="215"/>
      <c r="E56" s="235"/>
      <c r="F56" s="215"/>
      <c r="G56" s="227" t="s">
        <v>387</v>
      </c>
      <c r="H56" s="224">
        <f>B6</f>
        <v>0</v>
      </c>
      <c r="I56" s="239">
        <f>IF(AND(H56=0,H57=0),0,IF(AND(H56=0,H57&gt;0),1,(H57-H56)/H56))
</f>
        <v>1</v>
      </c>
      <c r="J56" s="229">
        <f>NOVEMBER!$E$7</f>
        <v>70000000</v>
      </c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>
      <c r="A57" s="215"/>
      <c r="B57" s="236"/>
      <c r="C57" s="237"/>
      <c r="D57" s="215"/>
      <c r="E57" s="235"/>
      <c r="F57" s="215"/>
      <c r="G57" s="227" t="s">
        <v>451</v>
      </c>
      <c r="H57" s="224">
        <f>C6</f>
        <v>1800000</v>
      </c>
      <c r="I57" s="7"/>
      <c r="J57" s="229">
        <f>NOVEMBER!$E$7</f>
        <v>70000000</v>
      </c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>
      <c r="A58" s="215"/>
      <c r="B58" s="236"/>
      <c r="C58" s="237"/>
      <c r="D58" s="215"/>
      <c r="E58" s="23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>
      <c r="A59" s="215"/>
      <c r="B59" s="236"/>
      <c r="C59" s="237"/>
      <c r="D59" s="215"/>
      <c r="E59" s="235"/>
      <c r="F59" s="215"/>
      <c r="G59" s="230" t="str">
        <f>LET(
  bulanLalu, G56,
  bulanIni, G57,
  orderLalu, H56,
  orderIni, H57,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59" s="231"/>
      <c r="I59" s="231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>
      <c r="A60" s="215"/>
      <c r="B60" s="236"/>
      <c r="C60" s="237"/>
      <c r="D60" s="215"/>
      <c r="E60" s="23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>
      <c r="A61" s="215"/>
      <c r="B61" s="236"/>
      <c r="C61" s="237"/>
      <c r="D61" s="215"/>
      <c r="E61" s="23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>
      <c r="A62" s="215"/>
      <c r="B62" s="236"/>
      <c r="C62" s="237"/>
      <c r="D62" s="215"/>
      <c r="E62" s="23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>
      <c r="A63" s="215"/>
      <c r="B63" s="236"/>
      <c r="C63" s="237"/>
      <c r="D63" s="215"/>
      <c r="E63" s="23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>
      <c r="A64" s="215"/>
      <c r="B64" s="236"/>
      <c r="C64" s="237"/>
      <c r="D64" s="215"/>
      <c r="E64" s="23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>
      <c r="A65" s="215"/>
      <c r="B65" s="236"/>
      <c r="C65" s="237"/>
      <c r="D65" s="215"/>
      <c r="E65" s="23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>
      <c r="A66" s="215"/>
      <c r="B66" s="236"/>
      <c r="C66" s="237"/>
      <c r="D66" s="215"/>
      <c r="E66" s="23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>
      <c r="A67" s="215"/>
      <c r="B67" s="236"/>
      <c r="C67" s="237"/>
      <c r="D67" s="215"/>
      <c r="E67" s="23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>
      <c r="A68" s="215"/>
      <c r="B68" s="236"/>
      <c r="C68" s="237"/>
      <c r="D68" s="215"/>
      <c r="E68" s="23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>
      <c r="A69" s="215"/>
      <c r="B69" s="236"/>
      <c r="C69" s="237"/>
      <c r="D69" s="215"/>
      <c r="E69" s="23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A70" s="215"/>
      <c r="B70" s="236"/>
      <c r="C70" s="237"/>
      <c r="D70" s="215"/>
      <c r="E70" s="23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>
      <c r="A71" s="215"/>
      <c r="B71" s="236"/>
      <c r="C71" s="237"/>
      <c r="D71" s="215"/>
      <c r="E71" s="23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>
      <c r="A72" s="215"/>
      <c r="B72" s="236"/>
      <c r="C72" s="237"/>
      <c r="D72" s="215"/>
      <c r="E72" s="23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>
      <c r="A73" s="215"/>
      <c r="B73" s="236"/>
      <c r="C73" s="237"/>
      <c r="D73" s="215"/>
      <c r="E73" s="23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</row>
    <row r="74">
      <c r="A74" s="215"/>
      <c r="B74" s="236"/>
      <c r="C74" s="237"/>
      <c r="D74" s="215"/>
      <c r="E74" s="23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>
      <c r="A75" s="215"/>
      <c r="B75" s="236"/>
      <c r="C75" s="237"/>
      <c r="D75" s="215"/>
      <c r="E75" s="23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>
      <c r="A76" s="215"/>
      <c r="B76" s="236"/>
      <c r="C76" s="237"/>
      <c r="D76" s="215"/>
      <c r="E76" s="23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>
      <c r="A77" s="215"/>
      <c r="B77" s="236"/>
      <c r="C77" s="237"/>
      <c r="D77" s="215"/>
      <c r="E77" s="23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>
      <c r="A78" s="215"/>
      <c r="B78" s="236"/>
      <c r="C78" s="237"/>
      <c r="D78" s="215"/>
      <c r="E78" s="23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>
      <c r="A79" s="215"/>
      <c r="B79" s="236"/>
      <c r="C79" s="237"/>
      <c r="D79" s="215"/>
      <c r="E79" s="235"/>
      <c r="F79" s="215"/>
      <c r="G79" s="216" t="s">
        <v>453</v>
      </c>
      <c r="R79" s="215"/>
      <c r="S79" s="215"/>
      <c r="T79" s="215"/>
      <c r="U79" s="215"/>
      <c r="V79" s="215"/>
      <c r="W79" s="215"/>
      <c r="X79" s="215"/>
      <c r="Y79" s="215"/>
      <c r="Z79" s="215"/>
    </row>
    <row r="80">
      <c r="A80" s="215"/>
      <c r="B80" s="236"/>
      <c r="C80" s="237"/>
      <c r="D80" s="215"/>
      <c r="E80" s="235"/>
      <c r="F80" s="215"/>
      <c r="G80" s="217" t="s">
        <v>444</v>
      </c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>
      <c r="A81" s="215"/>
      <c r="B81" s="236"/>
      <c r="C81" s="237"/>
      <c r="D81" s="215"/>
      <c r="E81" s="235"/>
      <c r="F81" s="215"/>
      <c r="G81" s="221" t="s">
        <v>435</v>
      </c>
      <c r="H81" s="222" t="s">
        <v>449</v>
      </c>
      <c r="I81" s="222" t="s">
        <v>450</v>
      </c>
      <c r="J81" s="222" t="s">
        <v>389</v>
      </c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>
      <c r="A82" s="215"/>
      <c r="B82" s="236"/>
      <c r="C82" s="237"/>
      <c r="D82" s="215"/>
      <c r="E82" s="235"/>
      <c r="F82" s="215"/>
      <c r="G82" s="227" t="s">
        <v>387</v>
      </c>
      <c r="H82" s="224">
        <f>B7</f>
        <v>200000</v>
      </c>
      <c r="I82" s="239">
        <f>IF(AND(H82=0,H83=0),0,IF(AND(H82=0,H83&gt;0),1,(H83-H82)/H82))
</f>
        <v>2.375</v>
      </c>
      <c r="J82" s="229" t="str">
        <f>OKTOBER!$D$7</f>
        <v/>
      </c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>
      <c r="A83" s="215"/>
      <c r="B83" s="236"/>
      <c r="C83" s="237"/>
      <c r="D83" s="215"/>
      <c r="E83" s="235"/>
      <c r="F83" s="215"/>
      <c r="G83" s="227" t="s">
        <v>451</v>
      </c>
      <c r="H83" s="224">
        <f>C7</f>
        <v>675000</v>
      </c>
      <c r="I83" s="7"/>
      <c r="J83" s="229">
        <f>NOVEMBER!$E$7</f>
        <v>70000000</v>
      </c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>
      <c r="A84" s="215"/>
      <c r="B84" s="236"/>
      <c r="C84" s="237"/>
      <c r="D84" s="215"/>
      <c r="E84" s="23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>
      <c r="A85" s="215"/>
      <c r="B85" s="236"/>
      <c r="C85" s="237"/>
      <c r="D85" s="215"/>
      <c r="E85" s="235"/>
      <c r="F85" s="215"/>
      <c r="G85" s="230" t="str">
        <f>LET(
  bulanLalu, G82,
  bulanIni, G83,
  orderLalu, H82,
  orderIni, H83,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238% dari NOVEMBER ke DESEMBER</v>
      </c>
      <c r="H85" s="231"/>
      <c r="I85" s="231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>
      <c r="A86" s="215"/>
      <c r="B86" s="236"/>
      <c r="C86" s="237"/>
      <c r="D86" s="215"/>
      <c r="E86" s="238" t="s">
        <v>47</v>
      </c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>
      <c r="A87" s="215"/>
      <c r="B87" s="236"/>
      <c r="C87" s="237"/>
      <c r="D87" s="215"/>
      <c r="E87" s="23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>
      <c r="A88" s="215"/>
      <c r="B88" s="236"/>
      <c r="C88" s="237"/>
      <c r="D88" s="215"/>
      <c r="E88" s="23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>
      <c r="A89" s="215"/>
      <c r="B89" s="236"/>
      <c r="C89" s="237"/>
      <c r="D89" s="215"/>
      <c r="E89" s="23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>
      <c r="A90" s="215"/>
      <c r="B90" s="236"/>
      <c r="C90" s="237"/>
      <c r="D90" s="215"/>
      <c r="E90" s="23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>
      <c r="A91" s="215"/>
      <c r="B91" s="236"/>
      <c r="C91" s="237"/>
      <c r="D91" s="215"/>
      <c r="E91" s="23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>
      <c r="A92" s="215"/>
      <c r="B92" s="236"/>
      <c r="C92" s="237"/>
      <c r="D92" s="215"/>
      <c r="E92" s="23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>
      <c r="A93" s="215"/>
      <c r="B93" s="236"/>
      <c r="C93" s="237"/>
      <c r="D93" s="215"/>
      <c r="E93" s="23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>
      <c r="A94" s="215"/>
      <c r="B94" s="236"/>
      <c r="C94" s="237"/>
      <c r="D94" s="215"/>
      <c r="E94" s="23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>
      <c r="A95" s="215"/>
      <c r="B95" s="236"/>
      <c r="C95" s="237"/>
      <c r="D95" s="215"/>
      <c r="E95" s="23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>
      <c r="A96" s="215"/>
      <c r="B96" s="236"/>
      <c r="C96" s="237"/>
      <c r="D96" s="215"/>
      <c r="E96" s="23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>
      <c r="A97" s="215"/>
      <c r="B97" s="236"/>
      <c r="C97" s="237"/>
      <c r="D97" s="215"/>
      <c r="E97" s="23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>
      <c r="A98" s="215"/>
      <c r="B98" s="236"/>
      <c r="C98" s="237"/>
      <c r="D98" s="215"/>
      <c r="E98" s="23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>
      <c r="A99" s="215"/>
      <c r="B99" s="236"/>
      <c r="C99" s="237"/>
      <c r="D99" s="215"/>
      <c r="E99" s="23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>
      <c r="A100" s="215"/>
      <c r="B100" s="236"/>
      <c r="C100" s="237"/>
      <c r="D100" s="215"/>
      <c r="E100" s="23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>
      <c r="A101" s="215"/>
      <c r="B101" s="236"/>
      <c r="C101" s="237"/>
      <c r="D101" s="215"/>
      <c r="E101" s="23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>
      <c r="A102" s="215"/>
      <c r="B102" s="236"/>
      <c r="C102" s="237"/>
      <c r="D102" s="215"/>
      <c r="E102" s="23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>
      <c r="A103" s="215"/>
      <c r="B103" s="236"/>
      <c r="C103" s="237"/>
      <c r="D103" s="215"/>
      <c r="E103" s="23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>
      <c r="A104" s="215"/>
      <c r="B104" s="236"/>
      <c r="C104" s="237"/>
      <c r="D104" s="215"/>
      <c r="E104" s="235"/>
      <c r="F104" s="215"/>
      <c r="G104" s="216" t="s">
        <v>454</v>
      </c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>
      <c r="A105" s="215"/>
      <c r="B105" s="236"/>
      <c r="C105" s="237"/>
      <c r="D105" s="215"/>
      <c r="E105" s="235"/>
      <c r="F105" s="215"/>
      <c r="G105" s="240" t="s">
        <v>444</v>
      </c>
      <c r="H105" s="3"/>
      <c r="I105" s="3"/>
      <c r="J105" s="4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>
      <c r="A106" s="215"/>
      <c r="B106" s="236"/>
      <c r="C106" s="237"/>
      <c r="D106" s="215"/>
      <c r="E106" s="235"/>
      <c r="F106" s="215"/>
      <c r="G106" s="221" t="s">
        <v>435</v>
      </c>
      <c r="H106" s="222" t="s">
        <v>449</v>
      </c>
      <c r="I106" s="222" t="s">
        <v>450</v>
      </c>
      <c r="J106" s="222" t="s">
        <v>389</v>
      </c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>
      <c r="A107" s="215"/>
      <c r="B107" s="236"/>
      <c r="C107" s="237"/>
      <c r="D107" s="215"/>
      <c r="E107" s="235"/>
      <c r="F107" s="215"/>
      <c r="G107" s="227" t="s">
        <v>387</v>
      </c>
      <c r="H107" s="224">
        <f>B8</f>
        <v>0</v>
      </c>
      <c r="I107" s="228">
        <f>IF(AND(H107=0,H108=0),0,IF(AND(H107=0,H108&gt;0),1,(H108-H107)/H107))
</f>
        <v>1</v>
      </c>
      <c r="J107" s="229" t="str">
        <f>OKTOBER!$D$7</f>
        <v/>
      </c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>
      <c r="A108" s="215"/>
      <c r="B108" s="236"/>
      <c r="C108" s="237"/>
      <c r="D108" s="215"/>
      <c r="E108" s="235"/>
      <c r="F108" s="215"/>
      <c r="G108" s="227" t="s">
        <v>451</v>
      </c>
      <c r="H108" s="224">
        <f>C8</f>
        <v>205000</v>
      </c>
      <c r="I108" s="7"/>
      <c r="J108" s="229">
        <f>NOVEMBER!$E$7</f>
        <v>70000000</v>
      </c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>
      <c r="A109" s="215"/>
      <c r="B109" s="236"/>
      <c r="C109" s="237"/>
      <c r="D109" s="215"/>
      <c r="E109" s="23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>
      <c r="A110" s="215"/>
      <c r="B110" s="236"/>
      <c r="C110" s="237"/>
      <c r="D110" s="215"/>
      <c r="E110" s="235"/>
      <c r="F110" s="215"/>
      <c r="G110" s="230" t="str">
        <f>LET(
  bulanLalu, G107,
  bulanIni, G108,
  orderLalu, H107,
  orderIni, H108,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110" s="231"/>
      <c r="I110" s="231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>
      <c r="A111" s="215"/>
      <c r="B111" s="236"/>
      <c r="C111" s="237"/>
      <c r="D111" s="215"/>
      <c r="E111" s="23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>
      <c r="A112" s="215"/>
      <c r="B112" s="236"/>
      <c r="C112" s="237"/>
      <c r="D112" s="215"/>
      <c r="E112" s="23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>
      <c r="A113" s="215"/>
      <c r="B113" s="236"/>
      <c r="C113" s="237"/>
      <c r="D113" s="215"/>
      <c r="E113" s="23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>
      <c r="A114" s="215"/>
      <c r="B114" s="236"/>
      <c r="C114" s="237"/>
      <c r="D114" s="215"/>
      <c r="E114" s="23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>
      <c r="A115" s="215"/>
      <c r="B115" s="236"/>
      <c r="C115" s="237"/>
      <c r="D115" s="215"/>
      <c r="E115" s="23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>
      <c r="A116" s="215"/>
      <c r="B116" s="236"/>
      <c r="C116" s="237"/>
      <c r="D116" s="215"/>
      <c r="E116" s="23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>
      <c r="A117" s="215"/>
      <c r="B117" s="236"/>
      <c r="C117" s="237"/>
      <c r="D117" s="215"/>
      <c r="E117" s="23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>
      <c r="A118" s="215"/>
      <c r="B118" s="236"/>
      <c r="C118" s="237"/>
      <c r="D118" s="215"/>
      <c r="E118" s="23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>
      <c r="A119" s="215"/>
      <c r="B119" s="236"/>
      <c r="C119" s="237"/>
      <c r="D119" s="215"/>
      <c r="E119" s="23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>
      <c r="A120" s="215"/>
      <c r="B120" s="236"/>
      <c r="C120" s="237"/>
      <c r="D120" s="215"/>
      <c r="E120" s="23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>
      <c r="A121" s="215"/>
      <c r="B121" s="236"/>
      <c r="C121" s="237"/>
      <c r="D121" s="215"/>
      <c r="E121" s="23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>
      <c r="A122" s="215"/>
      <c r="B122" s="236"/>
      <c r="C122" s="237"/>
      <c r="D122" s="215"/>
      <c r="E122" s="23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>
      <c r="A123" s="215"/>
      <c r="B123" s="236"/>
      <c r="C123" s="237"/>
      <c r="D123" s="215"/>
      <c r="E123" s="23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>
      <c r="A124" s="215"/>
      <c r="B124" s="236"/>
      <c r="C124" s="237"/>
      <c r="D124" s="215"/>
      <c r="E124" s="23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>
      <c r="A125" s="215"/>
      <c r="B125" s="236"/>
      <c r="C125" s="237"/>
      <c r="D125" s="215"/>
      <c r="E125" s="23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>
      <c r="A126" s="215"/>
      <c r="B126" s="236"/>
      <c r="C126" s="237"/>
      <c r="D126" s="215"/>
      <c r="E126" s="23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>
      <c r="A127" s="215"/>
      <c r="B127" s="236"/>
      <c r="C127" s="237"/>
      <c r="D127" s="215"/>
      <c r="E127" s="23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>
      <c r="A128" s="215"/>
      <c r="B128" s="236"/>
      <c r="C128" s="237"/>
      <c r="D128" s="215"/>
      <c r="E128" s="23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>
      <c r="A129" s="215"/>
      <c r="B129" s="236"/>
      <c r="C129" s="237"/>
      <c r="D129" s="215"/>
      <c r="E129" s="235"/>
      <c r="F129" s="215"/>
      <c r="G129" s="216" t="s">
        <v>455</v>
      </c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>
      <c r="A130" s="215"/>
      <c r="B130" s="236"/>
      <c r="C130" s="237"/>
      <c r="D130" s="215"/>
      <c r="E130" s="235"/>
      <c r="F130" s="215"/>
      <c r="G130" s="240" t="s">
        <v>444</v>
      </c>
      <c r="H130" s="3"/>
      <c r="I130" s="3"/>
      <c r="J130" s="4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215"/>
      <c r="B131" s="236"/>
      <c r="C131" s="237"/>
      <c r="D131" s="215"/>
      <c r="E131" s="235"/>
      <c r="F131" s="215"/>
      <c r="G131" s="221" t="s">
        <v>435</v>
      </c>
      <c r="H131" s="222" t="s">
        <v>449</v>
      </c>
      <c r="I131" s="222" t="s">
        <v>450</v>
      </c>
      <c r="J131" s="222" t="s">
        <v>389</v>
      </c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>
      <c r="A132" s="215"/>
      <c r="B132" s="236"/>
      <c r="C132" s="237"/>
      <c r="D132" s="215"/>
      <c r="E132" s="235"/>
      <c r="F132" s="215"/>
      <c r="G132" s="241" t="s">
        <v>386</v>
      </c>
      <c r="H132" s="224">
        <f>B9</f>
        <v>0</v>
      </c>
      <c r="I132" s="242">
        <f>IF(AND(H132=0,H133=0),0,IF(AND(H132=0,H133&gt;0),1,(H133-H132)/H132))
</f>
        <v>0</v>
      </c>
      <c r="J132" s="229" t="str">
        <f>OKTOBER!$D$7</f>
        <v/>
      </c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>
      <c r="A133" s="215"/>
      <c r="B133" s="236"/>
      <c r="C133" s="237"/>
      <c r="D133" s="215"/>
      <c r="E133" s="235"/>
      <c r="F133" s="215"/>
      <c r="G133" s="241" t="s">
        <v>387</v>
      </c>
      <c r="H133" s="224">
        <f>C9</f>
        <v>0</v>
      </c>
      <c r="I133" s="7"/>
      <c r="J133" s="229">
        <f>NOVEMBER!$E$7</f>
        <v>70000000</v>
      </c>
      <c r="K133" s="238" t="s">
        <v>47</v>
      </c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>
      <c r="A134" s="215"/>
      <c r="B134" s="236"/>
      <c r="C134" s="237"/>
      <c r="D134" s="215"/>
      <c r="E134" s="23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>
      <c r="A135" s="215"/>
      <c r="B135" s="236"/>
      <c r="C135" s="237"/>
      <c r="D135" s="215"/>
      <c r="E135" s="235"/>
      <c r="F135" s="215"/>
      <c r="G135" s="230" t="str">
        <f>LET(
  bulanLalu, G132,
  bulanIni, G133,
  orderLalu, H132,
  orderIni, H133,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135" s="231"/>
      <c r="I135" s="231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>
      <c r="A136" s="215"/>
      <c r="B136" s="236"/>
      <c r="C136" s="237"/>
      <c r="D136" s="215"/>
      <c r="E136" s="23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>
      <c r="A137" s="215"/>
      <c r="B137" s="236"/>
      <c r="C137" s="237"/>
      <c r="D137" s="215"/>
      <c r="E137" s="23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>
      <c r="A138" s="215"/>
      <c r="B138" s="236"/>
      <c r="C138" s="237"/>
      <c r="D138" s="215"/>
      <c r="E138" s="23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>
      <c r="A139" s="215"/>
      <c r="B139" s="236"/>
      <c r="C139" s="237"/>
      <c r="D139" s="215"/>
      <c r="E139" s="23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>
      <c r="A140" s="215"/>
      <c r="B140" s="236"/>
      <c r="C140" s="237"/>
      <c r="D140" s="215"/>
      <c r="E140" s="23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>
      <c r="A141" s="215"/>
      <c r="B141" s="236"/>
      <c r="C141" s="237"/>
      <c r="D141" s="215"/>
      <c r="E141" s="23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>
      <c r="A142" s="215"/>
      <c r="B142" s="236"/>
      <c r="C142" s="237"/>
      <c r="D142" s="215"/>
      <c r="E142" s="23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>
      <c r="A143" s="215"/>
      <c r="B143" s="236"/>
      <c r="C143" s="237"/>
      <c r="D143" s="215"/>
      <c r="E143" s="23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>
      <c r="A144" s="215"/>
      <c r="B144" s="236"/>
      <c r="C144" s="237"/>
      <c r="D144" s="215"/>
      <c r="E144" s="23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>
      <c r="A145" s="215"/>
      <c r="B145" s="236"/>
      <c r="C145" s="237"/>
      <c r="D145" s="215"/>
      <c r="E145" s="23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>
      <c r="A146" s="215"/>
      <c r="B146" s="236"/>
      <c r="C146" s="237"/>
      <c r="D146" s="215"/>
      <c r="E146" s="23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>
      <c r="A147" s="215"/>
      <c r="B147" s="236"/>
      <c r="C147" s="237"/>
      <c r="D147" s="215"/>
      <c r="E147" s="23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>
      <c r="A148" s="215"/>
      <c r="B148" s="236"/>
      <c r="C148" s="237"/>
      <c r="D148" s="215"/>
      <c r="E148" s="23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>
      <c r="A149" s="215"/>
      <c r="B149" s="236"/>
      <c r="C149" s="237"/>
      <c r="D149" s="215"/>
      <c r="E149" s="23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>
      <c r="A150" s="215"/>
      <c r="B150" s="236"/>
      <c r="C150" s="237"/>
      <c r="D150" s="215"/>
      <c r="E150" s="23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>
      <c r="A151" s="215"/>
      <c r="B151" s="236"/>
      <c r="C151" s="237"/>
      <c r="D151" s="215"/>
      <c r="E151" s="23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>
      <c r="A152" s="215"/>
      <c r="B152" s="236"/>
      <c r="C152" s="237"/>
      <c r="D152" s="215"/>
      <c r="E152" s="23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>
      <c r="A153" s="215"/>
      <c r="B153" s="236"/>
      <c r="C153" s="237"/>
      <c r="D153" s="215"/>
      <c r="E153" s="23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>
      <c r="A154" s="215"/>
      <c r="B154" s="236"/>
      <c r="C154" s="237"/>
      <c r="D154" s="215"/>
      <c r="E154" s="235"/>
      <c r="F154" s="215"/>
      <c r="G154" s="216" t="s">
        <v>456</v>
      </c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>
      <c r="A155" s="215"/>
      <c r="B155" s="236"/>
      <c r="C155" s="237"/>
      <c r="D155" s="215"/>
      <c r="E155" s="235"/>
      <c r="F155" s="215"/>
      <c r="G155" s="240" t="s">
        <v>444</v>
      </c>
      <c r="H155" s="3"/>
      <c r="I155" s="3"/>
      <c r="J155" s="4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>
      <c r="A156" s="215"/>
      <c r="B156" s="236"/>
      <c r="C156" s="237"/>
      <c r="D156" s="215"/>
      <c r="E156" s="235"/>
      <c r="F156" s="215"/>
      <c r="G156" s="221" t="s">
        <v>435</v>
      </c>
      <c r="H156" s="222" t="s">
        <v>449</v>
      </c>
      <c r="I156" s="222" t="s">
        <v>450</v>
      </c>
      <c r="J156" s="222" t="s">
        <v>389</v>
      </c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>
      <c r="A157" s="215"/>
      <c r="B157" s="236"/>
      <c r="C157" s="237"/>
      <c r="D157" s="215"/>
      <c r="E157" s="235"/>
      <c r="F157" s="215"/>
      <c r="G157" s="241" t="s">
        <v>386</v>
      </c>
      <c r="H157" s="224">
        <f>B11</f>
        <v>0</v>
      </c>
      <c r="I157" s="242">
        <f>IF(AND(H157=0,H158=0),0,IF(AND(H157=0,H158&gt;0),1,(H158-H157)/H157))
</f>
        <v>0</v>
      </c>
      <c r="J157" s="229" t="str">
        <f>OKTOBER!$D$7</f>
        <v/>
      </c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>
      <c r="A158" s="215"/>
      <c r="B158" s="236"/>
      <c r="C158" s="237"/>
      <c r="D158" s="215"/>
      <c r="E158" s="235"/>
      <c r="F158" s="215"/>
      <c r="G158" s="241" t="s">
        <v>387</v>
      </c>
      <c r="H158" s="224">
        <f>C11</f>
        <v>0</v>
      </c>
      <c r="I158" s="7"/>
      <c r="J158" s="229">
        <f>NOVEMBER!$E$7</f>
        <v>70000000</v>
      </c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>
      <c r="A159" s="215"/>
      <c r="B159" s="236"/>
      <c r="C159" s="237"/>
      <c r="D159" s="215"/>
      <c r="E159" s="23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>
      <c r="A160" s="215"/>
      <c r="B160" s="236"/>
      <c r="C160" s="237"/>
      <c r="D160" s="215"/>
      <c r="E160" s="235"/>
      <c r="F160" s="215"/>
      <c r="G160" s="230" t="str">
        <f>LET(
  bulanLalu, G157,
  bulanIni, G158,
  orderLalu, H157,
  orderIni, H158,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160" s="231"/>
      <c r="I160" s="231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>
      <c r="A161" s="215"/>
      <c r="B161" s="236"/>
      <c r="C161" s="237"/>
      <c r="D161" s="215"/>
      <c r="E161" s="23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>
      <c r="A162" s="215"/>
      <c r="B162" s="236"/>
      <c r="C162" s="237"/>
      <c r="D162" s="215"/>
      <c r="E162" s="23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>
      <c r="A163" s="215"/>
      <c r="B163" s="236"/>
      <c r="C163" s="237"/>
      <c r="D163" s="215"/>
      <c r="E163" s="23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>
      <c r="A164" s="215"/>
      <c r="B164" s="236"/>
      <c r="C164" s="237"/>
      <c r="D164" s="215"/>
      <c r="E164" s="23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>
      <c r="A165" s="215"/>
      <c r="B165" s="236"/>
      <c r="C165" s="237"/>
      <c r="D165" s="215"/>
      <c r="E165" s="23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>
      <c r="A166" s="215"/>
      <c r="B166" s="236"/>
      <c r="C166" s="237"/>
      <c r="D166" s="215"/>
      <c r="E166" s="23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>
      <c r="A167" s="215"/>
      <c r="B167" s="236"/>
      <c r="C167" s="237"/>
      <c r="D167" s="215"/>
      <c r="E167" s="23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>
      <c r="A168" s="215"/>
      <c r="B168" s="236"/>
      <c r="C168" s="237"/>
      <c r="D168" s="215"/>
      <c r="E168" s="23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>
      <c r="A169" s="215"/>
      <c r="B169" s="236"/>
      <c r="C169" s="237"/>
      <c r="D169" s="215"/>
      <c r="E169" s="23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>
      <c r="A170" s="215"/>
      <c r="B170" s="236"/>
      <c r="C170" s="237"/>
      <c r="D170" s="215"/>
      <c r="E170" s="23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>
      <c r="A171" s="215"/>
      <c r="B171" s="236"/>
      <c r="C171" s="237"/>
      <c r="D171" s="215"/>
      <c r="E171" s="23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>
      <c r="A172" s="215"/>
      <c r="B172" s="236"/>
      <c r="C172" s="237"/>
      <c r="D172" s="215"/>
      <c r="E172" s="23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>
      <c r="A173" s="215"/>
      <c r="B173" s="236"/>
      <c r="C173" s="237"/>
      <c r="D173" s="215"/>
      <c r="E173" s="23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>
      <c r="A174" s="215"/>
      <c r="B174" s="236"/>
      <c r="C174" s="237"/>
      <c r="D174" s="215"/>
      <c r="E174" s="23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>
      <c r="A175" s="215"/>
      <c r="B175" s="236"/>
      <c r="C175" s="237"/>
      <c r="D175" s="215"/>
      <c r="E175" s="23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>
      <c r="A176" s="215"/>
      <c r="B176" s="236"/>
      <c r="C176" s="237"/>
      <c r="D176" s="215"/>
      <c r="E176" s="23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>
      <c r="A177" s="215"/>
      <c r="B177" s="236"/>
      <c r="C177" s="237"/>
      <c r="D177" s="215"/>
      <c r="E177" s="23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>
      <c r="A178" s="215"/>
      <c r="B178" s="236"/>
      <c r="C178" s="237"/>
      <c r="D178" s="215"/>
      <c r="E178" s="23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>
      <c r="A179" s="215"/>
      <c r="B179" s="236"/>
      <c r="C179" s="237"/>
      <c r="D179" s="215"/>
      <c r="E179" s="235"/>
      <c r="F179" s="215"/>
      <c r="G179" s="243" t="s">
        <v>457</v>
      </c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>
      <c r="A180" s="215"/>
      <c r="B180" s="236"/>
      <c r="C180" s="237"/>
      <c r="D180" s="215"/>
      <c r="E180" s="235"/>
      <c r="F180" s="215"/>
      <c r="G180" s="216" t="s">
        <v>458</v>
      </c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>
      <c r="A181" s="215"/>
      <c r="B181" s="236"/>
      <c r="C181" s="237"/>
      <c r="D181" s="215"/>
      <c r="E181" s="235"/>
      <c r="F181" s="215"/>
      <c r="G181" s="240" t="s">
        <v>444</v>
      </c>
      <c r="H181" s="3"/>
      <c r="I181" s="3"/>
      <c r="J181" s="4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>
      <c r="A182" s="215"/>
      <c r="B182" s="236"/>
      <c r="C182" s="237"/>
      <c r="D182" s="215"/>
      <c r="E182" s="235"/>
      <c r="F182" s="215"/>
      <c r="G182" s="221" t="s">
        <v>435</v>
      </c>
      <c r="H182" s="222" t="s">
        <v>449</v>
      </c>
      <c r="I182" s="222" t="s">
        <v>450</v>
      </c>
      <c r="J182" s="222" t="s">
        <v>389</v>
      </c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>
      <c r="A183" s="215"/>
      <c r="B183" s="236"/>
      <c r="C183" s="237"/>
      <c r="D183" s="215"/>
      <c r="E183" s="235"/>
      <c r="F183" s="215"/>
      <c r="G183" s="241" t="s">
        <v>386</v>
      </c>
      <c r="H183" s="224">
        <f>B12</f>
        <v>0</v>
      </c>
      <c r="I183" s="242">
        <f>IF(AND(H183=0,H184=0),0,IF(AND(H183=0,H184&gt;0),1,(H184-H183)/H183))
</f>
        <v>0</v>
      </c>
      <c r="J183" s="229" t="str">
        <f>OKTOBER!$D$7</f>
        <v/>
      </c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>
      <c r="A184" s="215"/>
      <c r="B184" s="236"/>
      <c r="C184" s="237"/>
      <c r="D184" s="215"/>
      <c r="E184" s="235"/>
      <c r="F184" s="215"/>
      <c r="G184" s="241" t="s">
        <v>387</v>
      </c>
      <c r="H184" s="224">
        <f>C12</f>
        <v>0</v>
      </c>
      <c r="I184" s="7"/>
      <c r="J184" s="229">
        <f>NOVEMBER!$E$7</f>
        <v>70000000</v>
      </c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>
      <c r="A185" s="215"/>
      <c r="B185" s="236"/>
      <c r="C185" s="237"/>
      <c r="D185" s="215"/>
      <c r="E185" s="23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>
      <c r="A186" s="215"/>
      <c r="B186" s="236"/>
      <c r="C186" s="237"/>
      <c r="D186" s="215"/>
      <c r="E186" s="235"/>
      <c r="F186" s="215"/>
      <c r="G186" s="230" t="str">
        <f>LET(
  bulanLalu, G183,
  bulanIni, G184,
  orderLalu, H183,
  orderIni, H184,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186" s="231"/>
      <c r="I186" s="231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>
      <c r="A187" s="215"/>
      <c r="B187" s="236"/>
      <c r="C187" s="237"/>
      <c r="D187" s="215"/>
      <c r="E187" s="23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>
      <c r="A188" s="215"/>
      <c r="B188" s="236"/>
      <c r="C188" s="237"/>
      <c r="D188" s="215"/>
      <c r="E188" s="23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>
      <c r="A189" s="215"/>
      <c r="B189" s="236"/>
      <c r="C189" s="237"/>
      <c r="D189" s="215"/>
      <c r="E189" s="23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>
      <c r="A190" s="215"/>
      <c r="B190" s="236"/>
      <c r="C190" s="237"/>
      <c r="D190" s="215"/>
      <c r="E190" s="23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>
      <c r="A191" s="215"/>
      <c r="B191" s="236"/>
      <c r="C191" s="237"/>
      <c r="D191" s="215"/>
      <c r="E191" s="23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>
      <c r="A192" s="215"/>
      <c r="B192" s="236"/>
      <c r="C192" s="237"/>
      <c r="D192" s="215"/>
      <c r="E192" s="23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>
      <c r="A193" s="215"/>
      <c r="B193" s="236"/>
      <c r="C193" s="237"/>
      <c r="D193" s="215"/>
      <c r="E193" s="23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>
      <c r="A194" s="215"/>
      <c r="B194" s="236"/>
      <c r="C194" s="237"/>
      <c r="D194" s="215"/>
      <c r="E194" s="23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>
      <c r="A195" s="215"/>
      <c r="B195" s="236"/>
      <c r="C195" s="237"/>
      <c r="D195" s="215"/>
      <c r="E195" s="23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>
      <c r="A196" s="215"/>
      <c r="B196" s="236"/>
      <c r="C196" s="237"/>
      <c r="D196" s="215"/>
      <c r="E196" s="23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>
      <c r="A197" s="215"/>
      <c r="B197" s="236"/>
      <c r="C197" s="237"/>
      <c r="D197" s="215"/>
      <c r="E197" s="23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>
      <c r="A198" s="215"/>
      <c r="B198" s="236"/>
      <c r="C198" s="237"/>
      <c r="D198" s="215"/>
      <c r="E198" s="23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>
      <c r="A199" s="215"/>
      <c r="B199" s="236"/>
      <c r="C199" s="237"/>
      <c r="D199" s="215"/>
      <c r="E199" s="23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>
      <c r="A200" s="215"/>
      <c r="B200" s="236"/>
      <c r="C200" s="237"/>
      <c r="D200" s="215"/>
      <c r="E200" s="23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>
      <c r="A201" s="215"/>
      <c r="B201" s="236"/>
      <c r="C201" s="237"/>
      <c r="D201" s="215"/>
      <c r="E201" s="23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>
      <c r="A202" s="215"/>
      <c r="B202" s="236"/>
      <c r="C202" s="237"/>
      <c r="D202" s="215"/>
      <c r="E202" s="23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>
      <c r="A203" s="215"/>
      <c r="B203" s="236"/>
      <c r="C203" s="237"/>
      <c r="D203" s="215"/>
      <c r="E203" s="23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>
      <c r="A204" s="215"/>
      <c r="B204" s="236"/>
      <c r="C204" s="237"/>
      <c r="D204" s="215"/>
      <c r="E204" s="23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>
      <c r="A205" s="215"/>
      <c r="B205" s="236"/>
      <c r="C205" s="237"/>
      <c r="D205" s="215"/>
      <c r="E205" s="235"/>
      <c r="F205" s="215"/>
      <c r="G205" s="216" t="s">
        <v>459</v>
      </c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>
      <c r="A206" s="215"/>
      <c r="B206" s="236"/>
      <c r="C206" s="237"/>
      <c r="D206" s="215"/>
      <c r="E206" s="235"/>
      <c r="F206" s="215"/>
      <c r="G206" s="240" t="s">
        <v>444</v>
      </c>
      <c r="H206" s="3"/>
      <c r="I206" s="3"/>
      <c r="J206" s="4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>
      <c r="A207" s="215"/>
      <c r="B207" s="236"/>
      <c r="C207" s="237"/>
      <c r="D207" s="215"/>
      <c r="E207" s="235"/>
      <c r="F207" s="215"/>
      <c r="G207" s="221" t="s">
        <v>435</v>
      </c>
      <c r="H207" s="222" t="s">
        <v>449</v>
      </c>
      <c r="I207" s="222" t="s">
        <v>450</v>
      </c>
      <c r="J207" s="222" t="s">
        <v>389</v>
      </c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>
      <c r="A208" s="215"/>
      <c r="B208" s="236"/>
      <c r="C208" s="237"/>
      <c r="D208" s="215"/>
      <c r="E208" s="235"/>
      <c r="F208" s="215"/>
      <c r="G208" s="241" t="s">
        <v>386</v>
      </c>
      <c r="H208" s="224">
        <f>B13</f>
        <v>0</v>
      </c>
      <c r="I208" s="242">
        <f>IF(AND(H208=0,H209=0),0,IF(AND(H208=0,H209&gt;0),1,(H209-H208)/H208))
</f>
        <v>0</v>
      </c>
      <c r="J208" s="229" t="str">
        <f>OKTOBER!$D$7</f>
        <v/>
      </c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>
      <c r="A209" s="215"/>
      <c r="B209" s="236"/>
      <c r="C209" s="237"/>
      <c r="D209" s="215"/>
      <c r="E209" s="235"/>
      <c r="F209" s="215"/>
      <c r="G209" s="241" t="s">
        <v>387</v>
      </c>
      <c r="H209" s="224">
        <f>C13</f>
        <v>0</v>
      </c>
      <c r="I209" s="7"/>
      <c r="J209" s="229">
        <f>NOVEMBER!$E$7</f>
        <v>70000000</v>
      </c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>
      <c r="A210" s="215"/>
      <c r="B210" s="236"/>
      <c r="C210" s="237"/>
      <c r="D210" s="215"/>
      <c r="E210" s="23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>
      <c r="A211" s="215"/>
      <c r="B211" s="236"/>
      <c r="C211" s="237"/>
      <c r="D211" s="215"/>
      <c r="E211" s="235"/>
      <c r="F211" s="215"/>
      <c r="G211" s="230" t="str">
        <f>LET(
  bulanLalu, G208,
  bulanIni, G209,
  orderLalu, H208,
  orderIni, H209,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211" s="231"/>
      <c r="I211" s="231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>
      <c r="A212" s="215"/>
      <c r="B212" s="236"/>
      <c r="C212" s="237"/>
      <c r="D212" s="215"/>
      <c r="E212" s="23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>
      <c r="A213" s="215"/>
      <c r="B213" s="236"/>
      <c r="C213" s="237"/>
      <c r="D213" s="215"/>
      <c r="E213" s="23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>
      <c r="A214" s="215"/>
      <c r="B214" s="236"/>
      <c r="C214" s="237"/>
      <c r="D214" s="215"/>
      <c r="E214" s="23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>
      <c r="A215" s="215"/>
      <c r="B215" s="236"/>
      <c r="C215" s="237"/>
      <c r="D215" s="215"/>
      <c r="E215" s="23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>
      <c r="A216" s="215"/>
      <c r="B216" s="236"/>
      <c r="C216" s="237"/>
      <c r="D216" s="215"/>
      <c r="E216" s="23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>
      <c r="A217" s="215"/>
      <c r="B217" s="236"/>
      <c r="C217" s="237"/>
      <c r="D217" s="215"/>
      <c r="E217" s="23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>
      <c r="A218" s="215"/>
      <c r="B218" s="236"/>
      <c r="C218" s="237"/>
      <c r="D218" s="215"/>
      <c r="E218" s="23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>
      <c r="A219" s="215"/>
      <c r="B219" s="236"/>
      <c r="C219" s="237"/>
      <c r="D219" s="215"/>
      <c r="E219" s="23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>
      <c r="A220" s="215"/>
      <c r="B220" s="236"/>
      <c r="C220" s="237"/>
      <c r="D220" s="215"/>
      <c r="E220" s="23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>
      <c r="A221" s="215"/>
      <c r="B221" s="236"/>
      <c r="C221" s="237"/>
      <c r="D221" s="215"/>
      <c r="E221" s="23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>
      <c r="A222" s="215"/>
      <c r="B222" s="236"/>
      <c r="C222" s="237"/>
      <c r="D222" s="215"/>
      <c r="E222" s="23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>
      <c r="A223" s="215"/>
      <c r="B223" s="236"/>
      <c r="C223" s="237"/>
      <c r="D223" s="215"/>
      <c r="E223" s="23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>
      <c r="A224" s="215"/>
      <c r="B224" s="236"/>
      <c r="C224" s="237"/>
      <c r="D224" s="215"/>
      <c r="E224" s="23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>
      <c r="A225" s="215"/>
      <c r="B225" s="236"/>
      <c r="C225" s="237"/>
      <c r="D225" s="215"/>
      <c r="E225" s="23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>
      <c r="A226" s="215"/>
      <c r="B226" s="236"/>
      <c r="C226" s="237"/>
      <c r="D226" s="215"/>
      <c r="E226" s="23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>
      <c r="A227" s="215"/>
      <c r="B227" s="236"/>
      <c r="C227" s="237"/>
      <c r="D227" s="215"/>
      <c r="E227" s="23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>
      <c r="A228" s="215"/>
      <c r="B228" s="236"/>
      <c r="C228" s="237"/>
      <c r="D228" s="215"/>
      <c r="E228" s="23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>
      <c r="A229" s="215"/>
      <c r="B229" s="236"/>
      <c r="C229" s="237"/>
      <c r="D229" s="215"/>
      <c r="E229" s="23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>
      <c r="A230" s="215"/>
      <c r="B230" s="236"/>
      <c r="C230" s="237"/>
      <c r="D230" s="215"/>
      <c r="E230" s="235"/>
      <c r="F230" s="215"/>
      <c r="G230" s="216" t="s">
        <v>460</v>
      </c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>
      <c r="A231" s="215"/>
      <c r="B231" s="236"/>
      <c r="C231" s="237"/>
      <c r="D231" s="215"/>
      <c r="E231" s="235"/>
      <c r="F231" s="215"/>
      <c r="G231" s="240" t="s">
        <v>444</v>
      </c>
      <c r="H231" s="3"/>
      <c r="I231" s="3"/>
      <c r="J231" s="4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>
      <c r="A232" s="215"/>
      <c r="B232" s="236"/>
      <c r="C232" s="237"/>
      <c r="D232" s="215"/>
      <c r="E232" s="235"/>
      <c r="F232" s="215"/>
      <c r="G232" s="221" t="s">
        <v>435</v>
      </c>
      <c r="H232" s="222" t="s">
        <v>449</v>
      </c>
      <c r="I232" s="222" t="s">
        <v>450</v>
      </c>
      <c r="J232" s="222" t="s">
        <v>389</v>
      </c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>
      <c r="A233" s="215"/>
      <c r="B233" s="236"/>
      <c r="C233" s="237"/>
      <c r="D233" s="215"/>
      <c r="E233" s="235"/>
      <c r="F233" s="215"/>
      <c r="G233" s="227" t="s">
        <v>387</v>
      </c>
      <c r="H233" s="224">
        <f>B14</f>
        <v>3215000</v>
      </c>
      <c r="I233" s="242">
        <f>IF(AND(H233=0,H234=0),0,IF(AND(H233=0,H234&gt;0),1,(H234-H233)/H233))
</f>
        <v>-1</v>
      </c>
      <c r="J233" s="229" t="str">
        <f>OKTOBER!$D$7</f>
        <v/>
      </c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>
      <c r="A234" s="215"/>
      <c r="B234" s="236"/>
      <c r="C234" s="237"/>
      <c r="D234" s="215"/>
      <c r="E234" s="235"/>
      <c r="F234" s="215"/>
      <c r="G234" s="227" t="s">
        <v>451</v>
      </c>
      <c r="H234" s="224">
        <f>C14</f>
        <v>0</v>
      </c>
      <c r="I234" s="7"/>
      <c r="J234" s="229">
        <f>NOVEMBER!$E$7</f>
        <v>70000000</v>
      </c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>
      <c r="A235" s="215"/>
      <c r="B235" s="236"/>
      <c r="C235" s="237"/>
      <c r="D235" s="215"/>
      <c r="E235" s="235"/>
      <c r="F235" s="215"/>
      <c r="G235" s="215"/>
      <c r="H235" s="215"/>
      <c r="I235" s="215"/>
      <c r="J235" s="215"/>
      <c r="K235" s="215"/>
      <c r="L235" s="238" t="s">
        <v>47</v>
      </c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>
      <c r="A236" s="215"/>
      <c r="B236" s="236"/>
      <c r="C236" s="237"/>
      <c r="D236" s="215"/>
      <c r="E236" s="235"/>
      <c r="F236" s="215"/>
      <c r="G236" s="230" t="str">
        <f>LET(
  bulanLalu, G233,
  bulanIni, G234,
  orderLalu, H233,
  orderIni, H234,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236" s="231"/>
      <c r="I236" s="231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>
      <c r="A237" s="215"/>
      <c r="B237" s="236"/>
      <c r="C237" s="237"/>
      <c r="D237" s="215"/>
      <c r="E237" s="23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>
      <c r="A238" s="215"/>
      <c r="B238" s="236"/>
      <c r="C238" s="237"/>
      <c r="D238" s="215"/>
      <c r="E238" s="23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>
      <c r="A239" s="215"/>
      <c r="B239" s="236"/>
      <c r="C239" s="237"/>
      <c r="D239" s="215"/>
      <c r="E239" s="23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>
      <c r="A240" s="215"/>
      <c r="B240" s="236"/>
      <c r="C240" s="237"/>
      <c r="D240" s="215"/>
      <c r="E240" s="23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>
      <c r="A241" s="215"/>
      <c r="B241" s="236"/>
      <c r="C241" s="237"/>
      <c r="D241" s="215"/>
      <c r="E241" s="23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>
      <c r="A242" s="215"/>
      <c r="B242" s="236"/>
      <c r="C242" s="237"/>
      <c r="D242" s="215"/>
      <c r="E242" s="23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>
      <c r="A243" s="215"/>
      <c r="B243" s="236"/>
      <c r="C243" s="237"/>
      <c r="D243" s="215"/>
      <c r="E243" s="23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>
      <c r="A244" s="215"/>
      <c r="B244" s="236"/>
      <c r="C244" s="237"/>
      <c r="D244" s="215"/>
      <c r="E244" s="23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>
      <c r="A245" s="215"/>
      <c r="B245" s="236"/>
      <c r="C245" s="237"/>
      <c r="D245" s="215"/>
      <c r="E245" s="23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>
      <c r="A246" s="215"/>
      <c r="B246" s="236"/>
      <c r="C246" s="237"/>
      <c r="D246" s="215"/>
      <c r="E246" s="23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>
      <c r="A247" s="215"/>
      <c r="B247" s="236"/>
      <c r="C247" s="237"/>
      <c r="D247" s="215"/>
      <c r="E247" s="23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>
      <c r="A248" s="215"/>
      <c r="B248" s="236"/>
      <c r="C248" s="237"/>
      <c r="D248" s="215"/>
      <c r="E248" s="23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>
      <c r="A249" s="215"/>
      <c r="B249" s="236"/>
      <c r="C249" s="237"/>
      <c r="D249" s="215"/>
      <c r="E249" s="23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>
      <c r="A250" s="215"/>
      <c r="B250" s="236"/>
      <c r="C250" s="237"/>
      <c r="D250" s="215"/>
      <c r="E250" s="23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>
      <c r="A251" s="215"/>
      <c r="B251" s="236"/>
      <c r="C251" s="237"/>
      <c r="D251" s="215"/>
      <c r="E251" s="23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>
      <c r="A252" s="215"/>
      <c r="B252" s="236"/>
      <c r="C252" s="237"/>
      <c r="D252" s="215"/>
      <c r="E252" s="23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>
      <c r="A253" s="215"/>
      <c r="B253" s="236"/>
      <c r="C253" s="237"/>
      <c r="D253" s="215"/>
      <c r="E253" s="23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>
      <c r="A254" s="215"/>
      <c r="B254" s="236"/>
      <c r="C254" s="237"/>
      <c r="D254" s="215"/>
      <c r="E254" s="23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>
      <c r="A255" s="215"/>
      <c r="B255" s="236"/>
      <c r="C255" s="237"/>
      <c r="D255" s="215"/>
      <c r="E255" s="23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>
      <c r="A256" s="215"/>
      <c r="B256" s="236"/>
      <c r="C256" s="237"/>
      <c r="D256" s="215"/>
      <c r="E256" s="235"/>
      <c r="F256" s="215"/>
      <c r="G256" s="216" t="s">
        <v>461</v>
      </c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>
      <c r="A257" s="215"/>
      <c r="B257" s="236"/>
      <c r="C257" s="237"/>
      <c r="D257" s="215"/>
      <c r="E257" s="235"/>
      <c r="F257" s="215"/>
      <c r="G257" s="240" t="s">
        <v>444</v>
      </c>
      <c r="H257" s="3"/>
      <c r="I257" s="3"/>
      <c r="J257" s="4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>
      <c r="A258" s="215"/>
      <c r="B258" s="236"/>
      <c r="C258" s="237"/>
      <c r="D258" s="215"/>
      <c r="E258" s="235"/>
      <c r="F258" s="215"/>
      <c r="G258" s="221" t="s">
        <v>435</v>
      </c>
      <c r="H258" s="222" t="s">
        <v>449</v>
      </c>
      <c r="I258" s="222" t="s">
        <v>450</v>
      </c>
      <c r="J258" s="222" t="s">
        <v>389</v>
      </c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>
      <c r="A259" s="215"/>
      <c r="B259" s="236"/>
      <c r="C259" s="237"/>
      <c r="D259" s="215"/>
      <c r="E259" s="235"/>
      <c r="F259" s="215"/>
      <c r="G259" s="227" t="s">
        <v>387</v>
      </c>
      <c r="H259" s="224">
        <f>B15</f>
        <v>11535000</v>
      </c>
      <c r="I259" s="242">
        <f>IF(AND(H259=0,H260=0),0,IF(AND(H259=0,H260&gt;0),1,(H260-H259)/H259))
</f>
        <v>-1</v>
      </c>
      <c r="J259" s="229" t="str">
        <f>OKTOBER!$D$7</f>
        <v/>
      </c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>
      <c r="A260" s="215"/>
      <c r="B260" s="236"/>
      <c r="C260" s="237"/>
      <c r="D260" s="215"/>
      <c r="E260" s="235"/>
      <c r="F260" s="215"/>
      <c r="G260" s="227" t="s">
        <v>451</v>
      </c>
      <c r="H260" s="224">
        <f>C15</f>
        <v>0</v>
      </c>
      <c r="I260" s="7"/>
      <c r="J260" s="229">
        <f>NOVEMBER!$E$7</f>
        <v>70000000</v>
      </c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>
      <c r="A261" s="215"/>
      <c r="B261" s="236"/>
      <c r="C261" s="237"/>
      <c r="D261" s="215"/>
      <c r="E261" s="235"/>
      <c r="F261" s="215"/>
      <c r="G261" s="215"/>
      <c r="H261" s="215"/>
      <c r="I261" s="215"/>
      <c r="J261" s="215"/>
      <c r="K261" s="215"/>
      <c r="L261" s="238" t="s">
        <v>47</v>
      </c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>
      <c r="A262" s="215"/>
      <c r="B262" s="236"/>
      <c r="C262" s="237"/>
      <c r="D262" s="215"/>
      <c r="E262" s="235"/>
      <c r="F262" s="215"/>
      <c r="G262" s="230" t="str">
        <f>LET(
  bulanLalu, G259,
  bulanIni, G260,
  orderLalu, H259,
  orderIni, H260,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262" s="231"/>
      <c r="I262" s="231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>
      <c r="A263" s="215"/>
      <c r="B263" s="236"/>
      <c r="C263" s="237"/>
      <c r="D263" s="215"/>
      <c r="E263" s="23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>
      <c r="A264" s="215"/>
      <c r="B264" s="236"/>
      <c r="C264" s="237"/>
      <c r="D264" s="215"/>
      <c r="E264" s="23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>
      <c r="A265" s="215"/>
      <c r="B265" s="236"/>
      <c r="C265" s="237"/>
      <c r="D265" s="215"/>
      <c r="E265" s="23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>
      <c r="A266" s="215"/>
      <c r="B266" s="236"/>
      <c r="C266" s="237"/>
      <c r="D266" s="215"/>
      <c r="E266" s="23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>
      <c r="A267" s="215"/>
      <c r="B267" s="236"/>
      <c r="C267" s="237"/>
      <c r="D267" s="215"/>
      <c r="E267" s="23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>
      <c r="A268" s="215"/>
      <c r="B268" s="236"/>
      <c r="C268" s="237"/>
      <c r="D268" s="215"/>
      <c r="E268" s="23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>
      <c r="A269" s="215"/>
      <c r="B269" s="236"/>
      <c r="C269" s="237"/>
      <c r="D269" s="215"/>
      <c r="E269" s="23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>
      <c r="A270" s="215"/>
      <c r="B270" s="236"/>
      <c r="C270" s="237"/>
      <c r="D270" s="215"/>
      <c r="E270" s="23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>
      <c r="A271" s="215"/>
      <c r="B271" s="236"/>
      <c r="C271" s="237"/>
      <c r="D271" s="215"/>
      <c r="E271" s="23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>
      <c r="A272" s="215"/>
      <c r="B272" s="236"/>
      <c r="C272" s="237"/>
      <c r="D272" s="215"/>
      <c r="E272" s="23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>
      <c r="A273" s="215"/>
      <c r="B273" s="236"/>
      <c r="C273" s="237"/>
      <c r="D273" s="215"/>
      <c r="E273" s="23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>
      <c r="A274" s="215"/>
      <c r="B274" s="236"/>
      <c r="C274" s="237"/>
      <c r="D274" s="215"/>
      <c r="E274" s="23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>
      <c r="A275" s="215"/>
      <c r="B275" s="236"/>
      <c r="C275" s="237"/>
      <c r="D275" s="215"/>
      <c r="E275" s="23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>
      <c r="A276" s="215"/>
      <c r="B276" s="236"/>
      <c r="C276" s="237"/>
      <c r="D276" s="215"/>
      <c r="E276" s="23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>
      <c r="A277" s="215"/>
      <c r="B277" s="236"/>
      <c r="C277" s="237"/>
      <c r="D277" s="215"/>
      <c r="E277" s="23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>
      <c r="A278" s="215"/>
      <c r="B278" s="236"/>
      <c r="C278" s="237"/>
      <c r="D278" s="215"/>
      <c r="E278" s="23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>
      <c r="A279" s="215"/>
      <c r="B279" s="236"/>
      <c r="C279" s="237"/>
      <c r="D279" s="215"/>
      <c r="E279" s="23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>
      <c r="A280" s="215"/>
      <c r="B280" s="236"/>
      <c r="C280" s="237"/>
      <c r="D280" s="215"/>
      <c r="E280" s="23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>
      <c r="A281" s="215"/>
      <c r="B281" s="236"/>
      <c r="C281" s="237"/>
      <c r="D281" s="215"/>
      <c r="E281" s="23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>
      <c r="A282" s="215"/>
      <c r="B282" s="236"/>
      <c r="C282" s="237"/>
      <c r="D282" s="215"/>
      <c r="E282" s="235"/>
      <c r="F282" s="215"/>
      <c r="G282" s="216" t="s">
        <v>462</v>
      </c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>
      <c r="A283" s="215"/>
      <c r="B283" s="236"/>
      <c r="C283" s="237"/>
      <c r="D283" s="215"/>
      <c r="E283" s="235"/>
      <c r="F283" s="215"/>
      <c r="G283" s="240" t="s">
        <v>444</v>
      </c>
      <c r="H283" s="3"/>
      <c r="I283" s="3"/>
      <c r="J283" s="4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>
      <c r="A284" s="215"/>
      <c r="B284" s="236"/>
      <c r="C284" s="237"/>
      <c r="D284" s="215"/>
      <c r="E284" s="235"/>
      <c r="F284" s="215"/>
      <c r="G284" s="221" t="s">
        <v>435</v>
      </c>
      <c r="H284" s="222" t="s">
        <v>449</v>
      </c>
      <c r="I284" s="222" t="s">
        <v>450</v>
      </c>
      <c r="J284" s="222" t="s">
        <v>389</v>
      </c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>
      <c r="A285" s="215"/>
      <c r="B285" s="236"/>
      <c r="C285" s="237"/>
      <c r="D285" s="215"/>
      <c r="E285" s="235"/>
      <c r="F285" s="215"/>
      <c r="G285" s="227" t="s">
        <v>387</v>
      </c>
      <c r="H285" s="224">
        <f>B16</f>
        <v>0</v>
      </c>
      <c r="I285" s="242">
        <f>IF(AND(H285=0,H286=0),0,IF(AND(H285=0,H286&gt;0),1,(H286-H285)/H285))
</f>
        <v>1</v>
      </c>
      <c r="J285" s="229" t="str">
        <f>OKTOBER!$D$7</f>
        <v/>
      </c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>
      <c r="A286" s="215"/>
      <c r="B286" s="236"/>
      <c r="C286" s="237"/>
      <c r="D286" s="215"/>
      <c r="E286" s="235"/>
      <c r="F286" s="215"/>
      <c r="G286" s="227" t="s">
        <v>451</v>
      </c>
      <c r="H286" s="224">
        <f>C16</f>
        <v>170000</v>
      </c>
      <c r="I286" s="7"/>
      <c r="J286" s="229">
        <f>NOVEMBER!$E$7</f>
        <v>70000000</v>
      </c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>
      <c r="A287" s="215"/>
      <c r="B287" s="236"/>
      <c r="C287" s="237"/>
      <c r="D287" s="215"/>
      <c r="E287" s="235"/>
      <c r="F287" s="215"/>
      <c r="G287" s="215"/>
      <c r="H287" s="215"/>
      <c r="I287" s="215"/>
      <c r="J287" s="215"/>
      <c r="K287" s="215"/>
      <c r="L287" s="238" t="s">
        <v>47</v>
      </c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>
      <c r="A288" s="215"/>
      <c r="B288" s="236"/>
      <c r="C288" s="237"/>
      <c r="D288" s="215"/>
      <c r="E288" s="235"/>
      <c r="F288" s="215"/>
      <c r="G288" s="230" t="str">
        <f>LET(
  bulanLalu, G285,
  bulanIni, G286,
  orderLalu, H285,
  orderIni, H286,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288" s="231"/>
      <c r="I288" s="231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>
      <c r="A289" s="215"/>
      <c r="B289" s="236"/>
      <c r="C289" s="237"/>
      <c r="D289" s="215"/>
      <c r="E289" s="23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>
      <c r="A290" s="215"/>
      <c r="B290" s="236"/>
      <c r="C290" s="237"/>
      <c r="D290" s="215"/>
      <c r="E290" s="23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>
      <c r="A291" s="215"/>
      <c r="B291" s="236"/>
      <c r="C291" s="237"/>
      <c r="D291" s="215"/>
      <c r="E291" s="23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>
      <c r="A292" s="215"/>
      <c r="B292" s="236"/>
      <c r="C292" s="237"/>
      <c r="D292" s="215"/>
      <c r="E292" s="235"/>
      <c r="F292" s="215"/>
      <c r="G292" s="215"/>
      <c r="H292" s="215"/>
      <c r="I292" s="215"/>
      <c r="J292" s="215"/>
      <c r="K292" s="215"/>
      <c r="L292" s="215"/>
      <c r="M292" s="215"/>
      <c r="N292" s="238" t="s">
        <v>47</v>
      </c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>
      <c r="A293" s="215"/>
      <c r="B293" s="236"/>
      <c r="C293" s="237"/>
      <c r="D293" s="215"/>
      <c r="E293" s="23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>
      <c r="A294" s="215"/>
      <c r="B294" s="236"/>
      <c r="C294" s="237"/>
      <c r="D294" s="215"/>
      <c r="E294" s="23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>
      <c r="A295" s="215"/>
      <c r="B295" s="236"/>
      <c r="C295" s="237"/>
      <c r="D295" s="215"/>
      <c r="E295" s="23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>
      <c r="A296" s="215"/>
      <c r="B296" s="236"/>
      <c r="C296" s="237"/>
      <c r="D296" s="215"/>
      <c r="E296" s="23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>
      <c r="A297" s="215"/>
      <c r="B297" s="236"/>
      <c r="C297" s="237"/>
      <c r="D297" s="215"/>
      <c r="E297" s="23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>
      <c r="A298" s="215"/>
      <c r="B298" s="236"/>
      <c r="C298" s="237"/>
      <c r="D298" s="215"/>
      <c r="E298" s="23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>
      <c r="A299" s="215"/>
      <c r="B299" s="236"/>
      <c r="C299" s="237"/>
      <c r="D299" s="215"/>
      <c r="E299" s="23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>
      <c r="A300" s="215"/>
      <c r="B300" s="236"/>
      <c r="C300" s="237"/>
      <c r="D300" s="215"/>
      <c r="E300" s="23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>
      <c r="A301" s="215"/>
      <c r="B301" s="236"/>
      <c r="C301" s="237"/>
      <c r="D301" s="215"/>
      <c r="E301" s="23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>
      <c r="A302" s="215"/>
      <c r="B302" s="236"/>
      <c r="C302" s="237"/>
      <c r="D302" s="215"/>
      <c r="E302" s="23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>
      <c r="A303" s="215"/>
      <c r="B303" s="236"/>
      <c r="C303" s="237"/>
      <c r="D303" s="215"/>
      <c r="E303" s="23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>
      <c r="A304" s="215"/>
      <c r="B304" s="236"/>
      <c r="C304" s="237"/>
      <c r="D304" s="215"/>
      <c r="E304" s="23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>
      <c r="A305" s="215"/>
      <c r="B305" s="236"/>
      <c r="C305" s="237"/>
      <c r="D305" s="215"/>
      <c r="E305" s="23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>
      <c r="A306" s="215"/>
      <c r="B306" s="236"/>
      <c r="C306" s="237"/>
      <c r="D306" s="215"/>
      <c r="E306" s="23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>
      <c r="A307" s="215"/>
      <c r="B307" s="236"/>
      <c r="C307" s="237"/>
      <c r="D307" s="215"/>
      <c r="E307" s="23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>
      <c r="A308" s="215"/>
      <c r="B308" s="236"/>
      <c r="C308" s="237"/>
      <c r="D308" s="215"/>
      <c r="E308" s="235"/>
      <c r="F308" s="215"/>
      <c r="G308" s="216" t="s">
        <v>463</v>
      </c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>
      <c r="A309" s="215"/>
      <c r="B309" s="236"/>
      <c r="C309" s="237"/>
      <c r="D309" s="215"/>
      <c r="E309" s="235"/>
      <c r="F309" s="215"/>
      <c r="G309" s="240" t="s">
        <v>444</v>
      </c>
      <c r="H309" s="3"/>
      <c r="I309" s="3"/>
      <c r="J309" s="4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>
      <c r="A310" s="215"/>
      <c r="B310" s="236"/>
      <c r="C310" s="237"/>
      <c r="D310" s="215"/>
      <c r="E310" s="235"/>
      <c r="F310" s="215"/>
      <c r="G310" s="221" t="s">
        <v>435</v>
      </c>
      <c r="H310" s="222" t="s">
        <v>449</v>
      </c>
      <c r="I310" s="222" t="s">
        <v>450</v>
      </c>
      <c r="J310" s="222" t="s">
        <v>389</v>
      </c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>
      <c r="A311" s="215"/>
      <c r="B311" s="236"/>
      <c r="C311" s="237"/>
      <c r="D311" s="215"/>
      <c r="E311" s="235"/>
      <c r="F311" s="215"/>
      <c r="G311" s="227" t="s">
        <v>387</v>
      </c>
      <c r="H311" s="224">
        <f>B18</f>
        <v>0</v>
      </c>
      <c r="I311" s="242">
        <f>IF(AND(H311=0,H312=0),0,IF(AND(H311=0,H312&gt;0),1,(H312-H311)/H311))
</f>
        <v>0</v>
      </c>
      <c r="J311" s="229" t="str">
        <f>OKTOBER!$D$7</f>
        <v/>
      </c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>
      <c r="A312" s="215"/>
      <c r="B312" s="236"/>
      <c r="C312" s="237"/>
      <c r="D312" s="215"/>
      <c r="E312" s="235"/>
      <c r="F312" s="215"/>
      <c r="G312" s="227" t="s">
        <v>451</v>
      </c>
      <c r="H312" s="224">
        <f>C18</f>
        <v>0</v>
      </c>
      <c r="I312" s="7"/>
      <c r="J312" s="229">
        <f>NOVEMBER!$E$7</f>
        <v>70000000</v>
      </c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>
      <c r="A313" s="215"/>
      <c r="B313" s="236"/>
      <c r="C313" s="237"/>
      <c r="D313" s="215"/>
      <c r="E313" s="235"/>
      <c r="F313" s="215"/>
      <c r="G313" s="215"/>
      <c r="H313" s="215"/>
      <c r="I313" s="215"/>
      <c r="J313" s="215"/>
      <c r="K313" s="215"/>
      <c r="L313" s="238" t="s">
        <v>47</v>
      </c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>
      <c r="A314" s="215"/>
      <c r="B314" s="236"/>
      <c r="C314" s="237"/>
      <c r="D314" s="215"/>
      <c r="E314" s="235"/>
      <c r="F314" s="215"/>
      <c r="G314" s="230" t="str">
        <f>LET(
  bulanLalu, G311,
  bulanIni, G312,
  orderLalu, H311,
  orderIni, H312,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314" s="231"/>
      <c r="I314" s="231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>
      <c r="A315" s="215"/>
      <c r="B315" s="236"/>
      <c r="C315" s="237"/>
      <c r="D315" s="215"/>
      <c r="E315" s="23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>
      <c r="A316" s="215"/>
      <c r="B316" s="236"/>
      <c r="C316" s="237"/>
      <c r="D316" s="215"/>
      <c r="E316" s="23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>
      <c r="A317" s="215"/>
      <c r="B317" s="236"/>
      <c r="C317" s="237"/>
      <c r="D317" s="215"/>
      <c r="E317" s="23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>
      <c r="A318" s="215"/>
      <c r="B318" s="236"/>
      <c r="C318" s="237"/>
      <c r="D318" s="215"/>
      <c r="E318" s="23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>
      <c r="A319" s="215"/>
      <c r="B319" s="236"/>
      <c r="C319" s="237"/>
      <c r="D319" s="215"/>
      <c r="E319" s="23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>
      <c r="A320" s="215"/>
      <c r="B320" s="236"/>
      <c r="C320" s="237"/>
      <c r="D320" s="215"/>
      <c r="E320" s="23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>
      <c r="A321" s="215"/>
      <c r="B321" s="236"/>
      <c r="C321" s="237"/>
      <c r="D321" s="215"/>
      <c r="E321" s="23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>
      <c r="A322" s="215"/>
      <c r="B322" s="236"/>
      <c r="C322" s="237"/>
      <c r="D322" s="215"/>
      <c r="E322" s="23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>
      <c r="A323" s="215"/>
      <c r="B323" s="236"/>
      <c r="C323" s="237"/>
      <c r="D323" s="215"/>
      <c r="E323" s="23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>
      <c r="A324" s="215"/>
      <c r="B324" s="236"/>
      <c r="C324" s="237"/>
      <c r="D324" s="215"/>
      <c r="E324" s="23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>
      <c r="A325" s="215"/>
      <c r="B325" s="236"/>
      <c r="C325" s="237"/>
      <c r="D325" s="215"/>
      <c r="E325" s="23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>
      <c r="A326" s="215"/>
      <c r="B326" s="236"/>
      <c r="C326" s="237"/>
      <c r="D326" s="215"/>
      <c r="E326" s="23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>
      <c r="A327" s="215"/>
      <c r="B327" s="236"/>
      <c r="C327" s="237"/>
      <c r="D327" s="215"/>
      <c r="E327" s="23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>
      <c r="A328" s="215"/>
      <c r="B328" s="236"/>
      <c r="C328" s="237"/>
      <c r="D328" s="215"/>
      <c r="E328" s="23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>
      <c r="A329" s="215"/>
      <c r="B329" s="236"/>
      <c r="C329" s="237"/>
      <c r="D329" s="215"/>
      <c r="E329" s="23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>
      <c r="A330" s="215"/>
      <c r="B330" s="236"/>
      <c r="C330" s="237"/>
      <c r="D330" s="215"/>
      <c r="E330" s="23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>
      <c r="A331" s="215"/>
      <c r="B331" s="236"/>
      <c r="C331" s="237"/>
      <c r="D331" s="215"/>
      <c r="E331" s="23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>
      <c r="A332" s="215"/>
      <c r="B332" s="236"/>
      <c r="C332" s="237"/>
      <c r="D332" s="215"/>
      <c r="E332" s="23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>
      <c r="A333" s="215"/>
      <c r="B333" s="236"/>
      <c r="C333" s="237"/>
      <c r="D333" s="215"/>
      <c r="E333" s="23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>
      <c r="A334" s="215"/>
      <c r="B334" s="236"/>
      <c r="C334" s="237"/>
      <c r="D334" s="215"/>
      <c r="E334" s="235"/>
      <c r="F334" s="215"/>
      <c r="G334" s="216" t="s">
        <v>464</v>
      </c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>
      <c r="A335" s="215"/>
      <c r="B335" s="236"/>
      <c r="C335" s="237"/>
      <c r="D335" s="215"/>
      <c r="E335" s="235"/>
      <c r="F335" s="215"/>
      <c r="G335" s="240" t="s">
        <v>444</v>
      </c>
      <c r="H335" s="3"/>
      <c r="I335" s="3"/>
      <c r="J335" s="4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>
      <c r="A336" s="215"/>
      <c r="B336" s="236"/>
      <c r="C336" s="237"/>
      <c r="D336" s="215"/>
      <c r="E336" s="235"/>
      <c r="F336" s="215"/>
      <c r="G336" s="221" t="s">
        <v>435</v>
      </c>
      <c r="H336" s="222" t="s">
        <v>449</v>
      </c>
      <c r="I336" s="222" t="s">
        <v>450</v>
      </c>
      <c r="J336" s="222" t="s">
        <v>389</v>
      </c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>
      <c r="A337" s="215"/>
      <c r="B337" s="236"/>
      <c r="C337" s="237"/>
      <c r="D337" s="215"/>
      <c r="E337" s="235"/>
      <c r="F337" s="215"/>
      <c r="G337" s="227" t="s">
        <v>387</v>
      </c>
      <c r="H337" s="224">
        <f>B19</f>
        <v>0</v>
      </c>
      <c r="I337" s="242">
        <f>IF(AND(H337=0,H338=0),0,IF(AND(H337=0,H338&gt;0),1,(H338-H337)/H337))
</f>
        <v>0</v>
      </c>
      <c r="J337" s="229" t="str">
        <f>OKTOBER!$D$7</f>
        <v/>
      </c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>
      <c r="A338" s="215"/>
      <c r="B338" s="236"/>
      <c r="C338" s="237"/>
      <c r="D338" s="215"/>
      <c r="E338" s="235"/>
      <c r="F338" s="215"/>
      <c r="G338" s="227" t="s">
        <v>451</v>
      </c>
      <c r="H338" s="224">
        <f>C19</f>
        <v>0</v>
      </c>
      <c r="I338" s="7"/>
      <c r="J338" s="229">
        <f>NOVEMBER!$E$7</f>
        <v>70000000</v>
      </c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>
      <c r="A339" s="215"/>
      <c r="B339" s="236"/>
      <c r="C339" s="237"/>
      <c r="D339" s="215"/>
      <c r="E339" s="235"/>
      <c r="F339" s="215"/>
      <c r="G339" s="215"/>
      <c r="H339" s="215"/>
      <c r="I339" s="215"/>
      <c r="J339" s="215"/>
      <c r="K339" s="215"/>
      <c r="L339" s="238" t="s">
        <v>47</v>
      </c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>
      <c r="A340" s="215"/>
      <c r="B340" s="236"/>
      <c r="C340" s="237"/>
      <c r="D340" s="215"/>
      <c r="E340" s="235"/>
      <c r="F340" s="215"/>
      <c r="G340" s="230" t="str">
        <f>LET(
  bulanLalu, G337,
  bulanIni, G338,
  orderLalu, H337,
  orderIni, H338,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340" s="231"/>
      <c r="I340" s="231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>
      <c r="A341" s="215"/>
      <c r="B341" s="236"/>
      <c r="C341" s="237"/>
      <c r="D341" s="215"/>
      <c r="E341" s="23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>
      <c r="A342" s="215"/>
      <c r="B342" s="236"/>
      <c r="C342" s="237"/>
      <c r="D342" s="215"/>
      <c r="E342" s="23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>
      <c r="A343" s="215"/>
      <c r="B343" s="236"/>
      <c r="C343" s="237"/>
      <c r="D343" s="215"/>
      <c r="E343" s="23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>
      <c r="A344" s="215"/>
      <c r="B344" s="236"/>
      <c r="C344" s="237"/>
      <c r="D344" s="215"/>
      <c r="E344" s="23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>
      <c r="A345" s="215"/>
      <c r="B345" s="236"/>
      <c r="C345" s="237"/>
      <c r="D345" s="215"/>
      <c r="E345" s="23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>
      <c r="A346" s="215"/>
      <c r="B346" s="236"/>
      <c r="C346" s="237"/>
      <c r="D346" s="215"/>
      <c r="E346" s="23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>
      <c r="A347" s="215"/>
      <c r="B347" s="236"/>
      <c r="C347" s="237"/>
      <c r="D347" s="215"/>
      <c r="E347" s="23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>
      <c r="A348" s="215"/>
      <c r="B348" s="236"/>
      <c r="C348" s="237"/>
      <c r="D348" s="215"/>
      <c r="E348" s="23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>
      <c r="A349" s="215"/>
      <c r="B349" s="236"/>
      <c r="C349" s="237"/>
      <c r="D349" s="215"/>
      <c r="E349" s="23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>
      <c r="A350" s="215"/>
      <c r="B350" s="236"/>
      <c r="C350" s="237"/>
      <c r="D350" s="215"/>
      <c r="E350" s="23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>
      <c r="A351" s="215"/>
      <c r="B351" s="236"/>
      <c r="C351" s="237"/>
      <c r="D351" s="215"/>
      <c r="E351" s="23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>
      <c r="A352" s="215"/>
      <c r="B352" s="236"/>
      <c r="C352" s="237"/>
      <c r="D352" s="215"/>
      <c r="E352" s="23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>
      <c r="A353" s="215"/>
      <c r="B353" s="236"/>
      <c r="C353" s="237"/>
      <c r="D353" s="215"/>
      <c r="E353" s="23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>
      <c r="A354" s="215"/>
      <c r="B354" s="236"/>
      <c r="C354" s="237"/>
      <c r="D354" s="215"/>
      <c r="E354" s="23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>
      <c r="A355" s="215"/>
      <c r="B355" s="236"/>
      <c r="C355" s="237"/>
      <c r="D355" s="215"/>
      <c r="E355" s="23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>
      <c r="A356" s="215"/>
      <c r="B356" s="236"/>
      <c r="C356" s="237"/>
      <c r="D356" s="215"/>
      <c r="E356" s="23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>
      <c r="A357" s="215"/>
      <c r="B357" s="236"/>
      <c r="C357" s="237"/>
      <c r="D357" s="215"/>
      <c r="E357" s="23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>
      <c r="A358" s="215"/>
      <c r="B358" s="236"/>
      <c r="C358" s="237"/>
      <c r="D358" s="215"/>
      <c r="E358" s="23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>
      <c r="A359" s="215"/>
      <c r="B359" s="236"/>
      <c r="C359" s="237"/>
      <c r="D359" s="215"/>
      <c r="E359" s="23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>
      <c r="A360" s="215"/>
      <c r="B360" s="236"/>
      <c r="C360" s="237"/>
      <c r="D360" s="215"/>
      <c r="E360" s="235"/>
      <c r="F360" s="215"/>
      <c r="G360" s="216" t="s">
        <v>465</v>
      </c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>
      <c r="A361" s="215"/>
      <c r="B361" s="236"/>
      <c r="C361" s="237"/>
      <c r="D361" s="215"/>
      <c r="E361" s="235"/>
      <c r="F361" s="215"/>
      <c r="G361" s="240" t="s">
        <v>444</v>
      </c>
      <c r="H361" s="3"/>
      <c r="I361" s="3"/>
      <c r="J361" s="4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>
      <c r="A362" s="215"/>
      <c r="B362" s="236"/>
      <c r="C362" s="237"/>
      <c r="D362" s="215"/>
      <c r="E362" s="235"/>
      <c r="F362" s="215"/>
      <c r="G362" s="221" t="s">
        <v>435</v>
      </c>
      <c r="H362" s="222" t="s">
        <v>449</v>
      </c>
      <c r="I362" s="222" t="s">
        <v>450</v>
      </c>
      <c r="J362" s="222" t="s">
        <v>389</v>
      </c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>
      <c r="A363" s="215"/>
      <c r="B363" s="236"/>
      <c r="C363" s="237"/>
      <c r="D363" s="215"/>
      <c r="E363" s="235"/>
      <c r="F363" s="215"/>
      <c r="G363" s="227" t="s">
        <v>387</v>
      </c>
      <c r="H363" s="224">
        <f>B20</f>
        <v>7350000</v>
      </c>
      <c r="I363" s="242">
        <f>IF(AND(H363=0,H364=0),0,IF(AND(H363=0,H364&gt;0),1,(H364-H363)/H363))
</f>
        <v>-1</v>
      </c>
      <c r="J363" s="229" t="str">
        <f>OKTOBER!$D$7</f>
        <v/>
      </c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>
      <c r="A364" s="215"/>
      <c r="B364" s="236"/>
      <c r="C364" s="237"/>
      <c r="D364" s="215"/>
      <c r="E364" s="235"/>
      <c r="F364" s="215"/>
      <c r="G364" s="227" t="s">
        <v>451</v>
      </c>
      <c r="H364" s="224">
        <f>C20</f>
        <v>0</v>
      </c>
      <c r="I364" s="7"/>
      <c r="J364" s="229">
        <f>NOVEMBER!$E$7</f>
        <v>70000000</v>
      </c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>
      <c r="A365" s="215"/>
      <c r="B365" s="236"/>
      <c r="C365" s="237"/>
      <c r="D365" s="215"/>
      <c r="E365" s="235"/>
      <c r="F365" s="215"/>
      <c r="G365" s="215"/>
      <c r="H365" s="215"/>
      <c r="I365" s="215"/>
      <c r="J365" s="215"/>
      <c r="K365" s="215"/>
      <c r="L365" s="238" t="s">
        <v>47</v>
      </c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>
      <c r="A366" s="215"/>
      <c r="B366" s="236"/>
      <c r="C366" s="237"/>
      <c r="D366" s="215"/>
      <c r="E366" s="235"/>
      <c r="F366" s="215"/>
      <c r="G366" s="230" t="str">
        <f>LET(
  bulanLalu, G363,
  bulanIni, G364,
  orderLalu, H363,
  orderIni, H364,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366" s="231"/>
      <c r="I366" s="231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>
      <c r="A367" s="215"/>
      <c r="B367" s="236"/>
      <c r="C367" s="237"/>
      <c r="D367" s="215"/>
      <c r="E367" s="23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>
      <c r="A368" s="215"/>
      <c r="B368" s="236"/>
      <c r="C368" s="237"/>
      <c r="D368" s="215"/>
      <c r="E368" s="23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>
      <c r="A369" s="215"/>
      <c r="B369" s="236"/>
      <c r="C369" s="237"/>
      <c r="D369" s="215"/>
      <c r="E369" s="23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>
      <c r="A370" s="215"/>
      <c r="B370" s="236"/>
      <c r="C370" s="237"/>
      <c r="D370" s="215"/>
      <c r="E370" s="23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>
      <c r="A371" s="215"/>
      <c r="B371" s="236"/>
      <c r="C371" s="237"/>
      <c r="D371" s="215"/>
      <c r="E371" s="23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>
      <c r="A372" s="215"/>
      <c r="B372" s="236"/>
      <c r="C372" s="237"/>
      <c r="D372" s="215"/>
      <c r="E372" s="23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>
      <c r="A373" s="215"/>
      <c r="B373" s="236"/>
      <c r="C373" s="237"/>
      <c r="D373" s="215"/>
      <c r="E373" s="23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>
      <c r="A374" s="215"/>
      <c r="B374" s="236"/>
      <c r="C374" s="237"/>
      <c r="D374" s="215"/>
      <c r="E374" s="23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>
      <c r="A375" s="215"/>
      <c r="B375" s="236"/>
      <c r="C375" s="237"/>
      <c r="D375" s="215"/>
      <c r="E375" s="23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>
      <c r="A376" s="215"/>
      <c r="B376" s="236"/>
      <c r="C376" s="237"/>
      <c r="D376" s="215"/>
      <c r="E376" s="23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>
      <c r="A377" s="215"/>
      <c r="B377" s="236"/>
      <c r="C377" s="237"/>
      <c r="D377" s="215"/>
      <c r="E377" s="23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>
      <c r="A378" s="215"/>
      <c r="B378" s="236"/>
      <c r="C378" s="237"/>
      <c r="D378" s="215"/>
      <c r="E378" s="23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>
      <c r="A379" s="215"/>
      <c r="B379" s="236"/>
      <c r="C379" s="237"/>
      <c r="D379" s="215"/>
      <c r="E379" s="23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>
      <c r="A380" s="215"/>
      <c r="B380" s="236"/>
      <c r="C380" s="237"/>
      <c r="D380" s="215"/>
      <c r="E380" s="23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>
      <c r="A381" s="215"/>
      <c r="B381" s="236"/>
      <c r="C381" s="237"/>
      <c r="D381" s="215"/>
      <c r="E381" s="23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>
      <c r="A382" s="215"/>
      <c r="B382" s="236"/>
      <c r="C382" s="237"/>
      <c r="D382" s="215"/>
      <c r="E382" s="23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>
      <c r="A383" s="215"/>
      <c r="B383" s="236"/>
      <c r="C383" s="237"/>
      <c r="D383" s="215"/>
      <c r="E383" s="23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>
      <c r="A384" s="215"/>
      <c r="B384" s="236"/>
      <c r="C384" s="237"/>
      <c r="D384" s="215"/>
      <c r="E384" s="23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>
      <c r="A385" s="215"/>
      <c r="B385" s="236"/>
      <c r="C385" s="237"/>
      <c r="D385" s="215"/>
      <c r="E385" s="23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>
      <c r="A386" s="215"/>
      <c r="B386" s="236"/>
      <c r="C386" s="237"/>
      <c r="D386" s="215"/>
      <c r="E386" s="235"/>
      <c r="F386" s="215"/>
      <c r="G386" s="216" t="s">
        <v>466</v>
      </c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>
      <c r="A387" s="215"/>
      <c r="B387" s="236"/>
      <c r="C387" s="237"/>
      <c r="D387" s="215"/>
      <c r="E387" s="235"/>
      <c r="F387" s="215"/>
      <c r="G387" s="240" t="s">
        <v>444</v>
      </c>
      <c r="H387" s="3"/>
      <c r="I387" s="3"/>
      <c r="J387" s="4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>
      <c r="A388" s="215"/>
      <c r="B388" s="236"/>
      <c r="C388" s="237"/>
      <c r="D388" s="215"/>
      <c r="E388" s="235"/>
      <c r="F388" s="215"/>
      <c r="G388" s="221" t="s">
        <v>435</v>
      </c>
      <c r="H388" s="222" t="s">
        <v>449</v>
      </c>
      <c r="I388" s="222" t="s">
        <v>450</v>
      </c>
      <c r="J388" s="222" t="s">
        <v>389</v>
      </c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>
      <c r="A389" s="215"/>
      <c r="B389" s="236"/>
      <c r="C389" s="237"/>
      <c r="D389" s="215"/>
      <c r="E389" s="235"/>
      <c r="F389" s="215"/>
      <c r="G389" s="227" t="s">
        <v>387</v>
      </c>
      <c r="H389" s="224">
        <f>B21</f>
        <v>0</v>
      </c>
      <c r="I389" s="242">
        <f>IF(AND(H389=0,H390=0),0,IF(AND(H389=0,H390&gt;0),1,(H390-H389)/H389))
</f>
        <v>1</v>
      </c>
      <c r="J389" s="229" t="str">
        <f>OKTOBER!$D$7</f>
        <v/>
      </c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>
      <c r="A390" s="215"/>
      <c r="B390" s="236"/>
      <c r="C390" s="237"/>
      <c r="D390" s="215"/>
      <c r="E390" s="235"/>
      <c r="F390" s="215"/>
      <c r="G390" s="227" t="s">
        <v>451</v>
      </c>
      <c r="H390" s="224">
        <f>C21</f>
        <v>1200000</v>
      </c>
      <c r="I390" s="7"/>
      <c r="J390" s="229">
        <f>NOVEMBER!$E$7</f>
        <v>70000000</v>
      </c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>
      <c r="A391" s="215"/>
      <c r="B391" s="236"/>
      <c r="C391" s="237"/>
      <c r="D391" s="215"/>
      <c r="E391" s="235"/>
      <c r="F391" s="215"/>
      <c r="G391" s="215"/>
      <c r="H391" s="215"/>
      <c r="I391" s="215"/>
      <c r="J391" s="215"/>
      <c r="K391" s="215"/>
      <c r="L391" s="238" t="s">
        <v>47</v>
      </c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>
      <c r="A392" s="215"/>
      <c r="B392" s="236"/>
      <c r="C392" s="237"/>
      <c r="D392" s="215"/>
      <c r="E392" s="235"/>
      <c r="F392" s="215"/>
      <c r="G392" s="230" t="str">
        <f>LET(
  bulanLalu, G389,
  bulanIni, G390,
  orderLalu, H389,
  orderIni, H390,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392" s="231"/>
      <c r="I392" s="231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>
      <c r="A393" s="215"/>
      <c r="B393" s="236"/>
      <c r="C393" s="237"/>
      <c r="D393" s="215"/>
      <c r="E393" s="23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>
      <c r="A394" s="215"/>
      <c r="B394" s="236"/>
      <c r="C394" s="237"/>
      <c r="D394" s="215"/>
      <c r="E394" s="23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>
      <c r="A395" s="215"/>
      <c r="B395" s="236"/>
      <c r="C395" s="237"/>
      <c r="D395" s="215"/>
      <c r="E395" s="23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>
      <c r="A396" s="215"/>
      <c r="B396" s="236"/>
      <c r="C396" s="237"/>
      <c r="D396" s="215"/>
      <c r="E396" s="23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>
      <c r="A397" s="215"/>
      <c r="B397" s="236"/>
      <c r="C397" s="237"/>
      <c r="D397" s="215"/>
      <c r="E397" s="23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>
      <c r="A398" s="215"/>
      <c r="B398" s="236"/>
      <c r="C398" s="237"/>
      <c r="D398" s="215"/>
      <c r="E398" s="23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>
      <c r="A399" s="215"/>
      <c r="B399" s="236"/>
      <c r="C399" s="237"/>
      <c r="D399" s="215"/>
      <c r="E399" s="23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>
      <c r="A400" s="215"/>
      <c r="B400" s="236"/>
      <c r="C400" s="237"/>
      <c r="D400" s="215"/>
      <c r="E400" s="23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>
      <c r="A401" s="215"/>
      <c r="B401" s="236"/>
      <c r="C401" s="237"/>
      <c r="D401" s="215"/>
      <c r="E401" s="23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>
      <c r="A402" s="215"/>
      <c r="B402" s="236"/>
      <c r="C402" s="237"/>
      <c r="D402" s="215"/>
      <c r="E402" s="23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>
      <c r="A403" s="215"/>
      <c r="B403" s="236"/>
      <c r="C403" s="237"/>
      <c r="D403" s="215"/>
      <c r="E403" s="23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>
      <c r="A404" s="215"/>
      <c r="B404" s="236"/>
      <c r="C404" s="237"/>
      <c r="D404" s="215"/>
      <c r="E404" s="23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>
      <c r="A405" s="215"/>
      <c r="B405" s="236"/>
      <c r="C405" s="237"/>
      <c r="D405" s="215"/>
      <c r="E405" s="23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>
      <c r="A406" s="215"/>
      <c r="B406" s="236"/>
      <c r="C406" s="237"/>
      <c r="D406" s="215"/>
      <c r="E406" s="23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>
      <c r="A407" s="215"/>
      <c r="B407" s="236"/>
      <c r="C407" s="237"/>
      <c r="D407" s="215"/>
      <c r="E407" s="23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>
      <c r="A408" s="215"/>
      <c r="B408" s="236"/>
      <c r="C408" s="237"/>
      <c r="D408" s="215"/>
      <c r="E408" s="23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>
      <c r="A409" s="215"/>
      <c r="B409" s="236"/>
      <c r="C409" s="237"/>
      <c r="D409" s="215"/>
      <c r="E409" s="23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>
      <c r="A410" s="215"/>
      <c r="B410" s="236"/>
      <c r="C410" s="237"/>
      <c r="D410" s="215"/>
      <c r="E410" s="23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>
      <c r="A411" s="215"/>
      <c r="B411" s="236"/>
      <c r="C411" s="237"/>
      <c r="D411" s="215"/>
      <c r="E411" s="23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>
      <c r="A412" s="215"/>
      <c r="B412" s="236"/>
      <c r="C412" s="237"/>
      <c r="D412" s="215"/>
      <c r="E412" s="235"/>
      <c r="F412" s="215"/>
      <c r="G412" s="216" t="s">
        <v>467</v>
      </c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>
      <c r="A413" s="215"/>
      <c r="B413" s="236"/>
      <c r="C413" s="237"/>
      <c r="D413" s="215"/>
      <c r="E413" s="235"/>
      <c r="F413" s="215"/>
      <c r="G413" s="240" t="s">
        <v>444</v>
      </c>
      <c r="H413" s="3"/>
      <c r="I413" s="3"/>
      <c r="J413" s="4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>
      <c r="A414" s="215"/>
      <c r="B414" s="236"/>
      <c r="C414" s="237"/>
      <c r="D414" s="215"/>
      <c r="E414" s="235"/>
      <c r="F414" s="215"/>
      <c r="G414" s="221" t="s">
        <v>435</v>
      </c>
      <c r="H414" s="222" t="s">
        <v>449</v>
      </c>
      <c r="I414" s="222" t="s">
        <v>450</v>
      </c>
      <c r="J414" s="222" t="s">
        <v>389</v>
      </c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>
      <c r="A415" s="215"/>
      <c r="B415" s="236"/>
      <c r="C415" s="237"/>
      <c r="D415" s="215"/>
      <c r="E415" s="235"/>
      <c r="F415" s="215"/>
      <c r="G415" s="227" t="s">
        <v>387</v>
      </c>
      <c r="H415" s="224">
        <f>B22</f>
        <v>0</v>
      </c>
      <c r="I415" s="242">
        <f>IF(AND(H415=0,H416=0),0,IF(AND(H415=0,H416&gt;0),1,(H416-H415)/H415))
</f>
        <v>0</v>
      </c>
      <c r="J415" s="229" t="str">
        <f>OKTOBER!$D$7</f>
        <v/>
      </c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>
      <c r="A416" s="215"/>
      <c r="B416" s="236"/>
      <c r="C416" s="237"/>
      <c r="D416" s="215"/>
      <c r="E416" s="235"/>
      <c r="F416" s="215"/>
      <c r="G416" s="227" t="s">
        <v>451</v>
      </c>
      <c r="H416" s="224">
        <f>C22</f>
        <v>0</v>
      </c>
      <c r="I416" s="7"/>
      <c r="J416" s="229">
        <f>NOVEMBER!$E$7</f>
        <v>70000000</v>
      </c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>
      <c r="A417" s="215"/>
      <c r="B417" s="236"/>
      <c r="C417" s="237"/>
      <c r="D417" s="215"/>
      <c r="E417" s="235"/>
      <c r="F417" s="215"/>
      <c r="G417" s="215"/>
      <c r="H417" s="215"/>
      <c r="I417" s="215"/>
      <c r="J417" s="215"/>
      <c r="K417" s="215"/>
      <c r="L417" s="238" t="s">
        <v>47</v>
      </c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>
      <c r="A418" s="215"/>
      <c r="B418" s="236"/>
      <c r="C418" s="237"/>
      <c r="D418" s="215"/>
      <c r="E418" s="235"/>
      <c r="F418" s="215"/>
      <c r="G418" s="230" t="str">
        <f>LET(
  bulanLalu, G415,
  bulanIni, G416,
  orderLalu, H415,
  orderIni, H416,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418" s="231"/>
      <c r="I418" s="231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>
      <c r="A419" s="215"/>
      <c r="B419" s="236"/>
      <c r="C419" s="237"/>
      <c r="D419" s="215"/>
      <c r="E419" s="23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>
      <c r="A420" s="215"/>
      <c r="B420" s="236"/>
      <c r="C420" s="237"/>
      <c r="D420" s="215"/>
      <c r="E420" s="23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>
      <c r="A421" s="215"/>
      <c r="B421" s="236"/>
      <c r="C421" s="237"/>
      <c r="D421" s="215"/>
      <c r="E421" s="23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>
      <c r="A422" s="215"/>
      <c r="B422" s="236"/>
      <c r="C422" s="237"/>
      <c r="D422" s="215"/>
      <c r="E422" s="23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>
      <c r="A423" s="215"/>
      <c r="B423" s="236"/>
      <c r="C423" s="237"/>
      <c r="D423" s="215"/>
      <c r="E423" s="23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>
      <c r="A424" s="215"/>
      <c r="B424" s="236"/>
      <c r="C424" s="237"/>
      <c r="D424" s="215"/>
      <c r="E424" s="23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>
      <c r="A425" s="215"/>
      <c r="B425" s="236"/>
      <c r="C425" s="237"/>
      <c r="D425" s="215"/>
      <c r="E425" s="23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>
      <c r="A426" s="215"/>
      <c r="B426" s="236"/>
      <c r="C426" s="237"/>
      <c r="D426" s="215"/>
      <c r="E426" s="23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>
      <c r="A427" s="215"/>
      <c r="B427" s="236"/>
      <c r="C427" s="237"/>
      <c r="D427" s="215"/>
      <c r="E427" s="23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>
      <c r="A428" s="215"/>
      <c r="B428" s="236"/>
      <c r="C428" s="237"/>
      <c r="D428" s="215"/>
      <c r="E428" s="23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>
      <c r="A429" s="215"/>
      <c r="B429" s="236"/>
      <c r="C429" s="237"/>
      <c r="D429" s="215"/>
      <c r="E429" s="23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>
      <c r="A430" s="215"/>
      <c r="B430" s="236"/>
      <c r="C430" s="237"/>
      <c r="D430" s="215"/>
      <c r="E430" s="23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>
      <c r="A431" s="215"/>
      <c r="B431" s="236"/>
      <c r="C431" s="237"/>
      <c r="D431" s="215"/>
      <c r="E431" s="23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>
      <c r="A432" s="215"/>
      <c r="B432" s="236"/>
      <c r="C432" s="237"/>
      <c r="D432" s="215"/>
      <c r="E432" s="23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>
      <c r="A433" s="215"/>
      <c r="B433" s="236"/>
      <c r="C433" s="237"/>
      <c r="D433" s="215"/>
      <c r="E433" s="23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>
      <c r="A434" s="215"/>
      <c r="B434" s="236"/>
      <c r="C434" s="237"/>
      <c r="D434" s="215"/>
      <c r="E434" s="23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>
      <c r="A435" s="215"/>
      <c r="B435" s="236"/>
      <c r="C435" s="237"/>
      <c r="D435" s="215"/>
      <c r="E435" s="23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>
      <c r="A436" s="215"/>
      <c r="B436" s="236"/>
      <c r="C436" s="237"/>
      <c r="D436" s="215"/>
      <c r="E436" s="23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>
      <c r="A437" s="215"/>
      <c r="B437" s="236"/>
      <c r="C437" s="237"/>
      <c r="D437" s="215"/>
      <c r="E437" s="23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>
      <c r="A438" s="215"/>
      <c r="B438" s="236"/>
      <c r="C438" s="237"/>
      <c r="D438" s="215"/>
      <c r="E438" s="235"/>
      <c r="F438" s="215"/>
      <c r="G438" s="216" t="s">
        <v>468</v>
      </c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>
      <c r="A439" s="215"/>
      <c r="B439" s="236"/>
      <c r="C439" s="237"/>
      <c r="D439" s="215"/>
      <c r="E439" s="235"/>
      <c r="F439" s="215"/>
      <c r="G439" s="240" t="s">
        <v>444</v>
      </c>
      <c r="H439" s="3"/>
      <c r="I439" s="3"/>
      <c r="J439" s="4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>
      <c r="A440" s="215"/>
      <c r="B440" s="236"/>
      <c r="C440" s="237"/>
      <c r="D440" s="215"/>
      <c r="E440" s="235"/>
      <c r="F440" s="215"/>
      <c r="G440" s="221" t="s">
        <v>435</v>
      </c>
      <c r="H440" s="222" t="s">
        <v>449</v>
      </c>
      <c r="I440" s="222" t="s">
        <v>450</v>
      </c>
      <c r="J440" s="222" t="s">
        <v>389</v>
      </c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>
      <c r="A441" s="215"/>
      <c r="B441" s="236"/>
      <c r="C441" s="237"/>
      <c r="D441" s="215"/>
      <c r="E441" s="235"/>
      <c r="F441" s="215"/>
      <c r="G441" s="227" t="s">
        <v>387</v>
      </c>
      <c r="H441" s="224">
        <f>B23</f>
        <v>7350000</v>
      </c>
      <c r="I441" s="242">
        <f>IF(AND(H441=0,H442=0),0,IF(AND(H441=0,H442&gt;0),1,(H442-H441)/H441))
</f>
        <v>-1</v>
      </c>
      <c r="J441" s="229" t="str">
        <f>OKTOBER!$D$7</f>
        <v/>
      </c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>
      <c r="A442" s="215"/>
      <c r="B442" s="236"/>
      <c r="C442" s="237"/>
      <c r="D442" s="215"/>
      <c r="E442" s="235"/>
      <c r="F442" s="215"/>
      <c r="G442" s="227" t="s">
        <v>451</v>
      </c>
      <c r="H442" s="224">
        <f>C23</f>
        <v>0</v>
      </c>
      <c r="I442" s="7"/>
      <c r="J442" s="229">
        <f>NOVEMBER!$E$7</f>
        <v>70000000</v>
      </c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>
      <c r="A443" s="215"/>
      <c r="B443" s="236"/>
      <c r="C443" s="237"/>
      <c r="D443" s="215"/>
      <c r="E443" s="235"/>
      <c r="F443" s="215"/>
      <c r="G443" s="215"/>
      <c r="H443" s="215"/>
      <c r="I443" s="215"/>
      <c r="J443" s="215"/>
      <c r="K443" s="215"/>
      <c r="L443" s="238" t="s">
        <v>47</v>
      </c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>
      <c r="A444" s="215"/>
      <c r="B444" s="236"/>
      <c r="C444" s="237"/>
      <c r="D444" s="215"/>
      <c r="E444" s="235"/>
      <c r="F444" s="215"/>
      <c r="G444" s="230" t="str">
        <f>LET(
  bulanLalu, G441,
  bulanIni, G442,
  orderLalu, H441,
  orderIni, H442,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444" s="231"/>
      <c r="I444" s="231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>
      <c r="A445" s="215"/>
      <c r="B445" s="236"/>
      <c r="C445" s="237"/>
      <c r="D445" s="215"/>
      <c r="E445" s="23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>
      <c r="A446" s="215"/>
      <c r="B446" s="236"/>
      <c r="C446" s="237"/>
      <c r="D446" s="215"/>
      <c r="E446" s="23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>
      <c r="A447" s="215"/>
      <c r="B447" s="236"/>
      <c r="C447" s="237"/>
      <c r="D447" s="215"/>
      <c r="E447" s="23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>
      <c r="A448" s="215"/>
      <c r="B448" s="236"/>
      <c r="C448" s="237"/>
      <c r="D448" s="215"/>
      <c r="E448" s="23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>
      <c r="A449" s="215"/>
      <c r="B449" s="236"/>
      <c r="C449" s="237"/>
      <c r="D449" s="215"/>
      <c r="E449" s="23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>
      <c r="A450" s="215"/>
      <c r="B450" s="236"/>
      <c r="C450" s="237"/>
      <c r="D450" s="215"/>
      <c r="E450" s="23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>
      <c r="A451" s="215"/>
      <c r="B451" s="236"/>
      <c r="C451" s="237"/>
      <c r="D451" s="215"/>
      <c r="E451" s="23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>
      <c r="A452" s="215"/>
      <c r="B452" s="236"/>
      <c r="C452" s="237"/>
      <c r="D452" s="215"/>
      <c r="E452" s="23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>
      <c r="A453" s="215"/>
      <c r="B453" s="236"/>
      <c r="C453" s="237"/>
      <c r="D453" s="215"/>
      <c r="E453" s="23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>
      <c r="A454" s="215"/>
      <c r="B454" s="236"/>
      <c r="C454" s="237"/>
      <c r="D454" s="215"/>
      <c r="E454" s="23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>
      <c r="A455" s="215"/>
      <c r="B455" s="236"/>
      <c r="C455" s="237"/>
      <c r="D455" s="215"/>
      <c r="E455" s="23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>
      <c r="A456" s="215"/>
      <c r="B456" s="236"/>
      <c r="C456" s="237"/>
      <c r="D456" s="215"/>
      <c r="E456" s="23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>
      <c r="A457" s="215"/>
      <c r="B457" s="236"/>
      <c r="C457" s="237"/>
      <c r="D457" s="215"/>
      <c r="E457" s="23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>
      <c r="A458" s="215"/>
      <c r="B458" s="236"/>
      <c r="C458" s="237"/>
      <c r="D458" s="215"/>
      <c r="E458" s="23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>
      <c r="A459" s="215"/>
      <c r="B459" s="236"/>
      <c r="C459" s="237"/>
      <c r="D459" s="215"/>
      <c r="E459" s="23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>
      <c r="A460" s="215"/>
      <c r="B460" s="236"/>
      <c r="C460" s="237"/>
      <c r="D460" s="215"/>
      <c r="E460" s="23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>
      <c r="A461" s="215"/>
      <c r="B461" s="236"/>
      <c r="C461" s="237"/>
      <c r="D461" s="215"/>
      <c r="E461" s="23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>
      <c r="A462" s="215"/>
      <c r="B462" s="236"/>
      <c r="C462" s="237"/>
      <c r="D462" s="215"/>
      <c r="E462" s="23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>
      <c r="A463" s="215"/>
      <c r="B463" s="236"/>
      <c r="C463" s="237"/>
      <c r="D463" s="215"/>
      <c r="E463" s="23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>
      <c r="A464" s="215"/>
      <c r="B464" s="236"/>
      <c r="C464" s="237"/>
      <c r="D464" s="215"/>
      <c r="E464" s="235"/>
      <c r="F464" s="215"/>
      <c r="G464" s="216" t="s">
        <v>469</v>
      </c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>
      <c r="A465" s="215"/>
      <c r="B465" s="236"/>
      <c r="C465" s="237"/>
      <c r="D465" s="215"/>
      <c r="E465" s="235"/>
      <c r="F465" s="215"/>
      <c r="G465" s="240" t="s">
        <v>444</v>
      </c>
      <c r="H465" s="3"/>
      <c r="I465" s="3"/>
      <c r="J465" s="4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>
      <c r="A466" s="215"/>
      <c r="B466" s="236"/>
      <c r="C466" s="237"/>
      <c r="D466" s="215"/>
      <c r="E466" s="235"/>
      <c r="F466" s="215"/>
      <c r="G466" s="221" t="s">
        <v>435</v>
      </c>
      <c r="H466" s="222" t="s">
        <v>449</v>
      </c>
      <c r="I466" s="222" t="s">
        <v>450</v>
      </c>
      <c r="J466" s="222" t="s">
        <v>389</v>
      </c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>
      <c r="A467" s="215"/>
      <c r="B467" s="236"/>
      <c r="C467" s="237"/>
      <c r="D467" s="215"/>
      <c r="E467" s="235"/>
      <c r="F467" s="215"/>
      <c r="G467" s="227" t="s">
        <v>387</v>
      </c>
      <c r="H467" s="224">
        <f>B25</f>
        <v>1790000</v>
      </c>
      <c r="I467" s="242">
        <f>IF(AND(H467=0,H468=0),0,IF(AND(H467=0,H468&gt;0),1,(H468-H467)/H467))
</f>
        <v>-1</v>
      </c>
      <c r="J467" s="229" t="str">
        <f>OKTOBER!$D$7</f>
        <v/>
      </c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>
      <c r="A468" s="215"/>
      <c r="B468" s="236"/>
      <c r="C468" s="237"/>
      <c r="D468" s="215"/>
      <c r="E468" s="235"/>
      <c r="F468" s="215"/>
      <c r="G468" s="227" t="s">
        <v>451</v>
      </c>
      <c r="H468" s="224">
        <f>C25</f>
        <v>0</v>
      </c>
      <c r="I468" s="7"/>
      <c r="J468" s="229">
        <f>NOVEMBER!$E$7</f>
        <v>70000000</v>
      </c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>
      <c r="A469" s="215"/>
      <c r="B469" s="236"/>
      <c r="C469" s="237"/>
      <c r="D469" s="215"/>
      <c r="E469" s="23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>
      <c r="A470" s="215"/>
      <c r="B470" s="236"/>
      <c r="C470" s="237"/>
      <c r="D470" s="215"/>
      <c r="E470" s="235"/>
      <c r="F470" s="215"/>
      <c r="G470" s="230" t="str">
        <f>LET(
  bulanLalu, G467,
  bulanIni, G468,
  orderLalu, H467,
  orderIni, H468,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470" s="231"/>
      <c r="I470" s="231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>
      <c r="A471" s="215"/>
      <c r="B471" s="236"/>
      <c r="C471" s="237"/>
      <c r="D471" s="215"/>
      <c r="E471" s="235"/>
      <c r="F471" s="215"/>
      <c r="G471" s="244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>
      <c r="A472" s="215"/>
      <c r="B472" s="236"/>
      <c r="C472" s="237"/>
      <c r="D472" s="215"/>
      <c r="E472" s="23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>
      <c r="A473" s="215"/>
      <c r="B473" s="236"/>
      <c r="C473" s="237"/>
      <c r="D473" s="215"/>
      <c r="E473" s="23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>
      <c r="A474" s="215"/>
      <c r="B474" s="236"/>
      <c r="C474" s="237"/>
      <c r="D474" s="215"/>
      <c r="E474" s="23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>
      <c r="A475" s="215"/>
      <c r="B475" s="236"/>
      <c r="C475" s="237"/>
      <c r="D475" s="215"/>
      <c r="E475" s="23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>
      <c r="A476" s="215"/>
      <c r="B476" s="236"/>
      <c r="C476" s="237"/>
      <c r="D476" s="215"/>
      <c r="E476" s="23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>
      <c r="A477" s="215"/>
      <c r="B477" s="236"/>
      <c r="C477" s="237"/>
      <c r="D477" s="215"/>
      <c r="E477" s="23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>
      <c r="A478" s="215"/>
      <c r="B478" s="236"/>
      <c r="C478" s="237"/>
      <c r="D478" s="215"/>
      <c r="E478" s="23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>
      <c r="A479" s="215"/>
      <c r="B479" s="236"/>
      <c r="C479" s="237"/>
      <c r="D479" s="215"/>
      <c r="E479" s="23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>
      <c r="A480" s="215"/>
      <c r="B480" s="236"/>
      <c r="C480" s="237"/>
      <c r="D480" s="215"/>
      <c r="E480" s="23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>
      <c r="A481" s="215"/>
      <c r="B481" s="236"/>
      <c r="C481" s="237"/>
      <c r="D481" s="215"/>
      <c r="E481" s="23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>
      <c r="A482" s="215"/>
      <c r="B482" s="236"/>
      <c r="C482" s="237"/>
      <c r="D482" s="215"/>
      <c r="E482" s="23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>
      <c r="A483" s="215"/>
      <c r="B483" s="236"/>
      <c r="C483" s="237"/>
      <c r="D483" s="215"/>
      <c r="E483" s="23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>
      <c r="A484" s="215"/>
      <c r="B484" s="236"/>
      <c r="C484" s="237"/>
      <c r="D484" s="215"/>
      <c r="E484" s="23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>
      <c r="A485" s="215"/>
      <c r="B485" s="236"/>
      <c r="C485" s="237"/>
      <c r="D485" s="215"/>
      <c r="E485" s="23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>
      <c r="A486" s="215"/>
      <c r="B486" s="236"/>
      <c r="C486" s="237"/>
      <c r="D486" s="215"/>
      <c r="E486" s="23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>
      <c r="A487" s="215"/>
      <c r="B487" s="236"/>
      <c r="C487" s="237"/>
      <c r="D487" s="215"/>
      <c r="E487" s="23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>
      <c r="A488" s="215"/>
      <c r="B488" s="236"/>
      <c r="C488" s="237"/>
      <c r="D488" s="215"/>
      <c r="E488" s="23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>
      <c r="A489" s="215"/>
      <c r="B489" s="236"/>
      <c r="C489" s="237"/>
      <c r="D489" s="215"/>
      <c r="E489" s="235"/>
      <c r="F489" s="215"/>
      <c r="G489" s="216" t="s">
        <v>470</v>
      </c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>
      <c r="A490" s="215"/>
      <c r="B490" s="236"/>
      <c r="C490" s="237"/>
      <c r="D490" s="215"/>
      <c r="E490" s="235"/>
      <c r="F490" s="215"/>
      <c r="G490" s="240" t="s">
        <v>444</v>
      </c>
      <c r="H490" s="3"/>
      <c r="I490" s="3"/>
      <c r="J490" s="4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>
      <c r="A491" s="215"/>
      <c r="B491" s="236"/>
      <c r="C491" s="237"/>
      <c r="D491" s="215"/>
      <c r="E491" s="235"/>
      <c r="F491" s="215"/>
      <c r="G491" s="221" t="s">
        <v>435</v>
      </c>
      <c r="H491" s="222" t="s">
        <v>449</v>
      </c>
      <c r="I491" s="222" t="s">
        <v>450</v>
      </c>
      <c r="J491" s="222" t="s">
        <v>389</v>
      </c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>
      <c r="A492" s="215"/>
      <c r="B492" s="236"/>
      <c r="C492" s="237"/>
      <c r="D492" s="215"/>
      <c r="E492" s="235"/>
      <c r="F492" s="215"/>
      <c r="G492" s="227" t="s">
        <v>387</v>
      </c>
      <c r="H492" s="224">
        <f>B26</f>
        <v>0</v>
      </c>
      <c r="I492" s="242">
        <f>IF(AND(H492=0,H493=0),0,IF(AND(H492=0,H493&gt;0),1,(H493-H492)/H492))
</f>
        <v>0</v>
      </c>
      <c r="J492" s="229" t="str">
        <f>OKTOBER!$D$7</f>
        <v/>
      </c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>
      <c r="A493" s="215"/>
      <c r="B493" s="236"/>
      <c r="C493" s="237"/>
      <c r="D493" s="215"/>
      <c r="E493" s="235"/>
      <c r="F493" s="215"/>
      <c r="G493" s="227" t="s">
        <v>451</v>
      </c>
      <c r="H493" s="224">
        <f>C26</f>
        <v>0</v>
      </c>
      <c r="I493" s="7"/>
      <c r="J493" s="229">
        <f>NOVEMBER!$E$7</f>
        <v>70000000</v>
      </c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>
      <c r="A494" s="215"/>
      <c r="B494" s="236"/>
      <c r="C494" s="237"/>
      <c r="D494" s="215"/>
      <c r="E494" s="23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>
      <c r="A495" s="215"/>
      <c r="B495" s="236"/>
      <c r="C495" s="237"/>
      <c r="D495" s="215"/>
      <c r="E495" s="235"/>
      <c r="F495" s="215"/>
      <c r="G495" s="230" t="str">
        <f>LET(
  bulanLalu, G492,
  bulanIni, G493,
  orderLalu, H492,
  orderIni, H493,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495" s="231"/>
      <c r="I495" s="231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>
      <c r="A496" s="215"/>
      <c r="B496" s="236"/>
      <c r="C496" s="237"/>
      <c r="D496" s="215"/>
      <c r="E496" s="23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>
      <c r="A497" s="215"/>
      <c r="B497" s="236"/>
      <c r="C497" s="237"/>
      <c r="D497" s="215"/>
      <c r="E497" s="23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>
      <c r="A498" s="215"/>
      <c r="B498" s="236"/>
      <c r="C498" s="237"/>
      <c r="D498" s="215"/>
      <c r="E498" s="23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>
      <c r="A499" s="215"/>
      <c r="B499" s="236"/>
      <c r="C499" s="237"/>
      <c r="D499" s="215"/>
      <c r="E499" s="23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>
      <c r="A500" s="215"/>
      <c r="B500" s="236"/>
      <c r="C500" s="237"/>
      <c r="D500" s="215"/>
      <c r="E500" s="23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>
      <c r="A501" s="215"/>
      <c r="B501" s="236"/>
      <c r="C501" s="237"/>
      <c r="D501" s="215"/>
      <c r="E501" s="23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>
      <c r="A502" s="215"/>
      <c r="B502" s="236"/>
      <c r="C502" s="237"/>
      <c r="D502" s="215"/>
      <c r="E502" s="23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>
      <c r="A503" s="215"/>
      <c r="B503" s="236"/>
      <c r="C503" s="237"/>
      <c r="D503" s="215"/>
      <c r="E503" s="23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>
      <c r="A504" s="215"/>
      <c r="B504" s="236"/>
      <c r="C504" s="237"/>
      <c r="D504" s="215"/>
      <c r="E504" s="23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>
      <c r="A505" s="215"/>
      <c r="B505" s="236"/>
      <c r="C505" s="237"/>
      <c r="D505" s="215"/>
      <c r="E505" s="23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>
      <c r="A506" s="215"/>
      <c r="B506" s="236"/>
      <c r="C506" s="237"/>
      <c r="D506" s="215"/>
      <c r="E506" s="23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>
      <c r="A507" s="215"/>
      <c r="B507" s="236"/>
      <c r="C507" s="237"/>
      <c r="D507" s="215"/>
      <c r="E507" s="23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>
      <c r="A508" s="215"/>
      <c r="B508" s="236"/>
      <c r="C508" s="237"/>
      <c r="D508" s="215"/>
      <c r="E508" s="23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>
      <c r="A509" s="215"/>
      <c r="B509" s="236"/>
      <c r="C509" s="237"/>
      <c r="D509" s="215"/>
      <c r="E509" s="23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>
      <c r="A510" s="215"/>
      <c r="B510" s="236"/>
      <c r="C510" s="237"/>
      <c r="D510" s="215"/>
      <c r="E510" s="23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>
      <c r="A511" s="215"/>
      <c r="B511" s="236"/>
      <c r="C511" s="237"/>
      <c r="D511" s="215"/>
      <c r="E511" s="23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>
      <c r="A512" s="215"/>
      <c r="B512" s="236"/>
      <c r="C512" s="237"/>
      <c r="D512" s="215"/>
      <c r="E512" s="23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>
      <c r="A513" s="215"/>
      <c r="B513" s="236"/>
      <c r="C513" s="237"/>
      <c r="D513" s="215"/>
      <c r="E513" s="23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>
      <c r="A514" s="215"/>
      <c r="B514" s="236"/>
      <c r="C514" s="237"/>
      <c r="D514" s="215"/>
      <c r="E514" s="23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>
      <c r="A515" s="215"/>
      <c r="B515" s="236"/>
      <c r="C515" s="237"/>
      <c r="D515" s="215"/>
      <c r="E515" s="235"/>
      <c r="F515" s="215"/>
      <c r="G515" s="216" t="s">
        <v>471</v>
      </c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>
      <c r="A516" s="215"/>
      <c r="B516" s="236"/>
      <c r="C516" s="237"/>
      <c r="D516" s="215"/>
      <c r="E516" s="235"/>
      <c r="F516" s="215"/>
      <c r="G516" s="240" t="s">
        <v>444</v>
      </c>
      <c r="H516" s="3"/>
      <c r="I516" s="3"/>
      <c r="J516" s="4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>
      <c r="A517" s="215"/>
      <c r="B517" s="236"/>
      <c r="C517" s="237"/>
      <c r="D517" s="215"/>
      <c r="E517" s="235"/>
      <c r="F517" s="215"/>
      <c r="G517" s="221" t="s">
        <v>435</v>
      </c>
      <c r="H517" s="222" t="s">
        <v>449</v>
      </c>
      <c r="I517" s="222" t="s">
        <v>450</v>
      </c>
      <c r="J517" s="222" t="s">
        <v>389</v>
      </c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>
      <c r="A518" s="215"/>
      <c r="B518" s="236"/>
      <c r="C518" s="237"/>
      <c r="D518" s="215"/>
      <c r="E518" s="235"/>
      <c r="F518" s="215"/>
      <c r="G518" s="227" t="s">
        <v>387</v>
      </c>
      <c r="H518" s="224">
        <f>B27</f>
        <v>0</v>
      </c>
      <c r="I518" s="242">
        <f>IF(AND(H518=0,H519=0),0,IF(AND(H518=0,H519&gt;0),1,(H519-H518)/H518))
</f>
        <v>0</v>
      </c>
      <c r="J518" s="229" t="str">
        <f>OKTOBER!$D$7</f>
        <v/>
      </c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>
      <c r="A519" s="215"/>
      <c r="B519" s="236"/>
      <c r="C519" s="237"/>
      <c r="D519" s="215"/>
      <c r="E519" s="235"/>
      <c r="F519" s="215"/>
      <c r="G519" s="227" t="s">
        <v>451</v>
      </c>
      <c r="H519" s="224">
        <f>C27</f>
        <v>0</v>
      </c>
      <c r="I519" s="7"/>
      <c r="J519" s="229">
        <f>NOVEMBER!$E$7</f>
        <v>70000000</v>
      </c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>
      <c r="A520" s="215"/>
      <c r="B520" s="236"/>
      <c r="C520" s="237"/>
      <c r="D520" s="215"/>
      <c r="E520" s="23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>
      <c r="A521" s="215"/>
      <c r="B521" s="236"/>
      <c r="C521" s="237"/>
      <c r="D521" s="215"/>
      <c r="E521" s="235"/>
      <c r="F521" s="215"/>
      <c r="G521" s="230" t="str">
        <f>LET(
  bulanLalu, G518,
  bulanIni, G519,
  orderLalu, H518,
  orderIni, H519,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521" s="231"/>
      <c r="I521" s="231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>
      <c r="A522" s="215"/>
      <c r="B522" s="236"/>
      <c r="C522" s="237"/>
      <c r="D522" s="215"/>
      <c r="E522" s="23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>
      <c r="A523" s="215"/>
      <c r="B523" s="236"/>
      <c r="C523" s="237"/>
      <c r="D523" s="215"/>
      <c r="E523" s="23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>
      <c r="A524" s="215"/>
      <c r="B524" s="236"/>
      <c r="C524" s="237"/>
      <c r="D524" s="215"/>
      <c r="E524" s="23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>
      <c r="A525" s="215"/>
      <c r="B525" s="236"/>
      <c r="C525" s="237"/>
      <c r="D525" s="215"/>
      <c r="E525" s="23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>
      <c r="A526" s="215"/>
      <c r="B526" s="236"/>
      <c r="C526" s="237"/>
      <c r="D526" s="215"/>
      <c r="E526" s="23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>
      <c r="A527" s="215"/>
      <c r="B527" s="236"/>
      <c r="C527" s="237"/>
      <c r="D527" s="215"/>
      <c r="E527" s="23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>
      <c r="A528" s="215"/>
      <c r="B528" s="236"/>
      <c r="C528" s="237"/>
      <c r="D528" s="215"/>
      <c r="E528" s="23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>
      <c r="A529" s="215"/>
      <c r="B529" s="236"/>
      <c r="C529" s="237"/>
      <c r="D529" s="215"/>
      <c r="E529" s="23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>
      <c r="A530" s="215"/>
      <c r="B530" s="236"/>
      <c r="C530" s="237"/>
      <c r="D530" s="215"/>
      <c r="E530" s="23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>
      <c r="A531" s="215"/>
      <c r="B531" s="236"/>
      <c r="C531" s="237"/>
      <c r="D531" s="215"/>
      <c r="E531" s="23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>
      <c r="A532" s="215"/>
      <c r="B532" s="236"/>
      <c r="C532" s="237"/>
      <c r="D532" s="215"/>
      <c r="E532" s="23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>
      <c r="A533" s="215"/>
      <c r="B533" s="236"/>
      <c r="C533" s="237"/>
      <c r="D533" s="215"/>
      <c r="E533" s="23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>
      <c r="A534" s="215"/>
      <c r="B534" s="236"/>
      <c r="C534" s="237"/>
      <c r="D534" s="215"/>
      <c r="E534" s="23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>
      <c r="A535" s="215"/>
      <c r="B535" s="236"/>
      <c r="C535" s="237"/>
      <c r="D535" s="215"/>
      <c r="E535" s="23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>
      <c r="A536" s="215"/>
      <c r="B536" s="236"/>
      <c r="C536" s="237"/>
      <c r="D536" s="215"/>
      <c r="E536" s="23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>
      <c r="A537" s="215"/>
      <c r="B537" s="236"/>
      <c r="C537" s="237"/>
      <c r="D537" s="215"/>
      <c r="E537" s="23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>
      <c r="A538" s="215"/>
      <c r="B538" s="236"/>
      <c r="C538" s="237"/>
      <c r="D538" s="215"/>
      <c r="E538" s="23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>
      <c r="A539" s="215"/>
      <c r="B539" s="236"/>
      <c r="C539" s="237"/>
      <c r="D539" s="215"/>
      <c r="E539" s="23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>
      <c r="A540" s="215"/>
      <c r="B540" s="236"/>
      <c r="C540" s="237"/>
      <c r="D540" s="215"/>
      <c r="E540" s="235"/>
      <c r="F540" s="215"/>
      <c r="G540" s="216" t="s">
        <v>472</v>
      </c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>
      <c r="A541" s="215"/>
      <c r="B541" s="236"/>
      <c r="C541" s="237"/>
      <c r="D541" s="215"/>
      <c r="E541" s="235"/>
      <c r="F541" s="215"/>
      <c r="G541" s="240" t="s">
        <v>444</v>
      </c>
      <c r="H541" s="3"/>
      <c r="I541" s="3"/>
      <c r="J541" s="4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>
      <c r="A542" s="215"/>
      <c r="B542" s="236"/>
      <c r="C542" s="237"/>
      <c r="D542" s="215"/>
      <c r="E542" s="235"/>
      <c r="F542" s="215"/>
      <c r="G542" s="221" t="s">
        <v>435</v>
      </c>
      <c r="H542" s="222" t="s">
        <v>449</v>
      </c>
      <c r="I542" s="222" t="s">
        <v>450</v>
      </c>
      <c r="J542" s="222" t="s">
        <v>389</v>
      </c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>
      <c r="A543" s="215"/>
      <c r="B543" s="236"/>
      <c r="C543" s="237"/>
      <c r="D543" s="215"/>
      <c r="E543" s="235"/>
      <c r="F543" s="215"/>
      <c r="G543" s="227" t="s">
        <v>387</v>
      </c>
      <c r="H543" s="224">
        <f>B29</f>
        <v>0</v>
      </c>
      <c r="I543" s="242">
        <f>IF(AND(H543=0,H544=0),0,IF(AND(H543=0,H544&gt;0),1,(H544-H543)/H543))
</f>
        <v>1</v>
      </c>
      <c r="J543" s="229" t="str">
        <f>OKTOBER!$D$7</f>
        <v/>
      </c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>
      <c r="A544" s="215"/>
      <c r="B544" s="236"/>
      <c r="C544" s="237"/>
      <c r="D544" s="215"/>
      <c r="E544" s="235"/>
      <c r="F544" s="215"/>
      <c r="G544" s="227" t="s">
        <v>451</v>
      </c>
      <c r="H544" s="224">
        <f>C29</f>
        <v>1595000</v>
      </c>
      <c r="I544" s="7"/>
      <c r="J544" s="229">
        <f>NOVEMBER!$E$7</f>
        <v>70000000</v>
      </c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>
      <c r="A545" s="215"/>
      <c r="B545" s="236"/>
      <c r="C545" s="237"/>
      <c r="D545" s="215"/>
      <c r="E545" s="23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>
      <c r="A546" s="215"/>
      <c r="B546" s="236"/>
      <c r="C546" s="237"/>
      <c r="D546" s="215"/>
      <c r="E546" s="235"/>
      <c r="F546" s="215"/>
      <c r="G546" s="230" t="str">
        <f>LET(
  bulanLalu, G543,
  bulanIni, G544,
  orderLalu, H543,
  orderIni, H544,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546" s="231"/>
      <c r="I546" s="231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>
      <c r="A547" s="215"/>
      <c r="B547" s="236"/>
      <c r="C547" s="237"/>
      <c r="D547" s="215"/>
      <c r="E547" s="23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>
      <c r="A548" s="215"/>
      <c r="B548" s="236"/>
      <c r="C548" s="237"/>
      <c r="D548" s="215"/>
      <c r="E548" s="23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>
      <c r="A549" s="215"/>
      <c r="B549" s="236"/>
      <c r="C549" s="237"/>
      <c r="D549" s="215"/>
      <c r="E549" s="23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>
      <c r="A550" s="215"/>
      <c r="B550" s="236"/>
      <c r="C550" s="237"/>
      <c r="D550" s="215"/>
      <c r="E550" s="23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>
      <c r="A551" s="215"/>
      <c r="B551" s="236"/>
      <c r="C551" s="237"/>
      <c r="D551" s="215"/>
      <c r="E551" s="23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>
      <c r="A552" s="215"/>
      <c r="B552" s="236"/>
      <c r="C552" s="237"/>
      <c r="D552" s="215"/>
      <c r="E552" s="23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>
      <c r="A553" s="215"/>
      <c r="B553" s="236"/>
      <c r="C553" s="237"/>
      <c r="D553" s="215"/>
      <c r="E553" s="23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>
      <c r="A554" s="215"/>
      <c r="B554" s="236"/>
      <c r="C554" s="237"/>
      <c r="D554" s="215"/>
      <c r="E554" s="23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>
      <c r="A555" s="215"/>
      <c r="B555" s="236"/>
      <c r="C555" s="237"/>
      <c r="D555" s="215"/>
      <c r="E555" s="23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>
      <c r="A556" s="215"/>
      <c r="B556" s="236"/>
      <c r="C556" s="237"/>
      <c r="D556" s="215"/>
      <c r="E556" s="23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>
      <c r="A557" s="215"/>
      <c r="B557" s="236"/>
      <c r="C557" s="237"/>
      <c r="D557" s="215"/>
      <c r="E557" s="23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>
      <c r="A558" s="215"/>
      <c r="B558" s="236"/>
      <c r="C558" s="237"/>
      <c r="D558" s="215"/>
      <c r="E558" s="23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>
      <c r="A559" s="215"/>
      <c r="B559" s="236"/>
      <c r="C559" s="237"/>
      <c r="D559" s="215"/>
      <c r="E559" s="23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>
      <c r="A560" s="215"/>
      <c r="B560" s="236"/>
      <c r="C560" s="237"/>
      <c r="D560" s="215"/>
      <c r="E560" s="23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>
      <c r="A561" s="215"/>
      <c r="B561" s="236"/>
      <c r="C561" s="237"/>
      <c r="D561" s="215"/>
      <c r="E561" s="23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>
      <c r="A562" s="215"/>
      <c r="B562" s="236"/>
      <c r="C562" s="237"/>
      <c r="D562" s="215"/>
      <c r="E562" s="23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>
      <c r="A563" s="215"/>
      <c r="B563" s="236"/>
      <c r="C563" s="237"/>
      <c r="D563" s="215"/>
      <c r="E563" s="23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>
      <c r="A564" s="215"/>
      <c r="B564" s="236"/>
      <c r="C564" s="237"/>
      <c r="D564" s="215"/>
      <c r="E564" s="23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>
      <c r="A565" s="215"/>
      <c r="B565" s="236"/>
      <c r="C565" s="237"/>
      <c r="D565" s="215"/>
      <c r="E565" s="235"/>
      <c r="F565" s="215"/>
      <c r="G565" s="216" t="s">
        <v>473</v>
      </c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>
      <c r="A566" s="215"/>
      <c r="B566" s="236"/>
      <c r="C566" s="237"/>
      <c r="D566" s="215"/>
      <c r="E566" s="235"/>
      <c r="F566" s="215"/>
      <c r="G566" s="240" t="s">
        <v>444</v>
      </c>
      <c r="H566" s="3"/>
      <c r="I566" s="3"/>
      <c r="J566" s="4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>
      <c r="A567" s="215"/>
      <c r="B567" s="236"/>
      <c r="C567" s="237"/>
      <c r="D567" s="215"/>
      <c r="E567" s="235"/>
      <c r="F567" s="215"/>
      <c r="G567" s="221" t="s">
        <v>435</v>
      </c>
      <c r="H567" s="222" t="s">
        <v>449</v>
      </c>
      <c r="I567" s="222" t="s">
        <v>450</v>
      </c>
      <c r="J567" s="222" t="s">
        <v>389</v>
      </c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>
      <c r="A568" s="215"/>
      <c r="B568" s="236"/>
      <c r="C568" s="237"/>
      <c r="D568" s="215"/>
      <c r="E568" s="235"/>
      <c r="F568" s="215"/>
      <c r="G568" s="227" t="s">
        <v>387</v>
      </c>
      <c r="H568" s="224">
        <f>B30</f>
        <v>0</v>
      </c>
      <c r="I568" s="242">
        <f>IF(AND(H568=0,H569=0),0,IF(AND(H568=0,H569&gt;0),1,(H569-H568)/H568))
</f>
        <v>0</v>
      </c>
      <c r="J568" s="229" t="str">
        <f>OKTOBER!$D$7</f>
        <v/>
      </c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>
      <c r="A569" s="215"/>
      <c r="B569" s="236"/>
      <c r="C569" s="237"/>
      <c r="D569" s="215"/>
      <c r="E569" s="235"/>
      <c r="F569" s="215"/>
      <c r="G569" s="227" t="s">
        <v>451</v>
      </c>
      <c r="H569" s="224">
        <f>C30</f>
        <v>0</v>
      </c>
      <c r="I569" s="7"/>
      <c r="J569" s="229">
        <f>NOVEMBER!$E$7</f>
        <v>70000000</v>
      </c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>
      <c r="A570" s="215"/>
      <c r="B570" s="236"/>
      <c r="C570" s="237"/>
      <c r="D570" s="215"/>
      <c r="E570" s="23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>
      <c r="A571" s="215"/>
      <c r="B571" s="236"/>
      <c r="C571" s="237"/>
      <c r="D571" s="215"/>
      <c r="E571" s="235"/>
      <c r="F571" s="215"/>
      <c r="G571" s="230" t="str">
        <f>LET(
  bulanLalu, G568,
  bulanIni, G569,
  orderLalu, H568,
  orderIni, H569,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571" s="231"/>
      <c r="I571" s="231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>
      <c r="A572" s="215"/>
      <c r="B572" s="236"/>
      <c r="C572" s="237"/>
      <c r="D572" s="215"/>
      <c r="E572" s="23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>
      <c r="A573" s="215"/>
      <c r="B573" s="236"/>
      <c r="C573" s="237"/>
      <c r="D573" s="215"/>
      <c r="E573" s="23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>
      <c r="A574" s="215"/>
      <c r="B574" s="236"/>
      <c r="C574" s="237"/>
      <c r="D574" s="215"/>
      <c r="E574" s="23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>
      <c r="A575" s="215"/>
      <c r="B575" s="236"/>
      <c r="C575" s="237"/>
      <c r="D575" s="215"/>
      <c r="E575" s="23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>
      <c r="A576" s="215"/>
      <c r="B576" s="236"/>
      <c r="C576" s="237"/>
      <c r="D576" s="215"/>
      <c r="E576" s="23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>
      <c r="A577" s="215"/>
      <c r="B577" s="236"/>
      <c r="C577" s="237"/>
      <c r="D577" s="215"/>
      <c r="E577" s="23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>
      <c r="A578" s="215"/>
      <c r="B578" s="236"/>
      <c r="C578" s="237"/>
      <c r="D578" s="215"/>
      <c r="E578" s="23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>
      <c r="A579" s="215"/>
      <c r="B579" s="236"/>
      <c r="C579" s="237"/>
      <c r="D579" s="215"/>
      <c r="E579" s="23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>
      <c r="A580" s="215"/>
      <c r="B580" s="236"/>
      <c r="C580" s="237"/>
      <c r="D580" s="215"/>
      <c r="E580" s="23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>
      <c r="A581" s="215"/>
      <c r="B581" s="236"/>
      <c r="C581" s="237"/>
      <c r="D581" s="215"/>
      <c r="E581" s="23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>
      <c r="A582" s="215"/>
      <c r="B582" s="236"/>
      <c r="C582" s="237"/>
      <c r="D582" s="215"/>
      <c r="E582" s="23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>
      <c r="A583" s="215"/>
      <c r="B583" s="236"/>
      <c r="C583" s="237"/>
      <c r="D583" s="215"/>
      <c r="E583" s="23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>
      <c r="A584" s="215"/>
      <c r="B584" s="236"/>
      <c r="C584" s="237"/>
      <c r="D584" s="215"/>
      <c r="E584" s="23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>
      <c r="A585" s="215"/>
      <c r="B585" s="236"/>
      <c r="C585" s="237"/>
      <c r="D585" s="215"/>
      <c r="E585" s="23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>
      <c r="A586" s="215"/>
      <c r="B586" s="236"/>
      <c r="C586" s="237"/>
      <c r="D586" s="215"/>
      <c r="E586" s="23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>
      <c r="A587" s="215"/>
      <c r="B587" s="236"/>
      <c r="C587" s="237"/>
      <c r="D587" s="215"/>
      <c r="E587" s="23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>
      <c r="A588" s="215"/>
      <c r="B588" s="236"/>
      <c r="C588" s="237"/>
      <c r="D588" s="215"/>
      <c r="E588" s="23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>
      <c r="A589" s="215"/>
      <c r="B589" s="236"/>
      <c r="C589" s="237"/>
      <c r="D589" s="215"/>
      <c r="E589" s="23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>
      <c r="A590" s="215"/>
      <c r="B590" s="236"/>
      <c r="C590" s="237"/>
      <c r="D590" s="215"/>
      <c r="E590" s="235"/>
      <c r="F590" s="215"/>
      <c r="G590" s="216" t="s">
        <v>474</v>
      </c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>
      <c r="A591" s="215"/>
      <c r="B591" s="236"/>
      <c r="C591" s="237"/>
      <c r="D591" s="215"/>
      <c r="E591" s="235"/>
      <c r="F591" s="215"/>
      <c r="G591" s="240" t="s">
        <v>444</v>
      </c>
      <c r="H591" s="3"/>
      <c r="I591" s="3"/>
      <c r="J591" s="4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>
      <c r="A592" s="215"/>
      <c r="B592" s="236"/>
      <c r="C592" s="237"/>
      <c r="D592" s="215"/>
      <c r="E592" s="235"/>
      <c r="F592" s="215"/>
      <c r="G592" s="221" t="s">
        <v>435</v>
      </c>
      <c r="H592" s="222" t="s">
        <v>449</v>
      </c>
      <c r="I592" s="222" t="s">
        <v>450</v>
      </c>
      <c r="J592" s="222" t="s">
        <v>389</v>
      </c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>
      <c r="A593" s="215"/>
      <c r="B593" s="236"/>
      <c r="C593" s="237"/>
      <c r="D593" s="215"/>
      <c r="E593" s="235"/>
      <c r="F593" s="215"/>
      <c r="G593" s="241" t="s">
        <v>387</v>
      </c>
      <c r="H593" s="245">
        <f>B32</f>
        <v>0</v>
      </c>
      <c r="I593" s="242">
        <f>IF(AND(H593=0,H594=0),0,IF(AND(H593=0,H594&gt;0),1,(H594-H593)/H593))
</f>
        <v>1</v>
      </c>
      <c r="J593" s="229" t="str">
        <f>OKTOBER!$D$7</f>
        <v/>
      </c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>
      <c r="A594" s="215"/>
      <c r="B594" s="236"/>
      <c r="C594" s="237"/>
      <c r="D594" s="215"/>
      <c r="E594" s="235"/>
      <c r="F594" s="215"/>
      <c r="G594" s="241" t="s">
        <v>451</v>
      </c>
      <c r="H594" s="245">
        <f>C32</f>
        <v>24720000</v>
      </c>
      <c r="I594" s="7"/>
      <c r="J594" s="229">
        <f>NOVEMBER!$E$7</f>
        <v>70000000</v>
      </c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>
      <c r="A595" s="215"/>
      <c r="B595" s="236"/>
      <c r="C595" s="237"/>
      <c r="D595" s="215"/>
      <c r="E595" s="23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>
      <c r="A596" s="215"/>
      <c r="B596" s="236"/>
      <c r="C596" s="237"/>
      <c r="D596" s="215"/>
      <c r="E596" s="235"/>
      <c r="F596" s="215"/>
      <c r="G596" s="230" t="str">
        <f>LET(
  bulanLalu, G593,
  bulanIni, G594,
  orderLalu, H593,
  orderIni, H594,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596" s="231"/>
      <c r="I596" s="231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>
      <c r="A597" s="215"/>
      <c r="B597" s="236"/>
      <c r="C597" s="237"/>
      <c r="D597" s="215"/>
      <c r="E597" s="23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>
      <c r="A598" s="215"/>
      <c r="B598" s="236"/>
      <c r="C598" s="237"/>
      <c r="D598" s="215"/>
      <c r="E598" s="23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>
      <c r="A599" s="215"/>
      <c r="B599" s="236"/>
      <c r="C599" s="237"/>
      <c r="D599" s="215"/>
      <c r="E599" s="23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>
      <c r="A600" s="215"/>
      <c r="B600" s="236"/>
      <c r="C600" s="237"/>
      <c r="D600" s="215"/>
      <c r="E600" s="23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>
      <c r="A601" s="215"/>
      <c r="B601" s="236"/>
      <c r="C601" s="237"/>
      <c r="D601" s="215"/>
      <c r="E601" s="23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>
      <c r="A602" s="215"/>
      <c r="B602" s="236"/>
      <c r="C602" s="237"/>
      <c r="D602" s="215"/>
      <c r="E602" s="23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>
      <c r="A603" s="215"/>
      <c r="B603" s="236"/>
      <c r="C603" s="237"/>
      <c r="D603" s="215"/>
      <c r="E603" s="23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>
      <c r="A604" s="215"/>
      <c r="B604" s="236"/>
      <c r="C604" s="237"/>
      <c r="D604" s="215"/>
      <c r="E604" s="23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>
      <c r="A605" s="215"/>
      <c r="B605" s="236"/>
      <c r="C605" s="237"/>
      <c r="D605" s="215"/>
      <c r="E605" s="23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>
      <c r="A606" s="215"/>
      <c r="B606" s="236"/>
      <c r="C606" s="237"/>
      <c r="D606" s="215"/>
      <c r="E606" s="23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>
      <c r="A607" s="215"/>
      <c r="B607" s="236"/>
      <c r="C607" s="237"/>
      <c r="D607" s="215"/>
      <c r="E607" s="23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>
      <c r="A608" s="215"/>
      <c r="B608" s="236"/>
      <c r="C608" s="237"/>
      <c r="D608" s="215"/>
      <c r="E608" s="23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>
      <c r="A609" s="215"/>
      <c r="B609" s="236"/>
      <c r="C609" s="237"/>
      <c r="D609" s="215"/>
      <c r="E609" s="23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>
      <c r="A610" s="215"/>
      <c r="B610" s="236"/>
      <c r="C610" s="237"/>
      <c r="D610" s="215"/>
      <c r="E610" s="23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>
      <c r="A611" s="215"/>
      <c r="B611" s="236"/>
      <c r="C611" s="237"/>
      <c r="D611" s="215"/>
      <c r="E611" s="23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>
      <c r="A612" s="215"/>
      <c r="B612" s="236"/>
      <c r="C612" s="237"/>
      <c r="D612" s="215"/>
      <c r="E612" s="23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>
      <c r="A613" s="215"/>
      <c r="B613" s="236"/>
      <c r="C613" s="237"/>
      <c r="D613" s="215"/>
      <c r="E613" s="23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>
      <c r="A614" s="215"/>
      <c r="B614" s="236"/>
      <c r="C614" s="237"/>
      <c r="D614" s="215"/>
      <c r="E614" s="23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>
      <c r="A615" s="215"/>
      <c r="B615" s="236"/>
      <c r="C615" s="237"/>
      <c r="D615" s="215"/>
      <c r="E615" s="235"/>
      <c r="F615" s="215"/>
      <c r="G615" s="216" t="s">
        <v>475</v>
      </c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>
      <c r="A616" s="215"/>
      <c r="B616" s="236"/>
      <c r="C616" s="237"/>
      <c r="D616" s="215"/>
      <c r="E616" s="235"/>
      <c r="F616" s="215"/>
      <c r="G616" s="240" t="s">
        <v>444</v>
      </c>
      <c r="H616" s="3"/>
      <c r="I616" s="3"/>
      <c r="J616" s="4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>
      <c r="A617" s="215"/>
      <c r="B617" s="236"/>
      <c r="C617" s="237"/>
      <c r="D617" s="215"/>
      <c r="E617" s="235"/>
      <c r="F617" s="215"/>
      <c r="G617" s="221" t="s">
        <v>435</v>
      </c>
      <c r="H617" s="222" t="s">
        <v>449</v>
      </c>
      <c r="I617" s="222" t="s">
        <v>450</v>
      </c>
      <c r="J617" s="222" t="s">
        <v>389</v>
      </c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>
      <c r="A618" s="215"/>
      <c r="B618" s="236"/>
      <c r="C618" s="237"/>
      <c r="D618" s="215"/>
      <c r="E618" s="235"/>
      <c r="F618" s="215"/>
      <c r="G618" s="241" t="s">
        <v>387</v>
      </c>
      <c r="H618" s="245">
        <f>B33</f>
        <v>0</v>
      </c>
      <c r="I618" s="242">
        <f>IF(AND(H618=0,H619=0),0,IF(AND(H618=0,H619&gt;0),1,(H619-H618)/H618))
</f>
        <v>0</v>
      </c>
      <c r="J618" s="229" t="str">
        <f>OKTOBER!$D$7</f>
        <v/>
      </c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>
      <c r="A619" s="215"/>
      <c r="B619" s="236"/>
      <c r="C619" s="237"/>
      <c r="D619" s="215"/>
      <c r="E619" s="235"/>
      <c r="F619" s="215"/>
      <c r="G619" s="241" t="s">
        <v>451</v>
      </c>
      <c r="H619" s="245">
        <f>C33</f>
        <v>0</v>
      </c>
      <c r="I619" s="7"/>
      <c r="J619" s="229">
        <f>NOVEMBER!$E$7</f>
        <v>70000000</v>
      </c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>
      <c r="A620" s="215"/>
      <c r="B620" s="236"/>
      <c r="C620" s="237"/>
      <c r="D620" s="215"/>
      <c r="E620" s="23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>
      <c r="A621" s="215"/>
      <c r="B621" s="236"/>
      <c r="C621" s="237"/>
      <c r="D621" s="215"/>
      <c r="E621" s="235"/>
      <c r="F621" s="215"/>
      <c r="G621" s="230" t="str">
        <f>LET(
  bulanLalu, G618,
  bulanIni, G619,
  orderLalu, H618,
  orderIni, H619,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621" s="231"/>
      <c r="I621" s="231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>
      <c r="A622" s="215"/>
      <c r="B622" s="236"/>
      <c r="C622" s="237"/>
      <c r="D622" s="215"/>
      <c r="E622" s="23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>
      <c r="A623" s="215"/>
      <c r="B623" s="236"/>
      <c r="C623" s="237"/>
      <c r="D623" s="215"/>
      <c r="E623" s="23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>
      <c r="A624" s="215"/>
      <c r="B624" s="236"/>
      <c r="C624" s="237"/>
      <c r="D624" s="215"/>
      <c r="E624" s="23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>
      <c r="A625" s="215"/>
      <c r="B625" s="236"/>
      <c r="C625" s="237"/>
      <c r="D625" s="215"/>
      <c r="E625" s="23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>
      <c r="A626" s="215"/>
      <c r="B626" s="236"/>
      <c r="C626" s="237"/>
      <c r="D626" s="215"/>
      <c r="E626" s="23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>
      <c r="A627" s="215"/>
      <c r="B627" s="236"/>
      <c r="C627" s="237"/>
      <c r="D627" s="215"/>
      <c r="E627" s="23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>
      <c r="A628" s="215"/>
      <c r="B628" s="236"/>
      <c r="C628" s="237"/>
      <c r="D628" s="215"/>
      <c r="E628" s="23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>
      <c r="A629" s="215"/>
      <c r="B629" s="236"/>
      <c r="C629" s="237"/>
      <c r="D629" s="215"/>
      <c r="E629" s="23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>
      <c r="A630" s="215"/>
      <c r="B630" s="236"/>
      <c r="C630" s="237"/>
      <c r="D630" s="215"/>
      <c r="E630" s="23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>
      <c r="A631" s="215"/>
      <c r="B631" s="236"/>
      <c r="C631" s="237"/>
      <c r="D631" s="215"/>
      <c r="E631" s="23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>
      <c r="A632" s="215"/>
      <c r="B632" s="236"/>
      <c r="C632" s="237"/>
      <c r="D632" s="215"/>
      <c r="E632" s="23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>
      <c r="A633" s="215"/>
      <c r="B633" s="236"/>
      <c r="C633" s="237"/>
      <c r="D633" s="215"/>
      <c r="E633" s="23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>
      <c r="A634" s="215"/>
      <c r="B634" s="236"/>
      <c r="C634" s="237"/>
      <c r="D634" s="215"/>
      <c r="E634" s="23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>
      <c r="A635" s="215"/>
      <c r="B635" s="236"/>
      <c r="C635" s="237"/>
      <c r="D635" s="215"/>
      <c r="E635" s="23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>
      <c r="A636" s="215"/>
      <c r="B636" s="236"/>
      <c r="C636" s="237"/>
      <c r="D636" s="215"/>
      <c r="E636" s="23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>
      <c r="A637" s="215"/>
      <c r="B637" s="236"/>
      <c r="C637" s="237"/>
      <c r="D637" s="215"/>
      <c r="E637" s="23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>
      <c r="A638" s="215"/>
      <c r="B638" s="236"/>
      <c r="C638" s="237"/>
      <c r="D638" s="215"/>
      <c r="E638" s="23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>
      <c r="A639" s="215"/>
      <c r="B639" s="236"/>
      <c r="C639" s="237"/>
      <c r="D639" s="215"/>
      <c r="E639" s="23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>
      <c r="A640" s="215"/>
      <c r="B640" s="236"/>
      <c r="C640" s="237"/>
      <c r="D640" s="215"/>
      <c r="E640" s="235"/>
      <c r="F640" s="215"/>
      <c r="G640" s="216" t="s">
        <v>476</v>
      </c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>
      <c r="A641" s="215"/>
      <c r="B641" s="236"/>
      <c r="C641" s="237"/>
      <c r="D641" s="215"/>
      <c r="E641" s="235"/>
      <c r="F641" s="215"/>
      <c r="G641" s="240" t="s">
        <v>444</v>
      </c>
      <c r="H641" s="3"/>
      <c r="I641" s="3"/>
      <c r="J641" s="4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>
      <c r="A642" s="215"/>
      <c r="B642" s="236"/>
      <c r="C642" s="237"/>
      <c r="D642" s="215"/>
      <c r="E642" s="235"/>
      <c r="F642" s="215"/>
      <c r="G642" s="221" t="s">
        <v>435</v>
      </c>
      <c r="H642" s="222" t="s">
        <v>449</v>
      </c>
      <c r="I642" s="222" t="s">
        <v>450</v>
      </c>
      <c r="J642" s="222" t="s">
        <v>389</v>
      </c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>
      <c r="A643" s="215"/>
      <c r="B643" s="236"/>
      <c r="C643" s="237"/>
      <c r="D643" s="215"/>
      <c r="E643" s="235"/>
      <c r="F643" s="215"/>
      <c r="G643" s="241" t="s">
        <v>387</v>
      </c>
      <c r="H643" s="245">
        <f>B34</f>
        <v>0</v>
      </c>
      <c r="I643" s="242">
        <f>IF(AND(H643=0,H644=0),0,IF(AND(H643=0,H644&gt;0),1,(H644-H643)/H643))
</f>
        <v>0</v>
      </c>
      <c r="J643" s="229" t="str">
        <f>OKTOBER!$D$7</f>
        <v/>
      </c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>
      <c r="A644" s="215"/>
      <c r="B644" s="236"/>
      <c r="C644" s="237"/>
      <c r="D644" s="215"/>
      <c r="E644" s="235"/>
      <c r="F644" s="215"/>
      <c r="G644" s="241" t="s">
        <v>451</v>
      </c>
      <c r="H644" s="245">
        <f>C34</f>
        <v>0</v>
      </c>
      <c r="I644" s="7"/>
      <c r="J644" s="229">
        <f>NOVEMBER!$E$7</f>
        <v>70000000</v>
      </c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>
      <c r="A645" s="215"/>
      <c r="B645" s="236"/>
      <c r="C645" s="237"/>
      <c r="D645" s="215"/>
      <c r="E645" s="23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>
      <c r="A646" s="215"/>
      <c r="B646" s="236"/>
      <c r="C646" s="237"/>
      <c r="D646" s="215"/>
      <c r="E646" s="235"/>
      <c r="F646" s="215"/>
      <c r="G646" s="230" t="str">
        <f>LET(
  bulanLalu, G643,
  bulanIni, G644,
  orderLalu, H643,
  orderIni, H644,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646" s="231"/>
      <c r="I646" s="231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>
      <c r="A647" s="215"/>
      <c r="B647" s="236"/>
      <c r="C647" s="237"/>
      <c r="D647" s="215"/>
      <c r="E647" s="23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>
      <c r="A648" s="215"/>
      <c r="B648" s="236"/>
      <c r="C648" s="237"/>
      <c r="D648" s="215"/>
      <c r="E648" s="23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>
      <c r="A649" s="215"/>
      <c r="B649" s="236"/>
      <c r="C649" s="237"/>
      <c r="D649" s="215"/>
      <c r="E649" s="23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>
      <c r="A650" s="215"/>
      <c r="B650" s="236"/>
      <c r="C650" s="237"/>
      <c r="D650" s="215"/>
      <c r="E650" s="23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>
      <c r="A651" s="215"/>
      <c r="B651" s="236"/>
      <c r="C651" s="237"/>
      <c r="D651" s="215"/>
      <c r="E651" s="23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>
      <c r="A652" s="215"/>
      <c r="B652" s="236"/>
      <c r="C652" s="237"/>
      <c r="D652" s="215"/>
      <c r="E652" s="23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>
      <c r="A653" s="215"/>
      <c r="B653" s="236"/>
      <c r="C653" s="237"/>
      <c r="D653" s="215"/>
      <c r="E653" s="23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>
      <c r="A654" s="215"/>
      <c r="B654" s="236"/>
      <c r="C654" s="237"/>
      <c r="D654" s="215"/>
      <c r="E654" s="23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>
      <c r="A655" s="215"/>
      <c r="B655" s="236"/>
      <c r="C655" s="237"/>
      <c r="D655" s="215"/>
      <c r="E655" s="23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>
      <c r="A656" s="215"/>
      <c r="B656" s="236"/>
      <c r="C656" s="237"/>
      <c r="D656" s="215"/>
      <c r="E656" s="23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>
      <c r="A657" s="215"/>
      <c r="B657" s="236"/>
      <c r="C657" s="237"/>
      <c r="D657" s="215"/>
      <c r="E657" s="23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>
      <c r="A658" s="215"/>
      <c r="B658" s="236"/>
      <c r="C658" s="237"/>
      <c r="D658" s="215"/>
      <c r="E658" s="23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>
      <c r="A659" s="215"/>
      <c r="B659" s="236"/>
      <c r="C659" s="237"/>
      <c r="D659" s="215"/>
      <c r="E659" s="23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>
      <c r="A660" s="215"/>
      <c r="B660" s="236"/>
      <c r="C660" s="237"/>
      <c r="D660" s="215"/>
      <c r="E660" s="23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>
      <c r="A661" s="215"/>
      <c r="B661" s="236"/>
      <c r="C661" s="237"/>
      <c r="D661" s="215"/>
      <c r="E661" s="23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>
      <c r="A662" s="215"/>
      <c r="B662" s="236"/>
      <c r="C662" s="237"/>
      <c r="D662" s="215"/>
      <c r="E662" s="23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>
      <c r="A663" s="215"/>
      <c r="B663" s="236"/>
      <c r="C663" s="237"/>
      <c r="D663" s="215"/>
      <c r="E663" s="23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>
      <c r="A664" s="215"/>
      <c r="B664" s="236"/>
      <c r="C664" s="237"/>
      <c r="D664" s="215"/>
      <c r="E664" s="23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>
      <c r="A665" s="215"/>
      <c r="B665" s="236"/>
      <c r="C665" s="237"/>
      <c r="D665" s="215"/>
      <c r="E665" s="235"/>
      <c r="F665" s="234"/>
      <c r="G665" s="243"/>
      <c r="R665" s="234"/>
      <c r="S665" s="234"/>
      <c r="T665" s="215"/>
      <c r="U665" s="215"/>
      <c r="V665" s="215"/>
      <c r="W665" s="215"/>
      <c r="X665" s="215"/>
      <c r="Y665" s="215"/>
      <c r="Z665" s="215"/>
    </row>
    <row r="666">
      <c r="A666" s="215"/>
      <c r="B666" s="236"/>
      <c r="C666" s="237"/>
      <c r="D666" s="215"/>
      <c r="E666" s="235"/>
      <c r="F666" s="234"/>
      <c r="G666" s="246"/>
      <c r="K666" s="234"/>
      <c r="L666" s="234"/>
      <c r="M666" s="234"/>
      <c r="N666" s="234"/>
      <c r="O666" s="234"/>
      <c r="P666" s="234"/>
      <c r="Q666" s="234"/>
      <c r="R666" s="234"/>
      <c r="S666" s="234"/>
      <c r="T666" s="215"/>
      <c r="U666" s="215"/>
      <c r="V666" s="215"/>
      <c r="W666" s="215"/>
      <c r="X666" s="215"/>
      <c r="Y666" s="215"/>
      <c r="Z666" s="215"/>
    </row>
    <row r="667">
      <c r="A667" s="215"/>
      <c r="B667" s="236"/>
      <c r="C667" s="237"/>
      <c r="D667" s="215"/>
      <c r="E667" s="235"/>
      <c r="F667" s="234"/>
      <c r="G667" s="234"/>
      <c r="H667" s="247"/>
      <c r="I667" s="247"/>
      <c r="J667" s="247"/>
      <c r="K667" s="234"/>
      <c r="L667" s="234"/>
      <c r="M667" s="234"/>
      <c r="N667" s="234"/>
      <c r="O667" s="234"/>
      <c r="P667" s="234"/>
      <c r="Q667" s="234"/>
      <c r="R667" s="234"/>
      <c r="S667" s="234"/>
      <c r="T667" s="215"/>
      <c r="U667" s="215"/>
      <c r="V667" s="215"/>
      <c r="W667" s="215"/>
      <c r="X667" s="215"/>
      <c r="Y667" s="215"/>
      <c r="Z667" s="215"/>
    </row>
    <row r="668">
      <c r="A668" s="215"/>
      <c r="B668" s="236"/>
      <c r="C668" s="237"/>
      <c r="D668" s="215"/>
      <c r="E668" s="235"/>
      <c r="F668" s="234"/>
      <c r="G668" s="234"/>
      <c r="H668" s="248"/>
      <c r="I668" s="249"/>
      <c r="J668" s="250"/>
      <c r="K668" s="234"/>
      <c r="L668" s="234"/>
      <c r="M668" s="234"/>
      <c r="N668" s="234"/>
      <c r="O668" s="234"/>
      <c r="P668" s="234"/>
      <c r="Q668" s="234"/>
      <c r="R668" s="234"/>
      <c r="S668" s="234"/>
      <c r="T668" s="215"/>
      <c r="U668" s="215"/>
      <c r="V668" s="215"/>
      <c r="W668" s="215"/>
      <c r="X668" s="215"/>
      <c r="Y668" s="215"/>
      <c r="Z668" s="215"/>
    </row>
    <row r="669">
      <c r="A669" s="215"/>
      <c r="B669" s="236"/>
      <c r="C669" s="237"/>
      <c r="D669" s="215"/>
      <c r="E669" s="235"/>
      <c r="F669" s="234"/>
      <c r="G669" s="234"/>
      <c r="H669" s="248"/>
      <c r="J669" s="250"/>
      <c r="K669" s="234"/>
      <c r="L669" s="234"/>
      <c r="M669" s="234"/>
      <c r="N669" s="234"/>
      <c r="O669" s="234"/>
      <c r="P669" s="234"/>
      <c r="Q669" s="234"/>
      <c r="R669" s="234"/>
      <c r="S669" s="234"/>
      <c r="T669" s="215"/>
      <c r="U669" s="215"/>
      <c r="V669" s="215"/>
      <c r="W669" s="215"/>
      <c r="X669" s="215"/>
      <c r="Y669" s="215"/>
      <c r="Z669" s="215"/>
    </row>
    <row r="670">
      <c r="A670" s="215"/>
      <c r="B670" s="236"/>
      <c r="C670" s="237"/>
      <c r="D670" s="215"/>
      <c r="E670" s="235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15"/>
      <c r="U670" s="215"/>
      <c r="V670" s="215"/>
      <c r="W670" s="215"/>
      <c r="X670" s="215"/>
      <c r="Y670" s="215"/>
      <c r="Z670" s="215"/>
    </row>
    <row r="671">
      <c r="A671" s="215"/>
      <c r="B671" s="236"/>
      <c r="C671" s="237"/>
      <c r="D671" s="215"/>
      <c r="E671" s="235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15"/>
      <c r="U671" s="215"/>
      <c r="V671" s="215"/>
      <c r="W671" s="215"/>
      <c r="X671" s="215"/>
      <c r="Y671" s="215"/>
      <c r="Z671" s="215"/>
    </row>
    <row r="672">
      <c r="A672" s="215"/>
      <c r="B672" s="236"/>
      <c r="C672" s="237"/>
      <c r="D672" s="215"/>
      <c r="E672" s="235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15"/>
      <c r="U672" s="215"/>
      <c r="V672" s="215"/>
      <c r="W672" s="215"/>
      <c r="X672" s="215"/>
      <c r="Y672" s="215"/>
      <c r="Z672" s="215"/>
    </row>
    <row r="673">
      <c r="A673" s="215"/>
      <c r="B673" s="236"/>
      <c r="C673" s="237"/>
      <c r="D673" s="215"/>
      <c r="E673" s="235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15"/>
      <c r="U673" s="215"/>
      <c r="V673" s="215"/>
      <c r="W673" s="215"/>
      <c r="X673" s="215"/>
      <c r="Y673" s="215"/>
      <c r="Z673" s="215"/>
    </row>
    <row r="674">
      <c r="A674" s="215"/>
      <c r="B674" s="236"/>
      <c r="C674" s="237"/>
      <c r="D674" s="215"/>
      <c r="E674" s="235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15"/>
      <c r="U674" s="215"/>
      <c r="V674" s="215"/>
      <c r="W674" s="215"/>
      <c r="X674" s="215"/>
      <c r="Y674" s="215"/>
      <c r="Z674" s="215"/>
    </row>
    <row r="675">
      <c r="A675" s="215"/>
      <c r="B675" s="236"/>
      <c r="C675" s="237"/>
      <c r="D675" s="215"/>
      <c r="E675" s="235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15"/>
      <c r="U675" s="215"/>
      <c r="V675" s="215"/>
      <c r="W675" s="215"/>
      <c r="X675" s="215"/>
      <c r="Y675" s="215"/>
      <c r="Z675" s="215"/>
    </row>
    <row r="676">
      <c r="A676" s="215"/>
      <c r="B676" s="236"/>
      <c r="C676" s="237"/>
      <c r="D676" s="215"/>
      <c r="E676" s="235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15"/>
      <c r="U676" s="215"/>
      <c r="V676" s="215"/>
      <c r="W676" s="215"/>
      <c r="X676" s="215"/>
      <c r="Y676" s="215"/>
      <c r="Z676" s="215"/>
    </row>
    <row r="677">
      <c r="A677" s="215"/>
      <c r="B677" s="236"/>
      <c r="C677" s="237"/>
      <c r="D677" s="215"/>
      <c r="E677" s="235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15"/>
      <c r="U677" s="215"/>
      <c r="V677" s="215"/>
      <c r="W677" s="215"/>
      <c r="X677" s="215"/>
      <c r="Y677" s="215"/>
      <c r="Z677" s="215"/>
    </row>
    <row r="678">
      <c r="A678" s="215"/>
      <c r="B678" s="236"/>
      <c r="C678" s="237"/>
      <c r="D678" s="215"/>
      <c r="E678" s="235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15"/>
      <c r="U678" s="215"/>
      <c r="V678" s="215"/>
      <c r="W678" s="215"/>
      <c r="X678" s="215"/>
      <c r="Y678" s="215"/>
      <c r="Z678" s="215"/>
    </row>
    <row r="679">
      <c r="A679" s="215"/>
      <c r="B679" s="236"/>
      <c r="C679" s="237"/>
      <c r="D679" s="215"/>
      <c r="E679" s="235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15"/>
      <c r="U679" s="215"/>
      <c r="V679" s="215"/>
      <c r="W679" s="215"/>
      <c r="X679" s="215"/>
      <c r="Y679" s="215"/>
      <c r="Z679" s="215"/>
    </row>
    <row r="680">
      <c r="A680" s="215"/>
      <c r="B680" s="236"/>
      <c r="C680" s="237"/>
      <c r="D680" s="215"/>
      <c r="E680" s="235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15"/>
      <c r="U680" s="215"/>
      <c r="V680" s="215"/>
      <c r="W680" s="215"/>
      <c r="X680" s="215"/>
      <c r="Y680" s="215"/>
      <c r="Z680" s="215"/>
    </row>
    <row r="681">
      <c r="A681" s="215"/>
      <c r="B681" s="236"/>
      <c r="C681" s="237"/>
      <c r="D681" s="215"/>
      <c r="E681" s="235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15"/>
      <c r="U681" s="215"/>
      <c r="V681" s="215"/>
      <c r="W681" s="215"/>
      <c r="X681" s="215"/>
      <c r="Y681" s="215"/>
      <c r="Z681" s="215"/>
    </row>
    <row r="682">
      <c r="A682" s="215"/>
      <c r="B682" s="236"/>
      <c r="C682" s="237"/>
      <c r="D682" s="215"/>
      <c r="E682" s="235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15"/>
      <c r="U682" s="215"/>
      <c r="V682" s="215"/>
      <c r="W682" s="215"/>
      <c r="X682" s="215"/>
      <c r="Y682" s="215"/>
      <c r="Z682" s="215"/>
    </row>
    <row r="683">
      <c r="A683" s="215"/>
      <c r="B683" s="236"/>
      <c r="C683" s="237"/>
      <c r="D683" s="215"/>
      <c r="E683" s="235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15"/>
      <c r="U683" s="215"/>
      <c r="V683" s="215"/>
      <c r="W683" s="215"/>
      <c r="X683" s="215"/>
      <c r="Y683" s="215"/>
      <c r="Z683" s="215"/>
    </row>
    <row r="684">
      <c r="A684" s="215"/>
      <c r="B684" s="236"/>
      <c r="C684" s="237"/>
      <c r="D684" s="215"/>
      <c r="E684" s="235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15"/>
      <c r="U684" s="215"/>
      <c r="V684" s="215"/>
      <c r="W684" s="215"/>
      <c r="X684" s="215"/>
      <c r="Y684" s="215"/>
      <c r="Z684" s="215"/>
    </row>
    <row r="685">
      <c r="A685" s="215"/>
      <c r="B685" s="236"/>
      <c r="C685" s="237"/>
      <c r="D685" s="215"/>
      <c r="E685" s="235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15"/>
      <c r="U685" s="215"/>
      <c r="V685" s="215"/>
      <c r="W685" s="215"/>
      <c r="X685" s="215"/>
      <c r="Y685" s="215"/>
      <c r="Z685" s="215"/>
    </row>
    <row r="686">
      <c r="A686" s="215"/>
      <c r="B686" s="236"/>
      <c r="C686" s="237"/>
      <c r="D686" s="215"/>
      <c r="E686" s="235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15"/>
      <c r="U686" s="215"/>
      <c r="V686" s="215"/>
      <c r="W686" s="215"/>
      <c r="X686" s="215"/>
      <c r="Y686" s="215"/>
      <c r="Z686" s="215"/>
    </row>
    <row r="687">
      <c r="A687" s="215"/>
      <c r="B687" s="236"/>
      <c r="C687" s="237"/>
      <c r="D687" s="215"/>
      <c r="E687" s="235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15"/>
      <c r="U687" s="215"/>
      <c r="V687" s="215"/>
      <c r="W687" s="215"/>
      <c r="X687" s="215"/>
      <c r="Y687" s="215"/>
      <c r="Z687" s="215"/>
    </row>
    <row r="688">
      <c r="A688" s="215"/>
      <c r="B688" s="236"/>
      <c r="C688" s="237"/>
      <c r="D688" s="215"/>
      <c r="E688" s="235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15"/>
      <c r="U688" s="215"/>
      <c r="V688" s="215"/>
      <c r="W688" s="215"/>
      <c r="X688" s="215"/>
      <c r="Y688" s="215"/>
      <c r="Z688" s="215"/>
    </row>
    <row r="689">
      <c r="A689" s="215"/>
      <c r="B689" s="236"/>
      <c r="C689" s="237"/>
      <c r="D689" s="215"/>
      <c r="E689" s="235"/>
      <c r="F689" s="234"/>
      <c r="G689" s="243"/>
      <c r="R689" s="234"/>
      <c r="S689" s="234"/>
      <c r="T689" s="215"/>
      <c r="U689" s="215"/>
      <c r="V689" s="215"/>
      <c r="W689" s="215"/>
      <c r="X689" s="215"/>
      <c r="Y689" s="215"/>
      <c r="Z689" s="215"/>
    </row>
    <row r="690">
      <c r="A690" s="215"/>
      <c r="B690" s="236"/>
      <c r="C690" s="237"/>
      <c r="D690" s="215"/>
      <c r="E690" s="235"/>
      <c r="F690" s="234"/>
      <c r="G690" s="246"/>
      <c r="K690" s="234"/>
      <c r="L690" s="234"/>
      <c r="M690" s="234"/>
      <c r="N690" s="234"/>
      <c r="O690" s="234"/>
      <c r="P690" s="234"/>
      <c r="Q690" s="234"/>
      <c r="R690" s="234"/>
      <c r="S690" s="234"/>
      <c r="T690" s="215"/>
      <c r="U690" s="215"/>
      <c r="V690" s="215"/>
      <c r="W690" s="215"/>
      <c r="X690" s="215"/>
      <c r="Y690" s="215"/>
      <c r="Z690" s="215"/>
    </row>
    <row r="691">
      <c r="A691" s="215"/>
      <c r="B691" s="236"/>
      <c r="C691" s="237"/>
      <c r="D691" s="215"/>
      <c r="E691" s="235"/>
      <c r="F691" s="234"/>
      <c r="G691" s="234"/>
      <c r="H691" s="247"/>
      <c r="I691" s="247"/>
      <c r="J691" s="247"/>
      <c r="K691" s="234"/>
      <c r="L691" s="234"/>
      <c r="M691" s="234"/>
      <c r="N691" s="234"/>
      <c r="O691" s="234"/>
      <c r="P691" s="234"/>
      <c r="Q691" s="234"/>
      <c r="R691" s="234"/>
      <c r="S691" s="234"/>
      <c r="T691" s="215"/>
      <c r="U691" s="215"/>
      <c r="V691" s="215"/>
      <c r="W691" s="215"/>
      <c r="X691" s="215"/>
      <c r="Y691" s="215"/>
      <c r="Z691" s="215"/>
    </row>
    <row r="692">
      <c r="A692" s="215"/>
      <c r="B692" s="236"/>
      <c r="C692" s="237"/>
      <c r="D692" s="215"/>
      <c r="E692" s="235"/>
      <c r="F692" s="234"/>
      <c r="G692" s="234"/>
      <c r="H692" s="248"/>
      <c r="I692" s="249"/>
      <c r="J692" s="250"/>
      <c r="K692" s="234"/>
      <c r="L692" s="234"/>
      <c r="M692" s="234"/>
      <c r="N692" s="234"/>
      <c r="O692" s="234"/>
      <c r="P692" s="234"/>
      <c r="Q692" s="234"/>
      <c r="R692" s="234"/>
      <c r="S692" s="234"/>
      <c r="T692" s="215"/>
      <c r="U692" s="215"/>
      <c r="V692" s="215"/>
      <c r="W692" s="215"/>
      <c r="X692" s="215"/>
      <c r="Y692" s="215"/>
      <c r="Z692" s="215"/>
    </row>
    <row r="693">
      <c r="A693" s="215"/>
      <c r="B693" s="236"/>
      <c r="C693" s="237"/>
      <c r="D693" s="215"/>
      <c r="E693" s="235"/>
      <c r="F693" s="234"/>
      <c r="G693" s="234"/>
      <c r="H693" s="248"/>
      <c r="J693" s="250"/>
      <c r="K693" s="234"/>
      <c r="L693" s="234"/>
      <c r="M693" s="234"/>
      <c r="N693" s="234"/>
      <c r="O693" s="234"/>
      <c r="P693" s="234"/>
      <c r="Q693" s="234"/>
      <c r="R693" s="234"/>
      <c r="S693" s="234"/>
      <c r="T693" s="215"/>
      <c r="U693" s="215"/>
      <c r="V693" s="215"/>
      <c r="W693" s="215"/>
      <c r="X693" s="215"/>
      <c r="Y693" s="215"/>
      <c r="Z693" s="215"/>
    </row>
    <row r="694">
      <c r="A694" s="215"/>
      <c r="B694" s="236"/>
      <c r="C694" s="237"/>
      <c r="D694" s="215"/>
      <c r="E694" s="235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15"/>
      <c r="U694" s="215"/>
      <c r="V694" s="215"/>
      <c r="W694" s="215"/>
      <c r="X694" s="215"/>
      <c r="Y694" s="215"/>
      <c r="Z694" s="215"/>
    </row>
    <row r="695">
      <c r="A695" s="215"/>
      <c r="B695" s="236"/>
      <c r="C695" s="237"/>
      <c r="D695" s="215"/>
      <c r="E695" s="235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15"/>
      <c r="U695" s="215"/>
      <c r="V695" s="215"/>
      <c r="W695" s="215"/>
      <c r="X695" s="215"/>
      <c r="Y695" s="215"/>
      <c r="Z695" s="215"/>
    </row>
    <row r="696">
      <c r="A696" s="215"/>
      <c r="B696" s="236"/>
      <c r="C696" s="237"/>
      <c r="D696" s="215"/>
      <c r="E696" s="235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15"/>
      <c r="U696" s="215"/>
      <c r="V696" s="215"/>
      <c r="W696" s="215"/>
      <c r="X696" s="215"/>
      <c r="Y696" s="215"/>
      <c r="Z696" s="215"/>
    </row>
    <row r="697">
      <c r="A697" s="215"/>
      <c r="B697" s="236"/>
      <c r="C697" s="237"/>
      <c r="D697" s="215"/>
      <c r="E697" s="235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15"/>
      <c r="U697" s="215"/>
      <c r="V697" s="215"/>
      <c r="W697" s="215"/>
      <c r="X697" s="215"/>
      <c r="Y697" s="215"/>
      <c r="Z697" s="215"/>
    </row>
    <row r="698">
      <c r="A698" s="215"/>
      <c r="B698" s="236"/>
      <c r="C698" s="237"/>
      <c r="D698" s="215"/>
      <c r="E698" s="235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15"/>
      <c r="U698" s="215"/>
      <c r="V698" s="215"/>
      <c r="W698" s="215"/>
      <c r="X698" s="215"/>
      <c r="Y698" s="215"/>
      <c r="Z698" s="215"/>
    </row>
    <row r="699">
      <c r="A699" s="215"/>
      <c r="B699" s="236"/>
      <c r="C699" s="237"/>
      <c r="D699" s="215"/>
      <c r="E699" s="235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15"/>
      <c r="U699" s="215"/>
      <c r="V699" s="215"/>
      <c r="W699" s="215"/>
      <c r="X699" s="215"/>
      <c r="Y699" s="215"/>
      <c r="Z699" s="215"/>
    </row>
    <row r="700">
      <c r="A700" s="215"/>
      <c r="B700" s="236"/>
      <c r="C700" s="237"/>
      <c r="D700" s="215"/>
      <c r="E700" s="235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15"/>
      <c r="U700" s="215"/>
      <c r="V700" s="215"/>
      <c r="W700" s="215"/>
      <c r="X700" s="215"/>
      <c r="Y700" s="215"/>
      <c r="Z700" s="215"/>
    </row>
    <row r="701">
      <c r="A701" s="215"/>
      <c r="B701" s="236"/>
      <c r="C701" s="237"/>
      <c r="D701" s="215"/>
      <c r="E701" s="235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15"/>
      <c r="U701" s="215"/>
      <c r="V701" s="215"/>
      <c r="W701" s="215"/>
      <c r="X701" s="215"/>
      <c r="Y701" s="215"/>
      <c r="Z701" s="215"/>
    </row>
    <row r="702">
      <c r="A702" s="215"/>
      <c r="B702" s="236"/>
      <c r="C702" s="237"/>
      <c r="D702" s="215"/>
      <c r="E702" s="235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15"/>
      <c r="U702" s="215"/>
      <c r="V702" s="215"/>
      <c r="W702" s="215"/>
      <c r="X702" s="215"/>
      <c r="Y702" s="215"/>
      <c r="Z702" s="215"/>
    </row>
    <row r="703">
      <c r="A703" s="215"/>
      <c r="B703" s="236"/>
      <c r="C703" s="237"/>
      <c r="D703" s="215"/>
      <c r="E703" s="235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15"/>
      <c r="U703" s="215"/>
      <c r="V703" s="215"/>
      <c r="W703" s="215"/>
      <c r="X703" s="215"/>
      <c r="Y703" s="215"/>
      <c r="Z703" s="215"/>
    </row>
    <row r="704">
      <c r="A704" s="215"/>
      <c r="B704" s="236"/>
      <c r="C704" s="237"/>
      <c r="D704" s="215"/>
      <c r="E704" s="235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15"/>
      <c r="U704" s="215"/>
      <c r="V704" s="215"/>
      <c r="W704" s="215"/>
      <c r="X704" s="215"/>
      <c r="Y704" s="215"/>
      <c r="Z704" s="215"/>
    </row>
    <row r="705">
      <c r="A705" s="215"/>
      <c r="B705" s="236"/>
      <c r="C705" s="237"/>
      <c r="D705" s="215"/>
      <c r="E705" s="235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15"/>
      <c r="U705" s="215"/>
      <c r="V705" s="215"/>
      <c r="W705" s="215"/>
      <c r="X705" s="215"/>
      <c r="Y705" s="215"/>
      <c r="Z705" s="215"/>
    </row>
    <row r="706">
      <c r="A706" s="215"/>
      <c r="B706" s="236"/>
      <c r="C706" s="237"/>
      <c r="D706" s="215"/>
      <c r="E706" s="235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15"/>
      <c r="U706" s="215"/>
      <c r="V706" s="215"/>
      <c r="W706" s="215"/>
      <c r="X706" s="215"/>
      <c r="Y706" s="215"/>
      <c r="Z706" s="215"/>
    </row>
    <row r="707">
      <c r="A707" s="215"/>
      <c r="B707" s="236"/>
      <c r="C707" s="237"/>
      <c r="D707" s="215"/>
      <c r="E707" s="235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15"/>
      <c r="U707" s="215"/>
      <c r="V707" s="215"/>
      <c r="W707" s="215"/>
      <c r="X707" s="215"/>
      <c r="Y707" s="215"/>
      <c r="Z707" s="215"/>
    </row>
    <row r="708">
      <c r="A708" s="215"/>
      <c r="B708" s="236"/>
      <c r="C708" s="237"/>
      <c r="D708" s="215"/>
      <c r="E708" s="235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15"/>
      <c r="U708" s="215"/>
      <c r="V708" s="215"/>
      <c r="W708" s="215"/>
      <c r="X708" s="215"/>
      <c r="Y708" s="215"/>
      <c r="Z708" s="215"/>
    </row>
    <row r="709">
      <c r="A709" s="215"/>
      <c r="B709" s="236"/>
      <c r="C709" s="237"/>
      <c r="D709" s="215"/>
      <c r="E709" s="235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15"/>
      <c r="U709" s="215"/>
      <c r="V709" s="215"/>
      <c r="W709" s="215"/>
      <c r="X709" s="215"/>
      <c r="Y709" s="215"/>
      <c r="Z709" s="215"/>
    </row>
    <row r="710">
      <c r="A710" s="215"/>
      <c r="B710" s="236"/>
      <c r="C710" s="237"/>
      <c r="D710" s="215"/>
      <c r="E710" s="235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15"/>
      <c r="U710" s="215"/>
      <c r="V710" s="215"/>
      <c r="W710" s="215"/>
      <c r="X710" s="215"/>
      <c r="Y710" s="215"/>
      <c r="Z710" s="215"/>
    </row>
    <row r="711">
      <c r="A711" s="215"/>
      <c r="B711" s="236"/>
      <c r="C711" s="237"/>
      <c r="D711" s="215"/>
      <c r="E711" s="235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15"/>
      <c r="U711" s="215"/>
      <c r="V711" s="215"/>
      <c r="W711" s="215"/>
      <c r="X711" s="215"/>
      <c r="Y711" s="215"/>
      <c r="Z711" s="215"/>
    </row>
    <row r="712">
      <c r="A712" s="215"/>
      <c r="B712" s="236"/>
      <c r="C712" s="237"/>
      <c r="D712" s="215"/>
      <c r="E712" s="235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15"/>
      <c r="U712" s="215"/>
      <c r="V712" s="215"/>
      <c r="W712" s="215"/>
      <c r="X712" s="215"/>
      <c r="Y712" s="215"/>
      <c r="Z712" s="215"/>
    </row>
    <row r="713">
      <c r="A713" s="215"/>
      <c r="B713" s="236"/>
      <c r="C713" s="237"/>
      <c r="D713" s="215"/>
      <c r="E713" s="235"/>
      <c r="F713" s="234"/>
      <c r="G713" s="243"/>
      <c r="R713" s="234"/>
      <c r="S713" s="234"/>
      <c r="T713" s="215"/>
      <c r="U713" s="215"/>
      <c r="V713" s="215"/>
      <c r="W713" s="215"/>
      <c r="X713" s="215"/>
      <c r="Y713" s="215"/>
      <c r="Z713" s="215"/>
    </row>
    <row r="714">
      <c r="A714" s="215"/>
      <c r="B714" s="236"/>
      <c r="C714" s="237"/>
      <c r="D714" s="215"/>
      <c r="E714" s="235"/>
      <c r="F714" s="234"/>
      <c r="G714" s="246"/>
      <c r="K714" s="234"/>
      <c r="L714" s="234"/>
      <c r="M714" s="234"/>
      <c r="N714" s="234"/>
      <c r="O714" s="234"/>
      <c r="P714" s="234"/>
      <c r="Q714" s="234"/>
      <c r="R714" s="234"/>
      <c r="S714" s="234"/>
      <c r="T714" s="215"/>
      <c r="U714" s="215"/>
      <c r="V714" s="215"/>
      <c r="W714" s="215"/>
      <c r="X714" s="215"/>
      <c r="Y714" s="215"/>
      <c r="Z714" s="215"/>
    </row>
    <row r="715">
      <c r="A715" s="215"/>
      <c r="B715" s="236"/>
      <c r="C715" s="237"/>
      <c r="D715" s="215"/>
      <c r="E715" s="235"/>
      <c r="F715" s="234"/>
      <c r="G715" s="234"/>
      <c r="H715" s="247"/>
      <c r="I715" s="247"/>
      <c r="J715" s="247"/>
      <c r="K715" s="234"/>
      <c r="L715" s="234"/>
      <c r="M715" s="234"/>
      <c r="N715" s="234"/>
      <c r="O715" s="234"/>
      <c r="P715" s="234"/>
      <c r="Q715" s="234"/>
      <c r="R715" s="234"/>
      <c r="S715" s="234"/>
      <c r="T715" s="215"/>
      <c r="U715" s="215"/>
      <c r="V715" s="215"/>
      <c r="W715" s="215"/>
      <c r="X715" s="215"/>
      <c r="Y715" s="215"/>
      <c r="Z715" s="215"/>
    </row>
    <row r="716">
      <c r="A716" s="215"/>
      <c r="B716" s="236"/>
      <c r="C716" s="237"/>
      <c r="D716" s="215"/>
      <c r="E716" s="235"/>
      <c r="F716" s="234"/>
      <c r="G716" s="234"/>
      <c r="H716" s="248"/>
      <c r="I716" s="249"/>
      <c r="J716" s="250"/>
      <c r="K716" s="234"/>
      <c r="L716" s="234"/>
      <c r="M716" s="234"/>
      <c r="N716" s="234"/>
      <c r="O716" s="234"/>
      <c r="P716" s="234"/>
      <c r="Q716" s="234"/>
      <c r="R716" s="234"/>
      <c r="S716" s="234"/>
      <c r="T716" s="215"/>
      <c r="U716" s="215"/>
      <c r="V716" s="215"/>
      <c r="W716" s="215"/>
      <c r="X716" s="215"/>
      <c r="Y716" s="215"/>
      <c r="Z716" s="215"/>
    </row>
    <row r="717">
      <c r="A717" s="215"/>
      <c r="B717" s="236"/>
      <c r="C717" s="237"/>
      <c r="D717" s="215"/>
      <c r="E717" s="235"/>
      <c r="F717" s="234"/>
      <c r="G717" s="234"/>
      <c r="H717" s="248"/>
      <c r="J717" s="250"/>
      <c r="K717" s="234"/>
      <c r="L717" s="234"/>
      <c r="M717" s="234"/>
      <c r="N717" s="234"/>
      <c r="O717" s="234"/>
      <c r="P717" s="234"/>
      <c r="Q717" s="234"/>
      <c r="R717" s="234"/>
      <c r="S717" s="234"/>
      <c r="T717" s="215"/>
      <c r="U717" s="215"/>
      <c r="V717" s="215"/>
      <c r="W717" s="215"/>
      <c r="X717" s="215"/>
      <c r="Y717" s="215"/>
      <c r="Z717" s="215"/>
    </row>
    <row r="718">
      <c r="A718" s="215"/>
      <c r="B718" s="236"/>
      <c r="C718" s="237"/>
      <c r="D718" s="215"/>
      <c r="E718" s="235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15"/>
      <c r="U718" s="215"/>
      <c r="V718" s="215"/>
      <c r="W718" s="215"/>
      <c r="X718" s="215"/>
      <c r="Y718" s="215"/>
      <c r="Z718" s="215"/>
    </row>
    <row r="719">
      <c r="A719" s="215"/>
      <c r="B719" s="236"/>
      <c r="C719" s="237"/>
      <c r="D719" s="215"/>
      <c r="E719" s="235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15"/>
      <c r="U719" s="215"/>
      <c r="V719" s="215"/>
      <c r="W719" s="215"/>
      <c r="X719" s="215"/>
      <c r="Y719" s="215"/>
      <c r="Z719" s="215"/>
    </row>
    <row r="720">
      <c r="A720" s="215"/>
      <c r="B720" s="236"/>
      <c r="C720" s="237"/>
      <c r="D720" s="215"/>
      <c r="E720" s="235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15"/>
      <c r="U720" s="215"/>
      <c r="V720" s="215"/>
      <c r="W720" s="215"/>
      <c r="X720" s="215"/>
      <c r="Y720" s="215"/>
      <c r="Z720" s="215"/>
    </row>
    <row r="721">
      <c r="A721" s="215"/>
      <c r="B721" s="236"/>
      <c r="C721" s="237"/>
      <c r="D721" s="215"/>
      <c r="E721" s="235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15"/>
      <c r="U721" s="215"/>
      <c r="V721" s="215"/>
      <c r="W721" s="215"/>
      <c r="X721" s="215"/>
      <c r="Y721" s="215"/>
      <c r="Z721" s="215"/>
    </row>
    <row r="722">
      <c r="A722" s="215"/>
      <c r="B722" s="236"/>
      <c r="C722" s="237"/>
      <c r="D722" s="215"/>
      <c r="E722" s="235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15"/>
      <c r="U722" s="215"/>
      <c r="V722" s="215"/>
      <c r="W722" s="215"/>
      <c r="X722" s="215"/>
      <c r="Y722" s="215"/>
      <c r="Z722" s="215"/>
    </row>
    <row r="723">
      <c r="A723" s="215"/>
      <c r="B723" s="236"/>
      <c r="C723" s="237"/>
      <c r="D723" s="215"/>
      <c r="E723" s="235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15"/>
      <c r="U723" s="215"/>
      <c r="V723" s="215"/>
      <c r="W723" s="215"/>
      <c r="X723" s="215"/>
      <c r="Y723" s="215"/>
      <c r="Z723" s="215"/>
    </row>
    <row r="724">
      <c r="A724" s="215"/>
      <c r="B724" s="236"/>
      <c r="C724" s="237"/>
      <c r="D724" s="215"/>
      <c r="E724" s="235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15"/>
      <c r="U724" s="215"/>
      <c r="V724" s="215"/>
      <c r="W724" s="215"/>
      <c r="X724" s="215"/>
      <c r="Y724" s="215"/>
      <c r="Z724" s="215"/>
    </row>
    <row r="725">
      <c r="A725" s="215"/>
      <c r="B725" s="236"/>
      <c r="C725" s="237"/>
      <c r="D725" s="215"/>
      <c r="E725" s="235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15"/>
      <c r="U725" s="215"/>
      <c r="V725" s="215"/>
      <c r="W725" s="215"/>
      <c r="X725" s="215"/>
      <c r="Y725" s="215"/>
      <c r="Z725" s="215"/>
    </row>
    <row r="726">
      <c r="A726" s="215"/>
      <c r="B726" s="236"/>
      <c r="C726" s="237"/>
      <c r="D726" s="215"/>
      <c r="E726" s="235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15"/>
      <c r="U726" s="215"/>
      <c r="V726" s="215"/>
      <c r="W726" s="215"/>
      <c r="X726" s="215"/>
      <c r="Y726" s="215"/>
      <c r="Z726" s="215"/>
    </row>
    <row r="727">
      <c r="A727" s="215"/>
      <c r="B727" s="236"/>
      <c r="C727" s="237"/>
      <c r="D727" s="215"/>
      <c r="E727" s="235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15"/>
      <c r="U727" s="215"/>
      <c r="V727" s="215"/>
      <c r="W727" s="215"/>
      <c r="X727" s="215"/>
      <c r="Y727" s="215"/>
      <c r="Z727" s="215"/>
    </row>
    <row r="728">
      <c r="A728" s="215"/>
      <c r="B728" s="236"/>
      <c r="C728" s="237"/>
      <c r="D728" s="215"/>
      <c r="E728" s="235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15"/>
      <c r="U728" s="215"/>
      <c r="V728" s="215"/>
      <c r="W728" s="215"/>
      <c r="X728" s="215"/>
      <c r="Y728" s="215"/>
      <c r="Z728" s="215"/>
    </row>
    <row r="729">
      <c r="A729" s="215"/>
      <c r="B729" s="236"/>
      <c r="C729" s="237"/>
      <c r="D729" s="215"/>
      <c r="E729" s="235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15"/>
      <c r="U729" s="215"/>
      <c r="V729" s="215"/>
      <c r="W729" s="215"/>
      <c r="X729" s="215"/>
      <c r="Y729" s="215"/>
      <c r="Z729" s="215"/>
    </row>
    <row r="730">
      <c r="A730" s="215"/>
      <c r="B730" s="236"/>
      <c r="C730" s="237"/>
      <c r="D730" s="215"/>
      <c r="E730" s="235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15"/>
      <c r="U730" s="215"/>
      <c r="V730" s="215"/>
      <c r="W730" s="215"/>
      <c r="X730" s="215"/>
      <c r="Y730" s="215"/>
      <c r="Z730" s="215"/>
    </row>
    <row r="731">
      <c r="A731" s="215"/>
      <c r="B731" s="236"/>
      <c r="C731" s="237"/>
      <c r="D731" s="215"/>
      <c r="E731" s="235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15"/>
      <c r="U731" s="215"/>
      <c r="V731" s="215"/>
      <c r="W731" s="215"/>
      <c r="X731" s="215"/>
      <c r="Y731" s="215"/>
      <c r="Z731" s="215"/>
    </row>
    <row r="732">
      <c r="A732" s="215"/>
      <c r="B732" s="236"/>
      <c r="C732" s="237"/>
      <c r="D732" s="215"/>
      <c r="E732" s="235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15"/>
      <c r="U732" s="215"/>
      <c r="V732" s="215"/>
      <c r="W732" s="215"/>
      <c r="X732" s="215"/>
      <c r="Y732" s="215"/>
      <c r="Z732" s="215"/>
    </row>
    <row r="733">
      <c r="A733" s="215"/>
      <c r="B733" s="236"/>
      <c r="C733" s="237"/>
      <c r="D733" s="215"/>
      <c r="E733" s="235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15"/>
      <c r="U733" s="215"/>
      <c r="V733" s="215"/>
      <c r="W733" s="215"/>
      <c r="X733" s="215"/>
      <c r="Y733" s="215"/>
      <c r="Z733" s="215"/>
    </row>
    <row r="734">
      <c r="A734" s="215"/>
      <c r="B734" s="236"/>
      <c r="C734" s="237"/>
      <c r="D734" s="215"/>
      <c r="E734" s="235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15"/>
      <c r="U734" s="215"/>
      <c r="V734" s="215"/>
      <c r="W734" s="215"/>
      <c r="X734" s="215"/>
      <c r="Y734" s="215"/>
      <c r="Z734" s="215"/>
    </row>
    <row r="735">
      <c r="A735" s="215"/>
      <c r="B735" s="236"/>
      <c r="C735" s="237"/>
      <c r="D735" s="215"/>
      <c r="E735" s="235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15"/>
      <c r="U735" s="215"/>
      <c r="V735" s="215"/>
      <c r="W735" s="215"/>
      <c r="X735" s="215"/>
      <c r="Y735" s="215"/>
      <c r="Z735" s="215"/>
    </row>
    <row r="736">
      <c r="A736" s="215"/>
      <c r="B736" s="236"/>
      <c r="C736" s="237"/>
      <c r="D736" s="215"/>
      <c r="E736" s="235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15"/>
      <c r="U736" s="215"/>
      <c r="V736" s="215"/>
      <c r="W736" s="215"/>
      <c r="X736" s="215"/>
      <c r="Y736" s="215"/>
      <c r="Z736" s="215"/>
    </row>
    <row r="737">
      <c r="A737" s="215"/>
      <c r="B737" s="236"/>
      <c r="C737" s="237"/>
      <c r="D737" s="215"/>
      <c r="E737" s="235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15"/>
      <c r="U737" s="215"/>
      <c r="V737" s="215"/>
      <c r="W737" s="215"/>
      <c r="X737" s="215"/>
      <c r="Y737" s="215"/>
      <c r="Z737" s="215"/>
    </row>
    <row r="738">
      <c r="A738" s="215"/>
      <c r="B738" s="236"/>
      <c r="C738" s="237"/>
      <c r="D738" s="215"/>
      <c r="E738" s="235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15"/>
      <c r="U738" s="215"/>
      <c r="V738" s="215"/>
      <c r="W738" s="215"/>
      <c r="X738" s="215"/>
      <c r="Y738" s="215"/>
      <c r="Z738" s="215"/>
    </row>
    <row r="739">
      <c r="A739" s="215"/>
      <c r="B739" s="236"/>
      <c r="C739" s="237"/>
      <c r="D739" s="215"/>
      <c r="E739" s="235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15"/>
      <c r="U739" s="215"/>
      <c r="V739" s="215"/>
      <c r="W739" s="215"/>
      <c r="X739" s="215"/>
      <c r="Y739" s="215"/>
      <c r="Z739" s="215"/>
    </row>
    <row r="740">
      <c r="A740" s="215"/>
      <c r="B740" s="236"/>
      <c r="C740" s="237"/>
      <c r="D740" s="215"/>
      <c r="E740" s="23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>
      <c r="A741" s="215"/>
      <c r="B741" s="236"/>
      <c r="C741" s="237"/>
      <c r="D741" s="215"/>
      <c r="E741" s="23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>
      <c r="A742" s="215"/>
      <c r="B742" s="236"/>
      <c r="C742" s="237"/>
      <c r="D742" s="215"/>
      <c r="E742" s="23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>
      <c r="A743" s="215"/>
      <c r="B743" s="236"/>
      <c r="C743" s="237"/>
      <c r="D743" s="215"/>
      <c r="E743" s="23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>
      <c r="A744" s="215"/>
      <c r="B744" s="236"/>
      <c r="C744" s="237"/>
      <c r="D744" s="215"/>
      <c r="E744" s="23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>
      <c r="A745" s="215"/>
      <c r="B745" s="236"/>
      <c r="C745" s="237"/>
      <c r="D745" s="215"/>
      <c r="E745" s="23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>
      <c r="A746" s="215"/>
      <c r="B746" s="236"/>
      <c r="C746" s="237"/>
      <c r="D746" s="215"/>
      <c r="E746" s="23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>
      <c r="A747" s="215"/>
      <c r="B747" s="236"/>
      <c r="C747" s="237"/>
      <c r="D747" s="215"/>
      <c r="E747" s="23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>
      <c r="A748" s="215"/>
      <c r="B748" s="236"/>
      <c r="C748" s="237"/>
      <c r="D748" s="215"/>
      <c r="E748" s="23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>
      <c r="A749" s="215"/>
      <c r="B749" s="236"/>
      <c r="C749" s="237"/>
      <c r="D749" s="215"/>
      <c r="E749" s="23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>
      <c r="A750" s="215"/>
      <c r="B750" s="236"/>
      <c r="C750" s="237"/>
      <c r="D750" s="215"/>
      <c r="E750" s="23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>
      <c r="A751" s="215"/>
      <c r="B751" s="236"/>
      <c r="C751" s="237"/>
      <c r="D751" s="215"/>
      <c r="E751" s="23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>
      <c r="A752" s="215"/>
      <c r="B752" s="236"/>
      <c r="C752" s="237"/>
      <c r="D752" s="215"/>
      <c r="E752" s="23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>
      <c r="A753" s="215"/>
      <c r="B753" s="236"/>
      <c r="C753" s="237"/>
      <c r="D753" s="215"/>
      <c r="E753" s="23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>
      <c r="A754" s="215"/>
      <c r="B754" s="236"/>
      <c r="C754" s="237"/>
      <c r="D754" s="215"/>
      <c r="E754" s="23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>
      <c r="A755" s="215"/>
      <c r="B755" s="236"/>
      <c r="C755" s="237"/>
      <c r="D755" s="215"/>
      <c r="E755" s="23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>
      <c r="A756" s="215"/>
      <c r="B756" s="236"/>
      <c r="C756" s="237"/>
      <c r="D756" s="215"/>
      <c r="E756" s="23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>
      <c r="A757" s="215"/>
      <c r="B757" s="236"/>
      <c r="C757" s="237"/>
      <c r="D757" s="215"/>
      <c r="E757" s="23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>
      <c r="A758" s="215"/>
      <c r="B758" s="236"/>
      <c r="C758" s="237"/>
      <c r="D758" s="215"/>
      <c r="E758" s="23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>
      <c r="A759" s="215"/>
      <c r="B759" s="236"/>
      <c r="C759" s="237"/>
      <c r="D759" s="215"/>
      <c r="E759" s="23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>
      <c r="A760" s="215"/>
      <c r="B760" s="236"/>
      <c r="C760" s="237"/>
      <c r="D760" s="215"/>
      <c r="E760" s="23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>
      <c r="A761" s="215"/>
      <c r="B761" s="236"/>
      <c r="C761" s="237"/>
      <c r="D761" s="215"/>
      <c r="E761" s="23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>
      <c r="A762" s="215"/>
      <c r="B762" s="236"/>
      <c r="C762" s="237"/>
      <c r="D762" s="215"/>
      <c r="E762" s="23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>
      <c r="A763" s="215"/>
      <c r="B763" s="236"/>
      <c r="C763" s="237"/>
      <c r="D763" s="215"/>
      <c r="E763" s="23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>
      <c r="A764" s="215"/>
      <c r="B764" s="236"/>
      <c r="C764" s="237"/>
      <c r="D764" s="215"/>
      <c r="E764" s="23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>
      <c r="A765" s="215"/>
      <c r="B765" s="236"/>
      <c r="C765" s="237"/>
      <c r="D765" s="215"/>
      <c r="E765" s="23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>
      <c r="A766" s="215"/>
      <c r="B766" s="236"/>
      <c r="C766" s="237"/>
      <c r="D766" s="215"/>
      <c r="E766" s="23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>
      <c r="A767" s="215"/>
      <c r="B767" s="236"/>
      <c r="C767" s="237"/>
      <c r="D767" s="215"/>
      <c r="E767" s="23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>
      <c r="A768" s="215"/>
      <c r="B768" s="236"/>
      <c r="C768" s="237"/>
      <c r="D768" s="215"/>
      <c r="E768" s="23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>
      <c r="A769" s="215"/>
      <c r="B769" s="236"/>
      <c r="C769" s="237"/>
      <c r="D769" s="215"/>
      <c r="E769" s="23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>
      <c r="A770" s="215"/>
      <c r="B770" s="236"/>
      <c r="C770" s="237"/>
      <c r="D770" s="215"/>
      <c r="E770" s="23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>
      <c r="A771" s="215"/>
      <c r="B771" s="236"/>
      <c r="C771" s="237"/>
      <c r="D771" s="215"/>
      <c r="E771" s="23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>
      <c r="A772" s="215"/>
      <c r="B772" s="236"/>
      <c r="C772" s="237"/>
      <c r="D772" s="215"/>
      <c r="E772" s="23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>
      <c r="A773" s="215"/>
      <c r="B773" s="236"/>
      <c r="C773" s="237"/>
      <c r="D773" s="215"/>
      <c r="E773" s="23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>
      <c r="A774" s="215"/>
      <c r="B774" s="236"/>
      <c r="C774" s="237"/>
      <c r="D774" s="215"/>
      <c r="E774" s="23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>
      <c r="A775" s="215"/>
      <c r="B775" s="236"/>
      <c r="C775" s="237"/>
      <c r="D775" s="215"/>
      <c r="E775" s="23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>
      <c r="A776" s="215"/>
      <c r="B776" s="236"/>
      <c r="C776" s="237"/>
      <c r="D776" s="215"/>
      <c r="E776" s="23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>
      <c r="A777" s="215"/>
      <c r="B777" s="236"/>
      <c r="C777" s="237"/>
      <c r="D777" s="215"/>
      <c r="E777" s="23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>
      <c r="A778" s="215"/>
      <c r="B778" s="236"/>
      <c r="C778" s="237"/>
      <c r="D778" s="215"/>
      <c r="E778" s="23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>
      <c r="A779" s="215"/>
      <c r="B779" s="236"/>
      <c r="C779" s="237"/>
      <c r="D779" s="215"/>
      <c r="E779" s="23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>
      <c r="A780" s="215"/>
      <c r="B780" s="236"/>
      <c r="C780" s="237"/>
      <c r="D780" s="215"/>
      <c r="E780" s="23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>
      <c r="A781" s="215"/>
      <c r="B781" s="236"/>
      <c r="C781" s="237"/>
      <c r="D781" s="215"/>
      <c r="E781" s="23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>
      <c r="A782" s="215"/>
      <c r="B782" s="236"/>
      <c r="C782" s="237"/>
      <c r="D782" s="215"/>
      <c r="E782" s="23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>
      <c r="A783" s="215"/>
      <c r="B783" s="236"/>
      <c r="C783" s="237"/>
      <c r="D783" s="215"/>
      <c r="E783" s="23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>
      <c r="A784" s="215"/>
      <c r="B784" s="236"/>
      <c r="C784" s="237"/>
      <c r="D784" s="215"/>
      <c r="E784" s="23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>
      <c r="A785" s="215"/>
      <c r="B785" s="236"/>
      <c r="C785" s="237"/>
      <c r="D785" s="215"/>
      <c r="E785" s="23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>
      <c r="A786" s="215"/>
      <c r="B786" s="236"/>
      <c r="C786" s="237"/>
      <c r="D786" s="215"/>
      <c r="E786" s="23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>
      <c r="A787" s="215"/>
      <c r="B787" s="236"/>
      <c r="C787" s="237"/>
      <c r="D787" s="215"/>
      <c r="E787" s="23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>
      <c r="A788" s="215"/>
      <c r="B788" s="236"/>
      <c r="C788" s="237"/>
      <c r="D788" s="215"/>
      <c r="E788" s="23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>
      <c r="A789" s="215"/>
      <c r="B789" s="236"/>
      <c r="C789" s="237"/>
      <c r="D789" s="215"/>
      <c r="E789" s="23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>
      <c r="A790" s="215"/>
      <c r="B790" s="236"/>
      <c r="C790" s="237"/>
      <c r="D790" s="215"/>
      <c r="E790" s="23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>
      <c r="A791" s="215"/>
      <c r="B791" s="236"/>
      <c r="C791" s="237"/>
      <c r="D791" s="215"/>
      <c r="E791" s="23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>
      <c r="A792" s="215"/>
      <c r="B792" s="236"/>
      <c r="C792" s="237"/>
      <c r="D792" s="215"/>
      <c r="E792" s="23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>
      <c r="A793" s="215"/>
      <c r="B793" s="236"/>
      <c r="C793" s="237"/>
      <c r="D793" s="215"/>
      <c r="E793" s="23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>
      <c r="A794" s="215"/>
      <c r="B794" s="236"/>
      <c r="C794" s="237"/>
      <c r="D794" s="215"/>
      <c r="E794" s="23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>
      <c r="A795" s="215"/>
      <c r="B795" s="236"/>
      <c r="C795" s="237"/>
      <c r="D795" s="215"/>
      <c r="E795" s="23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>
      <c r="A796" s="215"/>
      <c r="B796" s="236"/>
      <c r="C796" s="237"/>
      <c r="D796" s="215"/>
      <c r="E796" s="23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>
      <c r="A797" s="215"/>
      <c r="B797" s="236"/>
      <c r="C797" s="237"/>
      <c r="D797" s="215"/>
      <c r="E797" s="23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>
      <c r="A798" s="215"/>
      <c r="B798" s="236"/>
      <c r="C798" s="237"/>
      <c r="D798" s="215"/>
      <c r="E798" s="23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>
      <c r="A799" s="215"/>
      <c r="B799" s="236"/>
      <c r="C799" s="237"/>
      <c r="D799" s="215"/>
      <c r="E799" s="23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>
      <c r="A800" s="215"/>
      <c r="B800" s="236"/>
      <c r="C800" s="237"/>
      <c r="D800" s="215"/>
      <c r="E800" s="23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>
      <c r="A801" s="215"/>
      <c r="B801" s="236"/>
      <c r="C801" s="237"/>
      <c r="D801" s="215"/>
      <c r="E801" s="23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>
      <c r="A802" s="215"/>
      <c r="B802" s="236"/>
      <c r="C802" s="237"/>
      <c r="D802" s="215"/>
      <c r="E802" s="23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>
      <c r="A803" s="215"/>
      <c r="B803" s="236"/>
      <c r="C803" s="237"/>
      <c r="D803" s="215"/>
      <c r="E803" s="23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>
      <c r="A804" s="215"/>
      <c r="B804" s="236"/>
      <c r="C804" s="237"/>
      <c r="D804" s="215"/>
      <c r="E804" s="23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>
      <c r="A805" s="215"/>
      <c r="B805" s="236"/>
      <c r="C805" s="237"/>
      <c r="D805" s="215"/>
      <c r="E805" s="23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>
      <c r="A806" s="215"/>
      <c r="B806" s="236"/>
      <c r="C806" s="237"/>
      <c r="D806" s="215"/>
      <c r="E806" s="23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>
      <c r="A807" s="215"/>
      <c r="B807" s="236"/>
      <c r="C807" s="237"/>
      <c r="D807" s="215"/>
      <c r="E807" s="23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>
      <c r="A808" s="215"/>
      <c r="B808" s="236"/>
      <c r="C808" s="237"/>
      <c r="D808" s="215"/>
      <c r="E808" s="23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>
      <c r="A809" s="215"/>
      <c r="B809" s="236"/>
      <c r="C809" s="237"/>
      <c r="D809" s="215"/>
      <c r="E809" s="23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>
      <c r="A810" s="215"/>
      <c r="B810" s="236"/>
      <c r="C810" s="237"/>
      <c r="D810" s="215"/>
      <c r="E810" s="23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>
      <c r="A811" s="215"/>
      <c r="B811" s="236"/>
      <c r="C811" s="237"/>
      <c r="D811" s="215"/>
      <c r="E811" s="23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>
      <c r="A812" s="215"/>
      <c r="B812" s="236"/>
      <c r="C812" s="237"/>
      <c r="D812" s="215"/>
      <c r="E812" s="23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>
      <c r="A813" s="215"/>
      <c r="B813" s="236"/>
      <c r="C813" s="237"/>
      <c r="D813" s="215"/>
      <c r="E813" s="23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>
      <c r="A814" s="215"/>
      <c r="B814" s="236"/>
      <c r="C814" s="237"/>
      <c r="D814" s="215"/>
      <c r="E814" s="23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>
      <c r="A815" s="215"/>
      <c r="B815" s="236"/>
      <c r="C815" s="237"/>
      <c r="D815" s="215"/>
      <c r="E815" s="23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>
      <c r="A816" s="215"/>
      <c r="B816" s="236"/>
      <c r="C816" s="237"/>
      <c r="D816" s="215"/>
      <c r="E816" s="23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>
      <c r="A817" s="215"/>
      <c r="B817" s="236"/>
      <c r="C817" s="237"/>
      <c r="D817" s="215"/>
      <c r="E817" s="23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>
      <c r="A818" s="215"/>
      <c r="B818" s="236"/>
      <c r="C818" s="237"/>
      <c r="D818" s="215"/>
      <c r="E818" s="23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>
      <c r="A819" s="215"/>
      <c r="B819" s="236"/>
      <c r="C819" s="237"/>
      <c r="D819" s="215"/>
      <c r="E819" s="23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>
      <c r="A820" s="215"/>
      <c r="B820" s="236"/>
      <c r="C820" s="237"/>
      <c r="D820" s="215"/>
      <c r="E820" s="23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>
      <c r="A821" s="215"/>
      <c r="B821" s="236"/>
      <c r="C821" s="237"/>
      <c r="D821" s="215"/>
      <c r="E821" s="23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>
      <c r="A822" s="215"/>
      <c r="B822" s="236"/>
      <c r="C822" s="237"/>
      <c r="D822" s="215"/>
      <c r="E822" s="23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>
      <c r="A823" s="215"/>
      <c r="B823" s="236"/>
      <c r="C823" s="237"/>
      <c r="D823" s="215"/>
      <c r="E823" s="23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>
      <c r="A824" s="215"/>
      <c r="B824" s="236"/>
      <c r="C824" s="237"/>
      <c r="D824" s="215"/>
      <c r="E824" s="23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>
      <c r="A825" s="215"/>
      <c r="B825" s="236"/>
      <c r="C825" s="237"/>
      <c r="D825" s="215"/>
      <c r="E825" s="23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>
      <c r="A826" s="215"/>
      <c r="B826" s="236"/>
      <c r="C826" s="237"/>
      <c r="D826" s="215"/>
      <c r="E826" s="23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>
      <c r="A827" s="215"/>
      <c r="B827" s="236"/>
      <c r="C827" s="237"/>
      <c r="D827" s="215"/>
      <c r="E827" s="23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>
      <c r="A828" s="215"/>
      <c r="B828" s="236"/>
      <c r="C828" s="237"/>
      <c r="D828" s="215"/>
      <c r="E828" s="23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>
      <c r="A829" s="215"/>
      <c r="B829" s="236"/>
      <c r="C829" s="237"/>
      <c r="D829" s="215"/>
      <c r="E829" s="23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>
      <c r="A830" s="215"/>
      <c r="B830" s="236"/>
      <c r="C830" s="237"/>
      <c r="D830" s="215"/>
      <c r="E830" s="23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>
      <c r="A831" s="215"/>
      <c r="B831" s="236"/>
      <c r="C831" s="237"/>
      <c r="D831" s="215"/>
      <c r="E831" s="23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>
      <c r="A832" s="215"/>
      <c r="B832" s="236"/>
      <c r="C832" s="237"/>
      <c r="D832" s="215"/>
      <c r="E832" s="23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>
      <c r="A833" s="215"/>
      <c r="B833" s="236"/>
      <c r="C833" s="237"/>
      <c r="D833" s="215"/>
      <c r="E833" s="23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>
      <c r="A834" s="215"/>
      <c r="B834" s="236"/>
      <c r="C834" s="237"/>
      <c r="D834" s="215"/>
      <c r="E834" s="23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>
      <c r="A835" s="215"/>
      <c r="B835" s="236"/>
      <c r="C835" s="237"/>
      <c r="D835" s="215"/>
      <c r="E835" s="23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>
      <c r="A836" s="215"/>
      <c r="B836" s="236"/>
      <c r="C836" s="237"/>
      <c r="D836" s="215"/>
      <c r="E836" s="23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>
      <c r="A837" s="215"/>
      <c r="B837" s="236"/>
      <c r="C837" s="237"/>
      <c r="D837" s="215"/>
      <c r="E837" s="23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>
      <c r="A838" s="215"/>
      <c r="B838" s="236"/>
      <c r="C838" s="237"/>
      <c r="D838" s="215"/>
      <c r="E838" s="23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>
      <c r="A839" s="215"/>
      <c r="B839" s="236"/>
      <c r="C839" s="237"/>
      <c r="D839" s="215"/>
      <c r="E839" s="23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>
      <c r="A840" s="215"/>
      <c r="B840" s="236"/>
      <c r="C840" s="237"/>
      <c r="D840" s="215"/>
      <c r="E840" s="23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>
      <c r="A841" s="215"/>
      <c r="B841" s="236"/>
      <c r="C841" s="237"/>
      <c r="D841" s="215"/>
      <c r="E841" s="23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>
      <c r="A842" s="215"/>
      <c r="B842" s="236"/>
      <c r="C842" s="237"/>
      <c r="D842" s="215"/>
      <c r="E842" s="23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>
      <c r="A843" s="215"/>
      <c r="B843" s="236"/>
      <c r="C843" s="237"/>
      <c r="D843" s="215"/>
      <c r="E843" s="23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>
      <c r="A844" s="215"/>
      <c r="B844" s="236"/>
      <c r="C844" s="237"/>
      <c r="D844" s="215"/>
      <c r="E844" s="23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>
      <c r="A845" s="215"/>
      <c r="B845" s="236"/>
      <c r="C845" s="237"/>
      <c r="D845" s="215"/>
      <c r="E845" s="23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>
      <c r="A846" s="215"/>
      <c r="B846" s="236"/>
      <c r="C846" s="237"/>
      <c r="D846" s="215"/>
      <c r="E846" s="23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>
      <c r="A847" s="215"/>
      <c r="B847" s="236"/>
      <c r="C847" s="237"/>
      <c r="D847" s="215"/>
      <c r="E847" s="23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>
      <c r="A848" s="215"/>
      <c r="B848" s="236"/>
      <c r="C848" s="237"/>
      <c r="D848" s="215"/>
      <c r="E848" s="23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>
      <c r="A849" s="215"/>
      <c r="B849" s="236"/>
      <c r="C849" s="237"/>
      <c r="D849" s="215"/>
      <c r="E849" s="23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>
      <c r="A850" s="215"/>
      <c r="B850" s="236"/>
      <c r="C850" s="237"/>
      <c r="D850" s="215"/>
      <c r="E850" s="23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>
      <c r="A851" s="215"/>
      <c r="B851" s="236"/>
      <c r="C851" s="237"/>
      <c r="D851" s="215"/>
      <c r="E851" s="23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>
      <c r="A852" s="215"/>
      <c r="B852" s="236"/>
      <c r="C852" s="237"/>
      <c r="D852" s="215"/>
      <c r="E852" s="23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>
      <c r="A853" s="215"/>
      <c r="B853" s="236"/>
      <c r="C853" s="237"/>
      <c r="D853" s="215"/>
      <c r="E853" s="23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>
      <c r="A854" s="215"/>
      <c r="B854" s="236"/>
      <c r="C854" s="237"/>
      <c r="D854" s="215"/>
      <c r="E854" s="23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>
      <c r="A855" s="215"/>
      <c r="B855" s="236"/>
      <c r="C855" s="237"/>
      <c r="D855" s="215"/>
      <c r="E855" s="23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>
      <c r="A856" s="215"/>
      <c r="B856" s="236"/>
      <c r="C856" s="237"/>
      <c r="D856" s="215"/>
      <c r="E856" s="23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>
      <c r="A857" s="215"/>
      <c r="B857" s="236"/>
      <c r="C857" s="237"/>
      <c r="D857" s="215"/>
      <c r="E857" s="23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>
      <c r="A858" s="215"/>
      <c r="B858" s="236"/>
      <c r="C858" s="237"/>
      <c r="D858" s="215"/>
      <c r="E858" s="23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>
      <c r="A859" s="215"/>
      <c r="B859" s="236"/>
      <c r="C859" s="237"/>
      <c r="D859" s="215"/>
      <c r="E859" s="23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>
      <c r="A860" s="215"/>
      <c r="B860" s="236"/>
      <c r="C860" s="237"/>
      <c r="D860" s="215"/>
      <c r="E860" s="23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>
      <c r="A861" s="215"/>
      <c r="B861" s="236"/>
      <c r="C861" s="237"/>
      <c r="D861" s="215"/>
      <c r="E861" s="23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>
      <c r="A862" s="215"/>
      <c r="B862" s="236"/>
      <c r="C862" s="237"/>
      <c r="D862" s="215"/>
      <c r="E862" s="23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>
      <c r="A863" s="215"/>
      <c r="B863" s="236"/>
      <c r="C863" s="237"/>
      <c r="D863" s="215"/>
      <c r="E863" s="23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>
      <c r="A864" s="215"/>
      <c r="B864" s="236"/>
      <c r="C864" s="237"/>
      <c r="D864" s="215"/>
      <c r="E864" s="23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>
      <c r="A865" s="215"/>
      <c r="B865" s="236"/>
      <c r="C865" s="237"/>
      <c r="D865" s="215"/>
      <c r="E865" s="23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>
      <c r="A866" s="215"/>
      <c r="B866" s="236"/>
      <c r="C866" s="237"/>
      <c r="D866" s="215"/>
      <c r="E866" s="23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>
      <c r="A867" s="215"/>
      <c r="B867" s="236"/>
      <c r="C867" s="237"/>
      <c r="D867" s="215"/>
      <c r="E867" s="23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>
      <c r="A868" s="215"/>
      <c r="B868" s="236"/>
      <c r="C868" s="237"/>
      <c r="D868" s="215"/>
      <c r="E868" s="23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>
      <c r="A869" s="215"/>
      <c r="B869" s="236"/>
      <c r="C869" s="237"/>
      <c r="D869" s="215"/>
      <c r="E869" s="23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>
      <c r="A870" s="215"/>
      <c r="B870" s="236"/>
      <c r="C870" s="237"/>
      <c r="D870" s="215"/>
      <c r="E870" s="23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>
      <c r="A871" s="215"/>
      <c r="B871" s="236"/>
      <c r="C871" s="237"/>
      <c r="D871" s="215"/>
      <c r="E871" s="23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>
      <c r="A872" s="215"/>
      <c r="B872" s="236"/>
      <c r="C872" s="237"/>
      <c r="D872" s="215"/>
      <c r="E872" s="23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>
      <c r="A873" s="215"/>
      <c r="B873" s="236"/>
      <c r="C873" s="237"/>
      <c r="D873" s="215"/>
      <c r="E873" s="23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>
      <c r="A874" s="215"/>
      <c r="B874" s="236"/>
      <c r="C874" s="237"/>
      <c r="D874" s="215"/>
      <c r="E874" s="23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>
      <c r="A875" s="215"/>
      <c r="B875" s="236"/>
      <c r="C875" s="237"/>
      <c r="D875" s="215"/>
      <c r="E875" s="23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>
      <c r="A876" s="215"/>
      <c r="B876" s="236"/>
      <c r="C876" s="237"/>
      <c r="D876" s="215"/>
      <c r="E876" s="23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>
      <c r="A877" s="215"/>
      <c r="B877" s="236"/>
      <c r="C877" s="237"/>
      <c r="D877" s="215"/>
      <c r="E877" s="23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>
      <c r="A878" s="215"/>
      <c r="B878" s="236"/>
      <c r="C878" s="237"/>
      <c r="D878" s="215"/>
      <c r="E878" s="23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>
      <c r="A879" s="215"/>
      <c r="B879" s="236"/>
      <c r="C879" s="237"/>
      <c r="D879" s="215"/>
      <c r="E879" s="23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>
      <c r="A880" s="215"/>
      <c r="B880" s="236"/>
      <c r="C880" s="237"/>
      <c r="D880" s="215"/>
      <c r="E880" s="23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>
      <c r="A881" s="215"/>
      <c r="B881" s="236"/>
      <c r="C881" s="237"/>
      <c r="D881" s="215"/>
      <c r="E881" s="23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>
      <c r="A882" s="215"/>
      <c r="B882" s="236"/>
      <c r="C882" s="237"/>
      <c r="D882" s="215"/>
      <c r="E882" s="23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>
      <c r="A883" s="215"/>
      <c r="B883" s="236"/>
      <c r="C883" s="237"/>
      <c r="D883" s="215"/>
      <c r="E883" s="23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>
      <c r="A884" s="215"/>
      <c r="B884" s="236"/>
      <c r="C884" s="237"/>
      <c r="D884" s="215"/>
      <c r="E884" s="23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>
      <c r="A885" s="215"/>
      <c r="B885" s="236"/>
      <c r="C885" s="237"/>
      <c r="D885" s="215"/>
      <c r="E885" s="23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>
      <c r="A886" s="215"/>
      <c r="B886" s="236"/>
      <c r="C886" s="237"/>
      <c r="D886" s="215"/>
      <c r="E886" s="23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>
      <c r="A887" s="215"/>
      <c r="B887" s="236"/>
      <c r="C887" s="237"/>
      <c r="D887" s="215"/>
      <c r="E887" s="23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>
      <c r="A888" s="215"/>
      <c r="B888" s="236"/>
      <c r="C888" s="237"/>
      <c r="D888" s="215"/>
      <c r="E888" s="23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>
      <c r="A889" s="215"/>
      <c r="B889" s="236"/>
      <c r="C889" s="237"/>
      <c r="D889" s="215"/>
      <c r="E889" s="23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>
      <c r="A890" s="215"/>
      <c r="B890" s="236"/>
      <c r="C890" s="237"/>
      <c r="D890" s="215"/>
      <c r="E890" s="23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>
      <c r="A891" s="215"/>
      <c r="B891" s="236"/>
      <c r="C891" s="237"/>
      <c r="D891" s="215"/>
      <c r="E891" s="23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>
      <c r="A892" s="215"/>
      <c r="B892" s="236"/>
      <c r="C892" s="237"/>
      <c r="D892" s="215"/>
      <c r="E892" s="23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>
      <c r="A893" s="215"/>
      <c r="B893" s="236"/>
      <c r="C893" s="237"/>
      <c r="D893" s="215"/>
      <c r="E893" s="23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>
      <c r="A894" s="215"/>
      <c r="B894" s="236"/>
      <c r="C894" s="237"/>
      <c r="D894" s="215"/>
      <c r="E894" s="23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>
      <c r="A895" s="215"/>
      <c r="B895" s="236"/>
      <c r="C895" s="237"/>
      <c r="D895" s="215"/>
      <c r="E895" s="23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>
      <c r="A896" s="215"/>
      <c r="B896" s="236"/>
      <c r="C896" s="237"/>
      <c r="D896" s="215"/>
      <c r="E896" s="23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>
      <c r="A897" s="215"/>
      <c r="B897" s="236"/>
      <c r="C897" s="237"/>
      <c r="D897" s="215"/>
      <c r="E897" s="23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>
      <c r="A898" s="215"/>
      <c r="B898" s="236"/>
      <c r="C898" s="237"/>
      <c r="D898" s="215"/>
      <c r="E898" s="23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>
      <c r="A899" s="215"/>
      <c r="B899" s="236"/>
      <c r="C899" s="237"/>
      <c r="D899" s="215"/>
      <c r="E899" s="23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>
      <c r="A900" s="215"/>
      <c r="B900" s="236"/>
      <c r="C900" s="237"/>
      <c r="D900" s="215"/>
      <c r="E900" s="23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>
      <c r="A901" s="215"/>
      <c r="B901" s="236"/>
      <c r="C901" s="237"/>
      <c r="D901" s="215"/>
      <c r="E901" s="23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>
      <c r="A902" s="215"/>
      <c r="B902" s="236"/>
      <c r="C902" s="237"/>
      <c r="D902" s="215"/>
      <c r="E902" s="23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>
      <c r="A903" s="215"/>
      <c r="B903" s="236"/>
      <c r="C903" s="237"/>
      <c r="D903" s="215"/>
      <c r="E903" s="23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>
      <c r="A904" s="215"/>
      <c r="B904" s="236"/>
      <c r="C904" s="237"/>
      <c r="D904" s="215"/>
      <c r="E904" s="23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>
      <c r="A905" s="215"/>
      <c r="B905" s="236"/>
      <c r="C905" s="237"/>
      <c r="D905" s="215"/>
      <c r="E905" s="23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>
      <c r="A906" s="215"/>
      <c r="B906" s="236"/>
      <c r="C906" s="237"/>
      <c r="D906" s="215"/>
      <c r="E906" s="23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>
      <c r="A907" s="215"/>
      <c r="B907" s="236"/>
      <c r="C907" s="237"/>
      <c r="D907" s="215"/>
      <c r="E907" s="23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>
      <c r="A908" s="215"/>
      <c r="B908" s="236"/>
      <c r="C908" s="237"/>
      <c r="D908" s="215"/>
      <c r="E908" s="23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>
      <c r="A909" s="215"/>
      <c r="B909" s="236"/>
      <c r="C909" s="237"/>
      <c r="D909" s="215"/>
      <c r="E909" s="23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>
      <c r="A910" s="215"/>
      <c r="B910" s="236"/>
      <c r="C910" s="237"/>
      <c r="D910" s="215"/>
      <c r="E910" s="23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>
      <c r="A911" s="215"/>
      <c r="B911" s="236"/>
      <c r="C911" s="237"/>
      <c r="D911" s="215"/>
      <c r="E911" s="23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>
      <c r="A912" s="215"/>
      <c r="B912" s="236"/>
      <c r="C912" s="237"/>
      <c r="D912" s="215"/>
      <c r="E912" s="23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>
      <c r="A913" s="215"/>
      <c r="B913" s="236"/>
      <c r="C913" s="237"/>
      <c r="D913" s="215"/>
      <c r="E913" s="23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>
      <c r="A914" s="215"/>
      <c r="B914" s="236"/>
      <c r="C914" s="237"/>
      <c r="D914" s="215"/>
      <c r="E914" s="23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>
      <c r="A915" s="215"/>
      <c r="B915" s="236"/>
      <c r="C915" s="237"/>
      <c r="D915" s="215"/>
      <c r="E915" s="23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>
      <c r="A916" s="215"/>
      <c r="B916" s="236"/>
      <c r="C916" s="237"/>
      <c r="D916" s="215"/>
      <c r="E916" s="23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>
      <c r="A917" s="215"/>
      <c r="B917" s="236"/>
      <c r="C917" s="237"/>
      <c r="D917" s="215"/>
      <c r="E917" s="23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>
      <c r="A918" s="215"/>
      <c r="B918" s="236"/>
      <c r="C918" s="237"/>
      <c r="D918" s="215"/>
      <c r="E918" s="23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>
      <c r="A919" s="215"/>
      <c r="B919" s="236"/>
      <c r="C919" s="237"/>
      <c r="D919" s="215"/>
      <c r="E919" s="23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>
      <c r="A920" s="215"/>
      <c r="B920" s="236"/>
      <c r="C920" s="237"/>
      <c r="D920" s="215"/>
      <c r="E920" s="23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>
      <c r="A921" s="215"/>
      <c r="B921" s="236"/>
      <c r="C921" s="237"/>
      <c r="D921" s="215"/>
      <c r="E921" s="23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>
      <c r="A922" s="215"/>
      <c r="B922" s="236"/>
      <c r="C922" s="237"/>
      <c r="D922" s="215"/>
      <c r="E922" s="23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>
      <c r="A923" s="215"/>
      <c r="B923" s="236"/>
      <c r="C923" s="237"/>
      <c r="D923" s="215"/>
      <c r="E923" s="23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>
      <c r="A924" s="215"/>
      <c r="B924" s="236"/>
      <c r="C924" s="237"/>
      <c r="D924" s="215"/>
      <c r="E924" s="23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>
      <c r="A925" s="215"/>
      <c r="B925" s="236"/>
      <c r="C925" s="237"/>
      <c r="D925" s="215"/>
      <c r="E925" s="23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>
      <c r="A926" s="215"/>
      <c r="B926" s="236"/>
      <c r="C926" s="237"/>
      <c r="D926" s="215"/>
      <c r="E926" s="23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>
      <c r="A927" s="215"/>
      <c r="B927" s="236"/>
      <c r="C927" s="237"/>
      <c r="D927" s="215"/>
      <c r="E927" s="23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>
      <c r="A928" s="215"/>
      <c r="B928" s="236"/>
      <c r="C928" s="237"/>
      <c r="D928" s="215"/>
      <c r="E928" s="23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>
      <c r="A929" s="215"/>
      <c r="B929" s="236"/>
      <c r="C929" s="237"/>
      <c r="D929" s="215"/>
      <c r="E929" s="23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>
      <c r="A930" s="215"/>
      <c r="B930" s="236"/>
      <c r="C930" s="237"/>
      <c r="D930" s="215"/>
      <c r="E930" s="23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>
      <c r="A931" s="215"/>
      <c r="B931" s="236"/>
      <c r="C931" s="237"/>
      <c r="D931" s="215"/>
      <c r="E931" s="23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>
      <c r="A932" s="215"/>
      <c r="B932" s="236"/>
      <c r="C932" s="237"/>
      <c r="D932" s="215"/>
      <c r="E932" s="23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>
      <c r="A933" s="215"/>
      <c r="B933" s="236"/>
      <c r="C933" s="237"/>
      <c r="D933" s="215"/>
      <c r="E933" s="23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>
      <c r="A934" s="215"/>
      <c r="B934" s="236"/>
      <c r="C934" s="237"/>
      <c r="D934" s="215"/>
      <c r="E934" s="23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>
      <c r="A935" s="215"/>
      <c r="B935" s="236"/>
      <c r="C935" s="237"/>
      <c r="D935" s="215"/>
      <c r="E935" s="23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>
      <c r="A936" s="215"/>
      <c r="B936" s="236"/>
      <c r="C936" s="237"/>
      <c r="D936" s="215"/>
      <c r="E936" s="23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>
      <c r="A937" s="215"/>
      <c r="B937" s="236"/>
      <c r="C937" s="237"/>
      <c r="D937" s="215"/>
      <c r="E937" s="23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>
      <c r="A938" s="215"/>
      <c r="B938" s="236"/>
      <c r="C938" s="237"/>
      <c r="D938" s="215"/>
      <c r="E938" s="23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>
      <c r="A939" s="215"/>
      <c r="B939" s="236"/>
      <c r="C939" s="237"/>
      <c r="D939" s="215"/>
      <c r="E939" s="23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>
      <c r="A940" s="215"/>
      <c r="B940" s="236"/>
      <c r="C940" s="237"/>
      <c r="D940" s="215"/>
      <c r="E940" s="23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>
      <c r="A941" s="215"/>
      <c r="B941" s="236"/>
      <c r="C941" s="237"/>
      <c r="D941" s="215"/>
      <c r="E941" s="23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>
      <c r="A942" s="215"/>
      <c r="B942" s="236"/>
      <c r="C942" s="237"/>
      <c r="D942" s="215"/>
      <c r="E942" s="23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>
      <c r="A943" s="215"/>
      <c r="B943" s="236"/>
      <c r="C943" s="237"/>
      <c r="D943" s="215"/>
      <c r="E943" s="23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>
      <c r="A944" s="215"/>
      <c r="B944" s="236"/>
      <c r="C944" s="237"/>
      <c r="D944" s="215"/>
      <c r="E944" s="23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>
      <c r="A945" s="215"/>
      <c r="B945" s="236"/>
      <c r="C945" s="237"/>
      <c r="D945" s="215"/>
      <c r="E945" s="23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>
      <c r="A946" s="215"/>
      <c r="B946" s="236"/>
      <c r="C946" s="237"/>
      <c r="D946" s="215"/>
      <c r="E946" s="23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>
      <c r="A947" s="215"/>
      <c r="B947" s="236"/>
      <c r="C947" s="237"/>
      <c r="D947" s="215"/>
      <c r="E947" s="23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>
      <c r="A948" s="215"/>
      <c r="B948" s="236"/>
      <c r="C948" s="237"/>
      <c r="D948" s="215"/>
      <c r="E948" s="23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>
      <c r="A949" s="215"/>
      <c r="B949" s="236"/>
      <c r="C949" s="237"/>
      <c r="D949" s="215"/>
      <c r="E949" s="23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>
      <c r="A950" s="215"/>
      <c r="B950" s="236"/>
      <c r="C950" s="237"/>
      <c r="D950" s="215"/>
      <c r="E950" s="23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>
      <c r="A951" s="215"/>
      <c r="B951" s="236"/>
      <c r="C951" s="237"/>
      <c r="D951" s="215"/>
      <c r="E951" s="23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>
      <c r="A952" s="215"/>
      <c r="B952" s="236"/>
      <c r="C952" s="237"/>
      <c r="D952" s="215"/>
      <c r="E952" s="23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>
      <c r="A953" s="215"/>
      <c r="B953" s="236"/>
      <c r="C953" s="237"/>
      <c r="D953" s="215"/>
      <c r="E953" s="23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>
      <c r="A954" s="215"/>
      <c r="B954" s="236"/>
      <c r="C954" s="237"/>
      <c r="D954" s="215"/>
      <c r="E954" s="23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>
      <c r="A955" s="215"/>
      <c r="B955" s="236"/>
      <c r="C955" s="237"/>
      <c r="D955" s="215"/>
      <c r="E955" s="23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>
      <c r="A956" s="215"/>
      <c r="B956" s="236"/>
      <c r="C956" s="237"/>
      <c r="D956" s="215"/>
      <c r="E956" s="23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>
      <c r="A957" s="215"/>
      <c r="B957" s="236"/>
      <c r="C957" s="237"/>
      <c r="D957" s="215"/>
      <c r="E957" s="23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>
      <c r="A958" s="215"/>
      <c r="B958" s="236"/>
      <c r="C958" s="237"/>
      <c r="D958" s="215"/>
      <c r="E958" s="23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>
      <c r="A959" s="215"/>
      <c r="B959" s="236"/>
      <c r="C959" s="237"/>
      <c r="D959" s="215"/>
      <c r="E959" s="23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>
      <c r="A960" s="215"/>
      <c r="B960" s="236"/>
      <c r="C960" s="237"/>
      <c r="D960" s="215"/>
      <c r="E960" s="23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>
      <c r="A961" s="215"/>
      <c r="B961" s="236"/>
      <c r="C961" s="237"/>
      <c r="D961" s="215"/>
      <c r="E961" s="23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>
      <c r="A962" s="215"/>
      <c r="B962" s="236"/>
      <c r="C962" s="237"/>
      <c r="D962" s="215"/>
      <c r="E962" s="23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>
      <c r="A963" s="215"/>
      <c r="B963" s="236"/>
      <c r="C963" s="237"/>
      <c r="D963" s="215"/>
      <c r="E963" s="23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>
      <c r="A964" s="215"/>
      <c r="B964" s="236"/>
      <c r="C964" s="237"/>
      <c r="D964" s="215"/>
      <c r="E964" s="23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>
      <c r="A965" s="215"/>
      <c r="B965" s="236"/>
      <c r="C965" s="237"/>
      <c r="D965" s="215"/>
      <c r="E965" s="23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>
      <c r="A966" s="215"/>
      <c r="B966" s="236"/>
      <c r="C966" s="237"/>
      <c r="D966" s="215"/>
      <c r="E966" s="23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>
      <c r="A967" s="215"/>
      <c r="B967" s="236"/>
      <c r="C967" s="237"/>
      <c r="D967" s="215"/>
      <c r="E967" s="23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>
      <c r="A968" s="215"/>
      <c r="B968" s="236"/>
      <c r="C968" s="237"/>
      <c r="D968" s="215"/>
      <c r="E968" s="23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>
      <c r="A969" s="215"/>
      <c r="B969" s="236"/>
      <c r="C969" s="237"/>
      <c r="D969" s="215"/>
      <c r="E969" s="23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>
      <c r="A970" s="215"/>
      <c r="B970" s="236"/>
      <c r="C970" s="237"/>
      <c r="D970" s="215"/>
      <c r="E970" s="23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>
      <c r="A971" s="215"/>
      <c r="B971" s="236"/>
      <c r="C971" s="237"/>
      <c r="D971" s="215"/>
      <c r="E971" s="23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>
      <c r="A972" s="215"/>
      <c r="B972" s="236"/>
      <c r="C972" s="237"/>
      <c r="D972" s="215"/>
      <c r="E972" s="23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>
      <c r="A973" s="215"/>
      <c r="B973" s="236"/>
      <c r="C973" s="237"/>
      <c r="D973" s="215"/>
      <c r="E973" s="23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>
      <c r="A974" s="215"/>
      <c r="B974" s="236"/>
      <c r="C974" s="237"/>
      <c r="D974" s="215"/>
      <c r="E974" s="23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>
      <c r="A975" s="215"/>
      <c r="B975" s="236"/>
      <c r="C975" s="237"/>
      <c r="D975" s="215"/>
      <c r="E975" s="23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>
      <c r="A976" s="215"/>
      <c r="B976" s="236"/>
      <c r="C976" s="237"/>
      <c r="D976" s="215"/>
      <c r="E976" s="23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>
      <c r="A977" s="215"/>
      <c r="B977" s="236"/>
      <c r="C977" s="237"/>
      <c r="D977" s="215"/>
      <c r="E977" s="23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>
      <c r="A978" s="215"/>
      <c r="B978" s="236"/>
      <c r="C978" s="237"/>
      <c r="D978" s="215"/>
      <c r="E978" s="23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>
      <c r="A979" s="215"/>
      <c r="B979" s="236"/>
      <c r="C979" s="237"/>
      <c r="D979" s="215"/>
      <c r="E979" s="23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>
      <c r="A980" s="215"/>
      <c r="B980" s="236"/>
      <c r="C980" s="237"/>
      <c r="D980" s="215"/>
      <c r="E980" s="23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>
      <c r="A981" s="215"/>
      <c r="B981" s="236"/>
      <c r="C981" s="237"/>
      <c r="D981" s="215"/>
      <c r="E981" s="23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>
      <c r="A982" s="215"/>
      <c r="B982" s="236"/>
      <c r="C982" s="237"/>
      <c r="D982" s="215"/>
      <c r="E982" s="23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>
      <c r="A983" s="215"/>
      <c r="B983" s="236"/>
      <c r="C983" s="237"/>
      <c r="D983" s="215"/>
      <c r="E983" s="23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>
      <c r="A984" s="215"/>
      <c r="B984" s="236"/>
      <c r="C984" s="237"/>
      <c r="D984" s="215"/>
      <c r="E984" s="23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>
      <c r="A985" s="215"/>
      <c r="B985" s="236"/>
      <c r="C985" s="237"/>
      <c r="D985" s="215"/>
      <c r="E985" s="23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>
      <c r="A986" s="215"/>
      <c r="B986" s="236"/>
      <c r="C986" s="237"/>
      <c r="D986" s="215"/>
      <c r="E986" s="23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>
      <c r="A987" s="215"/>
      <c r="B987" s="236"/>
      <c r="C987" s="237"/>
      <c r="D987" s="215"/>
      <c r="E987" s="23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>
      <c r="A988" s="215"/>
      <c r="B988" s="236"/>
      <c r="C988" s="237"/>
      <c r="D988" s="215"/>
      <c r="E988" s="23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>
      <c r="A989" s="215"/>
      <c r="B989" s="236"/>
      <c r="C989" s="237"/>
      <c r="D989" s="215"/>
      <c r="E989" s="23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>
      <c r="A990" s="215"/>
      <c r="B990" s="236"/>
      <c r="C990" s="237"/>
      <c r="D990" s="215"/>
      <c r="E990" s="23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>
      <c r="A991" s="215"/>
      <c r="B991" s="236"/>
      <c r="C991" s="237"/>
      <c r="D991" s="215"/>
      <c r="E991" s="23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>
      <c r="A992" s="215"/>
      <c r="B992" s="236"/>
      <c r="C992" s="237"/>
      <c r="D992" s="215"/>
      <c r="E992" s="23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>
      <c r="A993" s="215"/>
      <c r="B993" s="236"/>
      <c r="C993" s="237"/>
      <c r="D993" s="215"/>
      <c r="E993" s="23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>
      <c r="A994" s="215"/>
      <c r="B994" s="236"/>
      <c r="C994" s="237"/>
      <c r="D994" s="215"/>
      <c r="E994" s="23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>
      <c r="A995" s="215"/>
      <c r="B995" s="236"/>
      <c r="C995" s="237"/>
      <c r="D995" s="215"/>
      <c r="E995" s="23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>
      <c r="A996" s="215"/>
      <c r="B996" s="236"/>
      <c r="C996" s="237"/>
      <c r="D996" s="215"/>
      <c r="E996" s="23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>
      <c r="A997" s="215"/>
      <c r="B997" s="236"/>
      <c r="C997" s="237"/>
      <c r="D997" s="215"/>
      <c r="E997" s="23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>
      <c r="A998" s="215"/>
      <c r="B998" s="236"/>
      <c r="C998" s="237"/>
      <c r="D998" s="215"/>
      <c r="E998" s="23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>
      <c r="A999" s="215"/>
      <c r="B999" s="236"/>
      <c r="C999" s="237"/>
      <c r="D999" s="215"/>
      <c r="E999" s="23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>
      <c r="A1000" s="215"/>
      <c r="B1000" s="236"/>
      <c r="C1000" s="237"/>
      <c r="D1000" s="215"/>
      <c r="E1000" s="23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  <row r="1001">
      <c r="A1001" s="215"/>
      <c r="B1001" s="236"/>
      <c r="C1001" s="237"/>
      <c r="D1001" s="215"/>
      <c r="E1001" s="235"/>
      <c r="F1001" s="215"/>
      <c r="G1001" s="215"/>
      <c r="H1001" s="215"/>
      <c r="I1001" s="215"/>
      <c r="J1001" s="215"/>
      <c r="K1001" s="215"/>
      <c r="L1001" s="215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</row>
    <row r="1002">
      <c r="A1002" s="215"/>
      <c r="B1002" s="236"/>
      <c r="C1002" s="237"/>
      <c r="D1002" s="215"/>
      <c r="E1002" s="235"/>
      <c r="F1002" s="215"/>
      <c r="G1002" s="215"/>
      <c r="H1002" s="215"/>
      <c r="I1002" s="215"/>
      <c r="J1002" s="215"/>
      <c r="K1002" s="215"/>
      <c r="L1002" s="215"/>
      <c r="M1002" s="215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215"/>
      <c r="Z1002" s="215"/>
    </row>
    <row r="1003">
      <c r="A1003" s="215"/>
      <c r="B1003" s="236"/>
      <c r="C1003" s="237"/>
      <c r="D1003" s="215"/>
      <c r="E1003" s="235"/>
      <c r="F1003" s="215"/>
      <c r="G1003" s="215"/>
      <c r="H1003" s="215"/>
      <c r="I1003" s="215"/>
      <c r="J1003" s="215"/>
      <c r="K1003" s="215"/>
      <c r="L1003" s="215"/>
      <c r="M1003" s="215"/>
      <c r="N1003" s="215"/>
      <c r="O1003" s="215"/>
      <c r="P1003" s="215"/>
      <c r="Q1003" s="215"/>
      <c r="R1003" s="215"/>
      <c r="S1003" s="215"/>
      <c r="T1003" s="215"/>
      <c r="U1003" s="215"/>
      <c r="V1003" s="215"/>
      <c r="W1003" s="215"/>
      <c r="X1003" s="215"/>
      <c r="Y1003" s="215"/>
      <c r="Z1003" s="215"/>
    </row>
    <row r="1004">
      <c r="A1004" s="215"/>
      <c r="B1004" s="236"/>
      <c r="C1004" s="237"/>
      <c r="D1004" s="215"/>
      <c r="E1004" s="235"/>
      <c r="F1004" s="215"/>
      <c r="G1004" s="215"/>
      <c r="H1004" s="215"/>
      <c r="I1004" s="215"/>
      <c r="J1004" s="215"/>
      <c r="K1004" s="215"/>
      <c r="L1004" s="215"/>
      <c r="M1004" s="215"/>
      <c r="N1004" s="215"/>
      <c r="O1004" s="215"/>
      <c r="P1004" s="215"/>
      <c r="Q1004" s="215"/>
      <c r="R1004" s="215"/>
      <c r="S1004" s="215"/>
      <c r="T1004" s="215"/>
      <c r="U1004" s="215"/>
      <c r="V1004" s="215"/>
      <c r="W1004" s="215"/>
      <c r="X1004" s="215"/>
      <c r="Y1004" s="215"/>
      <c r="Z1004" s="215"/>
    </row>
    <row r="1005">
      <c r="A1005" s="215"/>
      <c r="B1005" s="236"/>
      <c r="C1005" s="237"/>
      <c r="D1005" s="215"/>
      <c r="E1005" s="235"/>
      <c r="F1005" s="215"/>
      <c r="G1005" s="215"/>
      <c r="H1005" s="215"/>
      <c r="I1005" s="215"/>
      <c r="J1005" s="215"/>
      <c r="K1005" s="215"/>
      <c r="L1005" s="215"/>
      <c r="M1005" s="215"/>
      <c r="N1005" s="215"/>
      <c r="O1005" s="215"/>
      <c r="P1005" s="215"/>
      <c r="Q1005" s="215"/>
      <c r="R1005" s="215"/>
      <c r="S1005" s="215"/>
      <c r="T1005" s="215"/>
      <c r="U1005" s="215"/>
      <c r="V1005" s="215"/>
      <c r="W1005" s="215"/>
      <c r="X1005" s="215"/>
      <c r="Y1005" s="215"/>
      <c r="Z1005" s="215"/>
    </row>
    <row r="1006">
      <c r="A1006" s="215"/>
      <c r="B1006" s="236"/>
      <c r="C1006" s="237"/>
      <c r="D1006" s="215"/>
      <c r="E1006" s="235"/>
      <c r="F1006" s="215"/>
      <c r="G1006" s="215"/>
      <c r="H1006" s="215"/>
      <c r="I1006" s="215"/>
      <c r="J1006" s="215"/>
      <c r="K1006" s="215"/>
      <c r="L1006" s="215"/>
      <c r="M1006" s="215"/>
      <c r="N1006" s="215"/>
      <c r="O1006" s="215"/>
      <c r="P1006" s="215"/>
      <c r="Q1006" s="215"/>
      <c r="R1006" s="215"/>
      <c r="S1006" s="215"/>
      <c r="T1006" s="215"/>
      <c r="U1006" s="215"/>
      <c r="V1006" s="215"/>
      <c r="W1006" s="215"/>
      <c r="X1006" s="215"/>
      <c r="Y1006" s="215"/>
      <c r="Z1006" s="215"/>
    </row>
    <row r="1007">
      <c r="A1007" s="215"/>
      <c r="B1007" s="236"/>
      <c r="C1007" s="237"/>
      <c r="D1007" s="215"/>
      <c r="E1007" s="235"/>
      <c r="F1007" s="215"/>
      <c r="G1007" s="215"/>
      <c r="H1007" s="215"/>
      <c r="I1007" s="215"/>
      <c r="J1007" s="215"/>
      <c r="K1007" s="215"/>
      <c r="L1007" s="215"/>
      <c r="M1007" s="215"/>
      <c r="N1007" s="215"/>
      <c r="O1007" s="215"/>
      <c r="P1007" s="215"/>
      <c r="Q1007" s="215"/>
      <c r="R1007" s="215"/>
      <c r="S1007" s="215"/>
      <c r="T1007" s="215"/>
      <c r="U1007" s="215"/>
      <c r="V1007" s="215"/>
      <c r="W1007" s="215"/>
      <c r="X1007" s="215"/>
      <c r="Y1007" s="215"/>
      <c r="Z1007" s="215"/>
    </row>
    <row r="1008">
      <c r="A1008" s="215"/>
      <c r="B1008" s="236"/>
      <c r="C1008" s="237"/>
      <c r="D1008" s="215"/>
      <c r="E1008" s="235"/>
      <c r="F1008" s="215"/>
      <c r="G1008" s="215"/>
      <c r="H1008" s="215"/>
      <c r="I1008" s="215"/>
      <c r="J1008" s="215"/>
      <c r="K1008" s="215"/>
      <c r="L1008" s="215"/>
      <c r="M1008" s="215"/>
      <c r="N1008" s="215"/>
      <c r="O1008" s="215"/>
      <c r="P1008" s="215"/>
      <c r="Q1008" s="215"/>
      <c r="R1008" s="215"/>
      <c r="S1008" s="215"/>
      <c r="T1008" s="215"/>
      <c r="U1008" s="215"/>
      <c r="V1008" s="215"/>
      <c r="W1008" s="215"/>
      <c r="X1008" s="215"/>
      <c r="Y1008" s="215"/>
      <c r="Z1008" s="215"/>
    </row>
    <row r="1009">
      <c r="A1009" s="215"/>
      <c r="B1009" s="236"/>
      <c r="C1009" s="237"/>
      <c r="D1009" s="215"/>
      <c r="E1009" s="235"/>
      <c r="F1009" s="215"/>
      <c r="G1009" s="215"/>
      <c r="H1009" s="215"/>
      <c r="I1009" s="215"/>
      <c r="J1009" s="215"/>
      <c r="K1009" s="215"/>
      <c r="L1009" s="215"/>
      <c r="M1009" s="215"/>
      <c r="N1009" s="215"/>
      <c r="O1009" s="215"/>
      <c r="P1009" s="215"/>
      <c r="Q1009" s="215"/>
      <c r="R1009" s="215"/>
      <c r="S1009" s="215"/>
      <c r="T1009" s="215"/>
      <c r="U1009" s="215"/>
      <c r="V1009" s="215"/>
      <c r="W1009" s="215"/>
      <c r="X1009" s="215"/>
      <c r="Y1009" s="215"/>
      <c r="Z1009" s="215"/>
    </row>
    <row r="1010">
      <c r="A1010" s="215"/>
      <c r="B1010" s="236"/>
      <c r="C1010" s="237"/>
      <c r="D1010" s="215"/>
      <c r="E1010" s="235"/>
      <c r="F1010" s="215"/>
      <c r="G1010" s="215"/>
      <c r="H1010" s="215"/>
      <c r="I1010" s="215"/>
      <c r="J1010" s="215"/>
      <c r="K1010" s="215"/>
      <c r="L1010" s="215"/>
      <c r="M1010" s="215"/>
      <c r="N1010" s="215"/>
      <c r="O1010" s="215"/>
      <c r="P1010" s="215"/>
      <c r="Q1010" s="215"/>
      <c r="R1010" s="215"/>
      <c r="S1010" s="215"/>
      <c r="T1010" s="215"/>
      <c r="U1010" s="215"/>
      <c r="V1010" s="215"/>
      <c r="W1010" s="215"/>
      <c r="X1010" s="215"/>
      <c r="Y1010" s="215"/>
      <c r="Z1010" s="215"/>
    </row>
    <row r="1011">
      <c r="A1011" s="215"/>
      <c r="B1011" s="236"/>
      <c r="C1011" s="237"/>
      <c r="D1011" s="215"/>
      <c r="E1011" s="235"/>
      <c r="F1011" s="215"/>
      <c r="G1011" s="215"/>
      <c r="H1011" s="215"/>
      <c r="I1011" s="215"/>
      <c r="J1011" s="215"/>
      <c r="K1011" s="215"/>
      <c r="L1011" s="215"/>
      <c r="M1011" s="215"/>
      <c r="N1011" s="215"/>
      <c r="O1011" s="215"/>
      <c r="P1011" s="215"/>
      <c r="Q1011" s="215"/>
      <c r="R1011" s="215"/>
      <c r="S1011" s="215"/>
      <c r="T1011" s="215"/>
      <c r="U1011" s="215"/>
      <c r="V1011" s="215"/>
      <c r="W1011" s="215"/>
      <c r="X1011" s="215"/>
      <c r="Y1011" s="215"/>
      <c r="Z1011" s="215"/>
    </row>
    <row r="1012">
      <c r="A1012" s="215"/>
      <c r="B1012" s="236"/>
      <c r="C1012" s="237"/>
      <c r="D1012" s="215"/>
      <c r="E1012" s="235"/>
      <c r="F1012" s="215"/>
      <c r="G1012" s="215"/>
      <c r="H1012" s="215"/>
      <c r="I1012" s="215"/>
      <c r="J1012" s="215"/>
      <c r="K1012" s="215"/>
      <c r="L1012" s="215"/>
      <c r="M1012" s="215"/>
      <c r="N1012" s="215"/>
      <c r="O1012" s="215"/>
      <c r="P1012" s="215"/>
      <c r="Q1012" s="215"/>
      <c r="R1012" s="215"/>
      <c r="S1012" s="215"/>
      <c r="T1012" s="215"/>
      <c r="U1012" s="215"/>
      <c r="V1012" s="215"/>
      <c r="W1012" s="215"/>
      <c r="X1012" s="215"/>
      <c r="Y1012" s="215"/>
      <c r="Z1012" s="215"/>
    </row>
  </sheetData>
  <mergeCells count="89">
    <mergeCell ref="G335:J335"/>
    <mergeCell ref="I337:I338"/>
    <mergeCell ref="G360:Q360"/>
    <mergeCell ref="G361:J361"/>
    <mergeCell ref="I363:I364"/>
    <mergeCell ref="G386:Q386"/>
    <mergeCell ref="G387:J387"/>
    <mergeCell ref="I389:I390"/>
    <mergeCell ref="G412:Q412"/>
    <mergeCell ref="G413:J413"/>
    <mergeCell ref="I415:I416"/>
    <mergeCell ref="G438:Q438"/>
    <mergeCell ref="G439:J439"/>
    <mergeCell ref="I441:I442"/>
    <mergeCell ref="G464:Q464"/>
    <mergeCell ref="G465:J465"/>
    <mergeCell ref="I467:I468"/>
    <mergeCell ref="G489:Q489"/>
    <mergeCell ref="G490:J490"/>
    <mergeCell ref="I492:I493"/>
    <mergeCell ref="G515:Q515"/>
    <mergeCell ref="G516:J516"/>
    <mergeCell ref="I518:I519"/>
    <mergeCell ref="G540:Q540"/>
    <mergeCell ref="G541:J541"/>
    <mergeCell ref="I543:I544"/>
    <mergeCell ref="G565:Q565"/>
    <mergeCell ref="G566:J566"/>
    <mergeCell ref="G690:J690"/>
    <mergeCell ref="I692:I693"/>
    <mergeCell ref="G713:Q713"/>
    <mergeCell ref="G714:J714"/>
    <mergeCell ref="I716:I717"/>
    <mergeCell ref="G640:Q640"/>
    <mergeCell ref="G641:J641"/>
    <mergeCell ref="I643:I644"/>
    <mergeCell ref="G665:Q665"/>
    <mergeCell ref="G666:J666"/>
    <mergeCell ref="I668:I669"/>
    <mergeCell ref="G689:Q689"/>
    <mergeCell ref="G1:Q1"/>
    <mergeCell ref="A2:E2"/>
    <mergeCell ref="G2:J2"/>
    <mergeCell ref="I4:I5"/>
    <mergeCell ref="G27:Q27"/>
    <mergeCell ref="G28:J28"/>
    <mergeCell ref="I30:I31"/>
    <mergeCell ref="G53:Q53"/>
    <mergeCell ref="G54:J54"/>
    <mergeCell ref="I56:I57"/>
    <mergeCell ref="G79:Q79"/>
    <mergeCell ref="G80:J80"/>
    <mergeCell ref="I82:I83"/>
    <mergeCell ref="G104:Q104"/>
    <mergeCell ref="G105:J105"/>
    <mergeCell ref="I107:I108"/>
    <mergeCell ref="G129:Q129"/>
    <mergeCell ref="G130:J130"/>
    <mergeCell ref="I132:I133"/>
    <mergeCell ref="G154:Q154"/>
    <mergeCell ref="G155:J155"/>
    <mergeCell ref="I157:I158"/>
    <mergeCell ref="G179:Q179"/>
    <mergeCell ref="G180:Q180"/>
    <mergeCell ref="G181:J181"/>
    <mergeCell ref="I183:I184"/>
    <mergeCell ref="G205:Q205"/>
    <mergeCell ref="G206:J206"/>
    <mergeCell ref="I208:I209"/>
    <mergeCell ref="G230:Q230"/>
    <mergeCell ref="G231:J231"/>
    <mergeCell ref="I233:I234"/>
    <mergeCell ref="G256:Q256"/>
    <mergeCell ref="G257:J257"/>
    <mergeCell ref="I259:I260"/>
    <mergeCell ref="G282:Q282"/>
    <mergeCell ref="G283:J283"/>
    <mergeCell ref="I285:I286"/>
    <mergeCell ref="G308:Q308"/>
    <mergeCell ref="G309:J309"/>
    <mergeCell ref="I311:I312"/>
    <mergeCell ref="G334:Q334"/>
    <mergeCell ref="I568:I569"/>
    <mergeCell ref="G590:Q590"/>
    <mergeCell ref="G591:J591"/>
    <mergeCell ref="I593:I594"/>
    <mergeCell ref="G615:Q615"/>
    <mergeCell ref="G616:J616"/>
    <mergeCell ref="I618:I61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4"/>
      <c r="B1" s="214"/>
      <c r="C1" s="214"/>
      <c r="D1" s="214"/>
      <c r="E1" s="214"/>
      <c r="F1" s="214"/>
      <c r="G1" s="234"/>
      <c r="H1" s="251"/>
      <c r="I1" s="251"/>
      <c r="J1" s="251"/>
      <c r="K1" s="251"/>
      <c r="L1" s="252"/>
      <c r="M1" s="253"/>
      <c r="N1" s="252"/>
      <c r="O1" s="252"/>
      <c r="P1" s="252"/>
      <c r="Q1" s="252"/>
      <c r="R1" s="252"/>
      <c r="S1" s="252"/>
      <c r="T1" s="215"/>
      <c r="U1" s="215"/>
      <c r="V1" s="215"/>
      <c r="W1" s="215"/>
      <c r="X1" s="215"/>
      <c r="Y1" s="215"/>
      <c r="Z1" s="215"/>
      <c r="AA1" s="215"/>
    </row>
    <row r="2">
      <c r="A2" s="214" t="s">
        <v>443</v>
      </c>
      <c r="G2" s="234"/>
      <c r="H2" s="246"/>
      <c r="L2" s="234"/>
      <c r="M2" s="234"/>
      <c r="N2" s="234"/>
      <c r="O2" s="234"/>
      <c r="P2" s="234"/>
      <c r="Q2" s="234"/>
      <c r="R2" s="234"/>
      <c r="S2" s="234"/>
      <c r="T2" s="215"/>
      <c r="U2" s="215"/>
      <c r="V2" s="215"/>
      <c r="W2" s="215"/>
      <c r="X2" s="215"/>
      <c r="Y2" s="215"/>
      <c r="Z2" s="215"/>
      <c r="AA2" s="215"/>
    </row>
    <row r="3">
      <c r="A3" s="218" t="s">
        <v>445</v>
      </c>
      <c r="B3" s="218" t="s">
        <v>477</v>
      </c>
      <c r="C3" s="254" t="s">
        <v>446</v>
      </c>
      <c r="D3" s="220" t="s">
        <v>447</v>
      </c>
      <c r="E3" s="220" t="s">
        <v>478</v>
      </c>
      <c r="F3" s="255" t="s">
        <v>448</v>
      </c>
      <c r="G3" s="234"/>
      <c r="H3" s="234"/>
      <c r="I3" s="247"/>
      <c r="J3" s="247"/>
      <c r="K3" s="247"/>
      <c r="L3" s="234"/>
      <c r="M3" s="234"/>
      <c r="N3" s="234"/>
      <c r="O3" s="234"/>
      <c r="P3" s="234"/>
      <c r="Q3" s="256"/>
      <c r="R3" s="234"/>
      <c r="S3" s="234"/>
      <c r="T3" s="215"/>
      <c r="U3" s="215"/>
      <c r="V3" s="215"/>
      <c r="W3" s="215"/>
      <c r="X3" s="215"/>
      <c r="Y3" s="215"/>
      <c r="Z3" s="215"/>
      <c r="AA3" s="215"/>
    </row>
    <row r="4">
      <c r="A4" s="223">
        <v>1.0</v>
      </c>
      <c r="B4" s="223">
        <f t="shared" ref="B4:B7" si="1">IFERROR(
  INDEX('ORDER MASUK OKTOBER'!E:E,
    MATCH(A4,
      DAY('ORDER MASUK OKTOBER'!A:A),
      0
    )
  ),
  0
)
</f>
        <v>0</v>
      </c>
      <c r="C4" s="224">
        <f>NOVEMBER!D16</f>
        <v>130000</v>
      </c>
      <c r="D4" s="224">
        <f>DESEMBER!D16</f>
        <v>4560000</v>
      </c>
      <c r="E4" s="257" t="str">
        <f>JANUARI!D16</f>
        <v/>
      </c>
      <c r="F4" s="226">
        <f>IF(B4=0,
    IF(C4+D4+E4=0, 0, 1),
    (C4 + D4 + E4 - B4) / B4
)
</f>
        <v>1</v>
      </c>
      <c r="G4" s="258">
        <f>IF(B4=0,0,((E4/B4)^(1/3))-1)</f>
        <v>0</v>
      </c>
      <c r="H4" s="234"/>
      <c r="I4" s="259"/>
      <c r="J4" s="260"/>
      <c r="K4" s="250"/>
      <c r="L4" s="234"/>
      <c r="M4" s="234"/>
      <c r="N4" s="234"/>
      <c r="O4" s="234"/>
      <c r="P4" s="234"/>
      <c r="Q4" s="234"/>
      <c r="R4" s="234"/>
      <c r="S4" s="234"/>
      <c r="T4" s="215"/>
      <c r="U4" s="215"/>
      <c r="V4" s="215"/>
      <c r="W4" s="215"/>
      <c r="X4" s="215"/>
      <c r="Y4" s="215"/>
      <c r="Z4" s="215"/>
      <c r="AA4" s="215"/>
    </row>
    <row r="5">
      <c r="A5" s="223">
        <v>2.0</v>
      </c>
      <c r="B5" s="223">
        <f t="shared" si="1"/>
        <v>0</v>
      </c>
      <c r="C5" s="223">
        <f t="shared" ref="C5:C6" si="2">IFERROR(
  INDEX('ORDER MASUK NOVEMBER'!E:E,
    MATCH(A4,
      DAY('ORDER MASUK NOVEMBER'!A:A),
      0
    )
  ),
  0
)
</f>
        <v>0</v>
      </c>
      <c r="D5" s="224">
        <f>DESEMBER!D17</f>
        <v>4760000</v>
      </c>
      <c r="E5" s="257" t="str">
        <f>JANUARI!D17</f>
        <v/>
      </c>
      <c r="F5" s="226" t="str">
        <f>IF(B5=0;I12
    IF(C5+D5+E5=0; 0; 1);
    (C5 + D5 + E5 - B5) / B5
)
</f>
        <v>#ERROR!</v>
      </c>
      <c r="G5" s="234">
        <f>IF(B4=0,0,((E4/B4)^(1/3))-1)</f>
        <v>0</v>
      </c>
      <c r="H5" s="234"/>
      <c r="I5" s="259"/>
      <c r="K5" s="250"/>
      <c r="L5" s="234"/>
      <c r="M5" s="234"/>
      <c r="N5" s="234"/>
      <c r="O5" s="234"/>
      <c r="P5" s="234"/>
      <c r="Q5" s="234"/>
      <c r="R5" s="234"/>
      <c r="S5" s="234"/>
      <c r="T5" s="215"/>
      <c r="U5" s="215"/>
      <c r="V5" s="215"/>
      <c r="W5" s="215"/>
      <c r="X5" s="215"/>
      <c r="Y5" s="215"/>
      <c r="Z5" s="215"/>
      <c r="AA5" s="215"/>
    </row>
    <row r="6">
      <c r="A6" s="223">
        <v>3.0</v>
      </c>
      <c r="B6" s="223">
        <f t="shared" si="1"/>
        <v>0</v>
      </c>
      <c r="C6" s="223">
        <f t="shared" si="2"/>
        <v>0</v>
      </c>
      <c r="D6" s="224">
        <f>DESEMBER!D18</f>
        <v>1800000</v>
      </c>
      <c r="E6" s="257" t="str">
        <f>JANUARI!D18</f>
        <v/>
      </c>
      <c r="F6" s="226">
        <f t="shared" ref="F6:F34" si="3">IF(B6=0,
    IF(C6+D6+E6=0, 0, 1),
    (C6 + D6 + E6 - B6) / B6
)
</f>
        <v>1</v>
      </c>
      <c r="G6" s="234"/>
      <c r="H6" s="256"/>
      <c r="I6" s="259"/>
      <c r="K6" s="250"/>
      <c r="L6" s="234"/>
      <c r="M6" s="234"/>
      <c r="N6" s="234"/>
      <c r="O6" s="234"/>
      <c r="P6" s="234"/>
      <c r="Q6" s="234"/>
      <c r="R6" s="234"/>
      <c r="S6" s="234"/>
      <c r="T6" s="215"/>
      <c r="U6" s="215"/>
      <c r="V6" s="215"/>
      <c r="W6" s="215"/>
      <c r="X6" s="215"/>
      <c r="Y6" s="215"/>
      <c r="Z6" s="215"/>
      <c r="AA6" s="215"/>
    </row>
    <row r="7">
      <c r="A7" s="223">
        <v>4.0</v>
      </c>
      <c r="B7" s="223">
        <f t="shared" si="1"/>
        <v>0</v>
      </c>
      <c r="C7" s="224">
        <f>NOVEMBER!D19</f>
        <v>200000</v>
      </c>
      <c r="D7" s="224">
        <f>DESEMBER!D19</f>
        <v>675000</v>
      </c>
      <c r="E7" s="257" t="str">
        <f>JANUARI!D19</f>
        <v/>
      </c>
      <c r="F7" s="226">
        <f t="shared" si="3"/>
        <v>1</v>
      </c>
      <c r="G7" s="234"/>
      <c r="H7" s="261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15"/>
      <c r="U7" s="215"/>
      <c r="V7" s="215"/>
      <c r="W7" s="215"/>
      <c r="X7" s="215"/>
      <c r="Y7" s="215"/>
      <c r="Z7" s="215"/>
      <c r="AA7" s="215"/>
    </row>
    <row r="8">
      <c r="A8" s="223">
        <v>5.0</v>
      </c>
      <c r="B8" s="223">
        <v>0.0</v>
      </c>
      <c r="C8" s="257">
        <v>0.0</v>
      </c>
      <c r="D8" s="224">
        <f>DESEMBER!D20</f>
        <v>205000</v>
      </c>
      <c r="E8" s="257" t="str">
        <f>JANUARI!D20</f>
        <v/>
      </c>
      <c r="F8" s="226">
        <f t="shared" si="3"/>
        <v>1</v>
      </c>
      <c r="G8" s="234"/>
      <c r="H8" s="261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15"/>
      <c r="U8" s="215"/>
      <c r="V8" s="215"/>
      <c r="W8" s="215"/>
      <c r="X8" s="215"/>
      <c r="Y8" s="215"/>
      <c r="Z8" s="215"/>
      <c r="AA8" s="215"/>
    </row>
    <row r="9">
      <c r="A9" s="223">
        <v>6.0</v>
      </c>
      <c r="B9" s="223" t="str">
        <f>OKTOBER!D21</f>
        <v/>
      </c>
      <c r="C9" s="257">
        <v>0.0</v>
      </c>
      <c r="D9" s="257">
        <v>0.0</v>
      </c>
      <c r="E9" s="257" t="str">
        <f>JANUARI!D21</f>
        <v/>
      </c>
      <c r="F9" s="226">
        <f t="shared" si="3"/>
        <v>0</v>
      </c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</row>
    <row r="10">
      <c r="A10" s="223">
        <v>7.0</v>
      </c>
      <c r="B10" s="223" t="str">
        <f>OKTOBER!D22</f>
        <v/>
      </c>
      <c r="C10" s="257">
        <v>0.0</v>
      </c>
      <c r="D10" s="257">
        <v>0.0</v>
      </c>
      <c r="E10" s="257">
        <f>JANUARI!D22</f>
        <v>2115000</v>
      </c>
      <c r="F10" s="226">
        <f t="shared" si="3"/>
        <v>1</v>
      </c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</row>
    <row r="11">
      <c r="A11" s="223">
        <v>8.0</v>
      </c>
      <c r="B11" s="223" t="str">
        <f>OKTOBER!D23</f>
        <v/>
      </c>
      <c r="C11" s="257">
        <v>0.0</v>
      </c>
      <c r="D11" s="257">
        <v>0.0</v>
      </c>
      <c r="E11" s="257">
        <f>JANUARI!D23</f>
        <v>2340000</v>
      </c>
      <c r="F11" s="226">
        <f t="shared" si="3"/>
        <v>1</v>
      </c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</row>
    <row r="12">
      <c r="A12" s="223">
        <v>9.0</v>
      </c>
      <c r="B12" s="223" t="str">
        <f>OKTOBER!D24</f>
        <v/>
      </c>
      <c r="C12" s="257">
        <v>0.0</v>
      </c>
      <c r="D12" s="257">
        <v>0.0</v>
      </c>
      <c r="E12" s="257">
        <f>JANUARI!D24</f>
        <v>7365000</v>
      </c>
      <c r="F12" s="226">
        <f t="shared" si="3"/>
        <v>1</v>
      </c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</row>
    <row r="13">
      <c r="A13" s="223">
        <v>10.0</v>
      </c>
      <c r="B13" s="223" t="str">
        <f>OKTOBER!D25</f>
        <v/>
      </c>
      <c r="C13" s="257">
        <v>0.0</v>
      </c>
      <c r="D13" s="257">
        <v>0.0</v>
      </c>
      <c r="E13" s="257" t="str">
        <f>JANUARI!D25</f>
        <v/>
      </c>
      <c r="F13" s="226">
        <f t="shared" si="3"/>
        <v>0</v>
      </c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</row>
    <row r="14">
      <c r="A14" s="223">
        <v>11.0</v>
      </c>
      <c r="B14" s="223" t="str">
        <f>OKTOBER!D26</f>
        <v/>
      </c>
      <c r="C14" s="224">
        <f>NOVEMBER!D26</f>
        <v>3215000</v>
      </c>
      <c r="D14" s="224" t="str">
        <f>DESEMBER!D26</f>
        <v/>
      </c>
      <c r="E14" s="257" t="str">
        <f>JANUARI!D26</f>
        <v/>
      </c>
      <c r="F14" s="226">
        <f t="shared" si="3"/>
        <v>1</v>
      </c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</row>
    <row r="15">
      <c r="A15" s="223">
        <v>12.0</v>
      </c>
      <c r="B15" s="223" t="str">
        <f>OKTOBER!D27</f>
        <v/>
      </c>
      <c r="C15" s="224">
        <f>NOVEMBER!D27</f>
        <v>11535000</v>
      </c>
      <c r="D15" s="224" t="str">
        <f>DESEMBER!D27</f>
        <v/>
      </c>
      <c r="E15" s="257">
        <f>JANUARI!D27</f>
        <v>1150000</v>
      </c>
      <c r="F15" s="226">
        <f t="shared" si="3"/>
        <v>1</v>
      </c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</row>
    <row r="16">
      <c r="A16" s="223">
        <v>13.0</v>
      </c>
      <c r="B16" s="223" t="str">
        <f>OKTOBER!D28</f>
        <v/>
      </c>
      <c r="C16" s="257">
        <v>0.0</v>
      </c>
      <c r="D16" s="224">
        <f>DESEMBER!D28</f>
        <v>170000</v>
      </c>
      <c r="E16" s="257">
        <f>JANUARI!D28</f>
        <v>4805000</v>
      </c>
      <c r="F16" s="226">
        <f t="shared" si="3"/>
        <v>1</v>
      </c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</row>
    <row r="17">
      <c r="A17" s="223">
        <v>14.0</v>
      </c>
      <c r="B17" s="223" t="str">
        <f>OKTOBER!D29</f>
        <v/>
      </c>
      <c r="C17" s="257">
        <f>NOVEMBER!D29</f>
        <v>250000</v>
      </c>
      <c r="D17" s="224" t="str">
        <f>DESEMBER!D29</f>
        <v/>
      </c>
      <c r="E17" s="257">
        <f>JANUARI!D29</f>
        <v>5040000</v>
      </c>
      <c r="F17" s="226">
        <f t="shared" si="3"/>
        <v>1</v>
      </c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</row>
    <row r="18">
      <c r="A18" s="223">
        <v>15.0</v>
      </c>
      <c r="B18" s="223" t="str">
        <f>OKTOBER!D30</f>
        <v/>
      </c>
      <c r="C18" s="257">
        <v>0.0</v>
      </c>
      <c r="D18" s="224" t="str">
        <f>DESEMBER!D30</f>
        <v/>
      </c>
      <c r="E18" s="257" t="str">
        <f>JANUARI!D30</f>
        <v/>
      </c>
      <c r="F18" s="226">
        <f t="shared" si="3"/>
        <v>0</v>
      </c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</row>
    <row r="19">
      <c r="A19" s="223">
        <v>16.0</v>
      </c>
      <c r="B19" s="223" t="str">
        <f>OKTOBER!D31</f>
        <v/>
      </c>
      <c r="C19" s="257">
        <v>0.0</v>
      </c>
      <c r="D19" s="224" t="str">
        <f>DESEMBER!D31</f>
        <v/>
      </c>
      <c r="E19" s="257">
        <f>JANUARI!D31</f>
        <v>135000</v>
      </c>
      <c r="F19" s="226">
        <f t="shared" si="3"/>
        <v>1</v>
      </c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</row>
    <row r="20">
      <c r="A20" s="223">
        <v>17.0</v>
      </c>
      <c r="B20" s="223" t="str">
        <f>OKTOBER!D32</f>
        <v/>
      </c>
      <c r="C20" s="257">
        <v>0.0</v>
      </c>
      <c r="D20" s="224" t="str">
        <f>DESEMBER!D32</f>
        <v/>
      </c>
      <c r="E20" s="257" t="str">
        <f>JANUARI!D32</f>
        <v/>
      </c>
      <c r="F20" s="226">
        <f t="shared" si="3"/>
        <v>0</v>
      </c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</row>
    <row r="21">
      <c r="A21" s="223">
        <v>18.0</v>
      </c>
      <c r="B21" s="223" t="str">
        <f>OKTOBER!D33</f>
        <v/>
      </c>
      <c r="C21" s="257">
        <v>0.0</v>
      </c>
      <c r="D21" s="224">
        <f>DESEMBER!D33</f>
        <v>1200000</v>
      </c>
      <c r="E21" s="257" t="str">
        <f>JANUARI!D33</f>
        <v/>
      </c>
      <c r="F21" s="226">
        <f t="shared" si="3"/>
        <v>1</v>
      </c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</row>
    <row r="22">
      <c r="A22" s="223">
        <v>19.0</v>
      </c>
      <c r="B22" s="223" t="str">
        <f>OKTOBER!D34</f>
        <v/>
      </c>
      <c r="C22" s="257">
        <v>0.0</v>
      </c>
      <c r="D22" s="224" t="str">
        <f>DESEMBER!D34</f>
        <v/>
      </c>
      <c r="E22" s="257" t="str">
        <f>JANUARI!D34</f>
        <v/>
      </c>
      <c r="F22" s="226">
        <f t="shared" si="3"/>
        <v>0</v>
      </c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</row>
    <row r="23">
      <c r="A23" s="223">
        <v>20.0</v>
      </c>
      <c r="B23" s="223" t="str">
        <f>OKTOBER!D35</f>
        <v/>
      </c>
      <c r="C23" s="224">
        <f>NOVEMBER!D35</f>
        <v>7350000</v>
      </c>
      <c r="D23" s="224" t="str">
        <f>DESEMBER!D35</f>
        <v/>
      </c>
      <c r="E23" s="257" t="str">
        <f>JANUARI!D35</f>
        <v/>
      </c>
      <c r="F23" s="226">
        <f t="shared" si="3"/>
        <v>1</v>
      </c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</row>
    <row r="24">
      <c r="A24" s="223">
        <v>21.0</v>
      </c>
      <c r="B24" s="223" t="str">
        <f>OKTOBER!D36</f>
        <v/>
      </c>
      <c r="C24" s="257">
        <v>0.0</v>
      </c>
      <c r="D24" s="224" t="str">
        <f>DESEMBER!D36</f>
        <v/>
      </c>
      <c r="E24" s="257" t="str">
        <f>JANUARI!D36</f>
        <v/>
      </c>
      <c r="F24" s="226">
        <f t="shared" si="3"/>
        <v>0</v>
      </c>
      <c r="G24" s="215"/>
      <c r="H24" s="234"/>
      <c r="I24" s="234"/>
      <c r="J24" s="234"/>
      <c r="K24" s="234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</row>
    <row r="25">
      <c r="A25" s="223">
        <v>22.0</v>
      </c>
      <c r="B25" s="223" t="str">
        <f>OKTOBER!D37</f>
        <v/>
      </c>
      <c r="C25" s="224">
        <f>NOVEMBER!D37</f>
        <v>1790000</v>
      </c>
      <c r="D25" s="224" t="str">
        <f>DESEMBER!D37</f>
        <v/>
      </c>
      <c r="E25" s="257" t="str">
        <f>JANUARI!D37</f>
        <v/>
      </c>
      <c r="F25" s="226">
        <f t="shared" si="3"/>
        <v>1</v>
      </c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</row>
    <row r="26">
      <c r="A26" s="223">
        <v>23.0</v>
      </c>
      <c r="B26" s="223" t="str">
        <f>OKTOBER!D38</f>
        <v/>
      </c>
      <c r="C26" s="257">
        <v>0.0</v>
      </c>
      <c r="D26" s="224" t="str">
        <f>DESEMBER!D38</f>
        <v/>
      </c>
      <c r="E26" s="257" t="str">
        <f>JANUARI!D38</f>
        <v/>
      </c>
      <c r="F26" s="226">
        <f t="shared" si="3"/>
        <v>0</v>
      </c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</row>
    <row r="27">
      <c r="A27" s="223">
        <v>24.0</v>
      </c>
      <c r="B27" s="223" t="str">
        <f>OKTOBER!D39</f>
        <v/>
      </c>
      <c r="C27" s="257">
        <v>0.0</v>
      </c>
      <c r="D27" s="224" t="str">
        <f>DESEMBER!D39</f>
        <v/>
      </c>
      <c r="E27" s="257" t="str">
        <f>JANUARI!D39</f>
        <v/>
      </c>
      <c r="F27" s="226">
        <f t="shared" si="3"/>
        <v>0</v>
      </c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15"/>
      <c r="X27" s="215"/>
      <c r="Y27" s="215"/>
      <c r="Z27" s="215"/>
      <c r="AA27" s="215"/>
    </row>
    <row r="28">
      <c r="A28" s="223">
        <v>25.0</v>
      </c>
      <c r="B28" s="223" t="str">
        <f>OKTOBER!D40</f>
        <v/>
      </c>
      <c r="C28" s="257">
        <v>0.0</v>
      </c>
      <c r="D28" s="224" t="str">
        <f>DESEMBER!D40</f>
        <v/>
      </c>
      <c r="E28" s="257" t="str">
        <f>JANUARI!D40</f>
        <v/>
      </c>
      <c r="F28" s="226">
        <f t="shared" si="3"/>
        <v>0</v>
      </c>
      <c r="G28" s="234"/>
      <c r="H28" s="251"/>
      <c r="I28" s="251"/>
      <c r="J28" s="251"/>
      <c r="K28" s="251"/>
      <c r="L28" s="252"/>
      <c r="M28" s="253"/>
      <c r="N28" s="252"/>
      <c r="O28" s="252"/>
      <c r="P28" s="252"/>
      <c r="Q28" s="252"/>
      <c r="R28" s="252"/>
      <c r="S28" s="252"/>
      <c r="T28" s="234"/>
      <c r="U28" s="234"/>
      <c r="V28" s="234"/>
      <c r="W28" s="215"/>
      <c r="X28" s="215"/>
      <c r="Y28" s="215"/>
      <c r="Z28" s="215"/>
      <c r="AA28" s="215"/>
    </row>
    <row r="29">
      <c r="A29" s="223">
        <v>26.0</v>
      </c>
      <c r="B29" s="223" t="str">
        <f>OKTOBER!D41</f>
        <v/>
      </c>
      <c r="C29" s="257">
        <v>0.0</v>
      </c>
      <c r="D29" s="224">
        <f>DESEMBER!D41</f>
        <v>1595000</v>
      </c>
      <c r="E29" s="257" t="str">
        <f>JANUARI!D41</f>
        <v/>
      </c>
      <c r="F29" s="226">
        <f t="shared" si="3"/>
        <v>1</v>
      </c>
      <c r="G29" s="234"/>
      <c r="H29" s="246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15"/>
      <c r="X29" s="215"/>
      <c r="Y29" s="215"/>
      <c r="Z29" s="215"/>
      <c r="AA29" s="215"/>
    </row>
    <row r="30">
      <c r="A30" s="223">
        <v>27.0</v>
      </c>
      <c r="B30" s="223" t="str">
        <f>OKTOBER!D42</f>
        <v/>
      </c>
      <c r="C30" s="257">
        <v>0.0</v>
      </c>
      <c r="D30" s="224" t="str">
        <f>DESEMBER!D42</f>
        <v/>
      </c>
      <c r="E30" s="257" t="str">
        <f>JANUARI!D42</f>
        <v/>
      </c>
      <c r="F30" s="226">
        <f t="shared" si="3"/>
        <v>0</v>
      </c>
      <c r="G30" s="234"/>
      <c r="H30" s="234"/>
      <c r="I30" s="247"/>
      <c r="J30" s="247"/>
      <c r="K30" s="247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15"/>
      <c r="X30" s="215"/>
      <c r="Y30" s="215"/>
      <c r="Z30" s="215"/>
      <c r="AA30" s="215"/>
    </row>
    <row r="31">
      <c r="A31" s="223">
        <v>28.0</v>
      </c>
      <c r="B31" s="223" t="str">
        <f>OKTOBER!D43</f>
        <v/>
      </c>
      <c r="C31" s="257">
        <v>0.0</v>
      </c>
      <c r="D31" s="224" t="str">
        <f>DESEMBER!D43</f>
        <v/>
      </c>
      <c r="E31" s="257" t="str">
        <f>JANUARI!D43</f>
        <v/>
      </c>
      <c r="F31" s="226">
        <f t="shared" si="3"/>
        <v>0</v>
      </c>
      <c r="G31" s="234"/>
      <c r="H31" s="234"/>
      <c r="I31" s="259"/>
      <c r="J31" s="260"/>
      <c r="K31" s="250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15"/>
      <c r="X31" s="215"/>
      <c r="Y31" s="215"/>
      <c r="Z31" s="215"/>
      <c r="AA31" s="215"/>
    </row>
    <row r="32">
      <c r="A32" s="223">
        <v>29.0</v>
      </c>
      <c r="B32" s="223" t="str">
        <f>OKTOBER!D44</f>
        <v/>
      </c>
      <c r="C32" s="257">
        <v>0.0</v>
      </c>
      <c r="D32" s="224">
        <f>DESEMBER!D44</f>
        <v>24720000</v>
      </c>
      <c r="E32" s="257" t="str">
        <f>JANUARI!D44</f>
        <v/>
      </c>
      <c r="F32" s="226">
        <f t="shared" si="3"/>
        <v>1</v>
      </c>
      <c r="G32" s="234"/>
      <c r="H32" s="234"/>
      <c r="I32" s="259"/>
      <c r="K32" s="250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15"/>
      <c r="X32" s="215"/>
      <c r="Y32" s="215"/>
      <c r="Z32" s="215"/>
      <c r="AA32" s="215"/>
    </row>
    <row r="33">
      <c r="A33" s="223">
        <v>30.0</v>
      </c>
      <c r="B33" s="223" t="str">
        <f>OKTOBER!D45</f>
        <v/>
      </c>
      <c r="C33" s="257">
        <v>0.0</v>
      </c>
      <c r="D33" s="224" t="str">
        <f>DESEMBER!D45</f>
        <v/>
      </c>
      <c r="E33" s="257" t="str">
        <f>JANUARI!D45</f>
        <v/>
      </c>
      <c r="F33" s="226">
        <f t="shared" si="3"/>
        <v>0</v>
      </c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15"/>
      <c r="X33" s="215"/>
      <c r="Y33" s="215"/>
      <c r="Z33" s="215"/>
      <c r="AA33" s="215"/>
    </row>
    <row r="34">
      <c r="A34" s="223">
        <v>31.0</v>
      </c>
      <c r="B34" s="223" t="str">
        <f>OKTOBER!D46</f>
        <v/>
      </c>
      <c r="C34" s="257">
        <v>0.0</v>
      </c>
      <c r="D34" s="224" t="str">
        <f>DESEMBER!D46</f>
        <v/>
      </c>
      <c r="E34" s="257" t="str">
        <f>JANUARI!D46</f>
        <v/>
      </c>
      <c r="F34" s="226">
        <f t="shared" si="3"/>
        <v>0</v>
      </c>
      <c r="G34" s="234"/>
      <c r="H34" s="261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15"/>
      <c r="X34" s="215"/>
      <c r="Y34" s="215"/>
      <c r="Z34" s="215"/>
      <c r="AA34" s="215"/>
    </row>
    <row r="35">
      <c r="A35" s="223" t="s">
        <v>5</v>
      </c>
      <c r="B35" s="224">
        <f>SUM(B4:B34)</f>
        <v>0</v>
      </c>
      <c r="C35" s="224">
        <f>SUM(C4:C33)</f>
        <v>24470000</v>
      </c>
      <c r="D35" s="245">
        <f t="shared" ref="D35:E35" si="4">sum(D4:D34)</f>
        <v>39685000</v>
      </c>
      <c r="E35" s="245">
        <f t="shared" si="4"/>
        <v>22950000</v>
      </c>
      <c r="F35" s="235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15"/>
      <c r="X35" s="215"/>
      <c r="Y35" s="215"/>
      <c r="Z35" s="215"/>
      <c r="AA35" s="215"/>
    </row>
    <row r="36">
      <c r="A36" s="215"/>
      <c r="B36" s="237"/>
      <c r="C36" s="236"/>
      <c r="D36" s="215"/>
      <c r="E36" s="215"/>
      <c r="F36" s="235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15"/>
      <c r="X36" s="215"/>
      <c r="Y36" s="215"/>
      <c r="Z36" s="215"/>
      <c r="AA36" s="215"/>
    </row>
    <row r="37">
      <c r="A37" s="215"/>
      <c r="B37" s="237"/>
      <c r="C37" s="236"/>
      <c r="D37" s="215"/>
      <c r="E37" s="215"/>
      <c r="F37" s="235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15"/>
      <c r="X37" s="215"/>
      <c r="Y37" s="215"/>
      <c r="Z37" s="215"/>
      <c r="AA37" s="215"/>
    </row>
    <row r="38">
      <c r="A38" s="262" t="s">
        <v>479</v>
      </c>
      <c r="E38" s="234"/>
      <c r="F38" s="253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15"/>
      <c r="X38" s="215"/>
      <c r="Y38" s="215"/>
      <c r="Z38" s="215"/>
      <c r="AA38" s="215"/>
    </row>
    <row r="39">
      <c r="A39" s="217" t="s">
        <v>444</v>
      </c>
      <c r="E39" s="215"/>
      <c r="F39" s="235"/>
      <c r="G39" s="215"/>
      <c r="H39" s="215"/>
      <c r="I39" s="215"/>
      <c r="J39" s="215"/>
      <c r="K39" s="215"/>
      <c r="L39" s="215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15"/>
      <c r="X39" s="215"/>
      <c r="Y39" s="215"/>
      <c r="Z39" s="215"/>
      <c r="AA39" s="215"/>
    </row>
    <row r="40">
      <c r="A40" s="221" t="s">
        <v>435</v>
      </c>
      <c r="B40" s="222" t="s">
        <v>449</v>
      </c>
      <c r="C40" s="222" t="s">
        <v>450</v>
      </c>
      <c r="D40" s="222" t="s">
        <v>389</v>
      </c>
      <c r="E40" s="215"/>
      <c r="F40" s="215"/>
      <c r="G40" s="215"/>
      <c r="H40" s="215"/>
      <c r="I40" s="215"/>
      <c r="J40" s="263" t="s">
        <v>47</v>
      </c>
      <c r="K40" s="215"/>
      <c r="L40" s="215"/>
      <c r="M40" s="252"/>
      <c r="N40" s="252"/>
      <c r="O40" s="252"/>
      <c r="P40" s="252"/>
      <c r="Q40" s="252"/>
      <c r="R40" s="252"/>
      <c r="S40" s="252"/>
      <c r="T40" s="252"/>
      <c r="U40" s="234"/>
      <c r="V40" s="234"/>
      <c r="W40" s="215"/>
      <c r="X40" s="215"/>
      <c r="Y40" s="215"/>
      <c r="Z40" s="215"/>
      <c r="AA40" s="215"/>
    </row>
    <row r="41">
      <c r="A41" s="241" t="s">
        <v>386</v>
      </c>
      <c r="B41" s="224">
        <f>B35</f>
        <v>0</v>
      </c>
      <c r="C41" s="264"/>
      <c r="D41" s="229" t="str">
        <f>OKTOBER!$D$7</f>
        <v/>
      </c>
      <c r="E41" s="215"/>
      <c r="F41" s="215"/>
      <c r="G41" s="215"/>
      <c r="H41" s="215"/>
      <c r="I41" s="215"/>
      <c r="J41" s="215"/>
      <c r="K41" s="215"/>
      <c r="L41" s="215"/>
      <c r="M41" s="252"/>
      <c r="N41" s="252"/>
      <c r="O41" s="252"/>
      <c r="P41" s="252"/>
      <c r="Q41" s="234"/>
      <c r="R41" s="234"/>
      <c r="S41" s="234"/>
      <c r="T41" s="234"/>
      <c r="U41" s="234"/>
      <c r="V41" s="234"/>
      <c r="W41" s="215"/>
      <c r="X41" s="215"/>
      <c r="Y41" s="215"/>
      <c r="Z41" s="215"/>
      <c r="AA41" s="215"/>
    </row>
    <row r="42">
      <c r="A42" s="241" t="s">
        <v>387</v>
      </c>
      <c r="B42" s="224">
        <f>C35</f>
        <v>24470000</v>
      </c>
      <c r="C42" s="265">
        <f>IF(B35=0,0,(C35-B35)/B35)
</f>
        <v>0</v>
      </c>
      <c r="D42" s="229">
        <f>NOVEMBER!$E$7</f>
        <v>70000000</v>
      </c>
      <c r="E42" s="215"/>
      <c r="F42" s="215"/>
      <c r="G42" s="215"/>
      <c r="H42" s="215"/>
      <c r="I42" s="215"/>
      <c r="J42" s="215"/>
      <c r="K42" s="215"/>
      <c r="L42" s="215"/>
      <c r="M42" s="252"/>
      <c r="N42" s="266"/>
      <c r="O42" s="252"/>
      <c r="P42" s="252"/>
      <c r="Q42" s="234"/>
      <c r="R42" s="256"/>
      <c r="S42" s="234"/>
      <c r="T42" s="234"/>
      <c r="U42" s="234"/>
      <c r="V42" s="234"/>
      <c r="W42" s="215"/>
      <c r="X42" s="215"/>
      <c r="Y42" s="215"/>
      <c r="Z42" s="215"/>
      <c r="AA42" s="215"/>
    </row>
    <row r="43">
      <c r="A43" s="241" t="s">
        <v>451</v>
      </c>
      <c r="B43" s="245">
        <f>D35</f>
        <v>39685000</v>
      </c>
      <c r="C43" s="265">
        <f>((D35-C35)/C35)</f>
        <v>0.6217817736</v>
      </c>
      <c r="D43" s="229">
        <f>DESEMBER!$F$7</f>
        <v>70000000</v>
      </c>
      <c r="E43" s="215"/>
      <c r="F43" s="267"/>
      <c r="G43" s="235"/>
      <c r="H43" s="268"/>
      <c r="I43" s="215"/>
      <c r="J43" s="215"/>
      <c r="K43" s="215"/>
      <c r="L43" s="215"/>
      <c r="M43" s="252"/>
      <c r="N43" s="252"/>
      <c r="O43" s="252"/>
      <c r="P43" s="252"/>
      <c r="Q43" s="234"/>
      <c r="R43" s="234"/>
      <c r="S43" s="234"/>
      <c r="T43" s="234"/>
      <c r="U43" s="234"/>
      <c r="V43" s="234"/>
      <c r="W43" s="215"/>
      <c r="X43" s="215"/>
      <c r="Y43" s="215"/>
      <c r="Z43" s="215"/>
      <c r="AA43" s="215"/>
    </row>
    <row r="44">
      <c r="A44" s="241" t="s">
        <v>480</v>
      </c>
      <c r="B44" s="269">
        <f>E35</f>
        <v>22950000</v>
      </c>
      <c r="C44" s="270">
        <f>((E35-D35)/D35)</f>
        <v>-0.4216958549</v>
      </c>
      <c r="D44" s="271">
        <f>JANUARI!G11</f>
        <v>125000000</v>
      </c>
      <c r="E44" s="215"/>
      <c r="F44" s="267"/>
      <c r="G44" s="235"/>
      <c r="H44" s="268"/>
      <c r="I44" s="215"/>
      <c r="J44" s="215"/>
      <c r="K44" s="215"/>
      <c r="L44" s="215"/>
      <c r="M44" s="252"/>
      <c r="N44" s="252"/>
      <c r="O44" s="252"/>
      <c r="P44" s="252"/>
      <c r="Q44" s="234"/>
      <c r="R44" s="234"/>
      <c r="S44" s="234"/>
      <c r="T44" s="234"/>
      <c r="U44" s="234"/>
      <c r="V44" s="234"/>
      <c r="W44" s="215"/>
      <c r="X44" s="215"/>
      <c r="Y44" s="215"/>
      <c r="Z44" s="215"/>
      <c r="AA44" s="215"/>
    </row>
    <row r="45">
      <c r="A45" s="246"/>
      <c r="B45" s="234"/>
      <c r="C45" s="234"/>
      <c r="D45" s="234"/>
      <c r="E45" s="272"/>
      <c r="F45" s="248"/>
      <c r="G45" s="258"/>
      <c r="H45" s="273"/>
      <c r="I45" s="215"/>
      <c r="J45" s="215"/>
      <c r="K45" s="215"/>
      <c r="L45" s="215"/>
      <c r="M45" s="252"/>
      <c r="N45" s="252"/>
      <c r="O45" s="252"/>
      <c r="P45" s="252"/>
      <c r="Q45" s="234"/>
      <c r="R45" s="234"/>
      <c r="S45" s="234"/>
      <c r="T45" s="234"/>
      <c r="U45" s="234"/>
      <c r="V45" s="234"/>
      <c r="W45" s="215"/>
      <c r="X45" s="215"/>
      <c r="Y45" s="215"/>
      <c r="Z45" s="215"/>
      <c r="AA45" s="215"/>
    </row>
    <row r="46">
      <c r="A46" s="246"/>
      <c r="B46" s="274" t="str">
        <f>LET(
  okt, B41,
  nov, B42,
  des, B43,
  g_okt_nov, IF(okt=0, 1, (nov - okt) / okt),
  g_nov_des, IF(nov=0, 1, (des - nov) / nov),
  "Dari " &amp; TEXT(A41,"@") &amp; " ke " &amp; TEXT(A42,"@") &amp; " " &amp;
    IF(okt=0,
       "order naik menjadi " &amp; TEXT(nov,"#,##0"),
       IF(nov&gt;okt,
          "order naik " &amp; TEXT(g_okt_nov,"0%"),
          IF(nov&lt;okt,
             "order turun " &amp; TEXT(ABS(g_okt_nov),"0%"),
             "order tetap"
          )
       )
    )
    &amp; ", lalu dari " &amp; TEXT(A42,"@") &amp; " ke " &amp; TEXT(A43,"@") &amp; " " &amp;
    IF(nov=0,
       "order naik menjadi " &amp; TEXT(des,"#,##0"),
       IF(des&gt;nov,
          "order naik " &amp; TEXT(g_nov_des,"0%"),
          IF(des&lt;nov,
             "order turun " &amp; TEXT(ABS(g_nov_des),"0%"),
             "order tetap"
          )
       )
    )
)
</f>
        <v>Dari OKTOBER ke NOVEMBER order naik menjadi 24.470.000, lalu dari NOVEMBER ke DESEMBER order naik 62%</v>
      </c>
      <c r="C46" s="274"/>
      <c r="D46" s="274"/>
      <c r="E46" s="275"/>
      <c r="F46" s="276"/>
      <c r="G46" s="277"/>
      <c r="H46" s="278"/>
      <c r="I46" s="215"/>
      <c r="J46" s="215"/>
      <c r="K46" s="215"/>
      <c r="L46" s="215"/>
      <c r="M46" s="252"/>
      <c r="N46" s="252"/>
      <c r="O46" s="252"/>
      <c r="P46" s="252"/>
      <c r="Q46" s="234"/>
      <c r="R46" s="234"/>
      <c r="S46" s="234"/>
      <c r="T46" s="234"/>
      <c r="U46" s="234"/>
      <c r="V46" s="234"/>
      <c r="W46" s="215"/>
      <c r="X46" s="215"/>
      <c r="Y46" s="215"/>
      <c r="Z46" s="215"/>
      <c r="AA46" s="215"/>
    </row>
    <row r="47">
      <c r="A47" s="215"/>
      <c r="B47" s="237"/>
      <c r="C47" s="236"/>
      <c r="D47" s="215"/>
      <c r="E47" s="279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34"/>
      <c r="R47" s="234"/>
      <c r="S47" s="234"/>
      <c r="T47" s="234"/>
      <c r="U47" s="234"/>
      <c r="V47" s="234"/>
      <c r="W47" s="215"/>
      <c r="X47" s="215"/>
      <c r="Y47" s="215"/>
      <c r="Z47" s="215"/>
      <c r="AA47" s="215"/>
    </row>
    <row r="48">
      <c r="A48" s="215"/>
      <c r="B48" s="237"/>
      <c r="C48" s="236"/>
      <c r="D48" s="215"/>
      <c r="E48" s="279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34"/>
      <c r="R48" s="234"/>
      <c r="S48" s="234"/>
      <c r="T48" s="234"/>
      <c r="U48" s="234"/>
      <c r="V48" s="234"/>
      <c r="W48" s="215"/>
      <c r="X48" s="215"/>
      <c r="Y48" s="215"/>
      <c r="Z48" s="215"/>
      <c r="AA48" s="215"/>
    </row>
    <row r="49">
      <c r="A49" s="215"/>
      <c r="B49" s="237"/>
      <c r="C49" s="236"/>
      <c r="D49" s="215"/>
      <c r="E49" s="215"/>
      <c r="F49" s="235"/>
      <c r="G49" s="234"/>
      <c r="H49" s="234"/>
      <c r="I49" s="261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15"/>
      <c r="X49" s="215"/>
      <c r="Y49" s="215"/>
      <c r="Z49" s="215"/>
      <c r="AA49" s="215"/>
    </row>
    <row r="50">
      <c r="A50" s="215"/>
      <c r="B50" s="237"/>
      <c r="C50" s="236"/>
      <c r="D50" s="215"/>
      <c r="E50" s="215"/>
      <c r="F50" s="235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15"/>
      <c r="X50" s="215"/>
      <c r="Y50" s="215"/>
      <c r="Z50" s="215"/>
      <c r="AA50" s="215"/>
    </row>
    <row r="51">
      <c r="A51" s="215"/>
      <c r="B51" s="237"/>
      <c r="C51" s="236"/>
      <c r="D51" s="215"/>
      <c r="E51" s="215"/>
      <c r="F51" s="235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15"/>
      <c r="X51" s="215"/>
      <c r="Y51" s="215"/>
      <c r="Z51" s="215"/>
      <c r="AA51" s="215"/>
    </row>
    <row r="52">
      <c r="A52" s="215"/>
      <c r="B52" s="237"/>
      <c r="C52" s="236"/>
      <c r="D52" s="215"/>
      <c r="E52" s="215"/>
      <c r="F52" s="235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15"/>
      <c r="X52" s="215"/>
      <c r="Y52" s="215"/>
      <c r="Z52" s="215"/>
      <c r="AA52" s="215"/>
    </row>
    <row r="53">
      <c r="A53" s="215"/>
      <c r="B53" s="237"/>
      <c r="C53" s="236"/>
      <c r="D53" s="215"/>
      <c r="E53" s="215"/>
      <c r="F53" s="235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15"/>
      <c r="X53" s="215"/>
      <c r="Y53" s="215"/>
      <c r="Z53" s="215"/>
      <c r="AA53" s="215"/>
    </row>
    <row r="54">
      <c r="A54" s="215"/>
      <c r="B54" s="237"/>
      <c r="C54" s="236"/>
      <c r="D54" s="215"/>
      <c r="E54" s="215"/>
      <c r="F54" s="235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15"/>
      <c r="X54" s="215"/>
      <c r="Y54" s="215"/>
      <c r="Z54" s="215"/>
      <c r="AA54" s="215"/>
    </row>
    <row r="55">
      <c r="A55" s="215"/>
      <c r="B55" s="237"/>
      <c r="C55" s="236"/>
      <c r="D55" s="215"/>
      <c r="E55" s="215"/>
      <c r="F55" s="235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15"/>
      <c r="X55" s="215"/>
      <c r="Y55" s="215"/>
      <c r="Z55" s="215"/>
      <c r="AA55" s="215"/>
    </row>
    <row r="56">
      <c r="A56" s="215"/>
      <c r="B56" s="237"/>
      <c r="C56" s="236"/>
      <c r="D56" s="215"/>
      <c r="E56" s="215"/>
      <c r="F56" s="235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15"/>
      <c r="X56" s="215"/>
      <c r="Y56" s="215"/>
      <c r="Z56" s="215"/>
      <c r="AA56" s="215"/>
    </row>
    <row r="57">
      <c r="A57" s="215"/>
      <c r="B57" s="237"/>
      <c r="C57" s="236"/>
      <c r="D57" s="215"/>
      <c r="E57" s="215"/>
      <c r="F57" s="235"/>
      <c r="G57" s="234"/>
      <c r="H57" s="251"/>
      <c r="I57" s="251"/>
      <c r="J57" s="251"/>
      <c r="K57" s="251"/>
      <c r="L57" s="252"/>
      <c r="M57" s="253"/>
      <c r="N57" s="252"/>
      <c r="O57" s="252"/>
      <c r="P57" s="252"/>
      <c r="Q57" s="252"/>
      <c r="R57" s="252"/>
      <c r="S57" s="252"/>
      <c r="T57" s="234"/>
      <c r="U57" s="234"/>
      <c r="V57" s="234"/>
      <c r="W57" s="215"/>
      <c r="X57" s="215"/>
      <c r="Y57" s="215"/>
      <c r="Z57" s="215"/>
      <c r="AA57" s="215"/>
    </row>
    <row r="58">
      <c r="A58" s="215"/>
      <c r="B58" s="237"/>
      <c r="C58" s="236"/>
      <c r="D58" s="215"/>
      <c r="E58" s="215"/>
      <c r="F58" s="235"/>
      <c r="G58" s="234"/>
      <c r="H58" s="246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15"/>
      <c r="X58" s="215"/>
      <c r="Y58" s="215"/>
      <c r="Z58" s="215"/>
      <c r="AA58" s="215"/>
    </row>
    <row r="59">
      <c r="A59" s="215"/>
      <c r="B59" s="237"/>
      <c r="C59" s="236"/>
      <c r="D59" s="215"/>
      <c r="E59" s="215"/>
      <c r="F59" s="235"/>
      <c r="G59" s="234"/>
      <c r="H59" s="234"/>
      <c r="I59" s="247"/>
      <c r="J59" s="247"/>
      <c r="K59" s="247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15"/>
      <c r="X59" s="215"/>
      <c r="Y59" s="215"/>
      <c r="Z59" s="215"/>
      <c r="AA59" s="215"/>
    </row>
    <row r="60">
      <c r="A60" s="215"/>
      <c r="B60" s="237"/>
      <c r="C60" s="236"/>
      <c r="D60" s="215"/>
      <c r="E60" s="215"/>
      <c r="F60" s="235"/>
      <c r="G60" s="234"/>
      <c r="H60" s="234"/>
      <c r="I60" s="259"/>
      <c r="J60" s="260"/>
      <c r="K60" s="250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15"/>
      <c r="X60" s="215"/>
      <c r="Y60" s="215"/>
      <c r="Z60" s="215"/>
      <c r="AA60" s="215"/>
    </row>
    <row r="61">
      <c r="A61" s="215"/>
      <c r="B61" s="237"/>
      <c r="C61" s="236"/>
      <c r="D61" s="215"/>
      <c r="E61" s="215"/>
      <c r="F61" s="235"/>
      <c r="G61" s="234"/>
      <c r="H61" s="234"/>
      <c r="I61" s="259"/>
      <c r="K61" s="250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15"/>
      <c r="X61" s="215"/>
      <c r="Y61" s="215"/>
      <c r="Z61" s="215"/>
      <c r="AA61" s="215"/>
    </row>
    <row r="62">
      <c r="A62" s="215"/>
      <c r="B62" s="237"/>
      <c r="C62" s="236"/>
      <c r="D62" s="215"/>
      <c r="E62" s="215"/>
      <c r="F62" s="235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15"/>
      <c r="X62" s="215"/>
      <c r="Y62" s="215"/>
      <c r="Z62" s="215"/>
      <c r="AA62" s="215"/>
    </row>
    <row r="63">
      <c r="A63" s="215"/>
      <c r="B63" s="237"/>
      <c r="C63" s="236"/>
      <c r="D63" s="215"/>
      <c r="E63" s="215"/>
      <c r="F63" s="235"/>
      <c r="G63" s="234"/>
      <c r="H63" s="261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15"/>
      <c r="X63" s="215"/>
      <c r="Y63" s="215"/>
      <c r="Z63" s="215"/>
      <c r="AA63" s="215"/>
    </row>
    <row r="64">
      <c r="A64" s="215"/>
      <c r="B64" s="237"/>
      <c r="C64" s="236"/>
      <c r="D64" s="215"/>
      <c r="E64" s="215"/>
      <c r="F64" s="235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15"/>
      <c r="X64" s="215"/>
      <c r="Y64" s="215"/>
      <c r="Z64" s="215"/>
      <c r="AA64" s="215"/>
    </row>
    <row r="65">
      <c r="A65" s="215"/>
      <c r="B65" s="237"/>
      <c r="C65" s="236"/>
      <c r="D65" s="215"/>
      <c r="E65" s="215"/>
      <c r="F65" s="235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15"/>
      <c r="X65" s="215"/>
      <c r="Y65" s="215"/>
      <c r="Z65" s="215"/>
      <c r="AA65" s="215"/>
    </row>
    <row r="66">
      <c r="A66" s="215"/>
      <c r="B66" s="237"/>
      <c r="C66" s="236"/>
      <c r="D66" s="215"/>
      <c r="E66" s="215"/>
      <c r="F66" s="235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15"/>
      <c r="X66" s="215"/>
      <c r="Y66" s="215"/>
      <c r="Z66" s="215"/>
      <c r="AA66" s="215"/>
    </row>
    <row r="67">
      <c r="A67" s="215"/>
      <c r="B67" s="237"/>
      <c r="C67" s="236"/>
      <c r="D67" s="215"/>
      <c r="E67" s="215"/>
      <c r="F67" s="235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15"/>
      <c r="X67" s="215"/>
      <c r="Y67" s="215"/>
      <c r="Z67" s="215"/>
      <c r="AA67" s="215"/>
    </row>
    <row r="68">
      <c r="A68" s="215"/>
      <c r="B68" s="237"/>
      <c r="C68" s="236"/>
      <c r="D68" s="215"/>
      <c r="E68" s="215"/>
      <c r="F68" s="235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15"/>
      <c r="X68" s="215"/>
      <c r="Y68" s="215"/>
      <c r="Z68" s="215"/>
      <c r="AA68" s="215"/>
    </row>
    <row r="69">
      <c r="A69" s="215"/>
      <c r="B69" s="237"/>
      <c r="C69" s="236"/>
      <c r="D69" s="215"/>
      <c r="E69" s="215"/>
      <c r="F69" s="235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15"/>
      <c r="X69" s="215"/>
      <c r="Y69" s="215"/>
      <c r="Z69" s="215"/>
      <c r="AA69" s="215"/>
    </row>
    <row r="70">
      <c r="A70" s="215"/>
      <c r="B70" s="237"/>
      <c r="C70" s="236"/>
      <c r="D70" s="215"/>
      <c r="E70" s="215"/>
      <c r="F70" s="235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15"/>
      <c r="X70" s="215"/>
      <c r="Y70" s="215"/>
      <c r="Z70" s="215"/>
      <c r="AA70" s="215"/>
    </row>
    <row r="71">
      <c r="A71" s="215"/>
      <c r="B71" s="237"/>
      <c r="C71" s="236"/>
      <c r="D71" s="215"/>
      <c r="E71" s="215"/>
      <c r="F71" s="235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15"/>
      <c r="X71" s="215"/>
      <c r="Y71" s="215"/>
      <c r="Z71" s="215"/>
      <c r="AA71" s="215"/>
    </row>
    <row r="72">
      <c r="A72" s="215"/>
      <c r="B72" s="237"/>
      <c r="C72" s="236"/>
      <c r="D72" s="215"/>
      <c r="E72" s="215"/>
      <c r="F72" s="235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15"/>
      <c r="X72" s="215"/>
      <c r="Y72" s="215"/>
      <c r="Z72" s="215"/>
      <c r="AA72" s="215"/>
    </row>
    <row r="73">
      <c r="A73" s="215"/>
      <c r="B73" s="237"/>
      <c r="C73" s="236"/>
      <c r="D73" s="215"/>
      <c r="E73" s="215"/>
      <c r="F73" s="235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15"/>
      <c r="X73" s="215"/>
      <c r="Y73" s="215"/>
      <c r="Z73" s="215"/>
      <c r="AA73" s="215"/>
    </row>
    <row r="74">
      <c r="A74" s="215"/>
      <c r="B74" s="237"/>
      <c r="C74" s="236"/>
      <c r="D74" s="215"/>
      <c r="E74" s="215"/>
      <c r="F74" s="235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15"/>
      <c r="X74" s="215"/>
      <c r="Y74" s="215"/>
      <c r="Z74" s="215"/>
      <c r="AA74" s="215"/>
    </row>
    <row r="75">
      <c r="A75" s="215"/>
      <c r="B75" s="237"/>
      <c r="C75" s="236"/>
      <c r="D75" s="215"/>
      <c r="E75" s="215"/>
      <c r="F75" s="235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15"/>
      <c r="X75" s="215"/>
      <c r="Y75" s="215"/>
      <c r="Z75" s="215"/>
      <c r="AA75" s="215"/>
    </row>
    <row r="76">
      <c r="A76" s="215"/>
      <c r="B76" s="237"/>
      <c r="C76" s="236"/>
      <c r="D76" s="215"/>
      <c r="E76" s="215"/>
      <c r="F76" s="235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15"/>
      <c r="X76" s="215"/>
      <c r="Y76" s="215"/>
      <c r="Z76" s="215"/>
      <c r="AA76" s="215"/>
    </row>
    <row r="77">
      <c r="A77" s="215"/>
      <c r="B77" s="237"/>
      <c r="C77" s="236"/>
      <c r="D77" s="215"/>
      <c r="E77" s="215"/>
      <c r="F77" s="235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15"/>
      <c r="X77" s="215"/>
      <c r="Y77" s="215"/>
      <c r="Z77" s="215"/>
      <c r="AA77" s="215"/>
    </row>
    <row r="78">
      <c r="A78" s="215"/>
      <c r="B78" s="237"/>
      <c r="C78" s="236"/>
      <c r="D78" s="215"/>
      <c r="E78" s="215"/>
      <c r="F78" s="235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15"/>
      <c r="X78" s="215"/>
      <c r="Y78" s="215"/>
      <c r="Z78" s="215"/>
      <c r="AA78" s="215"/>
    </row>
    <row r="79">
      <c r="A79" s="215"/>
      <c r="B79" s="237"/>
      <c r="C79" s="236"/>
      <c r="D79" s="215"/>
      <c r="E79" s="215"/>
      <c r="F79" s="235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15"/>
      <c r="X79" s="215"/>
      <c r="Y79" s="215"/>
      <c r="Z79" s="215"/>
      <c r="AA79" s="215"/>
    </row>
    <row r="80">
      <c r="A80" s="215"/>
      <c r="B80" s="237"/>
      <c r="C80" s="236"/>
      <c r="D80" s="215"/>
      <c r="E80" s="215"/>
      <c r="F80" s="235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15"/>
      <c r="X80" s="215"/>
      <c r="Y80" s="215"/>
      <c r="Z80" s="215"/>
      <c r="AA80" s="215"/>
    </row>
    <row r="81">
      <c r="A81" s="215"/>
      <c r="B81" s="237"/>
      <c r="C81" s="236"/>
      <c r="D81" s="215"/>
      <c r="E81" s="215"/>
      <c r="F81" s="235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15"/>
      <c r="X81" s="215"/>
      <c r="Y81" s="215"/>
      <c r="Z81" s="215"/>
      <c r="AA81" s="215"/>
    </row>
    <row r="82">
      <c r="A82" s="215"/>
      <c r="B82" s="237"/>
      <c r="C82" s="236"/>
      <c r="D82" s="215"/>
      <c r="E82" s="215"/>
      <c r="F82" s="235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15"/>
      <c r="X82" s="215"/>
      <c r="Y82" s="215"/>
      <c r="Z82" s="215"/>
      <c r="AA82" s="215"/>
    </row>
    <row r="83">
      <c r="A83" s="215"/>
      <c r="B83" s="237"/>
      <c r="C83" s="236"/>
      <c r="D83" s="215"/>
      <c r="E83" s="215"/>
      <c r="F83" s="235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15"/>
      <c r="X83" s="215"/>
      <c r="Y83" s="215"/>
      <c r="Z83" s="215"/>
      <c r="AA83" s="215"/>
    </row>
    <row r="84">
      <c r="A84" s="215"/>
      <c r="B84" s="237"/>
      <c r="C84" s="236"/>
      <c r="D84" s="215"/>
      <c r="E84" s="215"/>
      <c r="F84" s="235"/>
      <c r="G84" s="234"/>
      <c r="H84" s="251"/>
      <c r="I84" s="251"/>
      <c r="J84" s="251"/>
      <c r="K84" s="251"/>
      <c r="L84" s="252"/>
      <c r="M84" s="253"/>
      <c r="N84" s="252"/>
      <c r="O84" s="252"/>
      <c r="P84" s="252"/>
      <c r="Q84" s="252"/>
      <c r="R84" s="252"/>
      <c r="S84" s="252"/>
      <c r="T84" s="234"/>
      <c r="U84" s="234"/>
      <c r="V84" s="234"/>
      <c r="W84" s="215"/>
      <c r="X84" s="215"/>
      <c r="Y84" s="215"/>
      <c r="Z84" s="215"/>
      <c r="AA84" s="215"/>
    </row>
    <row r="85">
      <c r="A85" s="215"/>
      <c r="B85" s="237"/>
      <c r="C85" s="236"/>
      <c r="D85" s="215"/>
      <c r="E85" s="215"/>
      <c r="F85" s="235"/>
      <c r="G85" s="234"/>
      <c r="H85" s="246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15"/>
      <c r="X85" s="215"/>
      <c r="Y85" s="215"/>
      <c r="Z85" s="215"/>
      <c r="AA85" s="215"/>
    </row>
    <row r="86">
      <c r="A86" s="215"/>
      <c r="B86" s="237"/>
      <c r="C86" s="236"/>
      <c r="D86" s="215"/>
      <c r="E86" s="215"/>
      <c r="F86" s="235"/>
      <c r="G86" s="234"/>
      <c r="H86" s="234"/>
      <c r="I86" s="247"/>
      <c r="J86" s="247"/>
      <c r="K86" s="247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15"/>
      <c r="X86" s="215"/>
      <c r="Y86" s="215"/>
      <c r="Z86" s="215"/>
      <c r="AA86" s="215"/>
    </row>
    <row r="87">
      <c r="A87" s="215"/>
      <c r="B87" s="237"/>
      <c r="C87" s="236"/>
      <c r="D87" s="215"/>
      <c r="E87" s="215"/>
      <c r="F87" s="235"/>
      <c r="G87" s="234"/>
      <c r="H87" s="234"/>
      <c r="I87" s="259"/>
      <c r="J87" s="260"/>
      <c r="K87" s="250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15"/>
      <c r="X87" s="215"/>
      <c r="Y87" s="215"/>
      <c r="Z87" s="215"/>
      <c r="AA87" s="215"/>
    </row>
    <row r="88">
      <c r="A88" s="215"/>
      <c r="B88" s="237"/>
      <c r="C88" s="236"/>
      <c r="D88" s="215"/>
      <c r="E88" s="215"/>
      <c r="F88" s="235"/>
      <c r="G88" s="234"/>
      <c r="H88" s="234"/>
      <c r="I88" s="259"/>
      <c r="K88" s="250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15"/>
      <c r="X88" s="215"/>
      <c r="Y88" s="215"/>
      <c r="Z88" s="215"/>
      <c r="AA88" s="215"/>
    </row>
    <row r="89">
      <c r="A89" s="215"/>
      <c r="B89" s="237"/>
      <c r="C89" s="236"/>
      <c r="D89" s="215"/>
      <c r="E89" s="215"/>
      <c r="F89" s="235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15"/>
      <c r="X89" s="215"/>
      <c r="Y89" s="215"/>
      <c r="Z89" s="215"/>
      <c r="AA89" s="215"/>
    </row>
    <row r="90">
      <c r="A90" s="215"/>
      <c r="B90" s="237"/>
      <c r="C90" s="236"/>
      <c r="D90" s="215"/>
      <c r="E90" s="215"/>
      <c r="F90" s="235"/>
      <c r="G90" s="234"/>
      <c r="H90" s="261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15"/>
      <c r="X90" s="215"/>
      <c r="Y90" s="215"/>
      <c r="Z90" s="215"/>
      <c r="AA90" s="215"/>
    </row>
    <row r="91">
      <c r="A91" s="215"/>
      <c r="B91" s="237"/>
      <c r="C91" s="236"/>
      <c r="D91" s="215"/>
      <c r="E91" s="215"/>
      <c r="F91" s="235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15"/>
      <c r="X91" s="215"/>
      <c r="Y91" s="215"/>
      <c r="Z91" s="215"/>
      <c r="AA91" s="215"/>
    </row>
    <row r="92">
      <c r="A92" s="215"/>
      <c r="B92" s="237"/>
      <c r="C92" s="236"/>
      <c r="D92" s="215"/>
      <c r="E92" s="215"/>
      <c r="F92" s="235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15"/>
      <c r="X92" s="215"/>
      <c r="Y92" s="215"/>
      <c r="Z92" s="215"/>
      <c r="AA92" s="215"/>
    </row>
    <row r="93">
      <c r="A93" s="215"/>
      <c r="B93" s="237"/>
      <c r="C93" s="236"/>
      <c r="D93" s="215"/>
      <c r="E93" s="215"/>
      <c r="F93" s="235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15"/>
      <c r="X93" s="215"/>
      <c r="Y93" s="215"/>
      <c r="Z93" s="215"/>
      <c r="AA93" s="215"/>
    </row>
    <row r="94">
      <c r="A94" s="215"/>
      <c r="B94" s="237"/>
      <c r="C94" s="236"/>
      <c r="D94" s="215"/>
      <c r="E94" s="215"/>
      <c r="F94" s="235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15"/>
      <c r="X94" s="215"/>
      <c r="Y94" s="215"/>
      <c r="Z94" s="215"/>
      <c r="AA94" s="215"/>
    </row>
    <row r="95">
      <c r="A95" s="215"/>
      <c r="B95" s="237"/>
      <c r="C95" s="236"/>
      <c r="D95" s="215"/>
      <c r="E95" s="215"/>
      <c r="F95" s="235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15"/>
      <c r="X95" s="215"/>
      <c r="Y95" s="215"/>
      <c r="Z95" s="215"/>
      <c r="AA95" s="215"/>
    </row>
    <row r="96">
      <c r="A96" s="215"/>
      <c r="B96" s="237"/>
      <c r="C96" s="236"/>
      <c r="D96" s="215"/>
      <c r="E96" s="215"/>
      <c r="F96" s="235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15"/>
      <c r="X96" s="215"/>
      <c r="Y96" s="215"/>
      <c r="Z96" s="215"/>
      <c r="AA96" s="215"/>
    </row>
    <row r="97">
      <c r="A97" s="215"/>
      <c r="B97" s="237"/>
      <c r="C97" s="236"/>
      <c r="D97" s="215"/>
      <c r="E97" s="215"/>
      <c r="F97" s="235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15"/>
      <c r="X97" s="215"/>
      <c r="Y97" s="215"/>
      <c r="Z97" s="215"/>
      <c r="AA97" s="215"/>
    </row>
    <row r="98">
      <c r="A98" s="215"/>
      <c r="B98" s="237"/>
      <c r="C98" s="236"/>
      <c r="D98" s="215"/>
      <c r="E98" s="215"/>
      <c r="F98" s="235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15"/>
      <c r="X98" s="215"/>
      <c r="Y98" s="215"/>
      <c r="Z98" s="215"/>
      <c r="AA98" s="215"/>
    </row>
    <row r="99">
      <c r="A99" s="215"/>
      <c r="B99" s="237"/>
      <c r="C99" s="236"/>
      <c r="D99" s="215"/>
      <c r="E99" s="215"/>
      <c r="F99" s="235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15"/>
      <c r="X99" s="215"/>
      <c r="Y99" s="215"/>
      <c r="Z99" s="215"/>
      <c r="AA99" s="215"/>
    </row>
    <row r="100">
      <c r="A100" s="215"/>
      <c r="B100" s="237"/>
      <c r="C100" s="236"/>
      <c r="D100" s="215"/>
      <c r="E100" s="215"/>
      <c r="F100" s="235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15"/>
      <c r="X100" s="215"/>
      <c r="Y100" s="215"/>
      <c r="Z100" s="215"/>
      <c r="AA100" s="215"/>
    </row>
    <row r="101">
      <c r="A101" s="215"/>
      <c r="B101" s="237"/>
      <c r="C101" s="236"/>
      <c r="D101" s="215"/>
      <c r="E101" s="215"/>
      <c r="F101" s="235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15"/>
      <c r="X101" s="215"/>
      <c r="Y101" s="215"/>
      <c r="Z101" s="215"/>
      <c r="AA101" s="215"/>
    </row>
    <row r="102">
      <c r="A102" s="215"/>
      <c r="B102" s="237"/>
      <c r="C102" s="236"/>
      <c r="D102" s="215"/>
      <c r="E102" s="215"/>
      <c r="F102" s="235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15"/>
      <c r="X102" s="215"/>
      <c r="Y102" s="215"/>
      <c r="Z102" s="215"/>
      <c r="AA102" s="215"/>
    </row>
    <row r="103">
      <c r="A103" s="215"/>
      <c r="B103" s="237"/>
      <c r="C103" s="236"/>
      <c r="D103" s="215"/>
      <c r="E103" s="215"/>
      <c r="F103" s="235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15"/>
      <c r="X103" s="215"/>
      <c r="Y103" s="215"/>
      <c r="Z103" s="215"/>
      <c r="AA103" s="215"/>
    </row>
    <row r="104">
      <c r="A104" s="215"/>
      <c r="B104" s="237"/>
      <c r="C104" s="236"/>
      <c r="D104" s="215"/>
      <c r="E104" s="215"/>
      <c r="F104" s="235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15"/>
      <c r="X104" s="215"/>
      <c r="Y104" s="215"/>
      <c r="Z104" s="215"/>
      <c r="AA104" s="215"/>
    </row>
    <row r="105">
      <c r="A105" s="215"/>
      <c r="B105" s="237"/>
      <c r="C105" s="236"/>
      <c r="D105" s="215"/>
      <c r="E105" s="215"/>
      <c r="F105" s="235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15"/>
      <c r="X105" s="215"/>
      <c r="Y105" s="215"/>
      <c r="Z105" s="215"/>
      <c r="AA105" s="215"/>
    </row>
    <row r="106">
      <c r="A106" s="215"/>
      <c r="B106" s="237"/>
      <c r="C106" s="236"/>
      <c r="D106" s="215"/>
      <c r="E106" s="215"/>
      <c r="F106" s="235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15"/>
      <c r="X106" s="215"/>
      <c r="Y106" s="215"/>
      <c r="Z106" s="215"/>
      <c r="AA106" s="215"/>
    </row>
    <row r="107">
      <c r="A107" s="215"/>
      <c r="B107" s="237"/>
      <c r="C107" s="236"/>
      <c r="D107" s="215"/>
      <c r="E107" s="215"/>
      <c r="F107" s="235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15"/>
      <c r="X107" s="215"/>
      <c r="Y107" s="215"/>
      <c r="Z107" s="215"/>
      <c r="AA107" s="215"/>
    </row>
    <row r="108">
      <c r="A108" s="215"/>
      <c r="B108" s="237"/>
      <c r="C108" s="236"/>
      <c r="D108" s="215"/>
      <c r="E108" s="215"/>
      <c r="F108" s="235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15"/>
      <c r="X108" s="215"/>
      <c r="Y108" s="215"/>
      <c r="Z108" s="215"/>
      <c r="AA108" s="215"/>
    </row>
    <row r="109">
      <c r="A109" s="215"/>
      <c r="B109" s="237"/>
      <c r="C109" s="236"/>
      <c r="D109" s="215"/>
      <c r="E109" s="215"/>
      <c r="F109" s="235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15"/>
      <c r="X109" s="215"/>
      <c r="Y109" s="215"/>
      <c r="Z109" s="215"/>
      <c r="AA109" s="215"/>
    </row>
    <row r="110">
      <c r="A110" s="215"/>
      <c r="B110" s="237"/>
      <c r="C110" s="236"/>
      <c r="D110" s="215"/>
      <c r="E110" s="215"/>
      <c r="F110" s="235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15"/>
      <c r="X110" s="215"/>
      <c r="Y110" s="215"/>
      <c r="Z110" s="215"/>
      <c r="AA110" s="215"/>
    </row>
    <row r="111">
      <c r="A111" s="215"/>
      <c r="B111" s="237"/>
      <c r="C111" s="236"/>
      <c r="D111" s="215"/>
      <c r="E111" s="215"/>
      <c r="F111" s="235"/>
      <c r="G111" s="234"/>
      <c r="H111" s="251"/>
      <c r="I111" s="251"/>
      <c r="J111" s="251"/>
      <c r="K111" s="251"/>
      <c r="L111" s="252"/>
      <c r="M111" s="253"/>
      <c r="N111" s="252"/>
      <c r="O111" s="252"/>
      <c r="P111" s="252"/>
      <c r="Q111" s="252"/>
      <c r="R111" s="252"/>
      <c r="S111" s="252"/>
      <c r="T111" s="234"/>
      <c r="U111" s="234"/>
      <c r="V111" s="234"/>
      <c r="W111" s="215"/>
      <c r="X111" s="215"/>
      <c r="Y111" s="215"/>
      <c r="Z111" s="215"/>
      <c r="AA111" s="215"/>
    </row>
    <row r="112">
      <c r="A112" s="215"/>
      <c r="B112" s="237"/>
      <c r="C112" s="236"/>
      <c r="D112" s="215"/>
      <c r="E112" s="215"/>
      <c r="F112" s="235"/>
      <c r="G112" s="234"/>
      <c r="H112" s="246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15"/>
      <c r="X112" s="215"/>
      <c r="Y112" s="215"/>
      <c r="Z112" s="215"/>
      <c r="AA112" s="215"/>
    </row>
    <row r="113">
      <c r="A113" s="215"/>
      <c r="B113" s="237"/>
      <c r="C113" s="236"/>
      <c r="D113" s="215"/>
      <c r="E113" s="215"/>
      <c r="F113" s="235"/>
      <c r="G113" s="234"/>
      <c r="H113" s="234"/>
      <c r="I113" s="247"/>
      <c r="J113" s="247"/>
      <c r="K113" s="247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15"/>
      <c r="X113" s="215"/>
      <c r="Y113" s="215"/>
      <c r="Z113" s="215"/>
      <c r="AA113" s="215"/>
    </row>
    <row r="114">
      <c r="A114" s="215"/>
      <c r="B114" s="237"/>
      <c r="C114" s="236"/>
      <c r="D114" s="215"/>
      <c r="E114" s="215"/>
      <c r="F114" s="235"/>
      <c r="G114" s="234"/>
      <c r="H114" s="234"/>
      <c r="I114" s="259"/>
      <c r="J114" s="260"/>
      <c r="K114" s="250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15"/>
      <c r="X114" s="215"/>
      <c r="Y114" s="215"/>
      <c r="Z114" s="215"/>
      <c r="AA114" s="215"/>
    </row>
    <row r="115">
      <c r="A115" s="215"/>
      <c r="B115" s="237"/>
      <c r="C115" s="236"/>
      <c r="D115" s="215"/>
      <c r="E115" s="215"/>
      <c r="F115" s="235"/>
      <c r="G115" s="234"/>
      <c r="H115" s="234"/>
      <c r="I115" s="259"/>
      <c r="K115" s="250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15"/>
      <c r="X115" s="215"/>
      <c r="Y115" s="215"/>
      <c r="Z115" s="215"/>
      <c r="AA115" s="215"/>
    </row>
    <row r="116">
      <c r="A116" s="215"/>
      <c r="B116" s="237"/>
      <c r="C116" s="236"/>
      <c r="D116" s="215"/>
      <c r="E116" s="215"/>
      <c r="F116" s="235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15"/>
      <c r="X116" s="215"/>
      <c r="Y116" s="215"/>
      <c r="Z116" s="215"/>
      <c r="AA116" s="215"/>
    </row>
    <row r="117">
      <c r="A117" s="215"/>
      <c r="B117" s="237"/>
      <c r="C117" s="236"/>
      <c r="D117" s="215"/>
      <c r="E117" s="215"/>
      <c r="F117" s="235"/>
      <c r="G117" s="234"/>
      <c r="H117" s="261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15"/>
      <c r="X117" s="215"/>
      <c r="Y117" s="215"/>
      <c r="Z117" s="215"/>
      <c r="AA117" s="215"/>
    </row>
    <row r="118">
      <c r="A118" s="215"/>
      <c r="B118" s="237"/>
      <c r="C118" s="236"/>
      <c r="D118" s="215"/>
      <c r="E118" s="215"/>
      <c r="F118" s="235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15"/>
      <c r="X118" s="215"/>
      <c r="Y118" s="215"/>
      <c r="Z118" s="215"/>
      <c r="AA118" s="215"/>
    </row>
    <row r="119">
      <c r="A119" s="215"/>
      <c r="B119" s="237"/>
      <c r="C119" s="236"/>
      <c r="D119" s="215"/>
      <c r="E119" s="215"/>
      <c r="F119" s="235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15"/>
      <c r="X119" s="215"/>
      <c r="Y119" s="215"/>
      <c r="Z119" s="215"/>
      <c r="AA119" s="215"/>
    </row>
    <row r="120">
      <c r="A120" s="215"/>
      <c r="B120" s="237"/>
      <c r="C120" s="236"/>
      <c r="D120" s="215"/>
      <c r="E120" s="215"/>
      <c r="F120" s="235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15"/>
      <c r="X120" s="215"/>
      <c r="Y120" s="215"/>
      <c r="Z120" s="215"/>
      <c r="AA120" s="215"/>
    </row>
    <row r="121">
      <c r="A121" s="215"/>
      <c r="B121" s="237"/>
      <c r="C121" s="236"/>
      <c r="D121" s="215"/>
      <c r="E121" s="215"/>
      <c r="F121" s="235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15"/>
      <c r="X121" s="215"/>
      <c r="Y121" s="215"/>
      <c r="Z121" s="215"/>
      <c r="AA121" s="215"/>
    </row>
    <row r="122">
      <c r="A122" s="215"/>
      <c r="B122" s="237"/>
      <c r="C122" s="236"/>
      <c r="D122" s="215"/>
      <c r="E122" s="215"/>
      <c r="F122" s="235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15"/>
      <c r="X122" s="215"/>
      <c r="Y122" s="215"/>
      <c r="Z122" s="215"/>
      <c r="AA122" s="215"/>
    </row>
    <row r="123">
      <c r="A123" s="215"/>
      <c r="B123" s="237"/>
      <c r="C123" s="236"/>
      <c r="D123" s="215"/>
      <c r="E123" s="215"/>
      <c r="F123" s="235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15"/>
      <c r="X123" s="215"/>
      <c r="Y123" s="215"/>
      <c r="Z123" s="215"/>
      <c r="AA123" s="215"/>
    </row>
    <row r="124">
      <c r="A124" s="215"/>
      <c r="B124" s="237"/>
      <c r="C124" s="236"/>
      <c r="D124" s="215"/>
      <c r="E124" s="215"/>
      <c r="F124" s="235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15"/>
      <c r="X124" s="215"/>
      <c r="Y124" s="215"/>
      <c r="Z124" s="215"/>
      <c r="AA124" s="215"/>
    </row>
    <row r="125">
      <c r="A125" s="215"/>
      <c r="B125" s="237"/>
      <c r="C125" s="236"/>
      <c r="D125" s="215"/>
      <c r="E125" s="215"/>
      <c r="F125" s="235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15"/>
      <c r="X125" s="215"/>
      <c r="Y125" s="215"/>
      <c r="Z125" s="215"/>
      <c r="AA125" s="215"/>
    </row>
    <row r="126">
      <c r="A126" s="215"/>
      <c r="B126" s="237"/>
      <c r="C126" s="236"/>
      <c r="D126" s="215"/>
      <c r="E126" s="215"/>
      <c r="F126" s="235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15"/>
      <c r="X126" s="215"/>
      <c r="Y126" s="215"/>
      <c r="Z126" s="215"/>
      <c r="AA126" s="215"/>
    </row>
    <row r="127">
      <c r="A127" s="215"/>
      <c r="B127" s="237"/>
      <c r="C127" s="236"/>
      <c r="D127" s="215"/>
      <c r="E127" s="215"/>
      <c r="F127" s="235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15"/>
      <c r="X127" s="215"/>
      <c r="Y127" s="215"/>
      <c r="Z127" s="215"/>
      <c r="AA127" s="215"/>
    </row>
    <row r="128">
      <c r="A128" s="215"/>
      <c r="B128" s="237"/>
      <c r="C128" s="236"/>
      <c r="D128" s="215"/>
      <c r="E128" s="215"/>
      <c r="F128" s="235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15"/>
      <c r="X128" s="215"/>
      <c r="Y128" s="215"/>
      <c r="Z128" s="215"/>
      <c r="AA128" s="215"/>
    </row>
    <row r="129">
      <c r="A129" s="215"/>
      <c r="B129" s="237"/>
      <c r="C129" s="236"/>
      <c r="D129" s="215"/>
      <c r="E129" s="215"/>
      <c r="F129" s="235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15"/>
      <c r="X129" s="215"/>
      <c r="Y129" s="215"/>
      <c r="Z129" s="215"/>
      <c r="AA129" s="215"/>
    </row>
    <row r="130">
      <c r="A130" s="215"/>
      <c r="B130" s="237"/>
      <c r="C130" s="236"/>
      <c r="D130" s="215"/>
      <c r="E130" s="215"/>
      <c r="F130" s="235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15"/>
      <c r="X130" s="215"/>
      <c r="Y130" s="215"/>
      <c r="Z130" s="215"/>
      <c r="AA130" s="215"/>
    </row>
    <row r="131">
      <c r="A131" s="215"/>
      <c r="B131" s="237"/>
      <c r="C131" s="236"/>
      <c r="D131" s="215"/>
      <c r="E131" s="215"/>
      <c r="F131" s="235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15"/>
      <c r="X131" s="215"/>
      <c r="Y131" s="215"/>
      <c r="Z131" s="215"/>
      <c r="AA131" s="215"/>
    </row>
    <row r="132">
      <c r="A132" s="215"/>
      <c r="B132" s="237"/>
      <c r="C132" s="236"/>
      <c r="D132" s="215"/>
      <c r="E132" s="215"/>
      <c r="F132" s="235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15"/>
      <c r="X132" s="215"/>
      <c r="Y132" s="215"/>
      <c r="Z132" s="215"/>
      <c r="AA132" s="215"/>
    </row>
    <row r="133">
      <c r="A133" s="215"/>
      <c r="B133" s="237"/>
      <c r="C133" s="236"/>
      <c r="D133" s="215"/>
      <c r="E133" s="215"/>
      <c r="F133" s="235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15"/>
      <c r="X133" s="215"/>
      <c r="Y133" s="215"/>
      <c r="Z133" s="215"/>
      <c r="AA133" s="215"/>
    </row>
    <row r="134">
      <c r="A134" s="215"/>
      <c r="B134" s="237"/>
      <c r="C134" s="236"/>
      <c r="D134" s="215"/>
      <c r="E134" s="215"/>
      <c r="F134" s="235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15"/>
      <c r="X134" s="215"/>
      <c r="Y134" s="215"/>
      <c r="Z134" s="215"/>
      <c r="AA134" s="215"/>
    </row>
    <row r="135">
      <c r="A135" s="215"/>
      <c r="B135" s="237"/>
      <c r="C135" s="236"/>
      <c r="D135" s="215"/>
      <c r="E135" s="215"/>
      <c r="F135" s="235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15"/>
      <c r="X135" s="215"/>
      <c r="Y135" s="215"/>
      <c r="Z135" s="215"/>
      <c r="AA135" s="215"/>
    </row>
    <row r="136">
      <c r="A136" s="215"/>
      <c r="B136" s="237"/>
      <c r="C136" s="236"/>
      <c r="D136" s="215"/>
      <c r="E136" s="215"/>
      <c r="F136" s="235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15"/>
      <c r="X136" s="215"/>
      <c r="Y136" s="215"/>
      <c r="Z136" s="215"/>
      <c r="AA136" s="215"/>
    </row>
    <row r="137">
      <c r="A137" s="215"/>
      <c r="B137" s="237"/>
      <c r="C137" s="236"/>
      <c r="D137" s="215"/>
      <c r="E137" s="215"/>
      <c r="F137" s="235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15"/>
      <c r="X137" s="215"/>
      <c r="Y137" s="215"/>
      <c r="Z137" s="215"/>
      <c r="AA137" s="215"/>
    </row>
    <row r="138">
      <c r="A138" s="215"/>
      <c r="B138" s="237"/>
      <c r="C138" s="236"/>
      <c r="D138" s="215"/>
      <c r="E138" s="215"/>
      <c r="F138" s="235"/>
      <c r="G138" s="234"/>
      <c r="H138" s="251"/>
      <c r="I138" s="251"/>
      <c r="J138" s="251"/>
      <c r="K138" s="251"/>
      <c r="L138" s="252"/>
      <c r="M138" s="253"/>
      <c r="N138" s="252"/>
      <c r="O138" s="252"/>
      <c r="P138" s="252"/>
      <c r="Q138" s="252"/>
      <c r="R138" s="252"/>
      <c r="S138" s="252"/>
      <c r="T138" s="234"/>
      <c r="U138" s="234"/>
      <c r="V138" s="234"/>
      <c r="W138" s="215"/>
      <c r="X138" s="215"/>
      <c r="Y138" s="215"/>
      <c r="Z138" s="215"/>
      <c r="AA138" s="215"/>
    </row>
    <row r="139">
      <c r="A139" s="215"/>
      <c r="B139" s="237"/>
      <c r="C139" s="236"/>
      <c r="D139" s="215"/>
      <c r="E139" s="215"/>
      <c r="F139" s="235"/>
      <c r="G139" s="234"/>
      <c r="H139" s="246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15"/>
      <c r="X139" s="215"/>
      <c r="Y139" s="215"/>
      <c r="Z139" s="215"/>
      <c r="AA139" s="215"/>
    </row>
    <row r="140">
      <c r="A140" s="215"/>
      <c r="B140" s="237"/>
      <c r="C140" s="236"/>
      <c r="D140" s="215"/>
      <c r="E140" s="215"/>
      <c r="F140" s="235"/>
      <c r="G140" s="234"/>
      <c r="H140" s="234"/>
      <c r="I140" s="247"/>
      <c r="J140" s="247"/>
      <c r="K140" s="247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15"/>
      <c r="X140" s="215"/>
      <c r="Y140" s="215"/>
      <c r="Z140" s="215"/>
      <c r="AA140" s="215"/>
    </row>
    <row r="141">
      <c r="A141" s="215"/>
      <c r="B141" s="237"/>
      <c r="C141" s="236"/>
      <c r="D141" s="215"/>
      <c r="E141" s="215"/>
      <c r="F141" s="235"/>
      <c r="G141" s="234"/>
      <c r="H141" s="234"/>
      <c r="I141" s="259"/>
      <c r="J141" s="260"/>
      <c r="K141" s="250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15"/>
      <c r="X141" s="215"/>
      <c r="Y141" s="215"/>
      <c r="Z141" s="215"/>
      <c r="AA141" s="215"/>
    </row>
    <row r="142">
      <c r="A142" s="215"/>
      <c r="B142" s="237"/>
      <c r="C142" s="236"/>
      <c r="D142" s="215"/>
      <c r="E142" s="215"/>
      <c r="F142" s="235"/>
      <c r="G142" s="234"/>
      <c r="H142" s="234"/>
      <c r="I142" s="259"/>
      <c r="K142" s="250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15"/>
      <c r="X142" s="215"/>
      <c r="Y142" s="215"/>
      <c r="Z142" s="215"/>
      <c r="AA142" s="215"/>
    </row>
    <row r="143">
      <c r="A143" s="215"/>
      <c r="B143" s="237"/>
      <c r="C143" s="236"/>
      <c r="D143" s="215"/>
      <c r="E143" s="215"/>
      <c r="F143" s="235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15"/>
      <c r="X143" s="215"/>
      <c r="Y143" s="215"/>
      <c r="Z143" s="215"/>
      <c r="AA143" s="215"/>
    </row>
    <row r="144">
      <c r="A144" s="215"/>
      <c r="B144" s="237"/>
      <c r="C144" s="236"/>
      <c r="D144" s="215"/>
      <c r="E144" s="215"/>
      <c r="F144" s="235"/>
      <c r="G144" s="234"/>
      <c r="H144" s="261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15"/>
      <c r="X144" s="215"/>
      <c r="Y144" s="215"/>
      <c r="Z144" s="215"/>
      <c r="AA144" s="215"/>
    </row>
    <row r="145">
      <c r="A145" s="215"/>
      <c r="B145" s="237"/>
      <c r="C145" s="236"/>
      <c r="D145" s="215"/>
      <c r="E145" s="215"/>
      <c r="F145" s="235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15"/>
      <c r="X145" s="215"/>
      <c r="Y145" s="215"/>
      <c r="Z145" s="215"/>
      <c r="AA145" s="215"/>
    </row>
    <row r="146">
      <c r="A146" s="215"/>
      <c r="B146" s="237"/>
      <c r="C146" s="236"/>
      <c r="D146" s="215"/>
      <c r="E146" s="215"/>
      <c r="F146" s="235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15"/>
      <c r="X146" s="215"/>
      <c r="Y146" s="215"/>
      <c r="Z146" s="215"/>
      <c r="AA146" s="215"/>
    </row>
    <row r="147">
      <c r="A147" s="215"/>
      <c r="B147" s="237"/>
      <c r="C147" s="236"/>
      <c r="D147" s="215"/>
      <c r="E147" s="215"/>
      <c r="F147" s="235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15"/>
      <c r="X147" s="215"/>
      <c r="Y147" s="215"/>
      <c r="Z147" s="215"/>
      <c r="AA147" s="215"/>
    </row>
    <row r="148">
      <c r="A148" s="215"/>
      <c r="B148" s="237"/>
      <c r="C148" s="236"/>
      <c r="D148" s="215"/>
      <c r="E148" s="215"/>
      <c r="F148" s="235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15"/>
      <c r="X148" s="215"/>
      <c r="Y148" s="215"/>
      <c r="Z148" s="215"/>
      <c r="AA148" s="215"/>
    </row>
    <row r="149">
      <c r="A149" s="215"/>
      <c r="B149" s="237"/>
      <c r="C149" s="236"/>
      <c r="D149" s="215"/>
      <c r="E149" s="215"/>
      <c r="F149" s="235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15"/>
      <c r="X149" s="215"/>
      <c r="Y149" s="215"/>
      <c r="Z149" s="215"/>
      <c r="AA149" s="215"/>
    </row>
    <row r="150">
      <c r="A150" s="215"/>
      <c r="B150" s="237"/>
      <c r="C150" s="236"/>
      <c r="D150" s="215"/>
      <c r="E150" s="215"/>
      <c r="F150" s="235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15"/>
      <c r="X150" s="215"/>
      <c r="Y150" s="215"/>
      <c r="Z150" s="215"/>
      <c r="AA150" s="215"/>
    </row>
    <row r="151">
      <c r="A151" s="215"/>
      <c r="B151" s="237"/>
      <c r="C151" s="236"/>
      <c r="D151" s="215"/>
      <c r="E151" s="215"/>
      <c r="F151" s="235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15"/>
      <c r="X151" s="215"/>
      <c r="Y151" s="215"/>
      <c r="Z151" s="215"/>
      <c r="AA151" s="215"/>
    </row>
    <row r="152">
      <c r="A152" s="215"/>
      <c r="B152" s="237"/>
      <c r="C152" s="236"/>
      <c r="D152" s="215"/>
      <c r="E152" s="215"/>
      <c r="F152" s="235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15"/>
      <c r="X152" s="215"/>
      <c r="Y152" s="215"/>
      <c r="Z152" s="215"/>
      <c r="AA152" s="215"/>
    </row>
    <row r="153">
      <c r="A153" s="215"/>
      <c r="B153" s="237"/>
      <c r="C153" s="236"/>
      <c r="D153" s="215"/>
      <c r="E153" s="215"/>
      <c r="F153" s="235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15"/>
      <c r="X153" s="215"/>
      <c r="Y153" s="215"/>
      <c r="Z153" s="215"/>
      <c r="AA153" s="215"/>
    </row>
    <row r="154">
      <c r="A154" s="215"/>
      <c r="B154" s="237"/>
      <c r="C154" s="236"/>
      <c r="D154" s="215"/>
      <c r="E154" s="215"/>
      <c r="F154" s="235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15"/>
      <c r="X154" s="215"/>
      <c r="Y154" s="215"/>
      <c r="Z154" s="215"/>
      <c r="AA154" s="215"/>
    </row>
    <row r="155">
      <c r="A155" s="215"/>
      <c r="B155" s="237"/>
      <c r="C155" s="236"/>
      <c r="D155" s="215"/>
      <c r="E155" s="215"/>
      <c r="F155" s="235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15"/>
      <c r="X155" s="215"/>
      <c r="Y155" s="215"/>
      <c r="Z155" s="215"/>
      <c r="AA155" s="215"/>
    </row>
    <row r="156">
      <c r="A156" s="215"/>
      <c r="B156" s="237"/>
      <c r="C156" s="236"/>
      <c r="D156" s="215"/>
      <c r="E156" s="215"/>
      <c r="F156" s="235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15"/>
      <c r="X156" s="215"/>
      <c r="Y156" s="215"/>
      <c r="Z156" s="215"/>
      <c r="AA156" s="215"/>
    </row>
    <row r="157">
      <c r="A157" s="215"/>
      <c r="B157" s="237"/>
      <c r="C157" s="236"/>
      <c r="D157" s="215"/>
      <c r="E157" s="215"/>
      <c r="F157" s="235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15"/>
      <c r="X157" s="215"/>
      <c r="Y157" s="215"/>
      <c r="Z157" s="215"/>
      <c r="AA157" s="215"/>
    </row>
    <row r="158">
      <c r="A158" s="215"/>
      <c r="B158" s="237"/>
      <c r="C158" s="236"/>
      <c r="D158" s="215"/>
      <c r="E158" s="215"/>
      <c r="F158" s="235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15"/>
      <c r="X158" s="215"/>
      <c r="Y158" s="215"/>
      <c r="Z158" s="215"/>
      <c r="AA158" s="215"/>
    </row>
    <row r="159">
      <c r="A159" s="215"/>
      <c r="B159" s="237"/>
      <c r="C159" s="236"/>
      <c r="D159" s="215"/>
      <c r="E159" s="215"/>
      <c r="F159" s="235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15"/>
      <c r="X159" s="215"/>
      <c r="Y159" s="215"/>
      <c r="Z159" s="215"/>
      <c r="AA159" s="215"/>
    </row>
    <row r="160">
      <c r="A160" s="215"/>
      <c r="B160" s="237"/>
      <c r="C160" s="236"/>
      <c r="D160" s="215"/>
      <c r="E160" s="215"/>
      <c r="F160" s="235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15"/>
      <c r="X160" s="215"/>
      <c r="Y160" s="215"/>
      <c r="Z160" s="215"/>
      <c r="AA160" s="215"/>
    </row>
    <row r="161">
      <c r="A161" s="215"/>
      <c r="B161" s="237"/>
      <c r="C161" s="236"/>
      <c r="D161" s="215"/>
      <c r="E161" s="215"/>
      <c r="F161" s="235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15"/>
      <c r="X161" s="215"/>
      <c r="Y161" s="215"/>
      <c r="Z161" s="215"/>
      <c r="AA161" s="215"/>
    </row>
    <row r="162">
      <c r="A162" s="215"/>
      <c r="B162" s="237"/>
      <c r="C162" s="236"/>
      <c r="D162" s="215"/>
      <c r="E162" s="215"/>
      <c r="F162" s="235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15"/>
      <c r="X162" s="215"/>
      <c r="Y162" s="215"/>
      <c r="Z162" s="215"/>
      <c r="AA162" s="215"/>
    </row>
    <row r="163">
      <c r="A163" s="215"/>
      <c r="B163" s="237"/>
      <c r="C163" s="236"/>
      <c r="D163" s="215"/>
      <c r="E163" s="215"/>
      <c r="F163" s="235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15"/>
      <c r="X163" s="215"/>
      <c r="Y163" s="215"/>
      <c r="Z163" s="215"/>
      <c r="AA163" s="215"/>
    </row>
    <row r="164">
      <c r="A164" s="215"/>
      <c r="B164" s="237"/>
      <c r="C164" s="236"/>
      <c r="D164" s="215"/>
      <c r="E164" s="215"/>
      <c r="F164" s="235"/>
      <c r="G164" s="234"/>
      <c r="H164" s="251"/>
      <c r="I164" s="251"/>
      <c r="J164" s="251"/>
      <c r="K164" s="251"/>
      <c r="L164" s="252"/>
      <c r="M164" s="253"/>
      <c r="N164" s="252"/>
      <c r="O164" s="252"/>
      <c r="P164" s="252"/>
      <c r="Q164" s="252"/>
      <c r="R164" s="252"/>
      <c r="S164" s="252"/>
      <c r="T164" s="234"/>
      <c r="U164" s="234"/>
      <c r="V164" s="234"/>
      <c r="W164" s="215"/>
      <c r="X164" s="215"/>
      <c r="Y164" s="215"/>
      <c r="Z164" s="215"/>
      <c r="AA164" s="215"/>
    </row>
    <row r="165">
      <c r="A165" s="215"/>
      <c r="B165" s="237"/>
      <c r="C165" s="236"/>
      <c r="D165" s="215"/>
      <c r="E165" s="215"/>
      <c r="F165" s="235"/>
      <c r="G165" s="234"/>
      <c r="H165" s="246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15"/>
      <c r="X165" s="215"/>
      <c r="Y165" s="215"/>
      <c r="Z165" s="215"/>
      <c r="AA165" s="215"/>
    </row>
    <row r="166">
      <c r="A166" s="215"/>
      <c r="B166" s="237"/>
      <c r="C166" s="236"/>
      <c r="D166" s="215"/>
      <c r="E166" s="215"/>
      <c r="F166" s="235"/>
      <c r="G166" s="234"/>
      <c r="H166" s="234"/>
      <c r="I166" s="247"/>
      <c r="J166" s="247"/>
      <c r="K166" s="247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15"/>
      <c r="X166" s="215"/>
      <c r="Y166" s="215"/>
      <c r="Z166" s="215"/>
      <c r="AA166" s="215"/>
    </row>
    <row r="167">
      <c r="A167" s="215"/>
      <c r="B167" s="237"/>
      <c r="C167" s="236"/>
      <c r="D167" s="215"/>
      <c r="E167" s="215"/>
      <c r="F167" s="235"/>
      <c r="G167" s="234"/>
      <c r="H167" s="234"/>
      <c r="I167" s="259"/>
      <c r="J167" s="260"/>
      <c r="K167" s="250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15"/>
      <c r="X167" s="215"/>
      <c r="Y167" s="215"/>
      <c r="Z167" s="215"/>
      <c r="AA167" s="215"/>
    </row>
    <row r="168">
      <c r="A168" s="215"/>
      <c r="B168" s="237"/>
      <c r="C168" s="236"/>
      <c r="D168" s="215"/>
      <c r="E168" s="215"/>
      <c r="F168" s="235"/>
      <c r="G168" s="234"/>
      <c r="H168" s="234"/>
      <c r="I168" s="259"/>
      <c r="K168" s="250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15"/>
      <c r="X168" s="215"/>
      <c r="Y168" s="215"/>
      <c r="Z168" s="215"/>
      <c r="AA168" s="215"/>
    </row>
    <row r="169">
      <c r="A169" s="215"/>
      <c r="B169" s="237"/>
      <c r="C169" s="236"/>
      <c r="D169" s="215"/>
      <c r="E169" s="215"/>
      <c r="F169" s="235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15"/>
      <c r="X169" s="215"/>
      <c r="Y169" s="215"/>
      <c r="Z169" s="215"/>
      <c r="AA169" s="215"/>
    </row>
    <row r="170">
      <c r="A170" s="215"/>
      <c r="B170" s="237"/>
      <c r="C170" s="236"/>
      <c r="D170" s="215"/>
      <c r="E170" s="215"/>
      <c r="F170" s="235"/>
      <c r="G170" s="234"/>
      <c r="H170" s="261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15"/>
      <c r="X170" s="215"/>
      <c r="Y170" s="215"/>
      <c r="Z170" s="215"/>
      <c r="AA170" s="215"/>
    </row>
    <row r="171">
      <c r="A171" s="215"/>
      <c r="B171" s="237"/>
      <c r="C171" s="236"/>
      <c r="D171" s="215"/>
      <c r="E171" s="215"/>
      <c r="F171" s="235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15"/>
      <c r="X171" s="215"/>
      <c r="Y171" s="215"/>
      <c r="Z171" s="215"/>
      <c r="AA171" s="215"/>
    </row>
    <row r="172">
      <c r="A172" s="215"/>
      <c r="B172" s="237"/>
      <c r="C172" s="236"/>
      <c r="D172" s="215"/>
      <c r="E172" s="215"/>
      <c r="F172" s="235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15"/>
      <c r="X172" s="215"/>
      <c r="Y172" s="215"/>
      <c r="Z172" s="215"/>
      <c r="AA172" s="215"/>
    </row>
    <row r="173">
      <c r="A173" s="215"/>
      <c r="B173" s="237"/>
      <c r="C173" s="236"/>
      <c r="D173" s="215"/>
      <c r="E173" s="215"/>
      <c r="F173" s="235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15"/>
      <c r="X173" s="215"/>
      <c r="Y173" s="215"/>
      <c r="Z173" s="215"/>
      <c r="AA173" s="215"/>
    </row>
    <row r="174">
      <c r="A174" s="215"/>
      <c r="B174" s="237"/>
      <c r="C174" s="236"/>
      <c r="D174" s="215"/>
      <c r="E174" s="215"/>
      <c r="F174" s="235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15"/>
      <c r="X174" s="215"/>
      <c r="Y174" s="215"/>
      <c r="Z174" s="215"/>
      <c r="AA174" s="215"/>
    </row>
    <row r="175">
      <c r="A175" s="215"/>
      <c r="B175" s="237"/>
      <c r="C175" s="236"/>
      <c r="D175" s="215"/>
      <c r="E175" s="215"/>
      <c r="F175" s="235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15"/>
      <c r="X175" s="215"/>
      <c r="Y175" s="215"/>
      <c r="Z175" s="215"/>
      <c r="AA175" s="215"/>
    </row>
    <row r="176">
      <c r="A176" s="215"/>
      <c r="B176" s="237"/>
      <c r="C176" s="236"/>
      <c r="D176" s="215"/>
      <c r="E176" s="215"/>
      <c r="F176" s="235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15"/>
      <c r="X176" s="215"/>
      <c r="Y176" s="215"/>
      <c r="Z176" s="215"/>
      <c r="AA176" s="215"/>
    </row>
    <row r="177">
      <c r="A177" s="215"/>
      <c r="B177" s="237"/>
      <c r="C177" s="236"/>
      <c r="D177" s="215"/>
      <c r="E177" s="215"/>
      <c r="F177" s="235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15"/>
      <c r="X177" s="215"/>
      <c r="Y177" s="215"/>
      <c r="Z177" s="215"/>
      <c r="AA177" s="215"/>
    </row>
    <row r="178">
      <c r="A178" s="215"/>
      <c r="B178" s="237"/>
      <c r="C178" s="236"/>
      <c r="D178" s="215"/>
      <c r="E178" s="215"/>
      <c r="F178" s="235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15"/>
      <c r="X178" s="215"/>
      <c r="Y178" s="215"/>
      <c r="Z178" s="215"/>
      <c r="AA178" s="215"/>
    </row>
    <row r="179">
      <c r="A179" s="215"/>
      <c r="B179" s="237"/>
      <c r="C179" s="236"/>
      <c r="D179" s="215"/>
      <c r="E179" s="215"/>
      <c r="F179" s="235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15"/>
      <c r="X179" s="215"/>
      <c r="Y179" s="215"/>
      <c r="Z179" s="215"/>
      <c r="AA179" s="215"/>
    </row>
    <row r="180">
      <c r="A180" s="215"/>
      <c r="B180" s="237"/>
      <c r="C180" s="236"/>
      <c r="D180" s="215"/>
      <c r="E180" s="215"/>
      <c r="F180" s="235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15"/>
      <c r="X180" s="215"/>
      <c r="Y180" s="215"/>
      <c r="Z180" s="215"/>
      <c r="AA180" s="215"/>
    </row>
    <row r="181">
      <c r="A181" s="215"/>
      <c r="B181" s="237"/>
      <c r="C181" s="236"/>
      <c r="D181" s="215"/>
      <c r="E181" s="215"/>
      <c r="F181" s="235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15"/>
      <c r="X181" s="215"/>
      <c r="Y181" s="215"/>
      <c r="Z181" s="215"/>
      <c r="AA181" s="215"/>
    </row>
    <row r="182">
      <c r="A182" s="215"/>
      <c r="B182" s="237"/>
      <c r="C182" s="236"/>
      <c r="D182" s="215"/>
      <c r="E182" s="215"/>
      <c r="F182" s="235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15"/>
      <c r="X182" s="215"/>
      <c r="Y182" s="215"/>
      <c r="Z182" s="215"/>
      <c r="AA182" s="215"/>
    </row>
    <row r="183">
      <c r="A183" s="215"/>
      <c r="B183" s="237"/>
      <c r="C183" s="236"/>
      <c r="D183" s="215"/>
      <c r="E183" s="215"/>
      <c r="F183" s="235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15"/>
      <c r="X183" s="215"/>
      <c r="Y183" s="215"/>
      <c r="Z183" s="215"/>
      <c r="AA183" s="215"/>
    </row>
    <row r="184">
      <c r="A184" s="215"/>
      <c r="B184" s="237"/>
      <c r="C184" s="236"/>
      <c r="D184" s="215"/>
      <c r="E184" s="215"/>
      <c r="F184" s="235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15"/>
      <c r="X184" s="215"/>
      <c r="Y184" s="215"/>
      <c r="Z184" s="215"/>
      <c r="AA184" s="215"/>
    </row>
    <row r="185">
      <c r="A185" s="215"/>
      <c r="B185" s="237"/>
      <c r="C185" s="236"/>
      <c r="D185" s="215"/>
      <c r="E185" s="215"/>
      <c r="F185" s="235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15"/>
      <c r="X185" s="215"/>
      <c r="Y185" s="215"/>
      <c r="Z185" s="215"/>
      <c r="AA185" s="215"/>
    </row>
    <row r="186">
      <c r="A186" s="215"/>
      <c r="B186" s="237"/>
      <c r="C186" s="236"/>
      <c r="D186" s="215"/>
      <c r="E186" s="215"/>
      <c r="F186" s="235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15"/>
      <c r="X186" s="215"/>
      <c r="Y186" s="215"/>
      <c r="Z186" s="215"/>
      <c r="AA186" s="215"/>
    </row>
    <row r="187">
      <c r="A187" s="215"/>
      <c r="B187" s="237"/>
      <c r="C187" s="236"/>
      <c r="D187" s="215"/>
      <c r="E187" s="215"/>
      <c r="F187" s="235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15"/>
      <c r="X187" s="215"/>
      <c r="Y187" s="215"/>
      <c r="Z187" s="215"/>
      <c r="AA187" s="215"/>
    </row>
    <row r="188">
      <c r="A188" s="215"/>
      <c r="B188" s="237"/>
      <c r="C188" s="236"/>
      <c r="D188" s="215"/>
      <c r="E188" s="215"/>
      <c r="F188" s="235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15"/>
      <c r="X188" s="215"/>
      <c r="Y188" s="215"/>
      <c r="Z188" s="215"/>
      <c r="AA188" s="215"/>
    </row>
    <row r="189">
      <c r="A189" s="215"/>
      <c r="B189" s="237"/>
      <c r="C189" s="236"/>
      <c r="D189" s="215"/>
      <c r="E189" s="215"/>
      <c r="F189" s="235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15"/>
      <c r="X189" s="215"/>
      <c r="Y189" s="215"/>
      <c r="Z189" s="215"/>
      <c r="AA189" s="215"/>
    </row>
    <row r="190">
      <c r="A190" s="215"/>
      <c r="B190" s="237"/>
      <c r="C190" s="236"/>
      <c r="D190" s="215"/>
      <c r="E190" s="215"/>
      <c r="F190" s="235"/>
      <c r="G190" s="234"/>
      <c r="H190" s="251"/>
      <c r="I190" s="251"/>
      <c r="J190" s="251"/>
      <c r="K190" s="251"/>
      <c r="L190" s="252"/>
      <c r="M190" s="253"/>
      <c r="N190" s="252"/>
      <c r="O190" s="252"/>
      <c r="P190" s="252"/>
      <c r="Q190" s="252"/>
      <c r="R190" s="252"/>
      <c r="S190" s="252"/>
      <c r="T190" s="234"/>
      <c r="U190" s="234"/>
      <c r="V190" s="234"/>
      <c r="W190" s="215"/>
      <c r="X190" s="215"/>
      <c r="Y190" s="215"/>
      <c r="Z190" s="215"/>
      <c r="AA190" s="215"/>
    </row>
    <row r="191">
      <c r="A191" s="215"/>
      <c r="B191" s="237"/>
      <c r="C191" s="236"/>
      <c r="D191" s="215"/>
      <c r="E191" s="215"/>
      <c r="F191" s="235"/>
      <c r="G191" s="234"/>
      <c r="H191" s="246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15"/>
      <c r="X191" s="215"/>
      <c r="Y191" s="215"/>
      <c r="Z191" s="215"/>
      <c r="AA191" s="215"/>
    </row>
    <row r="192">
      <c r="A192" s="215"/>
      <c r="B192" s="237"/>
      <c r="C192" s="236"/>
      <c r="D192" s="215"/>
      <c r="E192" s="215"/>
      <c r="F192" s="235"/>
      <c r="G192" s="234"/>
      <c r="H192" s="234"/>
      <c r="I192" s="247"/>
      <c r="J192" s="247"/>
      <c r="K192" s="247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15"/>
      <c r="X192" s="215"/>
      <c r="Y192" s="215"/>
      <c r="Z192" s="215"/>
      <c r="AA192" s="215"/>
    </row>
    <row r="193">
      <c r="A193" s="215"/>
      <c r="B193" s="237"/>
      <c r="C193" s="236"/>
      <c r="D193" s="215"/>
      <c r="E193" s="215"/>
      <c r="F193" s="235"/>
      <c r="G193" s="234"/>
      <c r="H193" s="234"/>
      <c r="I193" s="259"/>
      <c r="J193" s="260"/>
      <c r="K193" s="250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15"/>
      <c r="X193" s="215"/>
      <c r="Y193" s="215"/>
      <c r="Z193" s="215"/>
      <c r="AA193" s="215"/>
    </row>
    <row r="194">
      <c r="A194" s="215"/>
      <c r="B194" s="237"/>
      <c r="C194" s="236"/>
      <c r="D194" s="215"/>
      <c r="E194" s="215"/>
      <c r="F194" s="235"/>
      <c r="G194" s="234"/>
      <c r="H194" s="234"/>
      <c r="I194" s="259"/>
      <c r="K194" s="250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15"/>
      <c r="X194" s="215"/>
      <c r="Y194" s="215"/>
      <c r="Z194" s="215"/>
      <c r="AA194" s="215"/>
    </row>
    <row r="195">
      <c r="A195" s="215"/>
      <c r="B195" s="237"/>
      <c r="C195" s="236"/>
      <c r="D195" s="215"/>
      <c r="E195" s="215"/>
      <c r="F195" s="235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15"/>
      <c r="X195" s="215"/>
      <c r="Y195" s="215"/>
      <c r="Z195" s="215"/>
      <c r="AA195" s="215"/>
    </row>
    <row r="196">
      <c r="A196" s="215"/>
      <c r="B196" s="237"/>
      <c r="C196" s="236"/>
      <c r="D196" s="215"/>
      <c r="E196" s="215"/>
      <c r="F196" s="235"/>
      <c r="G196" s="234"/>
      <c r="H196" s="261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15"/>
      <c r="X196" s="215"/>
      <c r="Y196" s="215"/>
      <c r="Z196" s="215"/>
      <c r="AA196" s="215"/>
    </row>
    <row r="197">
      <c r="A197" s="215"/>
      <c r="B197" s="237"/>
      <c r="C197" s="236"/>
      <c r="D197" s="215"/>
      <c r="E197" s="215"/>
      <c r="F197" s="235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15"/>
      <c r="X197" s="215"/>
      <c r="Y197" s="215"/>
      <c r="Z197" s="215"/>
      <c r="AA197" s="215"/>
    </row>
    <row r="198">
      <c r="A198" s="215"/>
      <c r="B198" s="237"/>
      <c r="C198" s="236"/>
      <c r="D198" s="215"/>
      <c r="E198" s="215"/>
      <c r="F198" s="235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15"/>
      <c r="X198" s="215"/>
      <c r="Y198" s="215"/>
      <c r="Z198" s="215"/>
      <c r="AA198" s="215"/>
    </row>
    <row r="199">
      <c r="A199" s="215"/>
      <c r="B199" s="237"/>
      <c r="C199" s="236"/>
      <c r="D199" s="215"/>
      <c r="E199" s="215"/>
      <c r="F199" s="235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15"/>
      <c r="X199" s="215"/>
      <c r="Y199" s="215"/>
      <c r="Z199" s="215"/>
      <c r="AA199" s="215"/>
    </row>
    <row r="200">
      <c r="A200" s="215"/>
      <c r="B200" s="237"/>
      <c r="C200" s="236"/>
      <c r="D200" s="215"/>
      <c r="E200" s="215"/>
      <c r="F200" s="235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15"/>
      <c r="X200" s="215"/>
      <c r="Y200" s="215"/>
      <c r="Z200" s="215"/>
      <c r="AA200" s="215"/>
    </row>
    <row r="201">
      <c r="A201" s="215"/>
      <c r="B201" s="237"/>
      <c r="C201" s="236"/>
      <c r="D201" s="215"/>
      <c r="E201" s="215"/>
      <c r="F201" s="235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15"/>
      <c r="X201" s="215"/>
      <c r="Y201" s="215"/>
      <c r="Z201" s="215"/>
      <c r="AA201" s="215"/>
    </row>
    <row r="202">
      <c r="A202" s="215"/>
      <c r="B202" s="237"/>
      <c r="C202" s="236"/>
      <c r="D202" s="215"/>
      <c r="E202" s="215"/>
      <c r="F202" s="235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15"/>
      <c r="X202" s="215"/>
      <c r="Y202" s="215"/>
      <c r="Z202" s="215"/>
      <c r="AA202" s="215"/>
    </row>
    <row r="203">
      <c r="A203" s="215"/>
      <c r="B203" s="237"/>
      <c r="C203" s="236"/>
      <c r="D203" s="215"/>
      <c r="E203" s="215"/>
      <c r="F203" s="235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15"/>
      <c r="X203" s="215"/>
      <c r="Y203" s="215"/>
      <c r="Z203" s="215"/>
      <c r="AA203" s="215"/>
    </row>
    <row r="204">
      <c r="A204" s="215"/>
      <c r="B204" s="237"/>
      <c r="C204" s="236"/>
      <c r="D204" s="215"/>
      <c r="E204" s="215"/>
      <c r="F204" s="235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15"/>
      <c r="X204" s="215"/>
      <c r="Y204" s="215"/>
      <c r="Z204" s="215"/>
      <c r="AA204" s="215"/>
    </row>
    <row r="205">
      <c r="A205" s="215"/>
      <c r="B205" s="237"/>
      <c r="C205" s="236"/>
      <c r="D205" s="215"/>
      <c r="E205" s="215"/>
      <c r="F205" s="235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15"/>
      <c r="X205" s="215"/>
      <c r="Y205" s="215"/>
      <c r="Z205" s="215"/>
      <c r="AA205" s="215"/>
    </row>
    <row r="206">
      <c r="A206" s="215"/>
      <c r="B206" s="237"/>
      <c r="C206" s="236"/>
      <c r="D206" s="215"/>
      <c r="E206" s="215"/>
      <c r="F206" s="235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15"/>
      <c r="X206" s="215"/>
      <c r="Y206" s="215"/>
      <c r="Z206" s="215"/>
      <c r="AA206" s="215"/>
    </row>
    <row r="207">
      <c r="A207" s="215"/>
      <c r="B207" s="237"/>
      <c r="C207" s="236"/>
      <c r="D207" s="215"/>
      <c r="E207" s="215"/>
      <c r="F207" s="235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15"/>
      <c r="X207" s="215"/>
      <c r="Y207" s="215"/>
      <c r="Z207" s="215"/>
      <c r="AA207" s="215"/>
    </row>
    <row r="208">
      <c r="A208" s="215"/>
      <c r="B208" s="237"/>
      <c r="C208" s="236"/>
      <c r="D208" s="215"/>
      <c r="E208" s="215"/>
      <c r="F208" s="235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15"/>
      <c r="X208" s="215"/>
      <c r="Y208" s="215"/>
      <c r="Z208" s="215"/>
      <c r="AA208" s="215"/>
    </row>
    <row r="209">
      <c r="A209" s="215"/>
      <c r="B209" s="237"/>
      <c r="C209" s="236"/>
      <c r="D209" s="215"/>
      <c r="E209" s="215"/>
      <c r="F209" s="235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15"/>
      <c r="X209" s="215"/>
      <c r="Y209" s="215"/>
      <c r="Z209" s="215"/>
      <c r="AA209" s="215"/>
    </row>
    <row r="210">
      <c r="A210" s="215"/>
      <c r="B210" s="237"/>
      <c r="C210" s="236"/>
      <c r="D210" s="215"/>
      <c r="E210" s="215"/>
      <c r="F210" s="235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15"/>
      <c r="X210" s="215"/>
      <c r="Y210" s="215"/>
      <c r="Z210" s="215"/>
      <c r="AA210" s="215"/>
    </row>
    <row r="211">
      <c r="A211" s="215"/>
      <c r="B211" s="237"/>
      <c r="C211" s="236"/>
      <c r="D211" s="215"/>
      <c r="E211" s="215"/>
      <c r="F211" s="235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15"/>
      <c r="X211" s="215"/>
      <c r="Y211" s="215"/>
      <c r="Z211" s="215"/>
      <c r="AA211" s="215"/>
    </row>
    <row r="212">
      <c r="A212" s="215"/>
      <c r="B212" s="237"/>
      <c r="C212" s="236"/>
      <c r="D212" s="215"/>
      <c r="E212" s="215"/>
      <c r="F212" s="235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15"/>
      <c r="X212" s="215"/>
      <c r="Y212" s="215"/>
      <c r="Z212" s="215"/>
      <c r="AA212" s="215"/>
    </row>
    <row r="213">
      <c r="A213" s="215"/>
      <c r="B213" s="237"/>
      <c r="C213" s="236"/>
      <c r="D213" s="215"/>
      <c r="E213" s="215"/>
      <c r="F213" s="235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15"/>
      <c r="X213" s="215"/>
      <c r="Y213" s="215"/>
      <c r="Z213" s="215"/>
      <c r="AA213" s="215"/>
    </row>
    <row r="214">
      <c r="A214" s="215"/>
      <c r="B214" s="237"/>
      <c r="C214" s="236"/>
      <c r="D214" s="215"/>
      <c r="E214" s="215"/>
      <c r="F214" s="235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15"/>
      <c r="X214" s="215"/>
      <c r="Y214" s="215"/>
      <c r="Z214" s="215"/>
      <c r="AA214" s="215"/>
    </row>
    <row r="215">
      <c r="A215" s="215"/>
      <c r="B215" s="237"/>
      <c r="C215" s="236"/>
      <c r="D215" s="215"/>
      <c r="E215" s="215"/>
      <c r="F215" s="235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15"/>
      <c r="X215" s="215"/>
      <c r="Y215" s="215"/>
      <c r="Z215" s="215"/>
      <c r="AA215" s="215"/>
    </row>
    <row r="216">
      <c r="A216" s="215"/>
      <c r="B216" s="237"/>
      <c r="C216" s="236"/>
      <c r="D216" s="215"/>
      <c r="E216" s="215"/>
      <c r="F216" s="235"/>
      <c r="G216" s="234"/>
      <c r="H216" s="251"/>
      <c r="I216" s="251"/>
      <c r="J216" s="251"/>
      <c r="K216" s="251"/>
      <c r="L216" s="252"/>
      <c r="M216" s="253"/>
      <c r="N216" s="252"/>
      <c r="O216" s="252"/>
      <c r="P216" s="252"/>
      <c r="Q216" s="252"/>
      <c r="R216" s="252"/>
      <c r="S216" s="252"/>
      <c r="T216" s="234"/>
      <c r="U216" s="234"/>
      <c r="V216" s="234"/>
      <c r="W216" s="215"/>
      <c r="X216" s="215"/>
      <c r="Y216" s="215"/>
      <c r="Z216" s="215"/>
      <c r="AA216" s="215"/>
    </row>
    <row r="217">
      <c r="A217" s="215"/>
      <c r="B217" s="237"/>
      <c r="C217" s="236"/>
      <c r="D217" s="215"/>
      <c r="E217" s="215"/>
      <c r="F217" s="235"/>
      <c r="G217" s="234"/>
      <c r="H217" s="246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15"/>
      <c r="X217" s="215"/>
      <c r="Y217" s="215"/>
      <c r="Z217" s="215"/>
      <c r="AA217" s="215"/>
    </row>
    <row r="218">
      <c r="A218" s="215"/>
      <c r="B218" s="237"/>
      <c r="C218" s="236"/>
      <c r="D218" s="215"/>
      <c r="E218" s="215"/>
      <c r="F218" s="235"/>
      <c r="G218" s="234"/>
      <c r="H218" s="234"/>
      <c r="I218" s="247"/>
      <c r="J218" s="247"/>
      <c r="K218" s="247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15"/>
      <c r="X218" s="215"/>
      <c r="Y218" s="215"/>
      <c r="Z218" s="215"/>
      <c r="AA218" s="215"/>
    </row>
    <row r="219">
      <c r="A219" s="215"/>
      <c r="B219" s="237"/>
      <c r="C219" s="236"/>
      <c r="D219" s="215"/>
      <c r="E219" s="215"/>
      <c r="F219" s="235"/>
      <c r="G219" s="234"/>
      <c r="H219" s="234"/>
      <c r="I219" s="259"/>
      <c r="J219" s="260"/>
      <c r="K219" s="250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15"/>
      <c r="X219" s="215"/>
      <c r="Y219" s="215"/>
      <c r="Z219" s="215"/>
      <c r="AA219" s="215"/>
    </row>
    <row r="220">
      <c r="A220" s="215"/>
      <c r="B220" s="237"/>
      <c r="C220" s="236"/>
      <c r="D220" s="215"/>
      <c r="E220" s="215"/>
      <c r="F220" s="235"/>
      <c r="G220" s="234"/>
      <c r="H220" s="234"/>
      <c r="I220" s="259"/>
      <c r="K220" s="250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15"/>
      <c r="X220" s="215"/>
      <c r="Y220" s="215"/>
      <c r="Z220" s="215"/>
      <c r="AA220" s="215"/>
    </row>
    <row r="221">
      <c r="A221" s="215"/>
      <c r="B221" s="237"/>
      <c r="C221" s="236"/>
      <c r="D221" s="215"/>
      <c r="E221" s="215"/>
      <c r="F221" s="235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15"/>
      <c r="X221" s="215"/>
      <c r="Y221" s="215"/>
      <c r="Z221" s="215"/>
      <c r="AA221" s="215"/>
    </row>
    <row r="222">
      <c r="A222" s="215"/>
      <c r="B222" s="237"/>
      <c r="C222" s="236"/>
      <c r="D222" s="215"/>
      <c r="E222" s="215"/>
      <c r="F222" s="235"/>
      <c r="G222" s="234"/>
      <c r="H222" s="261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15"/>
      <c r="X222" s="215"/>
      <c r="Y222" s="215"/>
      <c r="Z222" s="215"/>
      <c r="AA222" s="215"/>
    </row>
    <row r="223">
      <c r="A223" s="215"/>
      <c r="B223" s="237"/>
      <c r="C223" s="236"/>
      <c r="D223" s="215"/>
      <c r="E223" s="215"/>
      <c r="F223" s="235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15"/>
      <c r="X223" s="215"/>
      <c r="Y223" s="215"/>
      <c r="Z223" s="215"/>
      <c r="AA223" s="215"/>
    </row>
    <row r="224">
      <c r="A224" s="215"/>
      <c r="B224" s="237"/>
      <c r="C224" s="236"/>
      <c r="D224" s="215"/>
      <c r="E224" s="215"/>
      <c r="F224" s="235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15"/>
      <c r="X224" s="215"/>
      <c r="Y224" s="215"/>
      <c r="Z224" s="215"/>
      <c r="AA224" s="215"/>
    </row>
    <row r="225">
      <c r="A225" s="215"/>
      <c r="B225" s="237"/>
      <c r="C225" s="236"/>
      <c r="D225" s="215"/>
      <c r="E225" s="215"/>
      <c r="F225" s="235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15"/>
      <c r="X225" s="215"/>
      <c r="Y225" s="215"/>
      <c r="Z225" s="215"/>
      <c r="AA225" s="215"/>
    </row>
    <row r="226">
      <c r="A226" s="215"/>
      <c r="B226" s="237"/>
      <c r="C226" s="236"/>
      <c r="D226" s="215"/>
      <c r="E226" s="215"/>
      <c r="F226" s="235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15"/>
      <c r="X226" s="215"/>
      <c r="Y226" s="215"/>
      <c r="Z226" s="215"/>
      <c r="AA226" s="215"/>
    </row>
    <row r="227">
      <c r="A227" s="215"/>
      <c r="B227" s="237"/>
      <c r="C227" s="236"/>
      <c r="D227" s="215"/>
      <c r="E227" s="215"/>
      <c r="F227" s="235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15"/>
      <c r="X227" s="215"/>
      <c r="Y227" s="215"/>
      <c r="Z227" s="215"/>
      <c r="AA227" s="215"/>
    </row>
    <row r="228">
      <c r="A228" s="215"/>
      <c r="B228" s="237"/>
      <c r="C228" s="236"/>
      <c r="D228" s="215"/>
      <c r="E228" s="215"/>
      <c r="F228" s="235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15"/>
      <c r="X228" s="215"/>
      <c r="Y228" s="215"/>
      <c r="Z228" s="215"/>
      <c r="AA228" s="215"/>
    </row>
    <row r="229">
      <c r="A229" s="215"/>
      <c r="B229" s="237"/>
      <c r="C229" s="236"/>
      <c r="D229" s="215"/>
      <c r="E229" s="215"/>
      <c r="F229" s="235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15"/>
      <c r="X229" s="215"/>
      <c r="Y229" s="215"/>
      <c r="Z229" s="215"/>
      <c r="AA229" s="215"/>
    </row>
    <row r="230">
      <c r="A230" s="215"/>
      <c r="B230" s="237"/>
      <c r="C230" s="236"/>
      <c r="D230" s="215"/>
      <c r="E230" s="215"/>
      <c r="F230" s="235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15"/>
      <c r="X230" s="215"/>
      <c r="Y230" s="215"/>
      <c r="Z230" s="215"/>
      <c r="AA230" s="215"/>
    </row>
    <row r="231">
      <c r="A231" s="215"/>
      <c r="B231" s="237"/>
      <c r="C231" s="236"/>
      <c r="D231" s="215"/>
      <c r="E231" s="215"/>
      <c r="F231" s="235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15"/>
      <c r="X231" s="215"/>
      <c r="Y231" s="215"/>
      <c r="Z231" s="215"/>
      <c r="AA231" s="215"/>
    </row>
    <row r="232">
      <c r="A232" s="215"/>
      <c r="B232" s="237"/>
      <c r="C232" s="236"/>
      <c r="D232" s="215"/>
      <c r="E232" s="215"/>
      <c r="F232" s="235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15"/>
      <c r="X232" s="215"/>
      <c r="Y232" s="215"/>
      <c r="Z232" s="215"/>
      <c r="AA232" s="215"/>
    </row>
    <row r="233">
      <c r="A233" s="215"/>
      <c r="B233" s="237"/>
      <c r="C233" s="236"/>
      <c r="D233" s="215"/>
      <c r="E233" s="215"/>
      <c r="F233" s="235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15"/>
      <c r="X233" s="215"/>
      <c r="Y233" s="215"/>
      <c r="Z233" s="215"/>
      <c r="AA233" s="215"/>
    </row>
    <row r="234">
      <c r="A234" s="215"/>
      <c r="B234" s="237"/>
      <c r="C234" s="236"/>
      <c r="D234" s="215"/>
      <c r="E234" s="215"/>
      <c r="F234" s="235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15"/>
      <c r="X234" s="215"/>
      <c r="Y234" s="215"/>
      <c r="Z234" s="215"/>
      <c r="AA234" s="215"/>
    </row>
    <row r="235">
      <c r="A235" s="215"/>
      <c r="B235" s="237"/>
      <c r="C235" s="236"/>
      <c r="D235" s="215"/>
      <c r="E235" s="215"/>
      <c r="F235" s="235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15"/>
      <c r="X235" s="215"/>
      <c r="Y235" s="215"/>
      <c r="Z235" s="215"/>
      <c r="AA235" s="215"/>
    </row>
    <row r="236">
      <c r="A236" s="215"/>
      <c r="B236" s="237"/>
      <c r="C236" s="236"/>
      <c r="D236" s="215"/>
      <c r="E236" s="215"/>
      <c r="F236" s="235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15"/>
      <c r="X236" s="215"/>
      <c r="Y236" s="215"/>
      <c r="Z236" s="215"/>
      <c r="AA236" s="215"/>
    </row>
    <row r="237">
      <c r="A237" s="215"/>
      <c r="B237" s="237"/>
      <c r="C237" s="236"/>
      <c r="D237" s="215"/>
      <c r="E237" s="215"/>
      <c r="F237" s="235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15"/>
      <c r="X237" s="215"/>
      <c r="Y237" s="215"/>
      <c r="Z237" s="215"/>
      <c r="AA237" s="215"/>
    </row>
    <row r="238">
      <c r="A238" s="215"/>
      <c r="B238" s="237"/>
      <c r="C238" s="236"/>
      <c r="D238" s="215"/>
      <c r="E238" s="215"/>
      <c r="F238" s="235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15"/>
      <c r="X238" s="215"/>
      <c r="Y238" s="215"/>
      <c r="Z238" s="215"/>
      <c r="AA238" s="215"/>
    </row>
    <row r="239">
      <c r="A239" s="215"/>
      <c r="B239" s="237"/>
      <c r="C239" s="236"/>
      <c r="D239" s="215"/>
      <c r="E239" s="215"/>
      <c r="F239" s="235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15"/>
      <c r="X239" s="215"/>
      <c r="Y239" s="215"/>
      <c r="Z239" s="215"/>
      <c r="AA239" s="215"/>
    </row>
    <row r="240">
      <c r="A240" s="215"/>
      <c r="B240" s="237"/>
      <c r="C240" s="236"/>
      <c r="D240" s="215"/>
      <c r="E240" s="215"/>
      <c r="F240" s="235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15"/>
      <c r="X240" s="215"/>
      <c r="Y240" s="215"/>
      <c r="Z240" s="215"/>
      <c r="AA240" s="215"/>
    </row>
    <row r="241">
      <c r="A241" s="215"/>
      <c r="B241" s="237"/>
      <c r="C241" s="236"/>
      <c r="D241" s="215"/>
      <c r="E241" s="215"/>
      <c r="F241" s="235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15"/>
      <c r="X241" s="215"/>
      <c r="Y241" s="215"/>
      <c r="Z241" s="215"/>
      <c r="AA241" s="215"/>
    </row>
    <row r="242">
      <c r="A242" s="215"/>
      <c r="B242" s="237"/>
      <c r="C242" s="236"/>
      <c r="D242" s="215"/>
      <c r="E242" s="215"/>
      <c r="F242" s="235"/>
      <c r="G242" s="234"/>
      <c r="H242" s="251"/>
      <c r="I242" s="251"/>
      <c r="J242" s="251"/>
      <c r="K242" s="251"/>
      <c r="L242" s="252"/>
      <c r="M242" s="253"/>
      <c r="N242" s="252"/>
      <c r="O242" s="252"/>
      <c r="P242" s="252"/>
      <c r="Q242" s="252"/>
      <c r="R242" s="252"/>
      <c r="S242" s="252"/>
      <c r="T242" s="234"/>
      <c r="U242" s="234"/>
      <c r="V242" s="234"/>
      <c r="W242" s="215"/>
      <c r="X242" s="215"/>
      <c r="Y242" s="215"/>
      <c r="Z242" s="215"/>
      <c r="AA242" s="215"/>
    </row>
    <row r="243">
      <c r="A243" s="215"/>
      <c r="B243" s="237"/>
      <c r="C243" s="236"/>
      <c r="D243" s="215"/>
      <c r="E243" s="215"/>
      <c r="F243" s="235"/>
      <c r="G243" s="234"/>
      <c r="H243" s="246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15"/>
      <c r="X243" s="215"/>
      <c r="Y243" s="215"/>
      <c r="Z243" s="215"/>
      <c r="AA243" s="215"/>
    </row>
    <row r="244">
      <c r="A244" s="215"/>
      <c r="B244" s="237"/>
      <c r="C244" s="236"/>
      <c r="D244" s="215"/>
      <c r="E244" s="215"/>
      <c r="F244" s="235"/>
      <c r="G244" s="234"/>
      <c r="H244" s="234"/>
      <c r="I244" s="247"/>
      <c r="J244" s="247"/>
      <c r="K244" s="247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15"/>
      <c r="X244" s="215"/>
      <c r="Y244" s="215"/>
      <c r="Z244" s="215"/>
      <c r="AA244" s="215"/>
    </row>
    <row r="245">
      <c r="A245" s="215"/>
      <c r="B245" s="237"/>
      <c r="C245" s="236"/>
      <c r="D245" s="215"/>
      <c r="E245" s="215"/>
      <c r="F245" s="235"/>
      <c r="G245" s="234"/>
      <c r="H245" s="234"/>
      <c r="I245" s="259"/>
      <c r="J245" s="260"/>
      <c r="K245" s="250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15"/>
      <c r="X245" s="215"/>
      <c r="Y245" s="215"/>
      <c r="Z245" s="215"/>
      <c r="AA245" s="215"/>
    </row>
    <row r="246">
      <c r="A246" s="215"/>
      <c r="B246" s="237"/>
      <c r="C246" s="236"/>
      <c r="D246" s="215"/>
      <c r="E246" s="215"/>
      <c r="F246" s="235"/>
      <c r="G246" s="234"/>
      <c r="H246" s="234"/>
      <c r="I246" s="259"/>
      <c r="K246" s="250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15"/>
      <c r="X246" s="215"/>
      <c r="Y246" s="215"/>
      <c r="Z246" s="215"/>
      <c r="AA246" s="215"/>
    </row>
    <row r="247">
      <c r="A247" s="215"/>
      <c r="B247" s="237"/>
      <c r="C247" s="236"/>
      <c r="D247" s="215"/>
      <c r="E247" s="215"/>
      <c r="F247" s="235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15"/>
      <c r="X247" s="215"/>
      <c r="Y247" s="215"/>
      <c r="Z247" s="215"/>
      <c r="AA247" s="215"/>
    </row>
    <row r="248">
      <c r="A248" s="215"/>
      <c r="B248" s="237"/>
      <c r="C248" s="236"/>
      <c r="D248" s="215"/>
      <c r="E248" s="215"/>
      <c r="F248" s="235"/>
      <c r="G248" s="234"/>
      <c r="H248" s="261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15"/>
      <c r="X248" s="215"/>
      <c r="Y248" s="215"/>
      <c r="Z248" s="215"/>
      <c r="AA248" s="215"/>
    </row>
    <row r="249">
      <c r="A249" s="215"/>
      <c r="B249" s="237"/>
      <c r="C249" s="236"/>
      <c r="D249" s="215"/>
      <c r="E249" s="215"/>
      <c r="F249" s="235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15"/>
      <c r="X249" s="215"/>
      <c r="Y249" s="215"/>
      <c r="Z249" s="215"/>
      <c r="AA249" s="215"/>
    </row>
    <row r="250">
      <c r="A250" s="215"/>
      <c r="B250" s="237"/>
      <c r="C250" s="236"/>
      <c r="D250" s="215"/>
      <c r="E250" s="215"/>
      <c r="F250" s="235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15"/>
      <c r="X250" s="215"/>
      <c r="Y250" s="215"/>
      <c r="Z250" s="215"/>
      <c r="AA250" s="215"/>
    </row>
    <row r="251">
      <c r="A251" s="215"/>
      <c r="B251" s="237"/>
      <c r="C251" s="236"/>
      <c r="D251" s="215"/>
      <c r="E251" s="215"/>
      <c r="F251" s="235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15"/>
      <c r="X251" s="215"/>
      <c r="Y251" s="215"/>
      <c r="Z251" s="215"/>
      <c r="AA251" s="215"/>
    </row>
    <row r="252">
      <c r="A252" s="215"/>
      <c r="B252" s="237"/>
      <c r="C252" s="236"/>
      <c r="D252" s="215"/>
      <c r="E252" s="215"/>
      <c r="F252" s="235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15"/>
      <c r="X252" s="215"/>
      <c r="Y252" s="215"/>
      <c r="Z252" s="215"/>
      <c r="AA252" s="215"/>
    </row>
    <row r="253">
      <c r="A253" s="215"/>
      <c r="B253" s="237"/>
      <c r="C253" s="236"/>
      <c r="D253" s="215"/>
      <c r="E253" s="215"/>
      <c r="F253" s="235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15"/>
      <c r="X253" s="215"/>
      <c r="Y253" s="215"/>
      <c r="Z253" s="215"/>
      <c r="AA253" s="215"/>
    </row>
    <row r="254">
      <c r="A254" s="215"/>
      <c r="B254" s="237"/>
      <c r="C254" s="236"/>
      <c r="D254" s="215"/>
      <c r="E254" s="215"/>
      <c r="F254" s="235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15"/>
      <c r="X254" s="215"/>
      <c r="Y254" s="215"/>
      <c r="Z254" s="215"/>
      <c r="AA254" s="215"/>
    </row>
    <row r="255">
      <c r="A255" s="215"/>
      <c r="B255" s="237"/>
      <c r="C255" s="236"/>
      <c r="D255" s="215"/>
      <c r="E255" s="215"/>
      <c r="F255" s="235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15"/>
      <c r="X255" s="215"/>
      <c r="Y255" s="215"/>
      <c r="Z255" s="215"/>
      <c r="AA255" s="215"/>
    </row>
    <row r="256">
      <c r="A256" s="215"/>
      <c r="B256" s="237"/>
      <c r="C256" s="236"/>
      <c r="D256" s="215"/>
      <c r="E256" s="215"/>
      <c r="F256" s="235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15"/>
      <c r="X256" s="215"/>
      <c r="Y256" s="215"/>
      <c r="Z256" s="215"/>
      <c r="AA256" s="215"/>
    </row>
    <row r="257">
      <c r="A257" s="215"/>
      <c r="B257" s="237"/>
      <c r="C257" s="236"/>
      <c r="D257" s="215"/>
      <c r="E257" s="215"/>
      <c r="F257" s="235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15"/>
      <c r="X257" s="215"/>
      <c r="Y257" s="215"/>
      <c r="Z257" s="215"/>
      <c r="AA257" s="215"/>
    </row>
    <row r="258">
      <c r="A258" s="215"/>
      <c r="B258" s="237"/>
      <c r="C258" s="236"/>
      <c r="D258" s="215"/>
      <c r="E258" s="215"/>
      <c r="F258" s="235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15"/>
      <c r="X258" s="215"/>
      <c r="Y258" s="215"/>
      <c r="Z258" s="215"/>
      <c r="AA258" s="215"/>
    </row>
    <row r="259">
      <c r="A259" s="215"/>
      <c r="B259" s="237"/>
      <c r="C259" s="236"/>
      <c r="D259" s="215"/>
      <c r="E259" s="215"/>
      <c r="F259" s="235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15"/>
      <c r="X259" s="215"/>
      <c r="Y259" s="215"/>
      <c r="Z259" s="215"/>
      <c r="AA259" s="215"/>
    </row>
    <row r="260">
      <c r="A260" s="215"/>
      <c r="B260" s="237"/>
      <c r="C260" s="236"/>
      <c r="D260" s="215"/>
      <c r="E260" s="215"/>
      <c r="F260" s="235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15"/>
      <c r="X260" s="215"/>
      <c r="Y260" s="215"/>
      <c r="Z260" s="215"/>
      <c r="AA260" s="215"/>
    </row>
    <row r="261">
      <c r="A261" s="215"/>
      <c r="B261" s="237"/>
      <c r="C261" s="236"/>
      <c r="D261" s="215"/>
      <c r="E261" s="215"/>
      <c r="F261" s="235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15"/>
      <c r="X261" s="215"/>
      <c r="Y261" s="215"/>
      <c r="Z261" s="215"/>
      <c r="AA261" s="215"/>
    </row>
    <row r="262">
      <c r="A262" s="215"/>
      <c r="B262" s="237"/>
      <c r="C262" s="236"/>
      <c r="D262" s="215"/>
      <c r="E262" s="215"/>
      <c r="F262" s="235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15"/>
      <c r="X262" s="215"/>
      <c r="Y262" s="215"/>
      <c r="Z262" s="215"/>
      <c r="AA262" s="215"/>
    </row>
    <row r="263">
      <c r="A263" s="215"/>
      <c r="B263" s="237"/>
      <c r="C263" s="236"/>
      <c r="D263" s="215"/>
      <c r="E263" s="215"/>
      <c r="F263" s="235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15"/>
      <c r="X263" s="215"/>
      <c r="Y263" s="215"/>
      <c r="Z263" s="215"/>
      <c r="AA263" s="215"/>
    </row>
    <row r="264">
      <c r="A264" s="215"/>
      <c r="B264" s="237"/>
      <c r="C264" s="236"/>
      <c r="D264" s="215"/>
      <c r="E264" s="215"/>
      <c r="F264" s="235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15"/>
      <c r="X264" s="215"/>
      <c r="Y264" s="215"/>
      <c r="Z264" s="215"/>
      <c r="AA264" s="215"/>
    </row>
    <row r="265">
      <c r="A265" s="215"/>
      <c r="B265" s="237"/>
      <c r="C265" s="236"/>
      <c r="D265" s="215"/>
      <c r="E265" s="215"/>
      <c r="F265" s="235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15"/>
      <c r="X265" s="215"/>
      <c r="Y265" s="215"/>
      <c r="Z265" s="215"/>
      <c r="AA265" s="215"/>
    </row>
    <row r="266">
      <c r="A266" s="215"/>
      <c r="B266" s="237"/>
      <c r="C266" s="236"/>
      <c r="D266" s="215"/>
      <c r="E266" s="215"/>
      <c r="F266" s="235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15"/>
      <c r="X266" s="215"/>
      <c r="Y266" s="215"/>
      <c r="Z266" s="215"/>
      <c r="AA266" s="215"/>
    </row>
    <row r="267">
      <c r="A267" s="215"/>
      <c r="B267" s="237"/>
      <c r="C267" s="236"/>
      <c r="D267" s="215"/>
      <c r="E267" s="215"/>
      <c r="F267" s="235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15"/>
      <c r="X267" s="215"/>
      <c r="Y267" s="215"/>
      <c r="Z267" s="215"/>
      <c r="AA267" s="215"/>
    </row>
    <row r="268">
      <c r="A268" s="215"/>
      <c r="B268" s="237"/>
      <c r="C268" s="236"/>
      <c r="D268" s="215"/>
      <c r="E268" s="215"/>
      <c r="F268" s="235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15"/>
      <c r="X268" s="215"/>
      <c r="Y268" s="215"/>
      <c r="Z268" s="215"/>
      <c r="AA268" s="215"/>
    </row>
    <row r="269">
      <c r="A269" s="215"/>
      <c r="B269" s="237"/>
      <c r="C269" s="236"/>
      <c r="D269" s="215"/>
      <c r="E269" s="215"/>
      <c r="F269" s="235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15"/>
      <c r="X269" s="215"/>
      <c r="Y269" s="215"/>
      <c r="Z269" s="215"/>
      <c r="AA269" s="215"/>
    </row>
    <row r="270">
      <c r="A270" s="215"/>
      <c r="B270" s="237"/>
      <c r="C270" s="236"/>
      <c r="D270" s="215"/>
      <c r="E270" s="215"/>
      <c r="F270" s="235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15"/>
      <c r="X270" s="215"/>
      <c r="Y270" s="215"/>
      <c r="Z270" s="215"/>
      <c r="AA270" s="215"/>
    </row>
    <row r="271">
      <c r="A271" s="215"/>
      <c r="B271" s="237"/>
      <c r="C271" s="236"/>
      <c r="D271" s="215"/>
      <c r="E271" s="215"/>
      <c r="F271" s="235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15"/>
      <c r="X271" s="215"/>
      <c r="Y271" s="215"/>
      <c r="Z271" s="215"/>
      <c r="AA271" s="215"/>
    </row>
    <row r="272">
      <c r="A272" s="215"/>
      <c r="B272" s="237"/>
      <c r="C272" s="236"/>
      <c r="D272" s="215"/>
      <c r="E272" s="215"/>
      <c r="F272" s="235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15"/>
      <c r="X272" s="215"/>
      <c r="Y272" s="215"/>
      <c r="Z272" s="215"/>
      <c r="AA272" s="215"/>
    </row>
    <row r="273">
      <c r="A273" s="215"/>
      <c r="B273" s="237"/>
      <c r="C273" s="236"/>
      <c r="D273" s="215"/>
      <c r="E273" s="215"/>
      <c r="F273" s="235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15"/>
      <c r="X273" s="215"/>
      <c r="Y273" s="215"/>
      <c r="Z273" s="215"/>
      <c r="AA273" s="215"/>
    </row>
    <row r="274">
      <c r="A274" s="215"/>
      <c r="B274" s="237"/>
      <c r="C274" s="236"/>
      <c r="D274" s="215"/>
      <c r="E274" s="215"/>
      <c r="F274" s="23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  <c r="AA274" s="215"/>
    </row>
    <row r="275">
      <c r="A275" s="215"/>
      <c r="B275" s="237"/>
      <c r="C275" s="236"/>
      <c r="D275" s="215"/>
      <c r="E275" s="215"/>
      <c r="F275" s="23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</row>
    <row r="276">
      <c r="A276" s="215"/>
      <c r="B276" s="237"/>
      <c r="C276" s="236"/>
      <c r="D276" s="215"/>
      <c r="E276" s="215"/>
      <c r="F276" s="23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  <c r="AA276" s="215"/>
    </row>
    <row r="277">
      <c r="A277" s="215"/>
      <c r="B277" s="237"/>
      <c r="C277" s="236"/>
      <c r="D277" s="215"/>
      <c r="E277" s="215"/>
      <c r="F277" s="23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  <c r="AA277" s="215"/>
    </row>
    <row r="278">
      <c r="A278" s="215"/>
      <c r="B278" s="237"/>
      <c r="C278" s="236"/>
      <c r="D278" s="215"/>
      <c r="E278" s="215"/>
      <c r="F278" s="23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  <c r="AA278" s="215"/>
    </row>
    <row r="279">
      <c r="A279" s="215"/>
      <c r="B279" s="237"/>
      <c r="C279" s="236"/>
      <c r="D279" s="215"/>
      <c r="E279" s="215"/>
      <c r="F279" s="23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</row>
    <row r="280">
      <c r="A280" s="215"/>
      <c r="B280" s="237"/>
      <c r="C280" s="236"/>
      <c r="D280" s="215"/>
      <c r="E280" s="215"/>
      <c r="F280" s="23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</row>
    <row r="281">
      <c r="A281" s="215"/>
      <c r="B281" s="237"/>
      <c r="C281" s="236"/>
      <c r="D281" s="215"/>
      <c r="E281" s="215"/>
      <c r="F281" s="23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</row>
    <row r="282">
      <c r="A282" s="215"/>
      <c r="B282" s="237"/>
      <c r="C282" s="236"/>
      <c r="D282" s="215"/>
      <c r="E282" s="215"/>
      <c r="F282" s="23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  <c r="AA282" s="215"/>
    </row>
    <row r="283">
      <c r="A283" s="215"/>
      <c r="B283" s="237"/>
      <c r="C283" s="236"/>
      <c r="D283" s="215"/>
      <c r="E283" s="215"/>
      <c r="F283" s="23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</row>
    <row r="284">
      <c r="A284" s="215"/>
      <c r="B284" s="237"/>
      <c r="C284" s="236"/>
      <c r="D284" s="215"/>
      <c r="E284" s="215"/>
      <c r="F284" s="23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</row>
    <row r="285">
      <c r="A285" s="215"/>
      <c r="B285" s="237"/>
      <c r="C285" s="236"/>
      <c r="D285" s="215"/>
      <c r="E285" s="215"/>
      <c r="F285" s="23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</row>
    <row r="286">
      <c r="A286" s="215"/>
      <c r="B286" s="237"/>
      <c r="C286" s="236"/>
      <c r="D286" s="215"/>
      <c r="E286" s="215"/>
      <c r="F286" s="23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</row>
    <row r="287">
      <c r="A287" s="215"/>
      <c r="B287" s="237"/>
      <c r="C287" s="236"/>
      <c r="D287" s="215"/>
      <c r="E287" s="215"/>
      <c r="F287" s="23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</row>
    <row r="288">
      <c r="A288" s="215"/>
      <c r="B288" s="237"/>
      <c r="C288" s="236"/>
      <c r="D288" s="215"/>
      <c r="E288" s="215"/>
      <c r="F288" s="23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</row>
    <row r="289">
      <c r="A289" s="215"/>
      <c r="B289" s="237"/>
      <c r="C289" s="236"/>
      <c r="D289" s="215"/>
      <c r="E289" s="215"/>
      <c r="F289" s="23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</row>
    <row r="290">
      <c r="A290" s="215"/>
      <c r="B290" s="237"/>
      <c r="C290" s="236"/>
      <c r="D290" s="215"/>
      <c r="E290" s="215"/>
      <c r="F290" s="23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</row>
    <row r="291">
      <c r="A291" s="215"/>
      <c r="B291" s="237"/>
      <c r="C291" s="236"/>
      <c r="D291" s="215"/>
      <c r="E291" s="215"/>
      <c r="F291" s="23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</row>
    <row r="292">
      <c r="A292" s="215"/>
      <c r="B292" s="237"/>
      <c r="C292" s="236"/>
      <c r="D292" s="215"/>
      <c r="E292" s="215"/>
      <c r="F292" s="23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  <c r="AA292" s="215"/>
    </row>
    <row r="293">
      <c r="A293" s="215"/>
      <c r="B293" s="237"/>
      <c r="C293" s="236"/>
      <c r="D293" s="215"/>
      <c r="E293" s="215"/>
      <c r="F293" s="23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  <c r="AA293" s="215"/>
    </row>
    <row r="294">
      <c r="A294" s="215"/>
      <c r="B294" s="237"/>
      <c r="C294" s="236"/>
      <c r="D294" s="215"/>
      <c r="E294" s="215"/>
      <c r="F294" s="23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</row>
    <row r="295">
      <c r="A295" s="215"/>
      <c r="B295" s="237"/>
      <c r="C295" s="236"/>
      <c r="D295" s="215"/>
      <c r="E295" s="215"/>
      <c r="F295" s="23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  <c r="AA295" s="215"/>
    </row>
    <row r="296">
      <c r="A296" s="215"/>
      <c r="B296" s="237"/>
      <c r="C296" s="236"/>
      <c r="D296" s="215"/>
      <c r="E296" s="215"/>
      <c r="F296" s="23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</row>
    <row r="297">
      <c r="A297" s="215"/>
      <c r="B297" s="237"/>
      <c r="C297" s="236"/>
      <c r="D297" s="215"/>
      <c r="E297" s="215"/>
      <c r="F297" s="23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</row>
    <row r="298">
      <c r="A298" s="215"/>
      <c r="B298" s="237"/>
      <c r="C298" s="236"/>
      <c r="D298" s="215"/>
      <c r="E298" s="215"/>
      <c r="F298" s="23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  <c r="AA298" s="215"/>
    </row>
    <row r="299">
      <c r="A299" s="215"/>
      <c r="B299" s="237"/>
      <c r="C299" s="236"/>
      <c r="D299" s="215"/>
      <c r="E299" s="215"/>
      <c r="F299" s="23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  <c r="AA299" s="215"/>
    </row>
    <row r="300">
      <c r="A300" s="215"/>
      <c r="B300" s="237"/>
      <c r="C300" s="236"/>
      <c r="D300" s="215"/>
      <c r="E300" s="215"/>
      <c r="F300" s="23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  <c r="AA300" s="215"/>
    </row>
    <row r="301">
      <c r="A301" s="215"/>
      <c r="B301" s="237"/>
      <c r="C301" s="236"/>
      <c r="D301" s="215"/>
      <c r="E301" s="215"/>
      <c r="F301" s="23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  <c r="AA301" s="215"/>
    </row>
    <row r="302">
      <c r="A302" s="215"/>
      <c r="B302" s="237"/>
      <c r="C302" s="236"/>
      <c r="D302" s="215"/>
      <c r="E302" s="215"/>
      <c r="F302" s="23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</row>
    <row r="303">
      <c r="A303" s="215"/>
      <c r="B303" s="237"/>
      <c r="C303" s="236"/>
      <c r="D303" s="215"/>
      <c r="E303" s="215"/>
      <c r="F303" s="23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  <c r="AA303" s="215"/>
    </row>
    <row r="304">
      <c r="A304" s="215"/>
      <c r="B304" s="237"/>
      <c r="C304" s="236"/>
      <c r="D304" s="215"/>
      <c r="E304" s="215"/>
      <c r="F304" s="23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</row>
    <row r="305">
      <c r="A305" s="215"/>
      <c r="B305" s="237"/>
      <c r="C305" s="236"/>
      <c r="D305" s="215"/>
      <c r="E305" s="215"/>
      <c r="F305" s="23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</row>
    <row r="306">
      <c r="A306" s="215"/>
      <c r="B306" s="237"/>
      <c r="C306" s="236"/>
      <c r="D306" s="215"/>
      <c r="E306" s="215"/>
      <c r="F306" s="23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  <c r="AA306" s="215"/>
    </row>
    <row r="307">
      <c r="A307" s="215"/>
      <c r="B307" s="237"/>
      <c r="C307" s="236"/>
      <c r="D307" s="215"/>
      <c r="E307" s="215"/>
      <c r="F307" s="23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  <c r="AA307" s="215"/>
    </row>
    <row r="308">
      <c r="A308" s="215"/>
      <c r="B308" s="237"/>
      <c r="C308" s="236"/>
      <c r="D308" s="215"/>
      <c r="E308" s="215"/>
      <c r="F308" s="23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  <c r="AA308" s="215"/>
    </row>
    <row r="309">
      <c r="A309" s="215"/>
      <c r="B309" s="237"/>
      <c r="C309" s="236"/>
      <c r="D309" s="215"/>
      <c r="E309" s="215"/>
      <c r="F309" s="23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  <c r="AA309" s="215"/>
    </row>
    <row r="310">
      <c r="A310" s="215"/>
      <c r="B310" s="237"/>
      <c r="C310" s="236"/>
      <c r="D310" s="215"/>
      <c r="E310" s="215"/>
      <c r="F310" s="23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  <c r="AA310" s="215"/>
    </row>
    <row r="311">
      <c r="A311" s="215"/>
      <c r="B311" s="237"/>
      <c r="C311" s="236"/>
      <c r="D311" s="215"/>
      <c r="E311" s="215"/>
      <c r="F311" s="23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  <c r="AA311" s="215"/>
    </row>
    <row r="312">
      <c r="A312" s="215"/>
      <c r="B312" s="237"/>
      <c r="C312" s="236"/>
      <c r="D312" s="215"/>
      <c r="E312" s="215"/>
      <c r="F312" s="23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</row>
    <row r="313">
      <c r="A313" s="215"/>
      <c r="B313" s="237"/>
      <c r="C313" s="236"/>
      <c r="D313" s="215"/>
      <c r="E313" s="215"/>
      <c r="F313" s="23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</row>
    <row r="314">
      <c r="A314" s="215"/>
      <c r="B314" s="237"/>
      <c r="C314" s="236"/>
      <c r="D314" s="215"/>
      <c r="E314" s="215"/>
      <c r="F314" s="23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</row>
    <row r="315">
      <c r="A315" s="215"/>
      <c r="B315" s="237"/>
      <c r="C315" s="236"/>
      <c r="D315" s="215"/>
      <c r="E315" s="215"/>
      <c r="F315" s="23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  <c r="AA315" s="215"/>
    </row>
    <row r="316">
      <c r="A316" s="215"/>
      <c r="B316" s="237"/>
      <c r="C316" s="236"/>
      <c r="D316" s="215"/>
      <c r="E316" s="215"/>
      <c r="F316" s="23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  <c r="AA316" s="215"/>
    </row>
    <row r="317">
      <c r="A317" s="215"/>
      <c r="B317" s="237"/>
      <c r="C317" s="236"/>
      <c r="D317" s="215"/>
      <c r="E317" s="215"/>
      <c r="F317" s="23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</row>
    <row r="318">
      <c r="A318" s="215"/>
      <c r="B318" s="237"/>
      <c r="C318" s="236"/>
      <c r="D318" s="215"/>
      <c r="E318" s="215"/>
      <c r="F318" s="23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</row>
    <row r="319">
      <c r="A319" s="215"/>
      <c r="B319" s="237"/>
      <c r="C319" s="236"/>
      <c r="D319" s="215"/>
      <c r="E319" s="215"/>
      <c r="F319" s="23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</row>
    <row r="320">
      <c r="A320" s="215"/>
      <c r="B320" s="237"/>
      <c r="C320" s="236"/>
      <c r="D320" s="215"/>
      <c r="E320" s="215"/>
      <c r="F320" s="23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</row>
    <row r="321">
      <c r="A321" s="215"/>
      <c r="B321" s="237"/>
      <c r="C321" s="236"/>
      <c r="D321" s="215"/>
      <c r="E321" s="215"/>
      <c r="F321" s="23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</row>
    <row r="322">
      <c r="A322" s="215"/>
      <c r="B322" s="237"/>
      <c r="C322" s="236"/>
      <c r="D322" s="215"/>
      <c r="E322" s="215"/>
      <c r="F322" s="23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</row>
    <row r="323">
      <c r="A323" s="215"/>
      <c r="B323" s="237"/>
      <c r="C323" s="236"/>
      <c r="D323" s="215"/>
      <c r="E323" s="215"/>
      <c r="F323" s="23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  <c r="AA323" s="215"/>
    </row>
    <row r="324">
      <c r="A324" s="215"/>
      <c r="B324" s="237"/>
      <c r="C324" s="236"/>
      <c r="D324" s="215"/>
      <c r="E324" s="215"/>
      <c r="F324" s="23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  <c r="AA324" s="215"/>
    </row>
    <row r="325">
      <c r="A325" s="215"/>
      <c r="B325" s="237"/>
      <c r="C325" s="236"/>
      <c r="D325" s="215"/>
      <c r="E325" s="215"/>
      <c r="F325" s="23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</row>
    <row r="326">
      <c r="A326" s="215"/>
      <c r="B326" s="237"/>
      <c r="C326" s="236"/>
      <c r="D326" s="215"/>
      <c r="E326" s="215"/>
      <c r="F326" s="23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</row>
    <row r="327">
      <c r="A327" s="215"/>
      <c r="B327" s="237"/>
      <c r="C327" s="236"/>
      <c r="D327" s="215"/>
      <c r="E327" s="215"/>
      <c r="F327" s="23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  <c r="AA327" s="215"/>
    </row>
    <row r="328">
      <c r="A328" s="215"/>
      <c r="B328" s="237"/>
      <c r="C328" s="236"/>
      <c r="D328" s="215"/>
      <c r="E328" s="215"/>
      <c r="F328" s="23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</row>
    <row r="329">
      <c r="A329" s="215"/>
      <c r="B329" s="237"/>
      <c r="C329" s="236"/>
      <c r="D329" s="215"/>
      <c r="E329" s="215"/>
      <c r="F329" s="23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</row>
    <row r="330">
      <c r="A330" s="215"/>
      <c r="B330" s="237"/>
      <c r="C330" s="236"/>
      <c r="D330" s="215"/>
      <c r="E330" s="215"/>
      <c r="F330" s="23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</row>
    <row r="331">
      <c r="A331" s="215"/>
      <c r="B331" s="237"/>
      <c r="C331" s="236"/>
      <c r="D331" s="215"/>
      <c r="E331" s="215"/>
      <c r="F331" s="23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</row>
    <row r="332">
      <c r="A332" s="215"/>
      <c r="B332" s="237"/>
      <c r="C332" s="236"/>
      <c r="D332" s="215"/>
      <c r="E332" s="215"/>
      <c r="F332" s="23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</row>
    <row r="333">
      <c r="A333" s="215"/>
      <c r="B333" s="237"/>
      <c r="C333" s="236"/>
      <c r="D333" s="215"/>
      <c r="E333" s="215"/>
      <c r="F333" s="23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  <c r="AA333" s="215"/>
    </row>
    <row r="334">
      <c r="A334" s="215"/>
      <c r="B334" s="237"/>
      <c r="C334" s="236"/>
      <c r="D334" s="215"/>
      <c r="E334" s="215"/>
      <c r="F334" s="23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  <c r="AA334" s="215"/>
    </row>
    <row r="335">
      <c r="A335" s="215"/>
      <c r="B335" s="237"/>
      <c r="C335" s="236"/>
      <c r="D335" s="215"/>
      <c r="E335" s="215"/>
      <c r="F335" s="23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</row>
    <row r="336">
      <c r="A336" s="215"/>
      <c r="B336" s="237"/>
      <c r="C336" s="236"/>
      <c r="D336" s="215"/>
      <c r="E336" s="215"/>
      <c r="F336" s="23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</row>
    <row r="337">
      <c r="A337" s="215"/>
      <c r="B337" s="237"/>
      <c r="C337" s="236"/>
      <c r="D337" s="215"/>
      <c r="E337" s="215"/>
      <c r="F337" s="23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  <c r="AA337" s="215"/>
    </row>
    <row r="338">
      <c r="A338" s="215"/>
      <c r="B338" s="237"/>
      <c r="C338" s="236"/>
      <c r="D338" s="215"/>
      <c r="E338" s="215"/>
      <c r="F338" s="23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  <c r="AA338" s="215"/>
    </row>
    <row r="339">
      <c r="A339" s="215"/>
      <c r="B339" s="237"/>
      <c r="C339" s="236"/>
      <c r="D339" s="215"/>
      <c r="E339" s="215"/>
      <c r="F339" s="23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</row>
    <row r="340">
      <c r="A340" s="215"/>
      <c r="B340" s="237"/>
      <c r="C340" s="236"/>
      <c r="D340" s="215"/>
      <c r="E340" s="215"/>
      <c r="F340" s="23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</row>
    <row r="341">
      <c r="A341" s="215"/>
      <c r="B341" s="237"/>
      <c r="C341" s="236"/>
      <c r="D341" s="215"/>
      <c r="E341" s="215"/>
      <c r="F341" s="23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  <c r="AA341" s="215"/>
    </row>
    <row r="342">
      <c r="A342" s="215"/>
      <c r="B342" s="237"/>
      <c r="C342" s="236"/>
      <c r="D342" s="215"/>
      <c r="E342" s="215"/>
      <c r="F342" s="23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  <c r="AA342" s="215"/>
    </row>
    <row r="343">
      <c r="A343" s="215"/>
      <c r="B343" s="237"/>
      <c r="C343" s="236"/>
      <c r="D343" s="215"/>
      <c r="E343" s="215"/>
      <c r="F343" s="23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</row>
    <row r="344">
      <c r="A344" s="215"/>
      <c r="B344" s="237"/>
      <c r="C344" s="236"/>
      <c r="D344" s="215"/>
      <c r="E344" s="215"/>
      <c r="F344" s="23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</row>
    <row r="345">
      <c r="A345" s="215"/>
      <c r="B345" s="237"/>
      <c r="C345" s="236"/>
      <c r="D345" s="215"/>
      <c r="E345" s="215"/>
      <c r="F345" s="23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</row>
    <row r="346">
      <c r="A346" s="215"/>
      <c r="B346" s="237"/>
      <c r="C346" s="236"/>
      <c r="D346" s="215"/>
      <c r="E346" s="215"/>
      <c r="F346" s="23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  <c r="AA346" s="215"/>
    </row>
    <row r="347">
      <c r="A347" s="215"/>
      <c r="B347" s="237"/>
      <c r="C347" s="236"/>
      <c r="D347" s="215"/>
      <c r="E347" s="215"/>
      <c r="F347" s="23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  <c r="AA347" s="215"/>
    </row>
    <row r="348">
      <c r="A348" s="215"/>
      <c r="B348" s="237"/>
      <c r="C348" s="236"/>
      <c r="D348" s="215"/>
      <c r="E348" s="215"/>
      <c r="F348" s="23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</row>
    <row r="349">
      <c r="A349" s="215"/>
      <c r="B349" s="237"/>
      <c r="C349" s="236"/>
      <c r="D349" s="215"/>
      <c r="E349" s="215"/>
      <c r="F349" s="23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</row>
    <row r="350">
      <c r="A350" s="215"/>
      <c r="B350" s="237"/>
      <c r="C350" s="236"/>
      <c r="D350" s="215"/>
      <c r="E350" s="215"/>
      <c r="F350" s="23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  <c r="AA350" s="215"/>
    </row>
    <row r="351">
      <c r="A351" s="215"/>
      <c r="B351" s="237"/>
      <c r="C351" s="236"/>
      <c r="D351" s="215"/>
      <c r="E351" s="215"/>
      <c r="F351" s="23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  <c r="AA351" s="215"/>
    </row>
    <row r="352">
      <c r="A352" s="215"/>
      <c r="B352" s="237"/>
      <c r="C352" s="236"/>
      <c r="D352" s="215"/>
      <c r="E352" s="215"/>
      <c r="F352" s="23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</row>
    <row r="353">
      <c r="A353" s="215"/>
      <c r="B353" s="237"/>
      <c r="C353" s="236"/>
      <c r="D353" s="215"/>
      <c r="E353" s="215"/>
      <c r="F353" s="23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</row>
    <row r="354">
      <c r="A354" s="215"/>
      <c r="B354" s="237"/>
      <c r="C354" s="236"/>
      <c r="D354" s="215"/>
      <c r="E354" s="215"/>
      <c r="F354" s="23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</row>
    <row r="355">
      <c r="A355" s="215"/>
      <c r="B355" s="237"/>
      <c r="C355" s="236"/>
      <c r="D355" s="215"/>
      <c r="E355" s="215"/>
      <c r="F355" s="23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</row>
    <row r="356">
      <c r="A356" s="215"/>
      <c r="B356" s="237"/>
      <c r="C356" s="236"/>
      <c r="D356" s="215"/>
      <c r="E356" s="215"/>
      <c r="F356" s="23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</row>
    <row r="357">
      <c r="A357" s="215"/>
      <c r="B357" s="237"/>
      <c r="C357" s="236"/>
      <c r="D357" s="215"/>
      <c r="E357" s="215"/>
      <c r="F357" s="23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</row>
    <row r="358">
      <c r="A358" s="215"/>
      <c r="B358" s="237"/>
      <c r="C358" s="236"/>
      <c r="D358" s="215"/>
      <c r="E358" s="215"/>
      <c r="F358" s="23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</row>
    <row r="359">
      <c r="A359" s="215"/>
      <c r="B359" s="237"/>
      <c r="C359" s="236"/>
      <c r="D359" s="215"/>
      <c r="E359" s="215"/>
      <c r="F359" s="23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</row>
    <row r="360">
      <c r="A360" s="215"/>
      <c r="B360" s="237"/>
      <c r="C360" s="236"/>
      <c r="D360" s="215"/>
      <c r="E360" s="215"/>
      <c r="F360" s="23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</row>
    <row r="361">
      <c r="A361" s="215"/>
      <c r="B361" s="237"/>
      <c r="C361" s="236"/>
      <c r="D361" s="215"/>
      <c r="E361" s="215"/>
      <c r="F361" s="23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</row>
    <row r="362">
      <c r="A362" s="215"/>
      <c r="B362" s="237"/>
      <c r="C362" s="236"/>
      <c r="D362" s="215"/>
      <c r="E362" s="215"/>
      <c r="F362" s="23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  <c r="AA362" s="215"/>
    </row>
    <row r="363">
      <c r="A363" s="215"/>
      <c r="B363" s="237"/>
      <c r="C363" s="236"/>
      <c r="D363" s="215"/>
      <c r="E363" s="215"/>
      <c r="F363" s="23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  <c r="AA363" s="215"/>
    </row>
    <row r="364">
      <c r="A364" s="215"/>
      <c r="B364" s="237"/>
      <c r="C364" s="236"/>
      <c r="D364" s="215"/>
      <c r="E364" s="215"/>
      <c r="F364" s="23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  <c r="AA364" s="215"/>
    </row>
    <row r="365">
      <c r="A365" s="215"/>
      <c r="B365" s="237"/>
      <c r="C365" s="236"/>
      <c r="D365" s="215"/>
      <c r="E365" s="215"/>
      <c r="F365" s="23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  <c r="AA365" s="215"/>
    </row>
    <row r="366">
      <c r="A366" s="215"/>
      <c r="B366" s="237"/>
      <c r="C366" s="236"/>
      <c r="D366" s="215"/>
      <c r="E366" s="215"/>
      <c r="F366" s="23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  <c r="AA366" s="215"/>
    </row>
    <row r="367">
      <c r="A367" s="215"/>
      <c r="B367" s="237"/>
      <c r="C367" s="236"/>
      <c r="D367" s="215"/>
      <c r="E367" s="215"/>
      <c r="F367" s="23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  <c r="AA367" s="215"/>
    </row>
    <row r="368">
      <c r="A368" s="215"/>
      <c r="B368" s="237"/>
      <c r="C368" s="236"/>
      <c r="D368" s="215"/>
      <c r="E368" s="215"/>
      <c r="F368" s="23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</row>
    <row r="369">
      <c r="A369" s="215"/>
      <c r="B369" s="237"/>
      <c r="C369" s="236"/>
      <c r="D369" s="215"/>
      <c r="E369" s="215"/>
      <c r="F369" s="23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  <c r="AA369" s="215"/>
    </row>
    <row r="370">
      <c r="A370" s="215"/>
      <c r="B370" s="237"/>
      <c r="C370" s="236"/>
      <c r="D370" s="215"/>
      <c r="E370" s="215"/>
      <c r="F370" s="23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  <c r="AA370" s="215"/>
    </row>
    <row r="371">
      <c r="A371" s="215"/>
      <c r="B371" s="237"/>
      <c r="C371" s="236"/>
      <c r="D371" s="215"/>
      <c r="E371" s="215"/>
      <c r="F371" s="23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  <c r="AA371" s="215"/>
    </row>
    <row r="372">
      <c r="A372" s="215"/>
      <c r="B372" s="237"/>
      <c r="C372" s="236"/>
      <c r="D372" s="215"/>
      <c r="E372" s="215"/>
      <c r="F372" s="23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  <c r="AA372" s="215"/>
    </row>
    <row r="373">
      <c r="A373" s="215"/>
      <c r="B373" s="237"/>
      <c r="C373" s="236"/>
      <c r="D373" s="215"/>
      <c r="E373" s="215"/>
      <c r="F373" s="23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  <c r="AA373" s="215"/>
    </row>
    <row r="374">
      <c r="A374" s="215"/>
      <c r="B374" s="237"/>
      <c r="C374" s="236"/>
      <c r="D374" s="215"/>
      <c r="E374" s="215"/>
      <c r="F374" s="23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  <c r="AA374" s="215"/>
    </row>
    <row r="375">
      <c r="A375" s="215"/>
      <c r="B375" s="237"/>
      <c r="C375" s="236"/>
      <c r="D375" s="215"/>
      <c r="E375" s="215"/>
      <c r="F375" s="23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  <c r="AA375" s="215"/>
    </row>
    <row r="376">
      <c r="A376" s="215"/>
      <c r="B376" s="237"/>
      <c r="C376" s="236"/>
      <c r="D376" s="215"/>
      <c r="E376" s="215"/>
      <c r="F376" s="23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  <c r="AA376" s="215"/>
    </row>
    <row r="377">
      <c r="A377" s="215"/>
      <c r="B377" s="237"/>
      <c r="C377" s="236"/>
      <c r="D377" s="215"/>
      <c r="E377" s="215"/>
      <c r="F377" s="23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  <c r="AA377" s="215"/>
    </row>
    <row r="378">
      <c r="A378" s="215"/>
      <c r="B378" s="237"/>
      <c r="C378" s="236"/>
      <c r="D378" s="215"/>
      <c r="E378" s="215"/>
      <c r="F378" s="23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  <c r="AA378" s="215"/>
    </row>
    <row r="379">
      <c r="A379" s="215"/>
      <c r="B379" s="237"/>
      <c r="C379" s="236"/>
      <c r="D379" s="215"/>
      <c r="E379" s="215"/>
      <c r="F379" s="23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  <c r="AA379" s="215"/>
    </row>
    <row r="380">
      <c r="A380" s="215"/>
      <c r="B380" s="237"/>
      <c r="C380" s="236"/>
      <c r="D380" s="215"/>
      <c r="E380" s="215"/>
      <c r="F380" s="23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  <c r="AA380" s="215"/>
    </row>
    <row r="381">
      <c r="A381" s="215"/>
      <c r="B381" s="237"/>
      <c r="C381" s="236"/>
      <c r="D381" s="215"/>
      <c r="E381" s="215"/>
      <c r="F381" s="23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  <c r="AA381" s="215"/>
    </row>
    <row r="382">
      <c r="A382" s="215"/>
      <c r="B382" s="237"/>
      <c r="C382" s="236"/>
      <c r="D382" s="215"/>
      <c r="E382" s="215"/>
      <c r="F382" s="23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  <c r="AA382" s="215"/>
    </row>
    <row r="383">
      <c r="A383" s="215"/>
      <c r="B383" s="237"/>
      <c r="C383" s="236"/>
      <c r="D383" s="215"/>
      <c r="E383" s="215"/>
      <c r="F383" s="23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  <c r="AA383" s="215"/>
    </row>
    <row r="384">
      <c r="A384" s="215"/>
      <c r="B384" s="237"/>
      <c r="C384" s="236"/>
      <c r="D384" s="215"/>
      <c r="E384" s="215"/>
      <c r="F384" s="23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  <c r="AA384" s="215"/>
    </row>
    <row r="385">
      <c r="A385" s="215"/>
      <c r="B385" s="237"/>
      <c r="C385" s="236"/>
      <c r="D385" s="215"/>
      <c r="E385" s="215"/>
      <c r="F385" s="23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  <c r="AA385" s="215"/>
    </row>
    <row r="386">
      <c r="A386" s="215"/>
      <c r="B386" s="237"/>
      <c r="C386" s="236"/>
      <c r="D386" s="215"/>
      <c r="E386" s="215"/>
      <c r="F386" s="23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  <c r="AA386" s="215"/>
    </row>
    <row r="387">
      <c r="A387" s="215"/>
      <c r="B387" s="237"/>
      <c r="C387" s="236"/>
      <c r="D387" s="215"/>
      <c r="E387" s="215"/>
      <c r="F387" s="23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  <c r="AA387" s="215"/>
    </row>
    <row r="388">
      <c r="A388" s="215"/>
      <c r="B388" s="237"/>
      <c r="C388" s="236"/>
      <c r="D388" s="215"/>
      <c r="E388" s="215"/>
      <c r="F388" s="23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  <c r="AA388" s="215"/>
    </row>
    <row r="389">
      <c r="A389" s="215"/>
      <c r="B389" s="237"/>
      <c r="C389" s="236"/>
      <c r="D389" s="215"/>
      <c r="E389" s="215"/>
      <c r="F389" s="23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  <c r="AA389" s="215"/>
    </row>
    <row r="390">
      <c r="A390" s="215"/>
      <c r="B390" s="237"/>
      <c r="C390" s="236"/>
      <c r="D390" s="215"/>
      <c r="E390" s="215"/>
      <c r="F390" s="23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  <c r="AA390" s="215"/>
    </row>
    <row r="391">
      <c r="A391" s="215"/>
      <c r="B391" s="237"/>
      <c r="C391" s="236"/>
      <c r="D391" s="215"/>
      <c r="E391" s="215"/>
      <c r="F391" s="23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  <c r="AA391" s="215"/>
    </row>
    <row r="392">
      <c r="A392" s="215"/>
      <c r="B392" s="237"/>
      <c r="C392" s="236"/>
      <c r="D392" s="215"/>
      <c r="E392" s="215"/>
      <c r="F392" s="23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  <c r="AA392" s="215"/>
    </row>
    <row r="393">
      <c r="A393" s="215"/>
      <c r="B393" s="237"/>
      <c r="C393" s="236"/>
      <c r="D393" s="215"/>
      <c r="E393" s="215"/>
      <c r="F393" s="23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  <c r="AA393" s="215"/>
    </row>
    <row r="394">
      <c r="A394" s="215"/>
      <c r="B394" s="237"/>
      <c r="C394" s="236"/>
      <c r="D394" s="215"/>
      <c r="E394" s="215"/>
      <c r="F394" s="23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  <c r="AA394" s="215"/>
    </row>
    <row r="395">
      <c r="A395" s="215"/>
      <c r="B395" s="237"/>
      <c r="C395" s="236"/>
      <c r="D395" s="215"/>
      <c r="E395" s="215"/>
      <c r="F395" s="23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  <c r="AA395" s="215"/>
    </row>
    <row r="396">
      <c r="A396" s="215"/>
      <c r="B396" s="237"/>
      <c r="C396" s="236"/>
      <c r="D396" s="215"/>
      <c r="E396" s="215"/>
      <c r="F396" s="23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  <c r="AA396" s="215"/>
    </row>
    <row r="397">
      <c r="A397" s="215"/>
      <c r="B397" s="237"/>
      <c r="C397" s="236"/>
      <c r="D397" s="215"/>
      <c r="E397" s="215"/>
      <c r="F397" s="23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  <c r="AA397" s="215"/>
    </row>
    <row r="398">
      <c r="A398" s="215"/>
      <c r="B398" s="237"/>
      <c r="C398" s="236"/>
      <c r="D398" s="215"/>
      <c r="E398" s="215"/>
      <c r="F398" s="23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  <c r="AA398" s="215"/>
    </row>
    <row r="399">
      <c r="A399" s="215"/>
      <c r="B399" s="237"/>
      <c r="C399" s="236"/>
      <c r="D399" s="215"/>
      <c r="E399" s="215"/>
      <c r="F399" s="23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  <c r="AA399" s="215"/>
    </row>
    <row r="400">
      <c r="A400" s="215"/>
      <c r="B400" s="237"/>
      <c r="C400" s="236"/>
      <c r="D400" s="215"/>
      <c r="E400" s="215"/>
      <c r="F400" s="23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  <c r="AA400" s="215"/>
    </row>
    <row r="401">
      <c r="A401" s="215"/>
      <c r="B401" s="237"/>
      <c r="C401" s="236"/>
      <c r="D401" s="215"/>
      <c r="E401" s="215"/>
      <c r="F401" s="23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  <c r="AA401" s="215"/>
    </row>
    <row r="402">
      <c r="A402" s="215"/>
      <c r="B402" s="237"/>
      <c r="C402" s="236"/>
      <c r="D402" s="215"/>
      <c r="E402" s="215"/>
      <c r="F402" s="23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  <c r="AA402" s="215"/>
    </row>
    <row r="403">
      <c r="A403" s="215"/>
      <c r="B403" s="237"/>
      <c r="C403" s="236"/>
      <c r="D403" s="215"/>
      <c r="E403" s="215"/>
      <c r="F403" s="23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  <c r="AA403" s="215"/>
    </row>
    <row r="404">
      <c r="A404" s="215"/>
      <c r="B404" s="237"/>
      <c r="C404" s="236"/>
      <c r="D404" s="215"/>
      <c r="E404" s="215"/>
      <c r="F404" s="23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  <c r="AA404" s="215"/>
    </row>
    <row r="405">
      <c r="A405" s="215"/>
      <c r="B405" s="237"/>
      <c r="C405" s="236"/>
      <c r="D405" s="215"/>
      <c r="E405" s="215"/>
      <c r="F405" s="23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  <c r="AA405" s="215"/>
    </row>
    <row r="406">
      <c r="A406" s="215"/>
      <c r="B406" s="237"/>
      <c r="C406" s="236"/>
      <c r="D406" s="215"/>
      <c r="E406" s="215"/>
      <c r="F406" s="23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  <c r="AA406" s="215"/>
    </row>
    <row r="407">
      <c r="A407" s="215"/>
      <c r="B407" s="237"/>
      <c r="C407" s="236"/>
      <c r="D407" s="215"/>
      <c r="E407" s="215"/>
      <c r="F407" s="23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  <c r="AA407" s="215"/>
    </row>
    <row r="408">
      <c r="A408" s="215"/>
      <c r="B408" s="237"/>
      <c r="C408" s="236"/>
      <c r="D408" s="215"/>
      <c r="E408" s="215"/>
      <c r="F408" s="23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  <c r="AA408" s="215"/>
    </row>
    <row r="409">
      <c r="A409" s="215"/>
      <c r="B409" s="237"/>
      <c r="C409" s="236"/>
      <c r="D409" s="215"/>
      <c r="E409" s="215"/>
      <c r="F409" s="23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  <c r="AA409" s="215"/>
    </row>
    <row r="410">
      <c r="A410" s="215"/>
      <c r="B410" s="237"/>
      <c r="C410" s="236"/>
      <c r="D410" s="215"/>
      <c r="E410" s="215"/>
      <c r="F410" s="23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  <c r="AA410" s="215"/>
    </row>
    <row r="411">
      <c r="A411" s="215"/>
      <c r="B411" s="237"/>
      <c r="C411" s="236"/>
      <c r="D411" s="215"/>
      <c r="E411" s="215"/>
      <c r="F411" s="23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  <c r="AA411" s="215"/>
    </row>
    <row r="412">
      <c r="A412" s="215"/>
      <c r="B412" s="237"/>
      <c r="C412" s="236"/>
      <c r="D412" s="215"/>
      <c r="E412" s="215"/>
      <c r="F412" s="23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  <c r="AA412" s="215"/>
    </row>
    <row r="413">
      <c r="A413" s="215"/>
      <c r="B413" s="237"/>
      <c r="C413" s="236"/>
      <c r="D413" s="215"/>
      <c r="E413" s="215"/>
      <c r="F413" s="23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  <c r="AA413" s="215"/>
    </row>
    <row r="414">
      <c r="A414" s="215"/>
      <c r="B414" s="237"/>
      <c r="C414" s="236"/>
      <c r="D414" s="215"/>
      <c r="E414" s="215"/>
      <c r="F414" s="23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  <c r="AA414" s="215"/>
    </row>
    <row r="415">
      <c r="A415" s="215"/>
      <c r="B415" s="237"/>
      <c r="C415" s="236"/>
      <c r="D415" s="215"/>
      <c r="E415" s="215"/>
      <c r="F415" s="23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  <c r="AA415" s="215"/>
    </row>
    <row r="416">
      <c r="A416" s="215"/>
      <c r="B416" s="237"/>
      <c r="C416" s="236"/>
      <c r="D416" s="215"/>
      <c r="E416" s="215"/>
      <c r="F416" s="23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  <c r="AA416" s="215"/>
    </row>
    <row r="417">
      <c r="A417" s="215"/>
      <c r="B417" s="237"/>
      <c r="C417" s="236"/>
      <c r="D417" s="215"/>
      <c r="E417" s="215"/>
      <c r="F417" s="23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  <c r="AA417" s="215"/>
    </row>
    <row r="418">
      <c r="A418" s="215"/>
      <c r="B418" s="237"/>
      <c r="C418" s="236"/>
      <c r="D418" s="215"/>
      <c r="E418" s="215"/>
      <c r="F418" s="23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  <c r="AA418" s="215"/>
    </row>
    <row r="419">
      <c r="A419" s="215"/>
      <c r="B419" s="237"/>
      <c r="C419" s="236"/>
      <c r="D419" s="215"/>
      <c r="E419" s="215"/>
      <c r="F419" s="23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  <c r="AA419" s="215"/>
    </row>
    <row r="420">
      <c r="A420" s="215"/>
      <c r="B420" s="237"/>
      <c r="C420" s="236"/>
      <c r="D420" s="215"/>
      <c r="E420" s="215"/>
      <c r="F420" s="23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  <c r="AA420" s="215"/>
    </row>
    <row r="421">
      <c r="A421" s="215"/>
      <c r="B421" s="237"/>
      <c r="C421" s="236"/>
      <c r="D421" s="215"/>
      <c r="E421" s="215"/>
      <c r="F421" s="23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  <c r="AA421" s="215"/>
    </row>
    <row r="422">
      <c r="A422" s="215"/>
      <c r="B422" s="237"/>
      <c r="C422" s="236"/>
      <c r="D422" s="215"/>
      <c r="E422" s="215"/>
      <c r="F422" s="23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  <c r="AA422" s="215"/>
    </row>
    <row r="423">
      <c r="A423" s="215"/>
      <c r="B423" s="237"/>
      <c r="C423" s="236"/>
      <c r="D423" s="215"/>
      <c r="E423" s="215"/>
      <c r="F423" s="23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  <c r="AA423" s="215"/>
    </row>
    <row r="424">
      <c r="A424" s="215"/>
      <c r="B424" s="237"/>
      <c r="C424" s="236"/>
      <c r="D424" s="215"/>
      <c r="E424" s="215"/>
      <c r="F424" s="23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  <c r="AA424" s="215"/>
    </row>
    <row r="425">
      <c r="A425" s="215"/>
      <c r="B425" s="237"/>
      <c r="C425" s="236"/>
      <c r="D425" s="215"/>
      <c r="E425" s="215"/>
      <c r="F425" s="23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  <c r="AA425" s="215"/>
    </row>
    <row r="426">
      <c r="A426" s="215"/>
      <c r="B426" s="237"/>
      <c r="C426" s="236"/>
      <c r="D426" s="215"/>
      <c r="E426" s="215"/>
      <c r="F426" s="23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  <c r="AA426" s="215"/>
    </row>
    <row r="427">
      <c r="A427" s="215"/>
      <c r="B427" s="237"/>
      <c r="C427" s="236"/>
      <c r="D427" s="215"/>
      <c r="E427" s="215"/>
      <c r="F427" s="23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  <c r="AA427" s="215"/>
    </row>
    <row r="428">
      <c r="A428" s="215"/>
      <c r="B428" s="237"/>
      <c r="C428" s="236"/>
      <c r="D428" s="215"/>
      <c r="E428" s="215"/>
      <c r="F428" s="23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  <c r="AA428" s="215"/>
    </row>
    <row r="429">
      <c r="A429" s="215"/>
      <c r="B429" s="237"/>
      <c r="C429" s="236"/>
      <c r="D429" s="215"/>
      <c r="E429" s="215"/>
      <c r="F429" s="23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  <c r="AA429" s="215"/>
    </row>
    <row r="430">
      <c r="A430" s="215"/>
      <c r="B430" s="237"/>
      <c r="C430" s="236"/>
      <c r="D430" s="215"/>
      <c r="E430" s="215"/>
      <c r="F430" s="23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  <c r="AA430" s="215"/>
    </row>
    <row r="431">
      <c r="A431" s="215"/>
      <c r="B431" s="237"/>
      <c r="C431" s="236"/>
      <c r="D431" s="215"/>
      <c r="E431" s="215"/>
      <c r="F431" s="23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  <c r="AA431" s="215"/>
    </row>
    <row r="432">
      <c r="A432" s="215"/>
      <c r="B432" s="237"/>
      <c r="C432" s="236"/>
      <c r="D432" s="215"/>
      <c r="E432" s="215"/>
      <c r="F432" s="23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  <c r="AA432" s="215"/>
    </row>
    <row r="433">
      <c r="A433" s="215"/>
      <c r="B433" s="237"/>
      <c r="C433" s="236"/>
      <c r="D433" s="215"/>
      <c r="E433" s="215"/>
      <c r="F433" s="23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  <c r="AA433" s="215"/>
    </row>
    <row r="434">
      <c r="A434" s="215"/>
      <c r="B434" s="237"/>
      <c r="C434" s="236"/>
      <c r="D434" s="215"/>
      <c r="E434" s="215"/>
      <c r="F434" s="23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  <c r="AA434" s="215"/>
    </row>
    <row r="435">
      <c r="A435" s="215"/>
      <c r="B435" s="237"/>
      <c r="C435" s="236"/>
      <c r="D435" s="215"/>
      <c r="E435" s="215"/>
      <c r="F435" s="23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  <c r="AA435" s="215"/>
    </row>
    <row r="436">
      <c r="A436" s="215"/>
      <c r="B436" s="237"/>
      <c r="C436" s="236"/>
      <c r="D436" s="215"/>
      <c r="E436" s="215"/>
      <c r="F436" s="23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  <c r="AA436" s="215"/>
    </row>
    <row r="437">
      <c r="A437" s="215"/>
      <c r="B437" s="237"/>
      <c r="C437" s="236"/>
      <c r="D437" s="215"/>
      <c r="E437" s="215"/>
      <c r="F437" s="23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  <c r="AA437" s="215"/>
    </row>
    <row r="438">
      <c r="A438" s="215"/>
      <c r="B438" s="237"/>
      <c r="C438" s="236"/>
      <c r="D438" s="215"/>
      <c r="E438" s="215"/>
      <c r="F438" s="23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  <c r="AA438" s="215"/>
    </row>
    <row r="439">
      <c r="A439" s="215"/>
      <c r="B439" s="237"/>
      <c r="C439" s="236"/>
      <c r="D439" s="215"/>
      <c r="E439" s="215"/>
      <c r="F439" s="23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  <c r="AA439" s="215"/>
    </row>
    <row r="440">
      <c r="A440" s="215"/>
      <c r="B440" s="237"/>
      <c r="C440" s="236"/>
      <c r="D440" s="215"/>
      <c r="E440" s="215"/>
      <c r="F440" s="23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  <c r="AA440" s="215"/>
    </row>
    <row r="441">
      <c r="A441" s="215"/>
      <c r="B441" s="237"/>
      <c r="C441" s="236"/>
      <c r="D441" s="215"/>
      <c r="E441" s="215"/>
      <c r="F441" s="23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  <c r="AA441" s="215"/>
    </row>
    <row r="442">
      <c r="A442" s="215"/>
      <c r="B442" s="237"/>
      <c r="C442" s="236"/>
      <c r="D442" s="215"/>
      <c r="E442" s="215"/>
      <c r="F442" s="23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  <c r="AA442" s="215"/>
    </row>
    <row r="443">
      <c r="A443" s="215"/>
      <c r="B443" s="237"/>
      <c r="C443" s="236"/>
      <c r="D443" s="215"/>
      <c r="E443" s="215"/>
      <c r="F443" s="23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  <c r="AA443" s="215"/>
    </row>
    <row r="444">
      <c r="A444" s="215"/>
      <c r="B444" s="237"/>
      <c r="C444" s="236"/>
      <c r="D444" s="215"/>
      <c r="E444" s="215"/>
      <c r="F444" s="23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  <c r="AA444" s="215"/>
    </row>
    <row r="445">
      <c r="A445" s="215"/>
      <c r="B445" s="237"/>
      <c r="C445" s="236"/>
      <c r="D445" s="215"/>
      <c r="E445" s="215"/>
      <c r="F445" s="23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  <c r="AA445" s="215"/>
    </row>
    <row r="446">
      <c r="A446" s="215"/>
      <c r="B446" s="237"/>
      <c r="C446" s="236"/>
      <c r="D446" s="215"/>
      <c r="E446" s="215"/>
      <c r="F446" s="23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  <c r="AA446" s="215"/>
    </row>
    <row r="447">
      <c r="A447" s="215"/>
      <c r="B447" s="237"/>
      <c r="C447" s="236"/>
      <c r="D447" s="215"/>
      <c r="E447" s="215"/>
      <c r="F447" s="23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  <c r="AA447" s="215"/>
    </row>
    <row r="448">
      <c r="A448" s="215"/>
      <c r="B448" s="237"/>
      <c r="C448" s="236"/>
      <c r="D448" s="215"/>
      <c r="E448" s="215"/>
      <c r="F448" s="23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  <c r="AA448" s="215"/>
    </row>
    <row r="449">
      <c r="A449" s="215"/>
      <c r="B449" s="237"/>
      <c r="C449" s="236"/>
      <c r="D449" s="215"/>
      <c r="E449" s="215"/>
      <c r="F449" s="23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  <c r="AA449" s="215"/>
    </row>
    <row r="450">
      <c r="A450" s="215"/>
      <c r="B450" s="237"/>
      <c r="C450" s="236"/>
      <c r="D450" s="215"/>
      <c r="E450" s="215"/>
      <c r="F450" s="23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  <c r="AA450" s="215"/>
    </row>
    <row r="451">
      <c r="A451" s="215"/>
      <c r="B451" s="237"/>
      <c r="C451" s="236"/>
      <c r="D451" s="215"/>
      <c r="E451" s="215"/>
      <c r="F451" s="23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  <c r="AA451" s="215"/>
    </row>
    <row r="452">
      <c r="A452" s="215"/>
      <c r="B452" s="237"/>
      <c r="C452" s="236"/>
      <c r="D452" s="215"/>
      <c r="E452" s="215"/>
      <c r="F452" s="23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  <c r="AA452" s="215"/>
    </row>
    <row r="453">
      <c r="A453" s="215"/>
      <c r="B453" s="237"/>
      <c r="C453" s="236"/>
      <c r="D453" s="215"/>
      <c r="E453" s="215"/>
      <c r="F453" s="23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  <c r="AA453" s="215"/>
    </row>
    <row r="454">
      <c r="A454" s="215"/>
      <c r="B454" s="237"/>
      <c r="C454" s="236"/>
      <c r="D454" s="215"/>
      <c r="E454" s="215"/>
      <c r="F454" s="23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</row>
    <row r="455">
      <c r="A455" s="215"/>
      <c r="B455" s="237"/>
      <c r="C455" s="236"/>
      <c r="D455" s="215"/>
      <c r="E455" s="215"/>
      <c r="F455" s="23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</row>
    <row r="456">
      <c r="A456" s="215"/>
      <c r="B456" s="237"/>
      <c r="C456" s="236"/>
      <c r="D456" s="215"/>
      <c r="E456" s="215"/>
      <c r="F456" s="23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</row>
    <row r="457">
      <c r="A457" s="215"/>
      <c r="B457" s="237"/>
      <c r="C457" s="236"/>
      <c r="D457" s="215"/>
      <c r="E457" s="215"/>
      <c r="F457" s="23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</row>
    <row r="458">
      <c r="A458" s="215"/>
      <c r="B458" s="237"/>
      <c r="C458" s="236"/>
      <c r="D458" s="215"/>
      <c r="E458" s="215"/>
      <c r="F458" s="23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</row>
    <row r="459">
      <c r="A459" s="215"/>
      <c r="B459" s="237"/>
      <c r="C459" s="236"/>
      <c r="D459" s="215"/>
      <c r="E459" s="215"/>
      <c r="F459" s="23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  <c r="AA459" s="215"/>
    </row>
    <row r="460">
      <c r="A460" s="215"/>
      <c r="B460" s="237"/>
      <c r="C460" s="236"/>
      <c r="D460" s="215"/>
      <c r="E460" s="215"/>
      <c r="F460" s="23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  <c r="AA460" s="215"/>
    </row>
    <row r="461">
      <c r="A461" s="215"/>
      <c r="B461" s="237"/>
      <c r="C461" s="236"/>
      <c r="D461" s="215"/>
      <c r="E461" s="215"/>
      <c r="F461" s="23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  <c r="AA461" s="215"/>
    </row>
    <row r="462">
      <c r="A462" s="215"/>
      <c r="B462" s="237"/>
      <c r="C462" s="236"/>
      <c r="D462" s="215"/>
      <c r="E462" s="215"/>
      <c r="F462" s="23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  <c r="AA462" s="215"/>
    </row>
    <row r="463">
      <c r="A463" s="215"/>
      <c r="B463" s="237"/>
      <c r="C463" s="236"/>
      <c r="D463" s="215"/>
      <c r="E463" s="215"/>
      <c r="F463" s="23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  <c r="AA463" s="215"/>
    </row>
    <row r="464">
      <c r="A464" s="215"/>
      <c r="B464" s="237"/>
      <c r="C464" s="236"/>
      <c r="D464" s="215"/>
      <c r="E464" s="215"/>
      <c r="F464" s="23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  <c r="AA464" s="215"/>
    </row>
    <row r="465">
      <c r="A465" s="215"/>
      <c r="B465" s="237"/>
      <c r="C465" s="236"/>
      <c r="D465" s="215"/>
      <c r="E465" s="215"/>
      <c r="F465" s="23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  <c r="AA465" s="215"/>
    </row>
    <row r="466">
      <c r="A466" s="215"/>
      <c r="B466" s="237"/>
      <c r="C466" s="236"/>
      <c r="D466" s="215"/>
      <c r="E466" s="215"/>
      <c r="F466" s="23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  <c r="AA466" s="215"/>
    </row>
    <row r="467">
      <c r="A467" s="215"/>
      <c r="B467" s="237"/>
      <c r="C467" s="236"/>
      <c r="D467" s="215"/>
      <c r="E467" s="215"/>
      <c r="F467" s="23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  <c r="AA467" s="215"/>
    </row>
    <row r="468">
      <c r="A468" s="215"/>
      <c r="B468" s="237"/>
      <c r="C468" s="236"/>
      <c r="D468" s="215"/>
      <c r="E468" s="215"/>
      <c r="F468" s="23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  <c r="AA468" s="215"/>
    </row>
    <row r="469">
      <c r="A469" s="215"/>
      <c r="B469" s="237"/>
      <c r="C469" s="236"/>
      <c r="D469" s="215"/>
      <c r="E469" s="215"/>
      <c r="F469" s="23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  <c r="AA469" s="215"/>
    </row>
    <row r="470">
      <c r="A470" s="215"/>
      <c r="B470" s="237"/>
      <c r="C470" s="236"/>
      <c r="D470" s="215"/>
      <c r="E470" s="215"/>
      <c r="F470" s="23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  <c r="AA470" s="215"/>
    </row>
    <row r="471">
      <c r="A471" s="215"/>
      <c r="B471" s="237"/>
      <c r="C471" s="236"/>
      <c r="D471" s="215"/>
      <c r="E471" s="215"/>
      <c r="F471" s="23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  <c r="AA471" s="215"/>
    </row>
    <row r="472">
      <c r="A472" s="215"/>
      <c r="B472" s="237"/>
      <c r="C472" s="236"/>
      <c r="D472" s="215"/>
      <c r="E472" s="215"/>
      <c r="F472" s="23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  <c r="AA472" s="215"/>
    </row>
    <row r="473">
      <c r="A473" s="215"/>
      <c r="B473" s="237"/>
      <c r="C473" s="236"/>
      <c r="D473" s="215"/>
      <c r="E473" s="215"/>
      <c r="F473" s="23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  <c r="AA473" s="215"/>
    </row>
    <row r="474">
      <c r="A474" s="215"/>
      <c r="B474" s="237"/>
      <c r="C474" s="236"/>
      <c r="D474" s="215"/>
      <c r="E474" s="215"/>
      <c r="F474" s="23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  <c r="AA474" s="215"/>
    </row>
    <row r="475">
      <c r="A475" s="215"/>
      <c r="B475" s="237"/>
      <c r="C475" s="236"/>
      <c r="D475" s="215"/>
      <c r="E475" s="215"/>
      <c r="F475" s="23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  <c r="AA475" s="215"/>
    </row>
    <row r="476">
      <c r="A476" s="215"/>
      <c r="B476" s="237"/>
      <c r="C476" s="236"/>
      <c r="D476" s="215"/>
      <c r="E476" s="215"/>
      <c r="F476" s="23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  <c r="AA476" s="215"/>
    </row>
    <row r="477">
      <c r="A477" s="215"/>
      <c r="B477" s="237"/>
      <c r="C477" s="236"/>
      <c r="D477" s="215"/>
      <c r="E477" s="215"/>
      <c r="F477" s="23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  <c r="AA477" s="215"/>
    </row>
    <row r="478">
      <c r="A478" s="215"/>
      <c r="B478" s="237"/>
      <c r="C478" s="236"/>
      <c r="D478" s="215"/>
      <c r="E478" s="215"/>
      <c r="F478" s="23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  <c r="AA478" s="215"/>
    </row>
    <row r="479">
      <c r="A479" s="215"/>
      <c r="B479" s="237"/>
      <c r="C479" s="236"/>
      <c r="D479" s="215"/>
      <c r="E479" s="215"/>
      <c r="F479" s="23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  <c r="AA479" s="215"/>
    </row>
    <row r="480">
      <c r="A480" s="215"/>
      <c r="B480" s="237"/>
      <c r="C480" s="236"/>
      <c r="D480" s="215"/>
      <c r="E480" s="215"/>
      <c r="F480" s="23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  <c r="AA480" s="215"/>
    </row>
    <row r="481">
      <c r="A481" s="215"/>
      <c r="B481" s="237"/>
      <c r="C481" s="236"/>
      <c r="D481" s="215"/>
      <c r="E481" s="215"/>
      <c r="F481" s="23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  <c r="AA481" s="215"/>
    </row>
    <row r="482">
      <c r="A482" s="215"/>
      <c r="B482" s="237"/>
      <c r="C482" s="236"/>
      <c r="D482" s="215"/>
      <c r="E482" s="215"/>
      <c r="F482" s="23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  <c r="AA482" s="215"/>
    </row>
    <row r="483">
      <c r="A483" s="215"/>
      <c r="B483" s="237"/>
      <c r="C483" s="236"/>
      <c r="D483" s="215"/>
      <c r="E483" s="215"/>
      <c r="F483" s="23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  <c r="AA483" s="215"/>
    </row>
    <row r="484">
      <c r="A484" s="215"/>
      <c r="B484" s="237"/>
      <c r="C484" s="236"/>
      <c r="D484" s="215"/>
      <c r="E484" s="215"/>
      <c r="F484" s="23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  <c r="AA484" s="215"/>
    </row>
    <row r="485">
      <c r="A485" s="215"/>
      <c r="B485" s="237"/>
      <c r="C485" s="236"/>
      <c r="D485" s="215"/>
      <c r="E485" s="215"/>
      <c r="F485" s="23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  <c r="AA485" s="215"/>
    </row>
    <row r="486">
      <c r="A486" s="215"/>
      <c r="B486" s="237"/>
      <c r="C486" s="236"/>
      <c r="D486" s="215"/>
      <c r="E486" s="215"/>
      <c r="F486" s="23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  <c r="AA486" s="215"/>
    </row>
    <row r="487">
      <c r="A487" s="215"/>
      <c r="B487" s="237"/>
      <c r="C487" s="236"/>
      <c r="D487" s="215"/>
      <c r="E487" s="215"/>
      <c r="F487" s="23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  <c r="AA487" s="215"/>
    </row>
    <row r="488">
      <c r="A488" s="215"/>
      <c r="B488" s="237"/>
      <c r="C488" s="236"/>
      <c r="D488" s="215"/>
      <c r="E488" s="215"/>
      <c r="F488" s="23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  <c r="AA488" s="215"/>
    </row>
    <row r="489">
      <c r="A489" s="215"/>
      <c r="B489" s="237"/>
      <c r="C489" s="236"/>
      <c r="D489" s="215"/>
      <c r="E489" s="215"/>
      <c r="F489" s="23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  <c r="AA489" s="215"/>
    </row>
    <row r="490">
      <c r="A490" s="215"/>
      <c r="B490" s="237"/>
      <c r="C490" s="236"/>
      <c r="D490" s="215"/>
      <c r="E490" s="215"/>
      <c r="F490" s="23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  <c r="AA490" s="215"/>
    </row>
    <row r="491">
      <c r="A491" s="215"/>
      <c r="B491" s="237"/>
      <c r="C491" s="236"/>
      <c r="D491" s="215"/>
      <c r="E491" s="215"/>
      <c r="F491" s="23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  <c r="AA491" s="215"/>
    </row>
    <row r="492">
      <c r="A492" s="215"/>
      <c r="B492" s="237"/>
      <c r="C492" s="236"/>
      <c r="D492" s="215"/>
      <c r="E492" s="215"/>
      <c r="F492" s="23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  <c r="AA492" s="215"/>
    </row>
    <row r="493">
      <c r="A493" s="215"/>
      <c r="B493" s="237"/>
      <c r="C493" s="236"/>
      <c r="D493" s="215"/>
      <c r="E493" s="215"/>
      <c r="F493" s="23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  <c r="AA493" s="215"/>
    </row>
    <row r="494">
      <c r="A494" s="215"/>
      <c r="B494" s="237"/>
      <c r="C494" s="236"/>
      <c r="D494" s="215"/>
      <c r="E494" s="215"/>
      <c r="F494" s="23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  <c r="AA494" s="215"/>
    </row>
    <row r="495">
      <c r="A495" s="215"/>
      <c r="B495" s="237"/>
      <c r="C495" s="236"/>
      <c r="D495" s="215"/>
      <c r="E495" s="215"/>
      <c r="F495" s="23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  <c r="AA495" s="215"/>
    </row>
    <row r="496">
      <c r="A496" s="215"/>
      <c r="B496" s="237"/>
      <c r="C496" s="236"/>
      <c r="D496" s="215"/>
      <c r="E496" s="215"/>
      <c r="F496" s="23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  <c r="AA496" s="215"/>
    </row>
    <row r="497">
      <c r="A497" s="215"/>
      <c r="B497" s="237"/>
      <c r="C497" s="236"/>
      <c r="D497" s="215"/>
      <c r="E497" s="215"/>
      <c r="F497" s="23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  <c r="AA497" s="215"/>
    </row>
    <row r="498">
      <c r="A498" s="215"/>
      <c r="B498" s="237"/>
      <c r="C498" s="236"/>
      <c r="D498" s="215"/>
      <c r="E498" s="215"/>
      <c r="F498" s="23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  <c r="AA498" s="215"/>
    </row>
    <row r="499">
      <c r="A499" s="215"/>
      <c r="B499" s="237"/>
      <c r="C499" s="236"/>
      <c r="D499" s="215"/>
      <c r="E499" s="215"/>
      <c r="F499" s="23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  <c r="AA499" s="215"/>
    </row>
    <row r="500">
      <c r="A500" s="215"/>
      <c r="B500" s="237"/>
      <c r="C500" s="236"/>
      <c r="D500" s="215"/>
      <c r="E500" s="215"/>
      <c r="F500" s="23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  <c r="AA500" s="215"/>
    </row>
    <row r="501">
      <c r="A501" s="215"/>
      <c r="B501" s="237"/>
      <c r="C501" s="236"/>
      <c r="D501" s="215"/>
      <c r="E501" s="215"/>
      <c r="F501" s="23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  <c r="AA501" s="215"/>
    </row>
    <row r="502">
      <c r="A502" s="215"/>
      <c r="B502" s="237"/>
      <c r="C502" s="236"/>
      <c r="D502" s="215"/>
      <c r="E502" s="215"/>
      <c r="F502" s="23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  <c r="AA502" s="215"/>
    </row>
    <row r="503">
      <c r="A503" s="215"/>
      <c r="B503" s="237"/>
      <c r="C503" s="236"/>
      <c r="D503" s="215"/>
      <c r="E503" s="215"/>
      <c r="F503" s="23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  <c r="AA503" s="215"/>
    </row>
    <row r="504">
      <c r="A504" s="215"/>
      <c r="B504" s="237"/>
      <c r="C504" s="236"/>
      <c r="D504" s="215"/>
      <c r="E504" s="215"/>
      <c r="F504" s="23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  <c r="AA504" s="215"/>
    </row>
    <row r="505">
      <c r="A505" s="215"/>
      <c r="B505" s="237"/>
      <c r="C505" s="236"/>
      <c r="D505" s="215"/>
      <c r="E505" s="215"/>
      <c r="F505" s="23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  <c r="AA505" s="215"/>
    </row>
    <row r="506">
      <c r="A506" s="215"/>
      <c r="B506" s="237"/>
      <c r="C506" s="236"/>
      <c r="D506" s="215"/>
      <c r="E506" s="215"/>
      <c r="F506" s="23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  <c r="AA506" s="215"/>
    </row>
    <row r="507">
      <c r="A507" s="215"/>
      <c r="B507" s="237"/>
      <c r="C507" s="236"/>
      <c r="D507" s="215"/>
      <c r="E507" s="215"/>
      <c r="F507" s="23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  <c r="AA507" s="215"/>
    </row>
    <row r="508">
      <c r="A508" s="215"/>
      <c r="B508" s="237"/>
      <c r="C508" s="236"/>
      <c r="D508" s="215"/>
      <c r="E508" s="215"/>
      <c r="F508" s="23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  <c r="AA508" s="215"/>
    </row>
    <row r="509">
      <c r="A509" s="215"/>
      <c r="B509" s="237"/>
      <c r="C509" s="236"/>
      <c r="D509" s="215"/>
      <c r="E509" s="215"/>
      <c r="F509" s="23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  <c r="AA509" s="215"/>
    </row>
    <row r="510">
      <c r="A510" s="215"/>
      <c r="B510" s="237"/>
      <c r="C510" s="236"/>
      <c r="D510" s="215"/>
      <c r="E510" s="215"/>
      <c r="F510" s="23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  <c r="AA510" s="215"/>
    </row>
    <row r="511">
      <c r="A511" s="215"/>
      <c r="B511" s="237"/>
      <c r="C511" s="236"/>
      <c r="D511" s="215"/>
      <c r="E511" s="215"/>
      <c r="F511" s="23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  <c r="AA511" s="215"/>
    </row>
    <row r="512">
      <c r="A512" s="215"/>
      <c r="B512" s="237"/>
      <c r="C512" s="236"/>
      <c r="D512" s="215"/>
      <c r="E512" s="215"/>
      <c r="F512" s="23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  <c r="AA512" s="215"/>
    </row>
    <row r="513">
      <c r="A513" s="215"/>
      <c r="B513" s="237"/>
      <c r="C513" s="236"/>
      <c r="D513" s="215"/>
      <c r="E513" s="215"/>
      <c r="F513" s="23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  <c r="AA513" s="215"/>
    </row>
    <row r="514">
      <c r="A514" s="215"/>
      <c r="B514" s="237"/>
      <c r="C514" s="236"/>
      <c r="D514" s="215"/>
      <c r="E514" s="215"/>
      <c r="F514" s="23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  <c r="AA514" s="215"/>
    </row>
    <row r="515">
      <c r="A515" s="215"/>
      <c r="B515" s="237"/>
      <c r="C515" s="236"/>
      <c r="D515" s="215"/>
      <c r="E515" s="215"/>
      <c r="F515" s="23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  <c r="AA515" s="215"/>
    </row>
    <row r="516">
      <c r="A516" s="215"/>
      <c r="B516" s="237"/>
      <c r="C516" s="236"/>
      <c r="D516" s="215"/>
      <c r="E516" s="215"/>
      <c r="F516" s="23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  <c r="AA516" s="215"/>
    </row>
    <row r="517">
      <c r="A517" s="215"/>
      <c r="B517" s="237"/>
      <c r="C517" s="236"/>
      <c r="D517" s="215"/>
      <c r="E517" s="215"/>
      <c r="F517" s="23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  <c r="AA517" s="215"/>
    </row>
    <row r="518">
      <c r="A518" s="215"/>
      <c r="B518" s="237"/>
      <c r="C518" s="236"/>
      <c r="D518" s="215"/>
      <c r="E518" s="215"/>
      <c r="F518" s="23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  <c r="AA518" s="215"/>
    </row>
    <row r="519">
      <c r="A519" s="215"/>
      <c r="B519" s="237"/>
      <c r="C519" s="236"/>
      <c r="D519" s="215"/>
      <c r="E519" s="215"/>
      <c r="F519" s="23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  <c r="AA519" s="215"/>
    </row>
    <row r="520">
      <c r="A520" s="215"/>
      <c r="B520" s="237"/>
      <c r="C520" s="236"/>
      <c r="D520" s="215"/>
      <c r="E520" s="215"/>
      <c r="F520" s="23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  <c r="AA520" s="215"/>
    </row>
    <row r="521">
      <c r="A521" s="215"/>
      <c r="B521" s="237"/>
      <c r="C521" s="236"/>
      <c r="D521" s="215"/>
      <c r="E521" s="215"/>
      <c r="F521" s="23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  <c r="AA521" s="215"/>
    </row>
    <row r="522">
      <c r="A522" s="215"/>
      <c r="B522" s="237"/>
      <c r="C522" s="236"/>
      <c r="D522" s="215"/>
      <c r="E522" s="215"/>
      <c r="F522" s="23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  <c r="AA522" s="215"/>
    </row>
    <row r="523">
      <c r="A523" s="215"/>
      <c r="B523" s="237"/>
      <c r="C523" s="236"/>
      <c r="D523" s="215"/>
      <c r="E523" s="215"/>
      <c r="F523" s="23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  <c r="AA523" s="215"/>
    </row>
    <row r="524">
      <c r="A524" s="215"/>
      <c r="B524" s="237"/>
      <c r="C524" s="236"/>
      <c r="D524" s="215"/>
      <c r="E524" s="215"/>
      <c r="F524" s="23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  <c r="AA524" s="215"/>
    </row>
    <row r="525">
      <c r="A525" s="215"/>
      <c r="B525" s="237"/>
      <c r="C525" s="236"/>
      <c r="D525" s="215"/>
      <c r="E525" s="215"/>
      <c r="F525" s="23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  <c r="AA525" s="215"/>
    </row>
    <row r="526">
      <c r="A526" s="215"/>
      <c r="B526" s="237"/>
      <c r="C526" s="236"/>
      <c r="D526" s="215"/>
      <c r="E526" s="215"/>
      <c r="F526" s="23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  <c r="AA526" s="215"/>
    </row>
    <row r="527">
      <c r="A527" s="215"/>
      <c r="B527" s="237"/>
      <c r="C527" s="236"/>
      <c r="D527" s="215"/>
      <c r="E527" s="215"/>
      <c r="F527" s="23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  <c r="AA527" s="215"/>
    </row>
    <row r="528">
      <c r="A528" s="215"/>
      <c r="B528" s="237"/>
      <c r="C528" s="236"/>
      <c r="D528" s="215"/>
      <c r="E528" s="215"/>
      <c r="F528" s="23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  <c r="AA528" s="215"/>
    </row>
    <row r="529">
      <c r="A529" s="215"/>
      <c r="B529" s="237"/>
      <c r="C529" s="236"/>
      <c r="D529" s="215"/>
      <c r="E529" s="215"/>
      <c r="F529" s="23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  <c r="AA529" s="215"/>
    </row>
    <row r="530">
      <c r="A530" s="215"/>
      <c r="B530" s="237"/>
      <c r="C530" s="236"/>
      <c r="D530" s="215"/>
      <c r="E530" s="215"/>
      <c r="F530" s="23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  <c r="AA530" s="215"/>
    </row>
    <row r="531">
      <c r="A531" s="215"/>
      <c r="B531" s="237"/>
      <c r="C531" s="236"/>
      <c r="D531" s="215"/>
      <c r="E531" s="215"/>
      <c r="F531" s="23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  <c r="AA531" s="215"/>
    </row>
    <row r="532">
      <c r="A532" s="215"/>
      <c r="B532" s="237"/>
      <c r="C532" s="236"/>
      <c r="D532" s="215"/>
      <c r="E532" s="215"/>
      <c r="F532" s="23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  <c r="AA532" s="215"/>
    </row>
    <row r="533">
      <c r="A533" s="215"/>
      <c r="B533" s="237"/>
      <c r="C533" s="236"/>
      <c r="D533" s="215"/>
      <c r="E533" s="215"/>
      <c r="F533" s="23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  <c r="AA533" s="215"/>
    </row>
    <row r="534">
      <c r="A534" s="215"/>
      <c r="B534" s="237"/>
      <c r="C534" s="236"/>
      <c r="D534" s="215"/>
      <c r="E534" s="215"/>
      <c r="F534" s="23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  <c r="AA534" s="215"/>
    </row>
    <row r="535">
      <c r="A535" s="215"/>
      <c r="B535" s="237"/>
      <c r="C535" s="236"/>
      <c r="D535" s="215"/>
      <c r="E535" s="215"/>
      <c r="F535" s="23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  <c r="AA535" s="215"/>
    </row>
    <row r="536">
      <c r="A536" s="215"/>
      <c r="B536" s="237"/>
      <c r="C536" s="236"/>
      <c r="D536" s="215"/>
      <c r="E536" s="215"/>
      <c r="F536" s="23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  <c r="AA536" s="215"/>
    </row>
    <row r="537">
      <c r="A537" s="215"/>
      <c r="B537" s="237"/>
      <c r="C537" s="236"/>
      <c r="D537" s="215"/>
      <c r="E537" s="215"/>
      <c r="F537" s="23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  <c r="AA537" s="215"/>
    </row>
    <row r="538">
      <c r="A538" s="215"/>
      <c r="B538" s="237"/>
      <c r="C538" s="236"/>
      <c r="D538" s="215"/>
      <c r="E538" s="215"/>
      <c r="F538" s="23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  <c r="AA538" s="215"/>
    </row>
    <row r="539">
      <c r="A539" s="215"/>
      <c r="B539" s="237"/>
      <c r="C539" s="236"/>
      <c r="D539" s="215"/>
      <c r="E539" s="215"/>
      <c r="F539" s="23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  <c r="AA539" s="215"/>
    </row>
    <row r="540">
      <c r="A540" s="215"/>
      <c r="B540" s="237"/>
      <c r="C540" s="236"/>
      <c r="D540" s="215"/>
      <c r="E540" s="215"/>
      <c r="F540" s="23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  <c r="AA540" s="215"/>
    </row>
    <row r="541">
      <c r="A541" s="215"/>
      <c r="B541" s="237"/>
      <c r="C541" s="236"/>
      <c r="D541" s="215"/>
      <c r="E541" s="215"/>
      <c r="F541" s="23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  <c r="AA541" s="215"/>
    </row>
    <row r="542">
      <c r="A542" s="215"/>
      <c r="B542" s="237"/>
      <c r="C542" s="236"/>
      <c r="D542" s="215"/>
      <c r="E542" s="215"/>
      <c r="F542" s="23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  <c r="AA542" s="215"/>
    </row>
    <row r="543">
      <c r="A543" s="215"/>
      <c r="B543" s="237"/>
      <c r="C543" s="236"/>
      <c r="D543" s="215"/>
      <c r="E543" s="215"/>
      <c r="F543" s="23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  <c r="AA543" s="215"/>
    </row>
    <row r="544">
      <c r="A544" s="215"/>
      <c r="B544" s="237"/>
      <c r="C544" s="236"/>
      <c r="D544" s="215"/>
      <c r="E544" s="215"/>
      <c r="F544" s="23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  <c r="AA544" s="215"/>
    </row>
    <row r="545">
      <c r="A545" s="215"/>
      <c r="B545" s="237"/>
      <c r="C545" s="236"/>
      <c r="D545" s="215"/>
      <c r="E545" s="215"/>
      <c r="F545" s="23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  <c r="AA545" s="215"/>
    </row>
    <row r="546">
      <c r="A546" s="215"/>
      <c r="B546" s="237"/>
      <c r="C546" s="236"/>
      <c r="D546" s="215"/>
      <c r="E546" s="215"/>
      <c r="F546" s="23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  <c r="AA546" s="215"/>
    </row>
    <row r="547">
      <c r="A547" s="215"/>
      <c r="B547" s="237"/>
      <c r="C547" s="236"/>
      <c r="D547" s="215"/>
      <c r="E547" s="215"/>
      <c r="F547" s="23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  <c r="AA547" s="215"/>
    </row>
    <row r="548">
      <c r="A548" s="215"/>
      <c r="B548" s="237"/>
      <c r="C548" s="236"/>
      <c r="D548" s="215"/>
      <c r="E548" s="215"/>
      <c r="F548" s="23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  <c r="AA548" s="215"/>
    </row>
    <row r="549">
      <c r="A549" s="215"/>
      <c r="B549" s="237"/>
      <c r="C549" s="236"/>
      <c r="D549" s="215"/>
      <c r="E549" s="215"/>
      <c r="F549" s="23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  <c r="AA549" s="215"/>
    </row>
    <row r="550">
      <c r="A550" s="215"/>
      <c r="B550" s="237"/>
      <c r="C550" s="236"/>
      <c r="D550" s="215"/>
      <c r="E550" s="215"/>
      <c r="F550" s="23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  <c r="AA550" s="215"/>
    </row>
    <row r="551">
      <c r="A551" s="215"/>
      <c r="B551" s="237"/>
      <c r="C551" s="236"/>
      <c r="D551" s="215"/>
      <c r="E551" s="215"/>
      <c r="F551" s="23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  <c r="AA551" s="215"/>
    </row>
    <row r="552">
      <c r="A552" s="215"/>
      <c r="B552" s="237"/>
      <c r="C552" s="236"/>
      <c r="D552" s="215"/>
      <c r="E552" s="215"/>
      <c r="F552" s="23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  <c r="AA552" s="215"/>
    </row>
    <row r="553">
      <c r="A553" s="215"/>
      <c r="B553" s="237"/>
      <c r="C553" s="236"/>
      <c r="D553" s="215"/>
      <c r="E553" s="215"/>
      <c r="F553" s="23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  <c r="AA553" s="215"/>
    </row>
    <row r="554">
      <c r="A554" s="215"/>
      <c r="B554" s="237"/>
      <c r="C554" s="236"/>
      <c r="D554" s="215"/>
      <c r="E554" s="215"/>
      <c r="F554" s="23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  <c r="AA554" s="215"/>
    </row>
    <row r="555">
      <c r="A555" s="215"/>
      <c r="B555" s="237"/>
      <c r="C555" s="236"/>
      <c r="D555" s="215"/>
      <c r="E555" s="215"/>
      <c r="F555" s="23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  <c r="AA555" s="215"/>
    </row>
    <row r="556">
      <c r="A556" s="215"/>
      <c r="B556" s="237"/>
      <c r="C556" s="236"/>
      <c r="D556" s="215"/>
      <c r="E556" s="215"/>
      <c r="F556" s="23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  <c r="AA556" s="215"/>
    </row>
    <row r="557">
      <c r="A557" s="215"/>
      <c r="B557" s="237"/>
      <c r="C557" s="236"/>
      <c r="D557" s="215"/>
      <c r="E557" s="215"/>
      <c r="F557" s="23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  <c r="AA557" s="215"/>
    </row>
    <row r="558">
      <c r="A558" s="215"/>
      <c r="B558" s="237"/>
      <c r="C558" s="236"/>
      <c r="D558" s="215"/>
      <c r="E558" s="215"/>
      <c r="F558" s="23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  <c r="AA558" s="215"/>
    </row>
    <row r="559">
      <c r="A559" s="215"/>
      <c r="B559" s="237"/>
      <c r="C559" s="236"/>
      <c r="D559" s="215"/>
      <c r="E559" s="215"/>
      <c r="F559" s="23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  <c r="AA559" s="215"/>
    </row>
    <row r="560">
      <c r="A560" s="215"/>
      <c r="B560" s="237"/>
      <c r="C560" s="236"/>
      <c r="D560" s="215"/>
      <c r="E560" s="215"/>
      <c r="F560" s="23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  <c r="AA560" s="215"/>
    </row>
    <row r="561">
      <c r="A561" s="215"/>
      <c r="B561" s="237"/>
      <c r="C561" s="236"/>
      <c r="D561" s="215"/>
      <c r="E561" s="215"/>
      <c r="F561" s="23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  <c r="AA561" s="215"/>
    </row>
    <row r="562">
      <c r="A562" s="215"/>
      <c r="B562" s="237"/>
      <c r="C562" s="236"/>
      <c r="D562" s="215"/>
      <c r="E562" s="215"/>
      <c r="F562" s="23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  <c r="AA562" s="215"/>
    </row>
    <row r="563">
      <c r="A563" s="215"/>
      <c r="B563" s="237"/>
      <c r="C563" s="236"/>
      <c r="D563" s="215"/>
      <c r="E563" s="215"/>
      <c r="F563" s="23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  <c r="AA563" s="215"/>
    </row>
    <row r="564">
      <c r="A564" s="215"/>
      <c r="B564" s="237"/>
      <c r="C564" s="236"/>
      <c r="D564" s="215"/>
      <c r="E564" s="215"/>
      <c r="F564" s="23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  <c r="AA564" s="215"/>
    </row>
    <row r="565">
      <c r="A565" s="215"/>
      <c r="B565" s="237"/>
      <c r="C565" s="236"/>
      <c r="D565" s="215"/>
      <c r="E565" s="215"/>
      <c r="F565" s="23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  <c r="AA565" s="215"/>
    </row>
    <row r="566">
      <c r="A566" s="215"/>
      <c r="B566" s="237"/>
      <c r="C566" s="236"/>
      <c r="D566" s="215"/>
      <c r="E566" s="215"/>
      <c r="F566" s="23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  <c r="AA566" s="215"/>
    </row>
    <row r="567">
      <c r="A567" s="215"/>
      <c r="B567" s="237"/>
      <c r="C567" s="236"/>
      <c r="D567" s="215"/>
      <c r="E567" s="215"/>
      <c r="F567" s="23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  <c r="AA567" s="215"/>
    </row>
    <row r="568">
      <c r="A568" s="215"/>
      <c r="B568" s="237"/>
      <c r="C568" s="236"/>
      <c r="D568" s="215"/>
      <c r="E568" s="215"/>
      <c r="F568" s="23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  <c r="AA568" s="215"/>
    </row>
    <row r="569">
      <c r="A569" s="215"/>
      <c r="B569" s="237"/>
      <c r="C569" s="236"/>
      <c r="D569" s="215"/>
      <c r="E569" s="215"/>
      <c r="F569" s="23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  <c r="AA569" s="215"/>
    </row>
    <row r="570">
      <c r="A570" s="215"/>
      <c r="B570" s="237"/>
      <c r="C570" s="236"/>
      <c r="D570" s="215"/>
      <c r="E570" s="215"/>
      <c r="F570" s="23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</row>
    <row r="571">
      <c r="A571" s="215"/>
      <c r="B571" s="237"/>
      <c r="C571" s="236"/>
      <c r="D571" s="215"/>
      <c r="E571" s="215"/>
      <c r="F571" s="23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  <c r="AA571" s="215"/>
    </row>
    <row r="572">
      <c r="A572" s="215"/>
      <c r="B572" s="237"/>
      <c r="C572" s="236"/>
      <c r="D572" s="215"/>
      <c r="E572" s="215"/>
      <c r="F572" s="23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  <c r="AA572" s="215"/>
    </row>
    <row r="573">
      <c r="A573" s="215"/>
      <c r="B573" s="237"/>
      <c r="C573" s="236"/>
      <c r="D573" s="215"/>
      <c r="E573" s="215"/>
      <c r="F573" s="23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  <c r="AA573" s="215"/>
    </row>
    <row r="574">
      <c r="A574" s="215"/>
      <c r="B574" s="237"/>
      <c r="C574" s="236"/>
      <c r="D574" s="215"/>
      <c r="E574" s="215"/>
      <c r="F574" s="23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  <c r="AA574" s="215"/>
    </row>
    <row r="575">
      <c r="A575" s="215"/>
      <c r="B575" s="237"/>
      <c r="C575" s="236"/>
      <c r="D575" s="215"/>
      <c r="E575" s="215"/>
      <c r="F575" s="23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  <c r="AA575" s="215"/>
    </row>
    <row r="576">
      <c r="A576" s="215"/>
      <c r="B576" s="237"/>
      <c r="C576" s="236"/>
      <c r="D576" s="215"/>
      <c r="E576" s="215"/>
      <c r="F576" s="23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  <c r="AA576" s="215"/>
    </row>
    <row r="577">
      <c r="A577" s="215"/>
      <c r="B577" s="237"/>
      <c r="C577" s="236"/>
      <c r="D577" s="215"/>
      <c r="E577" s="215"/>
      <c r="F577" s="23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  <c r="AA577" s="215"/>
    </row>
    <row r="578">
      <c r="A578" s="215"/>
      <c r="B578" s="237"/>
      <c r="C578" s="236"/>
      <c r="D578" s="215"/>
      <c r="E578" s="215"/>
      <c r="F578" s="23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  <c r="AA578" s="215"/>
    </row>
    <row r="579">
      <c r="A579" s="215"/>
      <c r="B579" s="237"/>
      <c r="C579" s="236"/>
      <c r="D579" s="215"/>
      <c r="E579" s="215"/>
      <c r="F579" s="23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  <c r="AA579" s="215"/>
    </row>
    <row r="580">
      <c r="A580" s="215"/>
      <c r="B580" s="237"/>
      <c r="C580" s="236"/>
      <c r="D580" s="215"/>
      <c r="E580" s="215"/>
      <c r="F580" s="23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  <c r="AA580" s="215"/>
    </row>
    <row r="581">
      <c r="A581" s="215"/>
      <c r="B581" s="237"/>
      <c r="C581" s="236"/>
      <c r="D581" s="215"/>
      <c r="E581" s="215"/>
      <c r="F581" s="23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  <c r="AA581" s="215"/>
    </row>
    <row r="582">
      <c r="A582" s="215"/>
      <c r="B582" s="237"/>
      <c r="C582" s="236"/>
      <c r="D582" s="215"/>
      <c r="E582" s="215"/>
      <c r="F582" s="23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  <c r="AA582" s="215"/>
    </row>
    <row r="583">
      <c r="A583" s="215"/>
      <c r="B583" s="237"/>
      <c r="C583" s="236"/>
      <c r="D583" s="215"/>
      <c r="E583" s="215"/>
      <c r="F583" s="23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  <c r="AA583" s="215"/>
    </row>
    <row r="584">
      <c r="A584" s="215"/>
      <c r="B584" s="237"/>
      <c r="C584" s="236"/>
      <c r="D584" s="215"/>
      <c r="E584" s="215"/>
      <c r="F584" s="23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  <c r="AA584" s="215"/>
    </row>
    <row r="585">
      <c r="A585" s="215"/>
      <c r="B585" s="237"/>
      <c r="C585" s="236"/>
      <c r="D585" s="215"/>
      <c r="E585" s="215"/>
      <c r="F585" s="23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  <c r="AA585" s="215"/>
    </row>
    <row r="586">
      <c r="A586" s="215"/>
      <c r="B586" s="237"/>
      <c r="C586" s="236"/>
      <c r="D586" s="215"/>
      <c r="E586" s="215"/>
      <c r="F586" s="23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  <c r="AA586" s="215"/>
    </row>
    <row r="587">
      <c r="A587" s="215"/>
      <c r="B587" s="237"/>
      <c r="C587" s="236"/>
      <c r="D587" s="215"/>
      <c r="E587" s="215"/>
      <c r="F587" s="23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  <c r="AA587" s="215"/>
    </row>
    <row r="588">
      <c r="A588" s="215"/>
      <c r="B588" s="237"/>
      <c r="C588" s="236"/>
      <c r="D588" s="215"/>
      <c r="E588" s="215"/>
      <c r="F588" s="23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  <c r="AA588" s="215"/>
    </row>
    <row r="589">
      <c r="A589" s="215"/>
      <c r="B589" s="237"/>
      <c r="C589" s="236"/>
      <c r="D589" s="215"/>
      <c r="E589" s="215"/>
      <c r="F589" s="23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  <c r="AA589" s="215"/>
    </row>
    <row r="590">
      <c r="A590" s="215"/>
      <c r="B590" s="237"/>
      <c r="C590" s="236"/>
      <c r="D590" s="215"/>
      <c r="E590" s="215"/>
      <c r="F590" s="23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  <c r="AA590" s="215"/>
    </row>
    <row r="591">
      <c r="A591" s="215"/>
      <c r="B591" s="237"/>
      <c r="C591" s="236"/>
      <c r="D591" s="215"/>
      <c r="E591" s="215"/>
      <c r="F591" s="23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  <c r="AA591" s="215"/>
    </row>
    <row r="592">
      <c r="A592" s="215"/>
      <c r="B592" s="237"/>
      <c r="C592" s="236"/>
      <c r="D592" s="215"/>
      <c r="E592" s="215"/>
      <c r="F592" s="23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  <c r="AA592" s="215"/>
    </row>
    <row r="593">
      <c r="A593" s="215"/>
      <c r="B593" s="237"/>
      <c r="C593" s="236"/>
      <c r="D593" s="215"/>
      <c r="E593" s="215"/>
      <c r="F593" s="23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  <c r="AA593" s="215"/>
    </row>
    <row r="594">
      <c r="A594" s="215"/>
      <c r="B594" s="237"/>
      <c r="C594" s="236"/>
      <c r="D594" s="215"/>
      <c r="E594" s="215"/>
      <c r="F594" s="23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  <c r="AA594" s="215"/>
    </row>
    <row r="595">
      <c r="A595" s="215"/>
      <c r="B595" s="237"/>
      <c r="C595" s="236"/>
      <c r="D595" s="215"/>
      <c r="E595" s="215"/>
      <c r="F595" s="23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  <c r="AA595" s="215"/>
    </row>
    <row r="596">
      <c r="A596" s="215"/>
      <c r="B596" s="237"/>
      <c r="C596" s="236"/>
      <c r="D596" s="215"/>
      <c r="E596" s="215"/>
      <c r="F596" s="23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  <c r="AA596" s="215"/>
    </row>
    <row r="597">
      <c r="A597" s="215"/>
      <c r="B597" s="237"/>
      <c r="C597" s="236"/>
      <c r="D597" s="215"/>
      <c r="E597" s="215"/>
      <c r="F597" s="23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  <c r="AA597" s="215"/>
    </row>
    <row r="598">
      <c r="A598" s="215"/>
      <c r="B598" s="237"/>
      <c r="C598" s="236"/>
      <c r="D598" s="215"/>
      <c r="E598" s="215"/>
      <c r="F598" s="23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  <c r="AA598" s="215"/>
    </row>
    <row r="599">
      <c r="A599" s="215"/>
      <c r="B599" s="237"/>
      <c r="C599" s="236"/>
      <c r="D599" s="215"/>
      <c r="E599" s="215"/>
      <c r="F599" s="23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  <c r="AA599" s="215"/>
    </row>
    <row r="600">
      <c r="A600" s="215"/>
      <c r="B600" s="237"/>
      <c r="C600" s="236"/>
      <c r="D600" s="215"/>
      <c r="E600" s="215"/>
      <c r="F600" s="23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</row>
    <row r="601">
      <c r="A601" s="215"/>
      <c r="B601" s="237"/>
      <c r="C601" s="236"/>
      <c r="D601" s="215"/>
      <c r="E601" s="215"/>
      <c r="F601" s="23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  <c r="AA601" s="215"/>
    </row>
    <row r="602">
      <c r="A602" s="215"/>
      <c r="B602" s="237"/>
      <c r="C602" s="236"/>
      <c r="D602" s="215"/>
      <c r="E602" s="215"/>
      <c r="F602" s="23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  <c r="AA602" s="215"/>
    </row>
    <row r="603">
      <c r="A603" s="215"/>
      <c r="B603" s="237"/>
      <c r="C603" s="236"/>
      <c r="D603" s="215"/>
      <c r="E603" s="215"/>
      <c r="F603" s="23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  <c r="AA603" s="215"/>
    </row>
    <row r="604">
      <c r="A604" s="215"/>
      <c r="B604" s="237"/>
      <c r="C604" s="236"/>
      <c r="D604" s="215"/>
      <c r="E604" s="215"/>
      <c r="F604" s="23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  <c r="AA604" s="215"/>
    </row>
    <row r="605">
      <c r="A605" s="215"/>
      <c r="B605" s="237"/>
      <c r="C605" s="236"/>
      <c r="D605" s="215"/>
      <c r="E605" s="215"/>
      <c r="F605" s="23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  <c r="AA605" s="215"/>
    </row>
    <row r="606">
      <c r="A606" s="215"/>
      <c r="B606" s="237"/>
      <c r="C606" s="236"/>
      <c r="D606" s="215"/>
      <c r="E606" s="215"/>
      <c r="F606" s="23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  <c r="AA606" s="215"/>
    </row>
    <row r="607">
      <c r="A607" s="215"/>
      <c r="B607" s="237"/>
      <c r="C607" s="236"/>
      <c r="D607" s="215"/>
      <c r="E607" s="215"/>
      <c r="F607" s="23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  <c r="AA607" s="215"/>
    </row>
    <row r="608">
      <c r="A608" s="215"/>
      <c r="B608" s="237"/>
      <c r="C608" s="236"/>
      <c r="D608" s="215"/>
      <c r="E608" s="215"/>
      <c r="F608" s="23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  <c r="AA608" s="215"/>
    </row>
    <row r="609">
      <c r="A609" s="215"/>
      <c r="B609" s="237"/>
      <c r="C609" s="236"/>
      <c r="D609" s="215"/>
      <c r="E609" s="215"/>
      <c r="F609" s="23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  <c r="AA609" s="215"/>
    </row>
    <row r="610">
      <c r="A610" s="215"/>
      <c r="B610" s="237"/>
      <c r="C610" s="236"/>
      <c r="D610" s="215"/>
      <c r="E610" s="215"/>
      <c r="F610" s="23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  <c r="AA610" s="215"/>
    </row>
    <row r="611">
      <c r="A611" s="215"/>
      <c r="B611" s="237"/>
      <c r="C611" s="236"/>
      <c r="D611" s="215"/>
      <c r="E611" s="215"/>
      <c r="F611" s="23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  <c r="AA611" s="215"/>
    </row>
    <row r="612">
      <c r="A612" s="215"/>
      <c r="B612" s="237"/>
      <c r="C612" s="236"/>
      <c r="D612" s="215"/>
      <c r="E612" s="215"/>
      <c r="F612" s="23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  <c r="AA612" s="215"/>
    </row>
    <row r="613">
      <c r="A613" s="215"/>
      <c r="B613" s="237"/>
      <c r="C613" s="236"/>
      <c r="D613" s="215"/>
      <c r="E613" s="215"/>
      <c r="F613" s="23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  <c r="AA613" s="215"/>
    </row>
    <row r="614">
      <c r="A614" s="215"/>
      <c r="B614" s="237"/>
      <c r="C614" s="236"/>
      <c r="D614" s="215"/>
      <c r="E614" s="215"/>
      <c r="F614" s="23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  <c r="AA614" s="215"/>
    </row>
    <row r="615">
      <c r="A615" s="215"/>
      <c r="B615" s="237"/>
      <c r="C615" s="236"/>
      <c r="D615" s="215"/>
      <c r="E615" s="215"/>
      <c r="F615" s="23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  <c r="AA615" s="215"/>
    </row>
    <row r="616">
      <c r="A616" s="215"/>
      <c r="B616" s="237"/>
      <c r="C616" s="236"/>
      <c r="D616" s="215"/>
      <c r="E616" s="215"/>
      <c r="F616" s="23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</row>
    <row r="617">
      <c r="A617" s="215"/>
      <c r="B617" s="237"/>
      <c r="C617" s="236"/>
      <c r="D617" s="215"/>
      <c r="E617" s="215"/>
      <c r="F617" s="23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</row>
    <row r="618">
      <c r="A618" s="215"/>
      <c r="B618" s="237"/>
      <c r="C618" s="236"/>
      <c r="D618" s="215"/>
      <c r="E618" s="215"/>
      <c r="F618" s="23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  <c r="AA618" s="215"/>
    </row>
    <row r="619">
      <c r="A619" s="215"/>
      <c r="B619" s="237"/>
      <c r="C619" s="236"/>
      <c r="D619" s="215"/>
      <c r="E619" s="215"/>
      <c r="F619" s="23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  <c r="AA619" s="215"/>
    </row>
    <row r="620">
      <c r="A620" s="215"/>
      <c r="B620" s="237"/>
      <c r="C620" s="236"/>
      <c r="D620" s="215"/>
      <c r="E620" s="215"/>
      <c r="F620" s="23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  <c r="AA620" s="215"/>
    </row>
    <row r="621">
      <c r="A621" s="215"/>
      <c r="B621" s="237"/>
      <c r="C621" s="236"/>
      <c r="D621" s="215"/>
      <c r="E621" s="215"/>
      <c r="F621" s="23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  <c r="AA621" s="215"/>
    </row>
    <row r="622">
      <c r="A622" s="215"/>
      <c r="B622" s="237"/>
      <c r="C622" s="236"/>
      <c r="D622" s="215"/>
      <c r="E622" s="215"/>
      <c r="F622" s="23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  <c r="AA622" s="215"/>
    </row>
    <row r="623">
      <c r="A623" s="215"/>
      <c r="B623" s="237"/>
      <c r="C623" s="236"/>
      <c r="D623" s="215"/>
      <c r="E623" s="215"/>
      <c r="F623" s="23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</row>
    <row r="624">
      <c r="A624" s="215"/>
      <c r="B624" s="237"/>
      <c r="C624" s="236"/>
      <c r="D624" s="215"/>
      <c r="E624" s="215"/>
      <c r="F624" s="23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  <c r="AA624" s="215"/>
    </row>
    <row r="625">
      <c r="A625" s="215"/>
      <c r="B625" s="237"/>
      <c r="C625" s="236"/>
      <c r="D625" s="215"/>
      <c r="E625" s="215"/>
      <c r="F625" s="23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  <c r="AA625" s="215"/>
    </row>
    <row r="626">
      <c r="A626" s="215"/>
      <c r="B626" s="237"/>
      <c r="C626" s="236"/>
      <c r="D626" s="215"/>
      <c r="E626" s="215"/>
      <c r="F626" s="23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  <c r="AA626" s="215"/>
    </row>
    <row r="627">
      <c r="A627" s="215"/>
      <c r="B627" s="237"/>
      <c r="C627" s="236"/>
      <c r="D627" s="215"/>
      <c r="E627" s="215"/>
      <c r="F627" s="23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  <c r="AA627" s="215"/>
    </row>
    <row r="628">
      <c r="A628" s="215"/>
      <c r="B628" s="237"/>
      <c r="C628" s="236"/>
      <c r="D628" s="215"/>
      <c r="E628" s="215"/>
      <c r="F628" s="23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  <c r="AA628" s="215"/>
    </row>
    <row r="629">
      <c r="A629" s="215"/>
      <c r="B629" s="237"/>
      <c r="C629" s="236"/>
      <c r="D629" s="215"/>
      <c r="E629" s="215"/>
      <c r="F629" s="23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  <c r="AA629" s="215"/>
    </row>
    <row r="630">
      <c r="A630" s="215"/>
      <c r="B630" s="237"/>
      <c r="C630" s="236"/>
      <c r="D630" s="215"/>
      <c r="E630" s="215"/>
      <c r="F630" s="23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  <c r="AA630" s="215"/>
    </row>
    <row r="631">
      <c r="A631" s="215"/>
      <c r="B631" s="237"/>
      <c r="C631" s="236"/>
      <c r="D631" s="215"/>
      <c r="E631" s="215"/>
      <c r="F631" s="23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  <c r="AA631" s="215"/>
    </row>
    <row r="632">
      <c r="A632" s="215"/>
      <c r="B632" s="237"/>
      <c r="C632" s="236"/>
      <c r="D632" s="215"/>
      <c r="E632" s="215"/>
      <c r="F632" s="23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  <c r="AA632" s="215"/>
    </row>
    <row r="633">
      <c r="A633" s="215"/>
      <c r="B633" s="237"/>
      <c r="C633" s="236"/>
      <c r="D633" s="215"/>
      <c r="E633" s="215"/>
      <c r="F633" s="23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  <c r="AA633" s="215"/>
    </row>
    <row r="634">
      <c r="A634" s="215"/>
      <c r="B634" s="237"/>
      <c r="C634" s="236"/>
      <c r="D634" s="215"/>
      <c r="E634" s="215"/>
      <c r="F634" s="23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  <c r="AA634" s="215"/>
    </row>
    <row r="635">
      <c r="A635" s="215"/>
      <c r="B635" s="237"/>
      <c r="C635" s="236"/>
      <c r="D635" s="215"/>
      <c r="E635" s="215"/>
      <c r="F635" s="23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</row>
    <row r="636">
      <c r="A636" s="215"/>
      <c r="B636" s="237"/>
      <c r="C636" s="236"/>
      <c r="D636" s="215"/>
      <c r="E636" s="215"/>
      <c r="F636" s="23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  <c r="AA636" s="215"/>
    </row>
    <row r="637">
      <c r="A637" s="215"/>
      <c r="B637" s="237"/>
      <c r="C637" s="236"/>
      <c r="D637" s="215"/>
      <c r="E637" s="215"/>
      <c r="F637" s="23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  <c r="AA637" s="215"/>
    </row>
    <row r="638">
      <c r="A638" s="215"/>
      <c r="B638" s="237"/>
      <c r="C638" s="236"/>
      <c r="D638" s="215"/>
      <c r="E638" s="215"/>
      <c r="F638" s="23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  <c r="AA638" s="215"/>
    </row>
    <row r="639">
      <c r="A639" s="215"/>
      <c r="B639" s="237"/>
      <c r="C639" s="236"/>
      <c r="D639" s="215"/>
      <c r="E639" s="215"/>
      <c r="F639" s="23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  <c r="AA639" s="215"/>
    </row>
    <row r="640">
      <c r="A640" s="215"/>
      <c r="B640" s="237"/>
      <c r="C640" s="236"/>
      <c r="D640" s="215"/>
      <c r="E640" s="215"/>
      <c r="F640" s="23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  <c r="AA640" s="215"/>
    </row>
    <row r="641">
      <c r="A641" s="215"/>
      <c r="B641" s="237"/>
      <c r="C641" s="236"/>
      <c r="D641" s="215"/>
      <c r="E641" s="215"/>
      <c r="F641" s="23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  <c r="AA641" s="215"/>
    </row>
    <row r="642">
      <c r="A642" s="215"/>
      <c r="B642" s="237"/>
      <c r="C642" s="236"/>
      <c r="D642" s="215"/>
      <c r="E642" s="215"/>
      <c r="F642" s="23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  <c r="AA642" s="215"/>
    </row>
    <row r="643">
      <c r="A643" s="215"/>
      <c r="B643" s="237"/>
      <c r="C643" s="236"/>
      <c r="D643" s="215"/>
      <c r="E643" s="215"/>
      <c r="F643" s="23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  <c r="AA643" s="215"/>
    </row>
    <row r="644">
      <c r="A644" s="215"/>
      <c r="B644" s="237"/>
      <c r="C644" s="236"/>
      <c r="D644" s="215"/>
      <c r="E644" s="215"/>
      <c r="F644" s="23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  <c r="AA644" s="215"/>
    </row>
    <row r="645">
      <c r="A645" s="215"/>
      <c r="B645" s="237"/>
      <c r="C645" s="236"/>
      <c r="D645" s="215"/>
      <c r="E645" s="215"/>
      <c r="F645" s="23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  <c r="AA645" s="215"/>
    </row>
    <row r="646">
      <c r="A646" s="215"/>
      <c r="B646" s="237"/>
      <c r="C646" s="236"/>
      <c r="D646" s="215"/>
      <c r="E646" s="215"/>
      <c r="F646" s="23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  <c r="AA646" s="215"/>
    </row>
    <row r="647">
      <c r="A647" s="215"/>
      <c r="B647" s="237"/>
      <c r="C647" s="236"/>
      <c r="D647" s="215"/>
      <c r="E647" s="215"/>
      <c r="F647" s="23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</row>
    <row r="648">
      <c r="A648" s="215"/>
      <c r="B648" s="237"/>
      <c r="C648" s="236"/>
      <c r="D648" s="215"/>
      <c r="E648" s="215"/>
      <c r="F648" s="23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  <c r="AA648" s="215"/>
    </row>
    <row r="649">
      <c r="A649" s="215"/>
      <c r="B649" s="237"/>
      <c r="C649" s="236"/>
      <c r="D649" s="215"/>
      <c r="E649" s="215"/>
      <c r="F649" s="23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  <c r="AA649" s="215"/>
    </row>
    <row r="650">
      <c r="A650" s="215"/>
      <c r="B650" s="237"/>
      <c r="C650" s="236"/>
      <c r="D650" s="215"/>
      <c r="E650" s="215"/>
      <c r="F650" s="23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  <c r="AA650" s="215"/>
    </row>
    <row r="651">
      <c r="A651" s="215"/>
      <c r="B651" s="237"/>
      <c r="C651" s="236"/>
      <c r="D651" s="215"/>
      <c r="E651" s="215"/>
      <c r="F651" s="23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  <c r="AA651" s="215"/>
    </row>
    <row r="652">
      <c r="A652" s="215"/>
      <c r="B652" s="237"/>
      <c r="C652" s="236"/>
      <c r="D652" s="215"/>
      <c r="E652" s="215"/>
      <c r="F652" s="23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</row>
    <row r="653">
      <c r="A653" s="215"/>
      <c r="B653" s="237"/>
      <c r="C653" s="236"/>
      <c r="D653" s="215"/>
      <c r="E653" s="215"/>
      <c r="F653" s="23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  <c r="AA653" s="215"/>
    </row>
    <row r="654">
      <c r="A654" s="215"/>
      <c r="B654" s="237"/>
      <c r="C654" s="236"/>
      <c r="D654" s="215"/>
      <c r="E654" s="215"/>
      <c r="F654" s="23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  <c r="AA654" s="215"/>
    </row>
    <row r="655">
      <c r="A655" s="215"/>
      <c r="B655" s="237"/>
      <c r="C655" s="236"/>
      <c r="D655" s="215"/>
      <c r="E655" s="215"/>
      <c r="F655" s="23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  <c r="AA655" s="215"/>
    </row>
    <row r="656">
      <c r="A656" s="215"/>
      <c r="B656" s="237"/>
      <c r="C656" s="236"/>
      <c r="D656" s="215"/>
      <c r="E656" s="215"/>
      <c r="F656" s="23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  <c r="AA656" s="215"/>
    </row>
    <row r="657">
      <c r="A657" s="215"/>
      <c r="B657" s="237"/>
      <c r="C657" s="236"/>
      <c r="D657" s="215"/>
      <c r="E657" s="215"/>
      <c r="F657" s="23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  <c r="AA657" s="215"/>
    </row>
    <row r="658">
      <c r="A658" s="215"/>
      <c r="B658" s="237"/>
      <c r="C658" s="236"/>
      <c r="D658" s="215"/>
      <c r="E658" s="215"/>
      <c r="F658" s="23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  <c r="AA658" s="215"/>
    </row>
    <row r="659">
      <c r="A659" s="215"/>
      <c r="B659" s="237"/>
      <c r="C659" s="236"/>
      <c r="D659" s="215"/>
      <c r="E659" s="215"/>
      <c r="F659" s="23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  <c r="AA659" s="215"/>
    </row>
    <row r="660">
      <c r="A660" s="215"/>
      <c r="B660" s="237"/>
      <c r="C660" s="236"/>
      <c r="D660" s="215"/>
      <c r="E660" s="215"/>
      <c r="F660" s="23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  <c r="AA660" s="215"/>
    </row>
    <row r="661">
      <c r="A661" s="215"/>
      <c r="B661" s="237"/>
      <c r="C661" s="236"/>
      <c r="D661" s="215"/>
      <c r="E661" s="215"/>
      <c r="F661" s="23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  <c r="AA661" s="215"/>
    </row>
    <row r="662">
      <c r="A662" s="215"/>
      <c r="B662" s="237"/>
      <c r="C662" s="236"/>
      <c r="D662" s="215"/>
      <c r="E662" s="215"/>
      <c r="F662" s="23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  <c r="AA662" s="215"/>
    </row>
    <row r="663">
      <c r="A663" s="215"/>
      <c r="B663" s="237"/>
      <c r="C663" s="236"/>
      <c r="D663" s="215"/>
      <c r="E663" s="215"/>
      <c r="F663" s="23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  <c r="AA663" s="215"/>
    </row>
    <row r="664">
      <c r="A664" s="215"/>
      <c r="B664" s="237"/>
      <c r="C664" s="236"/>
      <c r="D664" s="215"/>
      <c r="E664" s="215"/>
      <c r="F664" s="23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  <c r="AA664" s="215"/>
    </row>
    <row r="665">
      <c r="A665" s="215"/>
      <c r="B665" s="237"/>
      <c r="C665" s="236"/>
      <c r="D665" s="215"/>
      <c r="E665" s="215"/>
      <c r="F665" s="23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  <c r="AA665" s="215"/>
    </row>
    <row r="666">
      <c r="A666" s="215"/>
      <c r="B666" s="237"/>
      <c r="C666" s="236"/>
      <c r="D666" s="215"/>
      <c r="E666" s="215"/>
      <c r="F666" s="23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  <c r="AA666" s="215"/>
    </row>
    <row r="667">
      <c r="A667" s="215"/>
      <c r="B667" s="237"/>
      <c r="C667" s="236"/>
      <c r="D667" s="215"/>
      <c r="E667" s="215"/>
      <c r="F667" s="23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  <c r="AA667" s="215"/>
    </row>
    <row r="668">
      <c r="A668" s="215"/>
      <c r="B668" s="237"/>
      <c r="C668" s="236"/>
      <c r="D668" s="215"/>
      <c r="E668" s="215"/>
      <c r="F668" s="23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  <c r="AA668" s="215"/>
    </row>
    <row r="669">
      <c r="A669" s="215"/>
      <c r="B669" s="237"/>
      <c r="C669" s="236"/>
      <c r="D669" s="215"/>
      <c r="E669" s="215"/>
      <c r="F669" s="23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  <c r="AA669" s="215"/>
    </row>
    <row r="670">
      <c r="A670" s="215"/>
      <c r="B670" s="237"/>
      <c r="C670" s="236"/>
      <c r="D670" s="215"/>
      <c r="E670" s="215"/>
      <c r="F670" s="23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  <c r="AA670" s="215"/>
    </row>
    <row r="671">
      <c r="A671" s="215"/>
      <c r="B671" s="237"/>
      <c r="C671" s="236"/>
      <c r="D671" s="215"/>
      <c r="E671" s="215"/>
      <c r="F671" s="23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  <c r="AA671" s="215"/>
    </row>
    <row r="672">
      <c r="A672" s="215"/>
      <c r="B672" s="237"/>
      <c r="C672" s="236"/>
      <c r="D672" s="215"/>
      <c r="E672" s="215"/>
      <c r="F672" s="23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  <c r="AA672" s="215"/>
    </row>
    <row r="673">
      <c r="A673" s="215"/>
      <c r="B673" s="237"/>
      <c r="C673" s="236"/>
      <c r="D673" s="215"/>
      <c r="E673" s="215"/>
      <c r="F673" s="23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  <c r="AA673" s="215"/>
    </row>
    <row r="674">
      <c r="A674" s="215"/>
      <c r="B674" s="237"/>
      <c r="C674" s="236"/>
      <c r="D674" s="215"/>
      <c r="E674" s="215"/>
      <c r="F674" s="23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  <c r="AA674" s="215"/>
    </row>
    <row r="675">
      <c r="A675" s="215"/>
      <c r="B675" s="237"/>
      <c r="C675" s="236"/>
      <c r="D675" s="215"/>
      <c r="E675" s="215"/>
      <c r="F675" s="23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  <c r="AA675" s="215"/>
    </row>
    <row r="676">
      <c r="A676" s="215"/>
      <c r="B676" s="237"/>
      <c r="C676" s="236"/>
      <c r="D676" s="215"/>
      <c r="E676" s="215"/>
      <c r="F676" s="23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  <c r="AA676" s="215"/>
    </row>
    <row r="677">
      <c r="A677" s="215"/>
      <c r="B677" s="237"/>
      <c r="C677" s="236"/>
      <c r="D677" s="215"/>
      <c r="E677" s="215"/>
      <c r="F677" s="23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  <c r="AA677" s="215"/>
    </row>
    <row r="678">
      <c r="A678" s="215"/>
      <c r="B678" s="237"/>
      <c r="C678" s="236"/>
      <c r="D678" s="215"/>
      <c r="E678" s="215"/>
      <c r="F678" s="23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  <c r="AA678" s="215"/>
    </row>
    <row r="679">
      <c r="A679" s="215"/>
      <c r="B679" s="237"/>
      <c r="C679" s="236"/>
      <c r="D679" s="215"/>
      <c r="E679" s="215"/>
      <c r="F679" s="23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  <c r="AA679" s="215"/>
    </row>
    <row r="680">
      <c r="A680" s="215"/>
      <c r="B680" s="237"/>
      <c r="C680" s="236"/>
      <c r="D680" s="215"/>
      <c r="E680" s="215"/>
      <c r="F680" s="23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  <c r="AA680" s="215"/>
    </row>
    <row r="681">
      <c r="A681" s="215"/>
      <c r="B681" s="237"/>
      <c r="C681" s="236"/>
      <c r="D681" s="215"/>
      <c r="E681" s="215"/>
      <c r="F681" s="23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  <c r="AA681" s="215"/>
    </row>
    <row r="682">
      <c r="A682" s="215"/>
      <c r="B682" s="237"/>
      <c r="C682" s="236"/>
      <c r="D682" s="215"/>
      <c r="E682" s="215"/>
      <c r="F682" s="23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  <c r="AA682" s="215"/>
    </row>
    <row r="683">
      <c r="A683" s="215"/>
      <c r="B683" s="237"/>
      <c r="C683" s="236"/>
      <c r="D683" s="215"/>
      <c r="E683" s="215"/>
      <c r="F683" s="23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  <c r="AA683" s="215"/>
    </row>
    <row r="684">
      <c r="A684" s="215"/>
      <c r="B684" s="237"/>
      <c r="C684" s="236"/>
      <c r="D684" s="215"/>
      <c r="E684" s="215"/>
      <c r="F684" s="23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  <c r="AA684" s="215"/>
    </row>
    <row r="685">
      <c r="A685" s="215"/>
      <c r="B685" s="237"/>
      <c r="C685" s="236"/>
      <c r="D685" s="215"/>
      <c r="E685" s="215"/>
      <c r="F685" s="23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  <c r="AA685" s="215"/>
    </row>
    <row r="686">
      <c r="A686" s="215"/>
      <c r="B686" s="237"/>
      <c r="C686" s="236"/>
      <c r="D686" s="215"/>
      <c r="E686" s="215"/>
      <c r="F686" s="23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  <c r="AA686" s="215"/>
    </row>
    <row r="687">
      <c r="A687" s="215"/>
      <c r="B687" s="237"/>
      <c r="C687" s="236"/>
      <c r="D687" s="215"/>
      <c r="E687" s="215"/>
      <c r="F687" s="23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  <c r="AA687" s="215"/>
    </row>
    <row r="688">
      <c r="A688" s="215"/>
      <c r="B688" s="237"/>
      <c r="C688" s="236"/>
      <c r="D688" s="215"/>
      <c r="E688" s="215"/>
      <c r="F688" s="23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  <c r="AA688" s="215"/>
    </row>
    <row r="689">
      <c r="A689" s="215"/>
      <c r="B689" s="237"/>
      <c r="C689" s="236"/>
      <c r="D689" s="215"/>
      <c r="E689" s="215"/>
      <c r="F689" s="23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  <c r="AA689" s="215"/>
    </row>
    <row r="690">
      <c r="A690" s="215"/>
      <c r="B690" s="237"/>
      <c r="C690" s="236"/>
      <c r="D690" s="215"/>
      <c r="E690" s="215"/>
      <c r="F690" s="23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  <c r="AA690" s="215"/>
    </row>
    <row r="691">
      <c r="A691" s="215"/>
      <c r="B691" s="237"/>
      <c r="C691" s="236"/>
      <c r="D691" s="215"/>
      <c r="E691" s="215"/>
      <c r="F691" s="23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  <c r="AA691" s="215"/>
    </row>
    <row r="692">
      <c r="A692" s="215"/>
      <c r="B692" s="237"/>
      <c r="C692" s="236"/>
      <c r="D692" s="215"/>
      <c r="E692" s="215"/>
      <c r="F692" s="23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  <c r="AA692" s="215"/>
    </row>
    <row r="693">
      <c r="A693" s="215"/>
      <c r="B693" s="237"/>
      <c r="C693" s="236"/>
      <c r="D693" s="215"/>
      <c r="E693" s="215"/>
      <c r="F693" s="23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  <c r="AA693" s="215"/>
    </row>
    <row r="694">
      <c r="A694" s="215"/>
      <c r="B694" s="237"/>
      <c r="C694" s="236"/>
      <c r="D694" s="215"/>
      <c r="E694" s="215"/>
      <c r="F694" s="23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  <c r="AA694" s="215"/>
    </row>
    <row r="695">
      <c r="A695" s="215"/>
      <c r="B695" s="237"/>
      <c r="C695" s="236"/>
      <c r="D695" s="215"/>
      <c r="E695" s="215"/>
      <c r="F695" s="23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  <c r="AA695" s="215"/>
    </row>
    <row r="696">
      <c r="A696" s="215"/>
      <c r="B696" s="237"/>
      <c r="C696" s="236"/>
      <c r="D696" s="215"/>
      <c r="E696" s="215"/>
      <c r="F696" s="23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  <c r="AA696" s="215"/>
    </row>
    <row r="697">
      <c r="A697" s="215"/>
      <c r="B697" s="237"/>
      <c r="C697" s="236"/>
      <c r="D697" s="215"/>
      <c r="E697" s="215"/>
      <c r="F697" s="23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  <c r="AA697" s="215"/>
    </row>
    <row r="698">
      <c r="A698" s="215"/>
      <c r="B698" s="237"/>
      <c r="C698" s="236"/>
      <c r="D698" s="215"/>
      <c r="E698" s="215"/>
      <c r="F698" s="23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  <c r="AA698" s="215"/>
    </row>
    <row r="699">
      <c r="A699" s="215"/>
      <c r="B699" s="237"/>
      <c r="C699" s="236"/>
      <c r="D699" s="215"/>
      <c r="E699" s="215"/>
      <c r="F699" s="23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  <c r="AA699" s="215"/>
    </row>
    <row r="700">
      <c r="A700" s="215"/>
      <c r="B700" s="237"/>
      <c r="C700" s="236"/>
      <c r="D700" s="215"/>
      <c r="E700" s="215"/>
      <c r="F700" s="23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  <c r="AA700" s="215"/>
    </row>
    <row r="701">
      <c r="A701" s="215"/>
      <c r="B701" s="237"/>
      <c r="C701" s="236"/>
      <c r="D701" s="215"/>
      <c r="E701" s="215"/>
      <c r="F701" s="23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  <c r="AA701" s="215"/>
    </row>
    <row r="702">
      <c r="A702" s="215"/>
      <c r="B702" s="237"/>
      <c r="C702" s="236"/>
      <c r="D702" s="215"/>
      <c r="E702" s="215"/>
      <c r="F702" s="23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  <c r="AA702" s="215"/>
    </row>
    <row r="703">
      <c r="A703" s="215"/>
      <c r="B703" s="237"/>
      <c r="C703" s="236"/>
      <c r="D703" s="215"/>
      <c r="E703" s="215"/>
      <c r="F703" s="23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  <c r="AA703" s="215"/>
    </row>
    <row r="704">
      <c r="A704" s="215"/>
      <c r="B704" s="237"/>
      <c r="C704" s="236"/>
      <c r="D704" s="215"/>
      <c r="E704" s="215"/>
      <c r="F704" s="23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  <c r="AA704" s="215"/>
    </row>
    <row r="705">
      <c r="A705" s="215"/>
      <c r="B705" s="237"/>
      <c r="C705" s="236"/>
      <c r="D705" s="215"/>
      <c r="E705" s="215"/>
      <c r="F705" s="23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  <c r="AA705" s="215"/>
    </row>
    <row r="706">
      <c r="A706" s="215"/>
      <c r="B706" s="237"/>
      <c r="C706" s="236"/>
      <c r="D706" s="215"/>
      <c r="E706" s="215"/>
      <c r="F706" s="23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  <c r="AA706" s="215"/>
    </row>
    <row r="707">
      <c r="A707" s="215"/>
      <c r="B707" s="237"/>
      <c r="C707" s="236"/>
      <c r="D707" s="215"/>
      <c r="E707" s="215"/>
      <c r="F707" s="23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  <c r="AA707" s="215"/>
    </row>
    <row r="708">
      <c r="A708" s="215"/>
      <c r="B708" s="237"/>
      <c r="C708" s="236"/>
      <c r="D708" s="215"/>
      <c r="E708" s="215"/>
      <c r="F708" s="23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  <c r="AA708" s="215"/>
    </row>
    <row r="709">
      <c r="A709" s="215"/>
      <c r="B709" s="237"/>
      <c r="C709" s="236"/>
      <c r="D709" s="215"/>
      <c r="E709" s="215"/>
      <c r="F709" s="23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  <c r="AA709" s="215"/>
    </row>
    <row r="710">
      <c r="A710" s="215"/>
      <c r="B710" s="237"/>
      <c r="C710" s="236"/>
      <c r="D710" s="215"/>
      <c r="E710" s="215"/>
      <c r="F710" s="23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  <c r="AA710" s="215"/>
    </row>
    <row r="711">
      <c r="A711" s="215"/>
      <c r="B711" s="237"/>
      <c r="C711" s="236"/>
      <c r="D711" s="215"/>
      <c r="E711" s="215"/>
      <c r="F711" s="23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  <c r="AA711" s="215"/>
    </row>
    <row r="712">
      <c r="A712" s="215"/>
      <c r="B712" s="237"/>
      <c r="C712" s="236"/>
      <c r="D712" s="215"/>
      <c r="E712" s="215"/>
      <c r="F712" s="23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  <c r="AA712" s="215"/>
    </row>
    <row r="713">
      <c r="A713" s="215"/>
      <c r="B713" s="237"/>
      <c r="C713" s="236"/>
      <c r="D713" s="215"/>
      <c r="E713" s="215"/>
      <c r="F713" s="23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  <c r="AA713" s="215"/>
    </row>
    <row r="714">
      <c r="A714" s="215"/>
      <c r="B714" s="237"/>
      <c r="C714" s="236"/>
      <c r="D714" s="215"/>
      <c r="E714" s="215"/>
      <c r="F714" s="23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  <c r="AA714" s="215"/>
    </row>
    <row r="715">
      <c r="A715" s="215"/>
      <c r="B715" s="237"/>
      <c r="C715" s="236"/>
      <c r="D715" s="215"/>
      <c r="E715" s="215"/>
      <c r="F715" s="23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  <c r="AA715" s="215"/>
    </row>
    <row r="716">
      <c r="A716" s="215"/>
      <c r="B716" s="237"/>
      <c r="C716" s="236"/>
      <c r="D716" s="215"/>
      <c r="E716" s="215"/>
      <c r="F716" s="23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  <c r="AA716" s="215"/>
    </row>
    <row r="717">
      <c r="A717" s="215"/>
      <c r="B717" s="237"/>
      <c r="C717" s="236"/>
      <c r="D717" s="215"/>
      <c r="E717" s="215"/>
      <c r="F717" s="23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  <c r="AA717" s="215"/>
    </row>
    <row r="718">
      <c r="A718" s="215"/>
      <c r="B718" s="237"/>
      <c r="C718" s="236"/>
      <c r="D718" s="215"/>
      <c r="E718" s="215"/>
      <c r="F718" s="23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  <c r="AA718" s="215"/>
    </row>
    <row r="719">
      <c r="A719" s="215"/>
      <c r="B719" s="237"/>
      <c r="C719" s="236"/>
      <c r="D719" s="215"/>
      <c r="E719" s="215"/>
      <c r="F719" s="23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  <c r="AA719" s="215"/>
    </row>
    <row r="720">
      <c r="A720" s="215"/>
      <c r="B720" s="237"/>
      <c r="C720" s="236"/>
      <c r="D720" s="215"/>
      <c r="E720" s="215"/>
      <c r="F720" s="23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  <c r="AA720" s="215"/>
    </row>
    <row r="721">
      <c r="A721" s="215"/>
      <c r="B721" s="237"/>
      <c r="C721" s="236"/>
      <c r="D721" s="215"/>
      <c r="E721" s="215"/>
      <c r="F721" s="23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  <c r="AA721" s="215"/>
    </row>
    <row r="722">
      <c r="A722" s="215"/>
      <c r="B722" s="237"/>
      <c r="C722" s="236"/>
      <c r="D722" s="215"/>
      <c r="E722" s="215"/>
      <c r="F722" s="23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  <c r="AA722" s="215"/>
    </row>
    <row r="723">
      <c r="A723" s="215"/>
      <c r="B723" s="237"/>
      <c r="C723" s="236"/>
      <c r="D723" s="215"/>
      <c r="E723" s="215"/>
      <c r="F723" s="23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  <c r="AA723" s="215"/>
    </row>
    <row r="724">
      <c r="A724" s="215"/>
      <c r="B724" s="237"/>
      <c r="C724" s="236"/>
      <c r="D724" s="215"/>
      <c r="E724" s="215"/>
      <c r="F724" s="23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  <c r="AA724" s="215"/>
    </row>
    <row r="725">
      <c r="A725" s="215"/>
      <c r="B725" s="237"/>
      <c r="C725" s="236"/>
      <c r="D725" s="215"/>
      <c r="E725" s="215"/>
      <c r="F725" s="23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  <c r="AA725" s="215"/>
    </row>
    <row r="726">
      <c r="A726" s="215"/>
      <c r="B726" s="237"/>
      <c r="C726" s="236"/>
      <c r="D726" s="215"/>
      <c r="E726" s="215"/>
      <c r="F726" s="23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  <c r="AA726" s="215"/>
    </row>
    <row r="727">
      <c r="A727" s="215"/>
      <c r="B727" s="237"/>
      <c r="C727" s="236"/>
      <c r="D727" s="215"/>
      <c r="E727" s="215"/>
      <c r="F727" s="23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  <c r="AA727" s="215"/>
    </row>
    <row r="728">
      <c r="A728" s="215"/>
      <c r="B728" s="237"/>
      <c r="C728" s="236"/>
      <c r="D728" s="215"/>
      <c r="E728" s="215"/>
      <c r="F728" s="23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  <c r="AA728" s="215"/>
    </row>
    <row r="729">
      <c r="A729" s="215"/>
      <c r="B729" s="237"/>
      <c r="C729" s="236"/>
      <c r="D729" s="215"/>
      <c r="E729" s="215"/>
      <c r="F729" s="23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  <c r="AA729" s="215"/>
    </row>
    <row r="730">
      <c r="A730" s="215"/>
      <c r="B730" s="237"/>
      <c r="C730" s="236"/>
      <c r="D730" s="215"/>
      <c r="E730" s="215"/>
      <c r="F730" s="23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  <c r="AA730" s="215"/>
    </row>
    <row r="731">
      <c r="A731" s="215"/>
      <c r="B731" s="237"/>
      <c r="C731" s="236"/>
      <c r="D731" s="215"/>
      <c r="E731" s="215"/>
      <c r="F731" s="23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  <c r="AA731" s="215"/>
    </row>
    <row r="732">
      <c r="A732" s="215"/>
      <c r="B732" s="237"/>
      <c r="C732" s="236"/>
      <c r="D732" s="215"/>
      <c r="E732" s="215"/>
      <c r="F732" s="23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  <c r="AA732" s="215"/>
    </row>
    <row r="733">
      <c r="A733" s="215"/>
      <c r="B733" s="237"/>
      <c r="C733" s="236"/>
      <c r="D733" s="215"/>
      <c r="E733" s="215"/>
      <c r="F733" s="23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  <c r="AA733" s="215"/>
    </row>
    <row r="734">
      <c r="A734" s="215"/>
      <c r="B734" s="237"/>
      <c r="C734" s="236"/>
      <c r="D734" s="215"/>
      <c r="E734" s="215"/>
      <c r="F734" s="23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  <c r="AA734" s="215"/>
    </row>
    <row r="735">
      <c r="A735" s="215"/>
      <c r="B735" s="237"/>
      <c r="C735" s="236"/>
      <c r="D735" s="215"/>
      <c r="E735" s="215"/>
      <c r="F735" s="23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  <c r="AA735" s="215"/>
    </row>
    <row r="736">
      <c r="A736" s="215"/>
      <c r="B736" s="237"/>
      <c r="C736" s="236"/>
      <c r="D736" s="215"/>
      <c r="E736" s="215"/>
      <c r="F736" s="23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  <c r="AA736" s="215"/>
    </row>
    <row r="737">
      <c r="A737" s="215"/>
      <c r="B737" s="237"/>
      <c r="C737" s="236"/>
      <c r="D737" s="215"/>
      <c r="E737" s="215"/>
      <c r="F737" s="23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  <c r="AA737" s="215"/>
    </row>
    <row r="738">
      <c r="A738" s="215"/>
      <c r="B738" s="237"/>
      <c r="C738" s="236"/>
      <c r="D738" s="215"/>
      <c r="E738" s="215"/>
      <c r="F738" s="23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  <c r="AA738" s="215"/>
    </row>
    <row r="739">
      <c r="A739" s="215"/>
      <c r="B739" s="237"/>
      <c r="C739" s="236"/>
      <c r="D739" s="215"/>
      <c r="E739" s="215"/>
      <c r="F739" s="23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  <c r="AA739" s="215"/>
    </row>
    <row r="740">
      <c r="A740" s="215"/>
      <c r="B740" s="237"/>
      <c r="C740" s="236"/>
      <c r="D740" s="215"/>
      <c r="E740" s="215"/>
      <c r="F740" s="23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  <c r="AA740" s="215"/>
    </row>
    <row r="741">
      <c r="A741" s="215"/>
      <c r="B741" s="237"/>
      <c r="C741" s="236"/>
      <c r="D741" s="215"/>
      <c r="E741" s="215"/>
      <c r="F741" s="23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  <c r="AA741" s="215"/>
    </row>
    <row r="742">
      <c r="A742" s="215"/>
      <c r="B742" s="237"/>
      <c r="C742" s="236"/>
      <c r="D742" s="215"/>
      <c r="E742" s="215"/>
      <c r="F742" s="23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  <c r="AA742" s="215"/>
    </row>
    <row r="743">
      <c r="A743" s="215"/>
      <c r="B743" s="237"/>
      <c r="C743" s="236"/>
      <c r="D743" s="215"/>
      <c r="E743" s="215"/>
      <c r="F743" s="23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  <c r="AA743" s="215"/>
    </row>
    <row r="744">
      <c r="A744" s="215"/>
      <c r="B744" s="237"/>
      <c r="C744" s="236"/>
      <c r="D744" s="215"/>
      <c r="E744" s="215"/>
      <c r="F744" s="23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  <c r="AA744" s="215"/>
    </row>
    <row r="745">
      <c r="A745" s="215"/>
      <c r="B745" s="237"/>
      <c r="C745" s="236"/>
      <c r="D745" s="215"/>
      <c r="E745" s="215"/>
      <c r="F745" s="23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  <c r="AA745" s="215"/>
    </row>
    <row r="746">
      <c r="A746" s="215"/>
      <c r="B746" s="237"/>
      <c r="C746" s="236"/>
      <c r="D746" s="215"/>
      <c r="E746" s="215"/>
      <c r="F746" s="23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  <c r="AA746" s="215"/>
    </row>
    <row r="747">
      <c r="A747" s="215"/>
      <c r="B747" s="237"/>
      <c r="C747" s="236"/>
      <c r="D747" s="215"/>
      <c r="E747" s="215"/>
      <c r="F747" s="23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  <c r="AA747" s="215"/>
    </row>
    <row r="748">
      <c r="A748" s="215"/>
      <c r="B748" s="237"/>
      <c r="C748" s="236"/>
      <c r="D748" s="215"/>
      <c r="E748" s="215"/>
      <c r="F748" s="23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  <c r="AA748" s="215"/>
    </row>
    <row r="749">
      <c r="A749" s="215"/>
      <c r="B749" s="237"/>
      <c r="C749" s="236"/>
      <c r="D749" s="215"/>
      <c r="E749" s="215"/>
      <c r="F749" s="23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  <c r="AA749" s="215"/>
    </row>
    <row r="750">
      <c r="A750" s="215"/>
      <c r="B750" s="237"/>
      <c r="C750" s="236"/>
      <c r="D750" s="215"/>
      <c r="E750" s="215"/>
      <c r="F750" s="23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  <c r="AA750" s="215"/>
    </row>
    <row r="751">
      <c r="A751" s="215"/>
      <c r="B751" s="237"/>
      <c r="C751" s="236"/>
      <c r="D751" s="215"/>
      <c r="E751" s="215"/>
      <c r="F751" s="23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  <c r="AA751" s="215"/>
    </row>
    <row r="752">
      <c r="A752" s="215"/>
      <c r="B752" s="237"/>
      <c r="C752" s="236"/>
      <c r="D752" s="215"/>
      <c r="E752" s="215"/>
      <c r="F752" s="23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  <c r="AA752" s="215"/>
    </row>
    <row r="753">
      <c r="A753" s="215"/>
      <c r="B753" s="237"/>
      <c r="C753" s="236"/>
      <c r="D753" s="215"/>
      <c r="E753" s="215"/>
      <c r="F753" s="23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  <c r="AA753" s="215"/>
    </row>
    <row r="754">
      <c r="A754" s="215"/>
      <c r="B754" s="237"/>
      <c r="C754" s="236"/>
      <c r="D754" s="215"/>
      <c r="E754" s="215"/>
      <c r="F754" s="23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  <c r="AA754" s="215"/>
    </row>
    <row r="755">
      <c r="A755" s="215"/>
      <c r="B755" s="237"/>
      <c r="C755" s="236"/>
      <c r="D755" s="215"/>
      <c r="E755" s="215"/>
      <c r="F755" s="23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  <c r="AA755" s="215"/>
    </row>
    <row r="756">
      <c r="A756" s="215"/>
      <c r="B756" s="237"/>
      <c r="C756" s="236"/>
      <c r="D756" s="215"/>
      <c r="E756" s="215"/>
      <c r="F756" s="23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  <c r="AA756" s="215"/>
    </row>
    <row r="757">
      <c r="A757" s="215"/>
      <c r="B757" s="237"/>
      <c r="C757" s="236"/>
      <c r="D757" s="215"/>
      <c r="E757" s="215"/>
      <c r="F757" s="23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  <c r="AA757" s="215"/>
    </row>
    <row r="758">
      <c r="A758" s="215"/>
      <c r="B758" s="237"/>
      <c r="C758" s="236"/>
      <c r="D758" s="215"/>
      <c r="E758" s="215"/>
      <c r="F758" s="23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  <c r="AA758" s="215"/>
    </row>
    <row r="759">
      <c r="A759" s="215"/>
      <c r="B759" s="237"/>
      <c r="C759" s="236"/>
      <c r="D759" s="215"/>
      <c r="E759" s="215"/>
      <c r="F759" s="23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  <c r="AA759" s="215"/>
    </row>
    <row r="760">
      <c r="A760" s="215"/>
      <c r="B760" s="237"/>
      <c r="C760" s="236"/>
      <c r="D760" s="215"/>
      <c r="E760" s="215"/>
      <c r="F760" s="23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  <c r="AA760" s="215"/>
    </row>
    <row r="761">
      <c r="A761" s="215"/>
      <c r="B761" s="237"/>
      <c r="C761" s="236"/>
      <c r="D761" s="215"/>
      <c r="E761" s="215"/>
      <c r="F761" s="23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  <c r="AA761" s="215"/>
    </row>
    <row r="762">
      <c r="A762" s="215"/>
      <c r="B762" s="237"/>
      <c r="C762" s="236"/>
      <c r="D762" s="215"/>
      <c r="E762" s="215"/>
      <c r="F762" s="23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  <c r="AA762" s="215"/>
    </row>
    <row r="763">
      <c r="A763" s="215"/>
      <c r="B763" s="237"/>
      <c r="C763" s="236"/>
      <c r="D763" s="215"/>
      <c r="E763" s="215"/>
      <c r="F763" s="23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  <c r="AA763" s="215"/>
    </row>
    <row r="764">
      <c r="A764" s="215"/>
      <c r="B764" s="237"/>
      <c r="C764" s="236"/>
      <c r="D764" s="215"/>
      <c r="E764" s="215"/>
      <c r="F764" s="23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  <c r="AA764" s="215"/>
    </row>
    <row r="765">
      <c r="A765" s="215"/>
      <c r="B765" s="237"/>
      <c r="C765" s="236"/>
      <c r="D765" s="215"/>
      <c r="E765" s="215"/>
      <c r="F765" s="23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  <c r="AA765" s="215"/>
    </row>
    <row r="766">
      <c r="A766" s="215"/>
      <c r="B766" s="237"/>
      <c r="C766" s="236"/>
      <c r="D766" s="215"/>
      <c r="E766" s="215"/>
      <c r="F766" s="23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  <c r="AA766" s="215"/>
    </row>
    <row r="767">
      <c r="A767" s="215"/>
      <c r="B767" s="237"/>
      <c r="C767" s="236"/>
      <c r="D767" s="215"/>
      <c r="E767" s="215"/>
      <c r="F767" s="23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  <c r="AA767" s="215"/>
    </row>
    <row r="768">
      <c r="A768" s="215"/>
      <c r="B768" s="237"/>
      <c r="C768" s="236"/>
      <c r="D768" s="215"/>
      <c r="E768" s="215"/>
      <c r="F768" s="23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  <c r="AA768" s="215"/>
    </row>
    <row r="769">
      <c r="A769" s="215"/>
      <c r="B769" s="237"/>
      <c r="C769" s="236"/>
      <c r="D769" s="215"/>
      <c r="E769" s="215"/>
      <c r="F769" s="23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  <c r="AA769" s="215"/>
    </row>
    <row r="770">
      <c r="A770" s="215"/>
      <c r="B770" s="237"/>
      <c r="C770" s="236"/>
      <c r="D770" s="215"/>
      <c r="E770" s="215"/>
      <c r="F770" s="23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  <c r="AA770" s="215"/>
    </row>
    <row r="771">
      <c r="A771" s="215"/>
      <c r="B771" s="237"/>
      <c r="C771" s="236"/>
      <c r="D771" s="215"/>
      <c r="E771" s="215"/>
      <c r="F771" s="23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  <c r="AA771" s="215"/>
    </row>
    <row r="772">
      <c r="A772" s="215"/>
      <c r="B772" s="237"/>
      <c r="C772" s="236"/>
      <c r="D772" s="215"/>
      <c r="E772" s="215"/>
      <c r="F772" s="23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  <c r="AA772" s="215"/>
    </row>
    <row r="773">
      <c r="A773" s="215"/>
      <c r="B773" s="237"/>
      <c r="C773" s="236"/>
      <c r="D773" s="215"/>
      <c r="E773" s="215"/>
      <c r="F773" s="23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  <c r="AA773" s="215"/>
    </row>
    <row r="774">
      <c r="A774" s="215"/>
      <c r="B774" s="237"/>
      <c r="C774" s="236"/>
      <c r="D774" s="215"/>
      <c r="E774" s="215"/>
      <c r="F774" s="23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  <c r="AA774" s="215"/>
    </row>
    <row r="775">
      <c r="A775" s="215"/>
      <c r="B775" s="237"/>
      <c r="C775" s="236"/>
      <c r="D775" s="215"/>
      <c r="E775" s="215"/>
      <c r="F775" s="23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  <c r="AA775" s="215"/>
    </row>
    <row r="776">
      <c r="A776" s="215"/>
      <c r="B776" s="237"/>
      <c r="C776" s="236"/>
      <c r="D776" s="215"/>
      <c r="E776" s="215"/>
      <c r="F776" s="23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  <c r="AA776" s="215"/>
    </row>
    <row r="777">
      <c r="A777" s="215"/>
      <c r="B777" s="237"/>
      <c r="C777" s="236"/>
      <c r="D777" s="215"/>
      <c r="E777" s="215"/>
      <c r="F777" s="23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  <c r="AA777" s="215"/>
    </row>
    <row r="778">
      <c r="A778" s="215"/>
      <c r="B778" s="237"/>
      <c r="C778" s="236"/>
      <c r="D778" s="215"/>
      <c r="E778" s="215"/>
      <c r="F778" s="23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  <c r="AA778" s="215"/>
    </row>
    <row r="779">
      <c r="A779" s="215"/>
      <c r="B779" s="237"/>
      <c r="C779" s="236"/>
      <c r="D779" s="215"/>
      <c r="E779" s="215"/>
      <c r="F779" s="23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  <c r="AA779" s="215"/>
    </row>
    <row r="780">
      <c r="A780" s="215"/>
      <c r="B780" s="237"/>
      <c r="C780" s="236"/>
      <c r="D780" s="215"/>
      <c r="E780" s="215"/>
      <c r="F780" s="23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  <c r="AA780" s="215"/>
    </row>
    <row r="781">
      <c r="A781" s="215"/>
      <c r="B781" s="237"/>
      <c r="C781" s="236"/>
      <c r="D781" s="215"/>
      <c r="E781" s="215"/>
      <c r="F781" s="23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  <c r="AA781" s="215"/>
    </row>
    <row r="782">
      <c r="A782" s="215"/>
      <c r="B782" s="237"/>
      <c r="C782" s="236"/>
      <c r="D782" s="215"/>
      <c r="E782" s="215"/>
      <c r="F782" s="23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  <c r="AA782" s="215"/>
    </row>
    <row r="783">
      <c r="A783" s="215"/>
      <c r="B783" s="237"/>
      <c r="C783" s="236"/>
      <c r="D783" s="215"/>
      <c r="E783" s="215"/>
      <c r="F783" s="23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  <c r="AA783" s="215"/>
    </row>
    <row r="784">
      <c r="A784" s="215"/>
      <c r="B784" s="237"/>
      <c r="C784" s="236"/>
      <c r="D784" s="215"/>
      <c r="E784" s="215"/>
      <c r="F784" s="23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  <c r="AA784" s="215"/>
    </row>
    <row r="785">
      <c r="A785" s="215"/>
      <c r="B785" s="237"/>
      <c r="C785" s="236"/>
      <c r="D785" s="215"/>
      <c r="E785" s="215"/>
      <c r="F785" s="23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  <c r="AA785" s="215"/>
    </row>
    <row r="786">
      <c r="A786" s="215"/>
      <c r="B786" s="237"/>
      <c r="C786" s="236"/>
      <c r="D786" s="215"/>
      <c r="E786" s="215"/>
      <c r="F786" s="23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  <c r="AA786" s="215"/>
    </row>
    <row r="787">
      <c r="A787" s="215"/>
      <c r="B787" s="237"/>
      <c r="C787" s="236"/>
      <c r="D787" s="215"/>
      <c r="E787" s="215"/>
      <c r="F787" s="23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  <c r="AA787" s="215"/>
    </row>
    <row r="788">
      <c r="A788" s="215"/>
      <c r="B788" s="237"/>
      <c r="C788" s="236"/>
      <c r="D788" s="215"/>
      <c r="E788" s="215"/>
      <c r="F788" s="23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  <c r="AA788" s="215"/>
    </row>
    <row r="789">
      <c r="A789" s="215"/>
      <c r="B789" s="237"/>
      <c r="C789" s="236"/>
      <c r="D789" s="215"/>
      <c r="E789" s="215"/>
      <c r="F789" s="23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  <c r="AA789" s="215"/>
    </row>
    <row r="790">
      <c r="A790" s="215"/>
      <c r="B790" s="237"/>
      <c r="C790" s="236"/>
      <c r="D790" s="215"/>
      <c r="E790" s="215"/>
      <c r="F790" s="23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  <c r="AA790" s="215"/>
    </row>
    <row r="791">
      <c r="A791" s="215"/>
      <c r="B791" s="237"/>
      <c r="C791" s="236"/>
      <c r="D791" s="215"/>
      <c r="E791" s="215"/>
      <c r="F791" s="23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  <c r="AA791" s="215"/>
    </row>
    <row r="792">
      <c r="A792" s="215"/>
      <c r="B792" s="237"/>
      <c r="C792" s="236"/>
      <c r="D792" s="215"/>
      <c r="E792" s="215"/>
      <c r="F792" s="23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  <c r="AA792" s="215"/>
    </row>
    <row r="793">
      <c r="A793" s="215"/>
      <c r="B793" s="237"/>
      <c r="C793" s="236"/>
      <c r="D793" s="215"/>
      <c r="E793" s="215"/>
      <c r="F793" s="23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  <c r="AA793" s="215"/>
    </row>
    <row r="794">
      <c r="A794" s="215"/>
      <c r="B794" s="237"/>
      <c r="C794" s="236"/>
      <c r="D794" s="215"/>
      <c r="E794" s="215"/>
      <c r="F794" s="23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  <c r="AA794" s="215"/>
    </row>
    <row r="795">
      <c r="A795" s="215"/>
      <c r="B795" s="237"/>
      <c r="C795" s="236"/>
      <c r="D795" s="215"/>
      <c r="E795" s="215"/>
      <c r="F795" s="23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  <c r="AA795" s="215"/>
    </row>
    <row r="796">
      <c r="A796" s="215"/>
      <c r="B796" s="237"/>
      <c r="C796" s="236"/>
      <c r="D796" s="215"/>
      <c r="E796" s="215"/>
      <c r="F796" s="23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  <c r="AA796" s="215"/>
    </row>
    <row r="797">
      <c r="A797" s="215"/>
      <c r="B797" s="237"/>
      <c r="C797" s="236"/>
      <c r="D797" s="215"/>
      <c r="E797" s="215"/>
      <c r="F797" s="23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  <c r="AA797" s="215"/>
    </row>
    <row r="798">
      <c r="A798" s="215"/>
      <c r="B798" s="237"/>
      <c r="C798" s="236"/>
      <c r="D798" s="215"/>
      <c r="E798" s="215"/>
      <c r="F798" s="23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  <c r="AA798" s="215"/>
    </row>
    <row r="799">
      <c r="A799" s="215"/>
      <c r="B799" s="237"/>
      <c r="C799" s="236"/>
      <c r="D799" s="215"/>
      <c r="E799" s="215"/>
      <c r="F799" s="23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  <c r="AA799" s="215"/>
    </row>
    <row r="800">
      <c r="A800" s="215"/>
      <c r="B800" s="237"/>
      <c r="C800" s="236"/>
      <c r="D800" s="215"/>
      <c r="E800" s="215"/>
      <c r="F800" s="23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  <c r="AA800" s="215"/>
    </row>
    <row r="801">
      <c r="A801" s="215"/>
      <c r="B801" s="237"/>
      <c r="C801" s="236"/>
      <c r="D801" s="215"/>
      <c r="E801" s="215"/>
      <c r="F801" s="23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  <c r="AA801" s="215"/>
    </row>
    <row r="802">
      <c r="A802" s="215"/>
      <c r="B802" s="237"/>
      <c r="C802" s="236"/>
      <c r="D802" s="215"/>
      <c r="E802" s="215"/>
      <c r="F802" s="23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  <c r="AA802" s="215"/>
    </row>
    <row r="803">
      <c r="A803" s="215"/>
      <c r="B803" s="237"/>
      <c r="C803" s="236"/>
      <c r="D803" s="215"/>
      <c r="E803" s="215"/>
      <c r="F803" s="23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  <c r="AA803" s="215"/>
    </row>
    <row r="804">
      <c r="A804" s="215"/>
      <c r="B804" s="237"/>
      <c r="C804" s="236"/>
      <c r="D804" s="215"/>
      <c r="E804" s="215"/>
      <c r="F804" s="23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  <c r="AA804" s="215"/>
    </row>
    <row r="805">
      <c r="A805" s="215"/>
      <c r="B805" s="237"/>
      <c r="C805" s="236"/>
      <c r="D805" s="215"/>
      <c r="E805" s="215"/>
      <c r="F805" s="23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  <c r="AA805" s="215"/>
    </row>
    <row r="806">
      <c r="A806" s="215"/>
      <c r="B806" s="237"/>
      <c r="C806" s="236"/>
      <c r="D806" s="215"/>
      <c r="E806" s="215"/>
      <c r="F806" s="23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  <c r="AA806" s="215"/>
    </row>
    <row r="807">
      <c r="A807" s="215"/>
      <c r="B807" s="237"/>
      <c r="C807" s="236"/>
      <c r="D807" s="215"/>
      <c r="E807" s="215"/>
      <c r="F807" s="23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  <c r="AA807" s="215"/>
    </row>
    <row r="808">
      <c r="A808" s="215"/>
      <c r="B808" s="237"/>
      <c r="C808" s="236"/>
      <c r="D808" s="215"/>
      <c r="E808" s="215"/>
      <c r="F808" s="23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  <c r="AA808" s="215"/>
    </row>
    <row r="809">
      <c r="A809" s="215"/>
      <c r="B809" s="237"/>
      <c r="C809" s="236"/>
      <c r="D809" s="215"/>
      <c r="E809" s="215"/>
      <c r="F809" s="23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  <c r="AA809" s="215"/>
    </row>
    <row r="810">
      <c r="A810" s="215"/>
      <c r="B810" s="237"/>
      <c r="C810" s="236"/>
      <c r="D810" s="215"/>
      <c r="E810" s="215"/>
      <c r="F810" s="23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  <c r="AA810" s="215"/>
    </row>
    <row r="811">
      <c r="A811" s="215"/>
      <c r="B811" s="237"/>
      <c r="C811" s="236"/>
      <c r="D811" s="215"/>
      <c r="E811" s="215"/>
      <c r="F811" s="23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  <c r="AA811" s="215"/>
    </row>
    <row r="812">
      <c r="A812" s="215"/>
      <c r="B812" s="237"/>
      <c r="C812" s="236"/>
      <c r="D812" s="215"/>
      <c r="E812" s="215"/>
      <c r="F812" s="23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  <c r="AA812" s="215"/>
    </row>
    <row r="813">
      <c r="A813" s="215"/>
      <c r="B813" s="237"/>
      <c r="C813" s="236"/>
      <c r="D813" s="215"/>
      <c r="E813" s="215"/>
      <c r="F813" s="23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  <c r="AA813" s="215"/>
    </row>
    <row r="814">
      <c r="A814" s="215"/>
      <c r="B814" s="237"/>
      <c r="C814" s="236"/>
      <c r="D814" s="215"/>
      <c r="E814" s="215"/>
      <c r="F814" s="23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  <c r="AA814" s="215"/>
    </row>
    <row r="815">
      <c r="A815" s="215"/>
      <c r="B815" s="237"/>
      <c r="C815" s="236"/>
      <c r="D815" s="215"/>
      <c r="E815" s="215"/>
      <c r="F815" s="23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  <c r="AA815" s="215"/>
    </row>
    <row r="816">
      <c r="A816" s="215"/>
      <c r="B816" s="237"/>
      <c r="C816" s="236"/>
      <c r="D816" s="215"/>
      <c r="E816" s="215"/>
      <c r="F816" s="23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  <c r="AA816" s="215"/>
    </row>
    <row r="817">
      <c r="A817" s="215"/>
      <c r="B817" s="237"/>
      <c r="C817" s="236"/>
      <c r="D817" s="215"/>
      <c r="E817" s="215"/>
      <c r="F817" s="23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  <c r="AA817" s="215"/>
    </row>
    <row r="818">
      <c r="A818" s="215"/>
      <c r="B818" s="237"/>
      <c r="C818" s="236"/>
      <c r="D818" s="215"/>
      <c r="E818" s="215"/>
      <c r="F818" s="23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  <c r="AA818" s="215"/>
    </row>
    <row r="819">
      <c r="A819" s="215"/>
      <c r="B819" s="237"/>
      <c r="C819" s="236"/>
      <c r="D819" s="215"/>
      <c r="E819" s="215"/>
      <c r="F819" s="23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  <c r="AA819" s="215"/>
    </row>
    <row r="820">
      <c r="A820" s="215"/>
      <c r="B820" s="237"/>
      <c r="C820" s="236"/>
      <c r="D820" s="215"/>
      <c r="E820" s="215"/>
      <c r="F820" s="23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  <c r="AA820" s="215"/>
    </row>
    <row r="821">
      <c r="A821" s="215"/>
      <c r="B821" s="237"/>
      <c r="C821" s="236"/>
      <c r="D821" s="215"/>
      <c r="E821" s="215"/>
      <c r="F821" s="23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  <c r="AA821" s="215"/>
    </row>
    <row r="822">
      <c r="A822" s="215"/>
      <c r="B822" s="237"/>
      <c r="C822" s="236"/>
      <c r="D822" s="215"/>
      <c r="E822" s="215"/>
      <c r="F822" s="23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  <c r="AA822" s="215"/>
    </row>
    <row r="823">
      <c r="A823" s="215"/>
      <c r="B823" s="237"/>
      <c r="C823" s="236"/>
      <c r="D823" s="215"/>
      <c r="E823" s="215"/>
      <c r="F823" s="23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  <c r="AA823" s="215"/>
    </row>
    <row r="824">
      <c r="A824" s="215"/>
      <c r="B824" s="237"/>
      <c r="C824" s="236"/>
      <c r="D824" s="215"/>
      <c r="E824" s="215"/>
      <c r="F824" s="23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  <c r="AA824" s="215"/>
    </row>
    <row r="825">
      <c r="A825" s="215"/>
      <c r="B825" s="237"/>
      <c r="C825" s="236"/>
      <c r="D825" s="215"/>
      <c r="E825" s="215"/>
      <c r="F825" s="23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  <c r="AA825" s="215"/>
    </row>
    <row r="826">
      <c r="A826" s="215"/>
      <c r="B826" s="237"/>
      <c r="C826" s="236"/>
      <c r="D826" s="215"/>
      <c r="E826" s="215"/>
      <c r="F826" s="23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  <c r="AA826" s="215"/>
    </row>
    <row r="827">
      <c r="A827" s="215"/>
      <c r="B827" s="237"/>
      <c r="C827" s="236"/>
      <c r="D827" s="215"/>
      <c r="E827" s="215"/>
      <c r="F827" s="23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  <c r="AA827" s="215"/>
    </row>
    <row r="828">
      <c r="A828" s="215"/>
      <c r="B828" s="237"/>
      <c r="C828" s="236"/>
      <c r="D828" s="215"/>
      <c r="E828" s="215"/>
      <c r="F828" s="23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  <c r="AA828" s="215"/>
    </row>
    <row r="829">
      <c r="A829" s="215"/>
      <c r="B829" s="237"/>
      <c r="C829" s="236"/>
      <c r="D829" s="215"/>
      <c r="E829" s="215"/>
      <c r="F829" s="23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  <c r="AA829" s="215"/>
    </row>
    <row r="830">
      <c r="A830" s="215"/>
      <c r="B830" s="237"/>
      <c r="C830" s="236"/>
      <c r="D830" s="215"/>
      <c r="E830" s="215"/>
      <c r="F830" s="23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  <c r="AA830" s="215"/>
    </row>
    <row r="831">
      <c r="A831" s="215"/>
      <c r="B831" s="237"/>
      <c r="C831" s="236"/>
      <c r="D831" s="215"/>
      <c r="E831" s="215"/>
      <c r="F831" s="23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  <c r="AA831" s="215"/>
    </row>
    <row r="832">
      <c r="A832" s="215"/>
      <c r="B832" s="237"/>
      <c r="C832" s="236"/>
      <c r="D832" s="215"/>
      <c r="E832" s="215"/>
      <c r="F832" s="23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  <c r="AA832" s="215"/>
    </row>
    <row r="833">
      <c r="A833" s="215"/>
      <c r="B833" s="237"/>
      <c r="C833" s="236"/>
      <c r="D833" s="215"/>
      <c r="E833" s="215"/>
      <c r="F833" s="23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  <c r="AA833" s="215"/>
    </row>
    <row r="834">
      <c r="A834" s="215"/>
      <c r="B834" s="237"/>
      <c r="C834" s="236"/>
      <c r="D834" s="215"/>
      <c r="E834" s="215"/>
      <c r="F834" s="23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  <c r="AA834" s="215"/>
    </row>
    <row r="835">
      <c r="A835" s="215"/>
      <c r="B835" s="237"/>
      <c r="C835" s="236"/>
      <c r="D835" s="215"/>
      <c r="E835" s="215"/>
      <c r="F835" s="23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  <c r="AA835" s="215"/>
    </row>
    <row r="836">
      <c r="A836" s="215"/>
      <c r="B836" s="237"/>
      <c r="C836" s="236"/>
      <c r="D836" s="215"/>
      <c r="E836" s="215"/>
      <c r="F836" s="23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  <c r="AA836" s="215"/>
    </row>
    <row r="837">
      <c r="A837" s="215"/>
      <c r="B837" s="237"/>
      <c r="C837" s="236"/>
      <c r="D837" s="215"/>
      <c r="E837" s="215"/>
      <c r="F837" s="23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  <c r="AA837" s="215"/>
    </row>
    <row r="838">
      <c r="A838" s="215"/>
      <c r="B838" s="237"/>
      <c r="C838" s="236"/>
      <c r="D838" s="215"/>
      <c r="E838" s="215"/>
      <c r="F838" s="23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</row>
    <row r="839">
      <c r="A839" s="215"/>
      <c r="B839" s="237"/>
      <c r="C839" s="236"/>
      <c r="D839" s="215"/>
      <c r="E839" s="215"/>
      <c r="F839" s="23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  <c r="AA839" s="215"/>
    </row>
    <row r="840">
      <c r="A840" s="215"/>
      <c r="B840" s="237"/>
      <c r="C840" s="236"/>
      <c r="D840" s="215"/>
      <c r="E840" s="215"/>
      <c r="F840" s="23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  <c r="AA840" s="215"/>
    </row>
    <row r="841">
      <c r="A841" s="215"/>
      <c r="B841" s="237"/>
      <c r="C841" s="236"/>
      <c r="D841" s="215"/>
      <c r="E841" s="215"/>
      <c r="F841" s="23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  <c r="AA841" s="215"/>
    </row>
    <row r="842">
      <c r="A842" s="215"/>
      <c r="B842" s="237"/>
      <c r="C842" s="236"/>
      <c r="D842" s="215"/>
      <c r="E842" s="215"/>
      <c r="F842" s="23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  <c r="AA842" s="215"/>
    </row>
    <row r="843">
      <c r="A843" s="215"/>
      <c r="B843" s="237"/>
      <c r="C843" s="236"/>
      <c r="D843" s="215"/>
      <c r="E843" s="215"/>
      <c r="F843" s="23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  <c r="AA843" s="215"/>
    </row>
    <row r="844">
      <c r="A844" s="215"/>
      <c r="B844" s="237"/>
      <c r="C844" s="236"/>
      <c r="D844" s="215"/>
      <c r="E844" s="215"/>
      <c r="F844" s="23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  <c r="AA844" s="215"/>
    </row>
    <row r="845">
      <c r="A845" s="215"/>
      <c r="B845" s="237"/>
      <c r="C845" s="236"/>
      <c r="D845" s="215"/>
      <c r="E845" s="215"/>
      <c r="F845" s="23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  <c r="AA845" s="215"/>
    </row>
    <row r="846">
      <c r="A846" s="215"/>
      <c r="B846" s="237"/>
      <c r="C846" s="236"/>
      <c r="D846" s="215"/>
      <c r="E846" s="215"/>
      <c r="F846" s="23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  <c r="AA846" s="215"/>
    </row>
    <row r="847">
      <c r="A847" s="215"/>
      <c r="B847" s="237"/>
      <c r="C847" s="236"/>
      <c r="D847" s="215"/>
      <c r="E847" s="215"/>
      <c r="F847" s="23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  <c r="AA847" s="215"/>
    </row>
    <row r="848">
      <c r="A848" s="215"/>
      <c r="B848" s="237"/>
      <c r="C848" s="236"/>
      <c r="D848" s="215"/>
      <c r="E848" s="215"/>
      <c r="F848" s="23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  <c r="AA848" s="215"/>
    </row>
    <row r="849">
      <c r="A849" s="215"/>
      <c r="B849" s="237"/>
      <c r="C849" s="236"/>
      <c r="D849" s="215"/>
      <c r="E849" s="215"/>
      <c r="F849" s="23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  <c r="AA849" s="215"/>
    </row>
    <row r="850">
      <c r="A850" s="215"/>
      <c r="B850" s="237"/>
      <c r="C850" s="236"/>
      <c r="D850" s="215"/>
      <c r="E850" s="215"/>
      <c r="F850" s="23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  <c r="AA850" s="215"/>
    </row>
    <row r="851">
      <c r="A851" s="215"/>
      <c r="B851" s="237"/>
      <c r="C851" s="236"/>
      <c r="D851" s="215"/>
      <c r="E851" s="215"/>
      <c r="F851" s="23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  <c r="AA851" s="215"/>
    </row>
    <row r="852">
      <c r="A852" s="215"/>
      <c r="B852" s="237"/>
      <c r="C852" s="236"/>
      <c r="D852" s="215"/>
      <c r="E852" s="215"/>
      <c r="F852" s="23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  <c r="AA852" s="215"/>
    </row>
    <row r="853">
      <c r="A853" s="215"/>
      <c r="B853" s="237"/>
      <c r="C853" s="236"/>
      <c r="D853" s="215"/>
      <c r="E853" s="215"/>
      <c r="F853" s="23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  <c r="AA853" s="215"/>
    </row>
    <row r="854">
      <c r="A854" s="215"/>
      <c r="B854" s="237"/>
      <c r="C854" s="236"/>
      <c r="D854" s="215"/>
      <c r="E854" s="215"/>
      <c r="F854" s="23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  <c r="AA854" s="215"/>
    </row>
    <row r="855">
      <c r="A855" s="215"/>
      <c r="B855" s="237"/>
      <c r="C855" s="236"/>
      <c r="D855" s="215"/>
      <c r="E855" s="215"/>
      <c r="F855" s="23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  <c r="AA855" s="215"/>
    </row>
    <row r="856">
      <c r="A856" s="215"/>
      <c r="B856" s="237"/>
      <c r="C856" s="236"/>
      <c r="D856" s="215"/>
      <c r="E856" s="215"/>
      <c r="F856" s="23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  <c r="AA856" s="215"/>
    </row>
    <row r="857">
      <c r="A857" s="215"/>
      <c r="B857" s="237"/>
      <c r="C857" s="236"/>
      <c r="D857" s="215"/>
      <c r="E857" s="215"/>
      <c r="F857" s="23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  <c r="AA857" s="215"/>
    </row>
    <row r="858">
      <c r="A858" s="215"/>
      <c r="B858" s="237"/>
      <c r="C858" s="236"/>
      <c r="D858" s="215"/>
      <c r="E858" s="215"/>
      <c r="F858" s="23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  <c r="AA858" s="215"/>
    </row>
    <row r="859">
      <c r="A859" s="215"/>
      <c r="B859" s="237"/>
      <c r="C859" s="236"/>
      <c r="D859" s="215"/>
      <c r="E859" s="215"/>
      <c r="F859" s="23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  <c r="AA859" s="215"/>
    </row>
    <row r="860">
      <c r="A860" s="215"/>
      <c r="B860" s="237"/>
      <c r="C860" s="236"/>
      <c r="D860" s="215"/>
      <c r="E860" s="215"/>
      <c r="F860" s="23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  <c r="AA860" s="215"/>
    </row>
    <row r="861">
      <c r="A861" s="215"/>
      <c r="B861" s="237"/>
      <c r="C861" s="236"/>
      <c r="D861" s="215"/>
      <c r="E861" s="215"/>
      <c r="F861" s="23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  <c r="AA861" s="215"/>
    </row>
    <row r="862">
      <c r="A862" s="215"/>
      <c r="B862" s="237"/>
      <c r="C862" s="236"/>
      <c r="D862" s="215"/>
      <c r="E862" s="215"/>
      <c r="F862" s="23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  <c r="AA862" s="215"/>
    </row>
    <row r="863">
      <c r="A863" s="215"/>
      <c r="B863" s="237"/>
      <c r="C863" s="236"/>
      <c r="D863" s="215"/>
      <c r="E863" s="215"/>
      <c r="F863" s="23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  <c r="AA863" s="215"/>
    </row>
    <row r="864">
      <c r="A864" s="215"/>
      <c r="B864" s="237"/>
      <c r="C864" s="236"/>
      <c r="D864" s="215"/>
      <c r="E864" s="215"/>
      <c r="F864" s="23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  <c r="AA864" s="215"/>
    </row>
    <row r="865">
      <c r="A865" s="215"/>
      <c r="B865" s="237"/>
      <c r="C865" s="236"/>
      <c r="D865" s="215"/>
      <c r="E865" s="215"/>
      <c r="F865" s="23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  <c r="AA865" s="215"/>
    </row>
    <row r="866">
      <c r="A866" s="215"/>
      <c r="B866" s="237"/>
      <c r="C866" s="236"/>
      <c r="D866" s="215"/>
      <c r="E866" s="215"/>
      <c r="F866" s="23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  <c r="AA866" s="215"/>
    </row>
    <row r="867">
      <c r="A867" s="215"/>
      <c r="B867" s="237"/>
      <c r="C867" s="236"/>
      <c r="D867" s="215"/>
      <c r="E867" s="215"/>
      <c r="F867" s="23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  <c r="AA867" s="215"/>
    </row>
    <row r="868">
      <c r="A868" s="215"/>
      <c r="B868" s="237"/>
      <c r="C868" s="236"/>
      <c r="D868" s="215"/>
      <c r="E868" s="215"/>
      <c r="F868" s="23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  <c r="AA868" s="215"/>
    </row>
    <row r="869">
      <c r="A869" s="215"/>
      <c r="B869" s="237"/>
      <c r="C869" s="236"/>
      <c r="D869" s="215"/>
      <c r="E869" s="215"/>
      <c r="F869" s="23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  <c r="AA869" s="215"/>
    </row>
    <row r="870">
      <c r="A870" s="215"/>
      <c r="B870" s="237"/>
      <c r="C870" s="236"/>
      <c r="D870" s="215"/>
      <c r="E870" s="215"/>
      <c r="F870" s="23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  <c r="AA870" s="215"/>
    </row>
    <row r="871">
      <c r="A871" s="215"/>
      <c r="B871" s="237"/>
      <c r="C871" s="236"/>
      <c r="D871" s="215"/>
      <c r="E871" s="215"/>
      <c r="F871" s="23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  <c r="AA871" s="215"/>
    </row>
    <row r="872">
      <c r="A872" s="215"/>
      <c r="B872" s="237"/>
      <c r="C872" s="236"/>
      <c r="D872" s="215"/>
      <c r="E872" s="215"/>
      <c r="F872" s="23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  <c r="AA872" s="215"/>
    </row>
    <row r="873">
      <c r="A873" s="215"/>
      <c r="B873" s="237"/>
      <c r="C873" s="236"/>
      <c r="D873" s="215"/>
      <c r="E873" s="215"/>
      <c r="F873" s="23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  <c r="AA873" s="215"/>
    </row>
    <row r="874">
      <c r="A874" s="215"/>
      <c r="B874" s="237"/>
      <c r="C874" s="236"/>
      <c r="D874" s="215"/>
      <c r="E874" s="215"/>
      <c r="F874" s="23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  <c r="AA874" s="215"/>
    </row>
    <row r="875">
      <c r="A875" s="215"/>
      <c r="B875" s="237"/>
      <c r="C875" s="236"/>
      <c r="D875" s="215"/>
      <c r="E875" s="215"/>
      <c r="F875" s="23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  <c r="AA875" s="215"/>
    </row>
    <row r="876">
      <c r="A876" s="215"/>
      <c r="B876" s="237"/>
      <c r="C876" s="236"/>
      <c r="D876" s="215"/>
      <c r="E876" s="215"/>
      <c r="F876" s="23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  <c r="AA876" s="215"/>
    </row>
    <row r="877">
      <c r="A877" s="215"/>
      <c r="B877" s="237"/>
      <c r="C877" s="236"/>
      <c r="D877" s="215"/>
      <c r="E877" s="215"/>
      <c r="F877" s="23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  <c r="AA877" s="215"/>
    </row>
    <row r="878">
      <c r="A878" s="215"/>
      <c r="B878" s="237"/>
      <c r="C878" s="236"/>
      <c r="D878" s="215"/>
      <c r="E878" s="215"/>
      <c r="F878" s="23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  <c r="AA878" s="215"/>
    </row>
    <row r="879">
      <c r="A879" s="215"/>
      <c r="B879" s="237"/>
      <c r="C879" s="236"/>
      <c r="D879" s="215"/>
      <c r="E879" s="215"/>
      <c r="F879" s="23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  <c r="AA879" s="215"/>
    </row>
    <row r="880">
      <c r="A880" s="215"/>
      <c r="B880" s="237"/>
      <c r="C880" s="236"/>
      <c r="D880" s="215"/>
      <c r="E880" s="215"/>
      <c r="F880" s="23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  <c r="AA880" s="215"/>
    </row>
    <row r="881">
      <c r="A881" s="215"/>
      <c r="B881" s="237"/>
      <c r="C881" s="236"/>
      <c r="D881" s="215"/>
      <c r="E881" s="215"/>
      <c r="F881" s="23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  <c r="AA881" s="215"/>
    </row>
    <row r="882">
      <c r="A882" s="215"/>
      <c r="B882" s="237"/>
      <c r="C882" s="236"/>
      <c r="D882" s="215"/>
      <c r="E882" s="215"/>
      <c r="F882" s="23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  <c r="AA882" s="215"/>
    </row>
    <row r="883">
      <c r="A883" s="215"/>
      <c r="B883" s="237"/>
      <c r="C883" s="236"/>
      <c r="D883" s="215"/>
      <c r="E883" s="215"/>
      <c r="F883" s="23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  <c r="AA883" s="215"/>
    </row>
    <row r="884">
      <c r="A884" s="215"/>
      <c r="B884" s="237"/>
      <c r="C884" s="236"/>
      <c r="D884" s="215"/>
      <c r="E884" s="215"/>
      <c r="F884" s="23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  <c r="AA884" s="215"/>
    </row>
    <row r="885">
      <c r="A885" s="215"/>
      <c r="B885" s="237"/>
      <c r="C885" s="236"/>
      <c r="D885" s="215"/>
      <c r="E885" s="215"/>
      <c r="F885" s="23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  <c r="AA885" s="215"/>
    </row>
    <row r="886">
      <c r="A886" s="215"/>
      <c r="B886" s="237"/>
      <c r="C886" s="236"/>
      <c r="D886" s="215"/>
      <c r="E886" s="215"/>
      <c r="F886" s="23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  <c r="AA886" s="215"/>
    </row>
    <row r="887">
      <c r="A887" s="215"/>
      <c r="B887" s="237"/>
      <c r="C887" s="236"/>
      <c r="D887" s="215"/>
      <c r="E887" s="215"/>
      <c r="F887" s="23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  <c r="AA887" s="215"/>
    </row>
    <row r="888">
      <c r="A888" s="215"/>
      <c r="B888" s="237"/>
      <c r="C888" s="236"/>
      <c r="D888" s="215"/>
      <c r="E888" s="215"/>
      <c r="F888" s="23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  <c r="AA888" s="215"/>
    </row>
    <row r="889">
      <c r="A889" s="215"/>
      <c r="B889" s="237"/>
      <c r="C889" s="236"/>
      <c r="D889" s="215"/>
      <c r="E889" s="215"/>
      <c r="F889" s="23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  <c r="AA889" s="215"/>
    </row>
    <row r="890">
      <c r="A890" s="215"/>
      <c r="B890" s="237"/>
      <c r="C890" s="236"/>
      <c r="D890" s="215"/>
      <c r="E890" s="215"/>
      <c r="F890" s="23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  <c r="AA890" s="215"/>
    </row>
    <row r="891">
      <c r="A891" s="215"/>
      <c r="B891" s="237"/>
      <c r="C891" s="236"/>
      <c r="D891" s="215"/>
      <c r="E891" s="215"/>
      <c r="F891" s="23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  <c r="AA891" s="215"/>
    </row>
    <row r="892">
      <c r="A892" s="215"/>
      <c r="B892" s="237"/>
      <c r="C892" s="236"/>
      <c r="D892" s="215"/>
      <c r="E892" s="215"/>
      <c r="F892" s="23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  <c r="AA892" s="215"/>
    </row>
    <row r="893">
      <c r="A893" s="215"/>
      <c r="B893" s="237"/>
      <c r="C893" s="236"/>
      <c r="D893" s="215"/>
      <c r="E893" s="215"/>
      <c r="F893" s="23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  <c r="AA893" s="215"/>
    </row>
    <row r="894">
      <c r="A894" s="215"/>
      <c r="B894" s="237"/>
      <c r="C894" s="236"/>
      <c r="D894" s="215"/>
      <c r="E894" s="215"/>
      <c r="F894" s="23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  <c r="AA894" s="215"/>
    </row>
    <row r="895">
      <c r="A895" s="215"/>
      <c r="B895" s="237"/>
      <c r="C895" s="236"/>
      <c r="D895" s="215"/>
      <c r="E895" s="215"/>
      <c r="F895" s="23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  <c r="AA895" s="215"/>
    </row>
    <row r="896">
      <c r="A896" s="215"/>
      <c r="B896" s="237"/>
      <c r="C896" s="236"/>
      <c r="D896" s="215"/>
      <c r="E896" s="215"/>
      <c r="F896" s="23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  <c r="AA896" s="215"/>
    </row>
    <row r="897">
      <c r="A897" s="215"/>
      <c r="B897" s="237"/>
      <c r="C897" s="236"/>
      <c r="D897" s="215"/>
      <c r="E897" s="215"/>
      <c r="F897" s="23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  <c r="AA897" s="215"/>
    </row>
    <row r="898">
      <c r="A898" s="215"/>
      <c r="B898" s="237"/>
      <c r="C898" s="236"/>
      <c r="D898" s="215"/>
      <c r="E898" s="215"/>
      <c r="F898" s="23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  <c r="AA898" s="215"/>
    </row>
    <row r="899">
      <c r="A899" s="215"/>
      <c r="B899" s="237"/>
      <c r="C899" s="236"/>
      <c r="D899" s="215"/>
      <c r="E899" s="215"/>
      <c r="F899" s="23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  <c r="AA899" s="215"/>
    </row>
    <row r="900">
      <c r="A900" s="215"/>
      <c r="B900" s="237"/>
      <c r="C900" s="236"/>
      <c r="D900" s="215"/>
      <c r="E900" s="215"/>
      <c r="F900" s="23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  <c r="AA900" s="215"/>
    </row>
    <row r="901">
      <c r="A901" s="215"/>
      <c r="B901" s="237"/>
      <c r="C901" s="236"/>
      <c r="D901" s="215"/>
      <c r="E901" s="215"/>
      <c r="F901" s="23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  <c r="AA901" s="215"/>
    </row>
    <row r="902">
      <c r="A902" s="215"/>
      <c r="B902" s="237"/>
      <c r="C902" s="236"/>
      <c r="D902" s="215"/>
      <c r="E902" s="215"/>
      <c r="F902" s="23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  <c r="AA902" s="215"/>
    </row>
    <row r="903">
      <c r="A903" s="215"/>
      <c r="B903" s="237"/>
      <c r="C903" s="236"/>
      <c r="D903" s="215"/>
      <c r="E903" s="215"/>
      <c r="F903" s="23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  <c r="AA903" s="215"/>
    </row>
    <row r="904">
      <c r="A904" s="215"/>
      <c r="B904" s="237"/>
      <c r="C904" s="236"/>
      <c r="D904" s="215"/>
      <c r="E904" s="215"/>
      <c r="F904" s="23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  <c r="AA904" s="215"/>
    </row>
    <row r="905">
      <c r="A905" s="215"/>
      <c r="B905" s="237"/>
      <c r="C905" s="236"/>
      <c r="D905" s="215"/>
      <c r="E905" s="215"/>
      <c r="F905" s="23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  <c r="AA905" s="215"/>
    </row>
    <row r="906">
      <c r="A906" s="215"/>
      <c r="B906" s="237"/>
      <c r="C906" s="236"/>
      <c r="D906" s="215"/>
      <c r="E906" s="215"/>
      <c r="F906" s="23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  <c r="AA906" s="215"/>
    </row>
    <row r="907">
      <c r="A907" s="215"/>
      <c r="B907" s="237"/>
      <c r="C907" s="236"/>
      <c r="D907" s="215"/>
      <c r="E907" s="215"/>
      <c r="F907" s="23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  <c r="AA907" s="215"/>
    </row>
    <row r="908">
      <c r="A908" s="215"/>
      <c r="B908" s="237"/>
      <c r="C908" s="236"/>
      <c r="D908" s="215"/>
      <c r="E908" s="215"/>
      <c r="F908" s="23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  <c r="AA908" s="215"/>
    </row>
    <row r="909">
      <c r="A909" s="215"/>
      <c r="B909" s="237"/>
      <c r="C909" s="236"/>
      <c r="D909" s="215"/>
      <c r="E909" s="215"/>
      <c r="F909" s="23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  <c r="AA909" s="215"/>
    </row>
    <row r="910">
      <c r="A910" s="215"/>
      <c r="B910" s="237"/>
      <c r="C910" s="236"/>
      <c r="D910" s="215"/>
      <c r="E910" s="215"/>
      <c r="F910" s="23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  <c r="AA910" s="215"/>
    </row>
    <row r="911">
      <c r="A911" s="215"/>
      <c r="B911" s="237"/>
      <c r="C911" s="236"/>
      <c r="D911" s="215"/>
      <c r="E911" s="215"/>
      <c r="F911" s="23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  <c r="AA911" s="215"/>
    </row>
    <row r="912">
      <c r="A912" s="215"/>
      <c r="B912" s="237"/>
      <c r="C912" s="236"/>
      <c r="D912" s="215"/>
      <c r="E912" s="215"/>
      <c r="F912" s="23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  <c r="AA912" s="215"/>
    </row>
    <row r="913">
      <c r="A913" s="215"/>
      <c r="B913" s="237"/>
      <c r="C913" s="236"/>
      <c r="D913" s="215"/>
      <c r="E913" s="215"/>
      <c r="F913" s="23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  <c r="AA913" s="215"/>
    </row>
    <row r="914">
      <c r="A914" s="215"/>
      <c r="B914" s="237"/>
      <c r="C914" s="236"/>
      <c r="D914" s="215"/>
      <c r="E914" s="215"/>
      <c r="F914" s="23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  <c r="AA914" s="215"/>
    </row>
    <row r="915">
      <c r="A915" s="215"/>
      <c r="B915" s="237"/>
      <c r="C915" s="236"/>
      <c r="D915" s="215"/>
      <c r="E915" s="215"/>
      <c r="F915" s="23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  <c r="AA915" s="215"/>
    </row>
    <row r="916">
      <c r="A916" s="215"/>
      <c r="B916" s="237"/>
      <c r="C916" s="236"/>
      <c r="D916" s="215"/>
      <c r="E916" s="215"/>
      <c r="F916" s="23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  <c r="AA916" s="215"/>
    </row>
    <row r="917">
      <c r="A917" s="215"/>
      <c r="B917" s="237"/>
      <c r="C917" s="236"/>
      <c r="D917" s="215"/>
      <c r="E917" s="215"/>
      <c r="F917" s="23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  <c r="AA917" s="215"/>
    </row>
    <row r="918">
      <c r="A918" s="215"/>
      <c r="B918" s="237"/>
      <c r="C918" s="236"/>
      <c r="D918" s="215"/>
      <c r="E918" s="215"/>
      <c r="F918" s="23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  <c r="AA918" s="215"/>
    </row>
    <row r="919">
      <c r="A919" s="215"/>
      <c r="B919" s="237"/>
      <c r="C919" s="236"/>
      <c r="D919" s="215"/>
      <c r="E919" s="215"/>
      <c r="F919" s="23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  <c r="AA919" s="215"/>
    </row>
    <row r="920">
      <c r="A920" s="215"/>
      <c r="B920" s="237"/>
      <c r="C920" s="236"/>
      <c r="D920" s="215"/>
      <c r="E920" s="215"/>
      <c r="F920" s="23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  <c r="AA920" s="215"/>
    </row>
    <row r="921">
      <c r="A921" s="215"/>
      <c r="B921" s="237"/>
      <c r="C921" s="236"/>
      <c r="D921" s="215"/>
      <c r="E921" s="215"/>
      <c r="F921" s="23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  <c r="AA921" s="215"/>
    </row>
    <row r="922">
      <c r="A922" s="215"/>
      <c r="B922" s="237"/>
      <c r="C922" s="236"/>
      <c r="D922" s="215"/>
      <c r="E922" s="215"/>
      <c r="F922" s="23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  <c r="AA922" s="215"/>
    </row>
    <row r="923">
      <c r="A923" s="215"/>
      <c r="B923" s="237"/>
      <c r="C923" s="236"/>
      <c r="D923" s="215"/>
      <c r="E923" s="215"/>
      <c r="F923" s="23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  <c r="AA923" s="215"/>
    </row>
    <row r="924">
      <c r="A924" s="215"/>
      <c r="B924" s="237"/>
      <c r="C924" s="236"/>
      <c r="D924" s="215"/>
      <c r="E924" s="215"/>
      <c r="F924" s="23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  <c r="AA924" s="215"/>
    </row>
    <row r="925">
      <c r="A925" s="215"/>
      <c r="B925" s="237"/>
      <c r="C925" s="236"/>
      <c r="D925" s="215"/>
      <c r="E925" s="215"/>
      <c r="F925" s="23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  <c r="AA925" s="215"/>
    </row>
    <row r="926">
      <c r="A926" s="215"/>
      <c r="B926" s="237"/>
      <c r="C926" s="236"/>
      <c r="D926" s="215"/>
      <c r="E926" s="215"/>
      <c r="F926" s="23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  <c r="AA926" s="215"/>
    </row>
    <row r="927">
      <c r="A927" s="215"/>
      <c r="B927" s="237"/>
      <c r="C927" s="236"/>
      <c r="D927" s="215"/>
      <c r="E927" s="215"/>
      <c r="F927" s="23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  <c r="AA927" s="215"/>
    </row>
    <row r="928">
      <c r="A928" s="215"/>
      <c r="B928" s="237"/>
      <c r="C928" s="236"/>
      <c r="D928" s="215"/>
      <c r="E928" s="215"/>
      <c r="F928" s="23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  <c r="AA928" s="215"/>
    </row>
    <row r="929">
      <c r="A929" s="215"/>
      <c r="B929" s="237"/>
      <c r="C929" s="236"/>
      <c r="D929" s="215"/>
      <c r="E929" s="215"/>
      <c r="F929" s="23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  <c r="AA929" s="215"/>
    </row>
    <row r="930">
      <c r="A930" s="215"/>
      <c r="B930" s="237"/>
      <c r="C930" s="236"/>
      <c r="D930" s="215"/>
      <c r="E930" s="215"/>
      <c r="F930" s="23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  <c r="AA930" s="215"/>
    </row>
    <row r="931">
      <c r="A931" s="215"/>
      <c r="B931" s="237"/>
      <c r="C931" s="236"/>
      <c r="D931" s="215"/>
      <c r="E931" s="215"/>
      <c r="F931" s="23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  <c r="AA931" s="215"/>
    </row>
    <row r="932">
      <c r="A932" s="215"/>
      <c r="B932" s="237"/>
      <c r="C932" s="236"/>
      <c r="D932" s="215"/>
      <c r="E932" s="215"/>
      <c r="F932" s="23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  <c r="AA932" s="215"/>
    </row>
    <row r="933">
      <c r="A933" s="215"/>
      <c r="B933" s="237"/>
      <c r="C933" s="236"/>
      <c r="D933" s="215"/>
      <c r="E933" s="215"/>
      <c r="F933" s="23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  <c r="AA933" s="215"/>
    </row>
    <row r="934">
      <c r="A934" s="215"/>
      <c r="B934" s="237"/>
      <c r="C934" s="236"/>
      <c r="D934" s="215"/>
      <c r="E934" s="215"/>
      <c r="F934" s="23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  <c r="AA934" s="215"/>
    </row>
    <row r="935">
      <c r="A935" s="215"/>
      <c r="B935" s="237"/>
      <c r="C935" s="236"/>
      <c r="D935" s="215"/>
      <c r="E935" s="215"/>
      <c r="F935" s="23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  <c r="AA935" s="215"/>
    </row>
    <row r="936">
      <c r="A936" s="215"/>
      <c r="B936" s="237"/>
      <c r="C936" s="236"/>
      <c r="D936" s="215"/>
      <c r="E936" s="215"/>
      <c r="F936" s="23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  <c r="AA936" s="215"/>
    </row>
    <row r="937">
      <c r="A937" s="215"/>
      <c r="B937" s="237"/>
      <c r="C937" s="236"/>
      <c r="D937" s="215"/>
      <c r="E937" s="215"/>
      <c r="F937" s="23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  <c r="AA937" s="215"/>
    </row>
    <row r="938">
      <c r="A938" s="215"/>
      <c r="B938" s="237"/>
      <c r="C938" s="236"/>
      <c r="D938" s="215"/>
      <c r="E938" s="215"/>
      <c r="F938" s="23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  <c r="AA938" s="215"/>
    </row>
    <row r="939">
      <c r="A939" s="215"/>
      <c r="B939" s="237"/>
      <c r="C939" s="236"/>
      <c r="D939" s="215"/>
      <c r="E939" s="215"/>
      <c r="F939" s="23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  <c r="AA939" s="215"/>
    </row>
    <row r="940">
      <c r="A940" s="215"/>
      <c r="B940" s="237"/>
      <c r="C940" s="236"/>
      <c r="D940" s="215"/>
      <c r="E940" s="215"/>
      <c r="F940" s="23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  <c r="AA940" s="215"/>
    </row>
    <row r="941">
      <c r="A941" s="215"/>
      <c r="B941" s="237"/>
      <c r="C941" s="236"/>
      <c r="D941" s="215"/>
      <c r="E941" s="215"/>
      <c r="F941" s="23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  <c r="AA941" s="215"/>
    </row>
    <row r="942">
      <c r="A942" s="215"/>
      <c r="B942" s="237"/>
      <c r="C942" s="236"/>
      <c r="D942" s="215"/>
      <c r="E942" s="215"/>
      <c r="F942" s="23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  <c r="AA942" s="215"/>
    </row>
    <row r="943">
      <c r="A943" s="215"/>
      <c r="B943" s="237"/>
      <c r="C943" s="236"/>
      <c r="D943" s="215"/>
      <c r="E943" s="215"/>
      <c r="F943" s="23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  <c r="AA943" s="215"/>
    </row>
    <row r="944">
      <c r="A944" s="215"/>
      <c r="B944" s="237"/>
      <c r="C944" s="236"/>
      <c r="D944" s="215"/>
      <c r="E944" s="215"/>
      <c r="F944" s="23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  <c r="AA944" s="215"/>
    </row>
    <row r="945">
      <c r="A945" s="215"/>
      <c r="B945" s="237"/>
      <c r="C945" s="236"/>
      <c r="D945" s="215"/>
      <c r="E945" s="215"/>
      <c r="F945" s="23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  <c r="AA945" s="215"/>
    </row>
    <row r="946">
      <c r="A946" s="215"/>
      <c r="B946" s="237"/>
      <c r="C946" s="236"/>
      <c r="D946" s="215"/>
      <c r="E946" s="215"/>
      <c r="F946" s="23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  <c r="AA946" s="215"/>
    </row>
    <row r="947">
      <c r="A947" s="215"/>
      <c r="B947" s="237"/>
      <c r="C947" s="236"/>
      <c r="D947" s="215"/>
      <c r="E947" s="215"/>
      <c r="F947" s="23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  <c r="AA947" s="215"/>
    </row>
    <row r="948">
      <c r="A948" s="215"/>
      <c r="B948" s="237"/>
      <c r="C948" s="236"/>
      <c r="D948" s="215"/>
      <c r="E948" s="215"/>
      <c r="F948" s="23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  <c r="AA948" s="215"/>
    </row>
    <row r="949">
      <c r="A949" s="215"/>
      <c r="B949" s="237"/>
      <c r="C949" s="236"/>
      <c r="D949" s="215"/>
      <c r="E949" s="215"/>
      <c r="F949" s="23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  <c r="AA949" s="215"/>
    </row>
    <row r="950">
      <c r="A950" s="215"/>
      <c r="B950" s="237"/>
      <c r="C950" s="236"/>
      <c r="D950" s="215"/>
      <c r="E950" s="215"/>
      <c r="F950" s="23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  <c r="AA950" s="215"/>
    </row>
    <row r="951">
      <c r="A951" s="215"/>
      <c r="B951" s="237"/>
      <c r="C951" s="236"/>
      <c r="D951" s="215"/>
      <c r="E951" s="215"/>
      <c r="F951" s="23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  <c r="AA951" s="215"/>
    </row>
    <row r="952">
      <c r="A952" s="215"/>
      <c r="B952" s="237"/>
      <c r="C952" s="236"/>
      <c r="D952" s="215"/>
      <c r="E952" s="215"/>
      <c r="F952" s="23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  <c r="AA952" s="215"/>
    </row>
    <row r="953">
      <c r="A953" s="215"/>
      <c r="B953" s="237"/>
      <c r="C953" s="236"/>
      <c r="D953" s="215"/>
      <c r="E953" s="215"/>
      <c r="F953" s="23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  <c r="AA953" s="215"/>
    </row>
    <row r="954">
      <c r="A954" s="215"/>
      <c r="B954" s="237"/>
      <c r="C954" s="236"/>
      <c r="D954" s="215"/>
      <c r="E954" s="215"/>
      <c r="F954" s="23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  <c r="AA954" s="215"/>
    </row>
    <row r="955">
      <c r="A955" s="215"/>
      <c r="B955" s="237"/>
      <c r="C955" s="236"/>
      <c r="D955" s="215"/>
      <c r="E955" s="215"/>
      <c r="F955" s="23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  <c r="AA955" s="215"/>
    </row>
    <row r="956">
      <c r="A956" s="215"/>
      <c r="B956" s="237"/>
      <c r="C956" s="236"/>
      <c r="D956" s="215"/>
      <c r="E956" s="215"/>
      <c r="F956" s="23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  <c r="AA956" s="215"/>
    </row>
    <row r="957">
      <c r="A957" s="215"/>
      <c r="B957" s="237"/>
      <c r="C957" s="236"/>
      <c r="D957" s="215"/>
      <c r="E957" s="215"/>
      <c r="F957" s="23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  <c r="AA957" s="215"/>
    </row>
    <row r="958">
      <c r="A958" s="215"/>
      <c r="B958" s="237"/>
      <c r="C958" s="236"/>
      <c r="D958" s="215"/>
      <c r="E958" s="215"/>
      <c r="F958" s="23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  <c r="AA958" s="215"/>
    </row>
    <row r="959">
      <c r="A959" s="215"/>
      <c r="B959" s="237"/>
      <c r="C959" s="236"/>
      <c r="D959" s="215"/>
      <c r="E959" s="215"/>
      <c r="F959" s="23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  <c r="AA959" s="215"/>
    </row>
    <row r="960">
      <c r="A960" s="215"/>
      <c r="B960" s="237"/>
      <c r="C960" s="236"/>
      <c r="D960" s="215"/>
      <c r="E960" s="215"/>
      <c r="F960" s="23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  <c r="AA960" s="215"/>
    </row>
    <row r="961">
      <c r="A961" s="215"/>
      <c r="B961" s="237"/>
      <c r="C961" s="236"/>
      <c r="D961" s="215"/>
      <c r="E961" s="215"/>
      <c r="F961" s="23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  <c r="AA961" s="215"/>
    </row>
    <row r="962">
      <c r="A962" s="215"/>
      <c r="B962" s="237"/>
      <c r="C962" s="236"/>
      <c r="D962" s="215"/>
      <c r="E962" s="215"/>
      <c r="F962" s="23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  <c r="AA962" s="215"/>
    </row>
    <row r="963">
      <c r="A963" s="215"/>
      <c r="B963" s="237"/>
      <c r="C963" s="236"/>
      <c r="D963" s="215"/>
      <c r="E963" s="215"/>
      <c r="F963" s="23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  <c r="AA963" s="215"/>
    </row>
    <row r="964">
      <c r="A964" s="215"/>
      <c r="B964" s="237"/>
      <c r="C964" s="236"/>
      <c r="D964" s="215"/>
      <c r="E964" s="215"/>
      <c r="F964" s="23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  <c r="AA964" s="215"/>
    </row>
    <row r="965">
      <c r="A965" s="215"/>
      <c r="B965" s="237"/>
      <c r="C965" s="236"/>
      <c r="D965" s="215"/>
      <c r="E965" s="215"/>
      <c r="F965" s="23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  <c r="AA965" s="215"/>
    </row>
    <row r="966">
      <c r="A966" s="215"/>
      <c r="B966" s="237"/>
      <c r="C966" s="236"/>
      <c r="D966" s="215"/>
      <c r="E966" s="215"/>
      <c r="F966" s="23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  <c r="AA966" s="215"/>
    </row>
    <row r="967">
      <c r="A967" s="215"/>
      <c r="B967" s="237"/>
      <c r="C967" s="236"/>
      <c r="D967" s="215"/>
      <c r="E967" s="215"/>
      <c r="F967" s="23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  <c r="AA967" s="215"/>
    </row>
    <row r="968">
      <c r="A968" s="215"/>
      <c r="B968" s="237"/>
      <c r="C968" s="236"/>
      <c r="D968" s="215"/>
      <c r="E968" s="215"/>
      <c r="F968" s="23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  <c r="AA968" s="215"/>
    </row>
    <row r="969">
      <c r="A969" s="215"/>
      <c r="B969" s="237"/>
      <c r="C969" s="236"/>
      <c r="D969" s="215"/>
      <c r="E969" s="215"/>
      <c r="F969" s="23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  <c r="AA969" s="215"/>
    </row>
    <row r="970">
      <c r="A970" s="215"/>
      <c r="B970" s="237"/>
      <c r="C970" s="236"/>
      <c r="D970" s="215"/>
      <c r="E970" s="215"/>
      <c r="F970" s="23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  <c r="AA970" s="215"/>
    </row>
    <row r="971">
      <c r="A971" s="215"/>
      <c r="B971" s="237"/>
      <c r="C971" s="236"/>
      <c r="D971" s="215"/>
      <c r="E971" s="215"/>
      <c r="F971" s="23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  <c r="AA971" s="215"/>
    </row>
    <row r="972">
      <c r="A972" s="215"/>
      <c r="B972" s="237"/>
      <c r="C972" s="236"/>
      <c r="D972" s="215"/>
      <c r="E972" s="215"/>
      <c r="F972" s="23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  <c r="AA972" s="215"/>
    </row>
    <row r="973">
      <c r="A973" s="215"/>
      <c r="B973" s="237"/>
      <c r="C973" s="236"/>
      <c r="D973" s="215"/>
      <c r="E973" s="215"/>
      <c r="F973" s="23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  <c r="AA973" s="215"/>
    </row>
    <row r="974">
      <c r="A974" s="215"/>
      <c r="B974" s="237"/>
      <c r="C974" s="236"/>
      <c r="D974" s="215"/>
      <c r="E974" s="215"/>
      <c r="F974" s="23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  <c r="AA974" s="215"/>
    </row>
    <row r="975">
      <c r="A975" s="215"/>
      <c r="B975" s="237"/>
      <c r="C975" s="236"/>
      <c r="D975" s="215"/>
      <c r="E975" s="215"/>
      <c r="F975" s="23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  <c r="AA975" s="215"/>
    </row>
    <row r="976">
      <c r="A976" s="215"/>
      <c r="B976" s="237"/>
      <c r="C976" s="236"/>
      <c r="D976" s="215"/>
      <c r="E976" s="215"/>
      <c r="F976" s="23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  <c r="AA976" s="215"/>
    </row>
    <row r="977">
      <c r="A977" s="215"/>
      <c r="B977" s="237"/>
      <c r="C977" s="236"/>
      <c r="D977" s="215"/>
      <c r="E977" s="215"/>
      <c r="F977" s="23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  <c r="AA977" s="215"/>
    </row>
    <row r="978">
      <c r="A978" s="215"/>
      <c r="B978" s="237"/>
      <c r="C978" s="236"/>
      <c r="D978" s="215"/>
      <c r="E978" s="215"/>
      <c r="F978" s="23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  <c r="AA978" s="215"/>
    </row>
    <row r="979">
      <c r="A979" s="215"/>
      <c r="B979" s="237"/>
      <c r="C979" s="236"/>
      <c r="D979" s="215"/>
      <c r="E979" s="215"/>
      <c r="F979" s="23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  <c r="AA979" s="215"/>
    </row>
    <row r="980">
      <c r="A980" s="215"/>
      <c r="B980" s="237"/>
      <c r="C980" s="236"/>
      <c r="D980" s="215"/>
      <c r="E980" s="215"/>
      <c r="F980" s="23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  <c r="AA980" s="215"/>
    </row>
    <row r="981">
      <c r="A981" s="215"/>
      <c r="B981" s="237"/>
      <c r="C981" s="236"/>
      <c r="D981" s="215"/>
      <c r="E981" s="215"/>
      <c r="F981" s="23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  <c r="AA981" s="215"/>
    </row>
    <row r="982">
      <c r="A982" s="215"/>
      <c r="B982" s="237"/>
      <c r="C982" s="236"/>
      <c r="D982" s="215"/>
      <c r="E982" s="215"/>
      <c r="F982" s="23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  <c r="AA982" s="215"/>
    </row>
    <row r="983">
      <c r="A983" s="215"/>
      <c r="B983" s="237"/>
      <c r="C983" s="236"/>
      <c r="D983" s="215"/>
      <c r="E983" s="215"/>
      <c r="F983" s="23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  <c r="AA983" s="215"/>
    </row>
    <row r="984">
      <c r="A984" s="215"/>
      <c r="B984" s="237"/>
      <c r="C984" s="236"/>
      <c r="D984" s="215"/>
      <c r="E984" s="215"/>
      <c r="F984" s="23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  <c r="AA984" s="215"/>
    </row>
    <row r="985">
      <c r="A985" s="215"/>
      <c r="B985" s="237"/>
      <c r="C985" s="236"/>
      <c r="D985" s="215"/>
      <c r="E985" s="215"/>
      <c r="F985" s="23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  <c r="AA985" s="215"/>
    </row>
    <row r="986">
      <c r="A986" s="215"/>
      <c r="B986" s="237"/>
      <c r="C986" s="236"/>
      <c r="D986" s="215"/>
      <c r="E986" s="215"/>
      <c r="F986" s="23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  <c r="AA986" s="215"/>
    </row>
    <row r="987">
      <c r="A987" s="215"/>
      <c r="B987" s="237"/>
      <c r="C987" s="236"/>
      <c r="D987" s="215"/>
      <c r="E987" s="215"/>
      <c r="F987" s="23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  <c r="AA987" s="215"/>
    </row>
    <row r="988">
      <c r="A988" s="215"/>
      <c r="B988" s="237"/>
      <c r="C988" s="236"/>
      <c r="D988" s="215"/>
      <c r="E988" s="215"/>
      <c r="F988" s="23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  <c r="AA988" s="215"/>
    </row>
    <row r="989">
      <c r="A989" s="215"/>
      <c r="B989" s="237"/>
      <c r="C989" s="236"/>
      <c r="D989" s="215"/>
      <c r="E989" s="215"/>
      <c r="F989" s="23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  <c r="AA989" s="215"/>
    </row>
    <row r="990">
      <c r="A990" s="215"/>
      <c r="B990" s="237"/>
      <c r="C990" s="236"/>
      <c r="D990" s="215"/>
      <c r="E990" s="215"/>
      <c r="F990" s="23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  <c r="AA990" s="215"/>
    </row>
    <row r="991">
      <c r="A991" s="215"/>
      <c r="B991" s="237"/>
      <c r="C991" s="236"/>
      <c r="D991" s="215"/>
      <c r="E991" s="215"/>
      <c r="F991" s="23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  <c r="AA991" s="215"/>
    </row>
    <row r="992">
      <c r="A992" s="215"/>
      <c r="B992" s="237"/>
      <c r="C992" s="236"/>
      <c r="D992" s="215"/>
      <c r="E992" s="215"/>
      <c r="F992" s="23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  <c r="AA992" s="215"/>
    </row>
    <row r="993">
      <c r="A993" s="215"/>
      <c r="B993" s="237"/>
      <c r="C993" s="236"/>
      <c r="D993" s="215"/>
      <c r="E993" s="215"/>
      <c r="F993" s="23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  <c r="AA993" s="215"/>
    </row>
    <row r="994">
      <c r="A994" s="215"/>
      <c r="B994" s="237"/>
      <c r="C994" s="236"/>
      <c r="D994" s="215"/>
      <c r="E994" s="215"/>
      <c r="F994" s="23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  <c r="AA994" s="215"/>
    </row>
    <row r="995">
      <c r="A995" s="215"/>
      <c r="B995" s="237"/>
      <c r="C995" s="236"/>
      <c r="D995" s="215"/>
      <c r="E995" s="215"/>
      <c r="F995" s="23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  <c r="AA995" s="215"/>
    </row>
    <row r="996">
      <c r="A996" s="215"/>
      <c r="B996" s="237"/>
      <c r="C996" s="236"/>
      <c r="D996" s="215"/>
      <c r="E996" s="215"/>
      <c r="F996" s="23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  <c r="AA996" s="215"/>
    </row>
    <row r="997">
      <c r="A997" s="215"/>
      <c r="B997" s="237"/>
      <c r="C997" s="236"/>
      <c r="D997" s="215"/>
      <c r="E997" s="215"/>
      <c r="F997" s="23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  <c r="AA997" s="215"/>
    </row>
    <row r="998">
      <c r="A998" s="215"/>
      <c r="B998" s="237"/>
      <c r="C998" s="236"/>
      <c r="D998" s="215"/>
      <c r="E998" s="215"/>
      <c r="F998" s="23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  <c r="AA998" s="215"/>
    </row>
    <row r="999">
      <c r="A999" s="215"/>
      <c r="B999" s="237"/>
      <c r="C999" s="236"/>
      <c r="D999" s="215"/>
      <c r="E999" s="215"/>
      <c r="F999" s="23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  <c r="AA999" s="215"/>
    </row>
    <row r="1000">
      <c r="A1000" s="215"/>
      <c r="B1000" s="237"/>
      <c r="C1000" s="236"/>
      <c r="D1000" s="215"/>
      <c r="E1000" s="215"/>
      <c r="F1000" s="23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  <c r="AA1000" s="215"/>
    </row>
    <row r="1001">
      <c r="A1001" s="215"/>
      <c r="B1001" s="237"/>
      <c r="C1001" s="236"/>
      <c r="D1001" s="215"/>
      <c r="E1001" s="215"/>
      <c r="F1001" s="235"/>
      <c r="G1001" s="215"/>
      <c r="H1001" s="215"/>
      <c r="I1001" s="215"/>
      <c r="J1001" s="215"/>
      <c r="K1001" s="215"/>
      <c r="L1001" s="215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  <c r="AA1001" s="215"/>
    </row>
    <row r="1002">
      <c r="A1002" s="215"/>
      <c r="B1002" s="237"/>
      <c r="C1002" s="236"/>
      <c r="D1002" s="215"/>
      <c r="E1002" s="215"/>
      <c r="F1002" s="235"/>
      <c r="G1002" s="215"/>
      <c r="H1002" s="215"/>
      <c r="I1002" s="215"/>
      <c r="J1002" s="215"/>
      <c r="K1002" s="215"/>
      <c r="L1002" s="215"/>
      <c r="M1002" s="215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215"/>
      <c r="Z1002" s="215"/>
      <c r="AA1002" s="215"/>
    </row>
    <row r="1003">
      <c r="A1003" s="215"/>
      <c r="B1003" s="237"/>
      <c r="C1003" s="236"/>
      <c r="D1003" s="215"/>
      <c r="E1003" s="215"/>
      <c r="F1003" s="235"/>
      <c r="G1003" s="215"/>
      <c r="H1003" s="215"/>
      <c r="I1003" s="215"/>
      <c r="J1003" s="215"/>
      <c r="K1003" s="215"/>
      <c r="L1003" s="215"/>
      <c r="M1003" s="215"/>
      <c r="N1003" s="215"/>
      <c r="O1003" s="215"/>
      <c r="P1003" s="215"/>
      <c r="Q1003" s="215"/>
      <c r="R1003" s="215"/>
      <c r="S1003" s="215"/>
      <c r="T1003" s="215"/>
      <c r="U1003" s="215"/>
      <c r="V1003" s="215"/>
      <c r="W1003" s="215"/>
      <c r="X1003" s="215"/>
      <c r="Y1003" s="215"/>
      <c r="Z1003" s="215"/>
      <c r="AA1003" s="215"/>
    </row>
    <row r="1004">
      <c r="A1004" s="215"/>
      <c r="B1004" s="237"/>
      <c r="C1004" s="236"/>
      <c r="D1004" s="215"/>
      <c r="E1004" s="215"/>
      <c r="F1004" s="235"/>
      <c r="G1004" s="215"/>
      <c r="H1004" s="215"/>
      <c r="I1004" s="215"/>
      <c r="J1004" s="215"/>
      <c r="K1004" s="215"/>
      <c r="L1004" s="215"/>
      <c r="M1004" s="215"/>
      <c r="N1004" s="215"/>
      <c r="O1004" s="215"/>
      <c r="P1004" s="215"/>
      <c r="Q1004" s="215"/>
      <c r="R1004" s="215"/>
      <c r="S1004" s="215"/>
      <c r="T1004" s="215"/>
      <c r="U1004" s="215"/>
      <c r="V1004" s="215"/>
      <c r="W1004" s="215"/>
      <c r="X1004" s="215"/>
      <c r="Y1004" s="215"/>
      <c r="Z1004" s="215"/>
      <c r="AA1004" s="215"/>
    </row>
    <row r="1005">
      <c r="A1005" s="215"/>
      <c r="B1005" s="237"/>
      <c r="C1005" s="236"/>
      <c r="D1005" s="215"/>
      <c r="E1005" s="215"/>
      <c r="F1005" s="235"/>
      <c r="G1005" s="215"/>
      <c r="H1005" s="215"/>
      <c r="I1005" s="215"/>
      <c r="J1005" s="215"/>
      <c r="K1005" s="215"/>
      <c r="L1005" s="215"/>
      <c r="M1005" s="215"/>
      <c r="N1005" s="215"/>
      <c r="O1005" s="215"/>
      <c r="P1005" s="215"/>
      <c r="Q1005" s="215"/>
      <c r="R1005" s="215"/>
      <c r="S1005" s="215"/>
      <c r="T1005" s="215"/>
      <c r="U1005" s="215"/>
      <c r="V1005" s="215"/>
      <c r="W1005" s="215"/>
      <c r="X1005" s="215"/>
      <c r="Y1005" s="215"/>
      <c r="Z1005" s="215"/>
      <c r="AA1005" s="215"/>
    </row>
  </sheetData>
  <mergeCells count="23">
    <mergeCell ref="A2:F2"/>
    <mergeCell ref="H2:K2"/>
    <mergeCell ref="J4:J6"/>
    <mergeCell ref="H29:K29"/>
    <mergeCell ref="J31:J32"/>
    <mergeCell ref="A38:D38"/>
    <mergeCell ref="A39:D39"/>
    <mergeCell ref="H58:K58"/>
    <mergeCell ref="J60:J61"/>
    <mergeCell ref="H85:K85"/>
    <mergeCell ref="J87:J88"/>
    <mergeCell ref="H112:K112"/>
    <mergeCell ref="J114:J115"/>
    <mergeCell ref="H139:K139"/>
    <mergeCell ref="H243:K243"/>
    <mergeCell ref="J245:J246"/>
    <mergeCell ref="J141:J142"/>
    <mergeCell ref="H165:K165"/>
    <mergeCell ref="J167:J168"/>
    <mergeCell ref="H191:K191"/>
    <mergeCell ref="J193:J194"/>
    <mergeCell ref="H217:K217"/>
    <mergeCell ref="J219:J2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4"/>
      <c r="B1" s="214"/>
      <c r="C1" s="214"/>
      <c r="D1" s="214"/>
      <c r="E1" s="214"/>
      <c r="F1" s="215"/>
      <c r="G1" s="216" t="s">
        <v>442</v>
      </c>
      <c r="R1" s="215"/>
      <c r="S1" s="215"/>
      <c r="T1" s="215"/>
      <c r="U1" s="215"/>
      <c r="V1" s="215"/>
      <c r="W1" s="215"/>
      <c r="X1" s="215"/>
      <c r="Y1" s="215"/>
      <c r="Z1" s="215"/>
    </row>
    <row r="2">
      <c r="A2" s="214" t="s">
        <v>443</v>
      </c>
      <c r="F2" s="215"/>
      <c r="G2" s="217" t="s">
        <v>444</v>
      </c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>
      <c r="A3" s="218" t="s">
        <v>445</v>
      </c>
      <c r="B3" s="219" t="s">
        <v>481</v>
      </c>
      <c r="C3" s="220" t="s">
        <v>447</v>
      </c>
      <c r="D3" s="218" t="s">
        <v>441</v>
      </c>
      <c r="E3" s="218" t="s">
        <v>448</v>
      </c>
      <c r="F3" s="215"/>
      <c r="G3" s="221" t="s">
        <v>435</v>
      </c>
      <c r="H3" s="222" t="s">
        <v>449</v>
      </c>
      <c r="I3" s="222" t="s">
        <v>450</v>
      </c>
      <c r="J3" s="222" t="s">
        <v>389</v>
      </c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>
      <c r="A4" s="223">
        <v>1.0</v>
      </c>
      <c r="B4" s="224">
        <f>IF(NOVEMBER!D16="", 0, NOVEMBER!D16)
</f>
        <v>130000</v>
      </c>
      <c r="C4" s="225">
        <f>IF(DESEMBER!D16="", 0, DESEMBER!D16)
</f>
        <v>4560000</v>
      </c>
      <c r="D4" s="224">
        <f t="shared" ref="D4:D34" si="1">C4-B4</f>
        <v>4430000</v>
      </c>
      <c r="E4" s="226">
        <f t="shared" ref="E4:E8" si="2">IF(AND(C4=0,B4=0),0,IF(AND(B4=0,C4&gt;0),1,(C4-B4)/B4))
</f>
        <v>34.07692308</v>
      </c>
      <c r="F4" s="215"/>
      <c r="G4" s="227" t="s">
        <v>387</v>
      </c>
      <c r="H4" s="224">
        <f>B4</f>
        <v>130000</v>
      </c>
      <c r="I4" s="228">
        <f>IF(AND(H4=0,H5=0),0,IF(AND(H4=0,H5&gt;0),1,(H5-H4)/H4))
</f>
        <v>34.07692308</v>
      </c>
      <c r="J4" s="229">
        <f>NOVEMBER!$E$7</f>
        <v>70000000</v>
      </c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23">
        <v>2.0</v>
      </c>
      <c r="B5" s="224">
        <f>IF(NOVEMBER!D17="", 0, NOVEMBER!D17)
</f>
        <v>0</v>
      </c>
      <c r="C5" s="225">
        <f>IF(DESEMBER!D17="", 0, DESEMBER!D17)
</f>
        <v>4760000</v>
      </c>
      <c r="D5" s="224">
        <f t="shared" si="1"/>
        <v>4760000</v>
      </c>
      <c r="E5" s="226">
        <f t="shared" si="2"/>
        <v>1</v>
      </c>
      <c r="F5" s="215"/>
      <c r="G5" s="227" t="s">
        <v>451</v>
      </c>
      <c r="H5" s="224">
        <f>C4</f>
        <v>4560000</v>
      </c>
      <c r="I5" s="7"/>
      <c r="J5" s="229">
        <f>DESEMBER!$F$7</f>
        <v>70000000</v>
      </c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23">
        <v>3.0</v>
      </c>
      <c r="B6" s="224">
        <f>IF(NOVEMBER!D18="", 0, NOVEMBER!D18)
</f>
        <v>0</v>
      </c>
      <c r="C6" s="225">
        <f>IF(DESEMBER!D18="", 0, DESEMBER!D18)
</f>
        <v>1800000</v>
      </c>
      <c r="D6" s="224">
        <f t="shared" si="1"/>
        <v>1800000</v>
      </c>
      <c r="E6" s="226">
        <f t="shared" si="2"/>
        <v>1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23">
        <v>4.0</v>
      </c>
      <c r="B7" s="224">
        <f>IF(NOVEMBER!D19="", 0, NOVEMBER!D19)
</f>
        <v>200000</v>
      </c>
      <c r="C7" s="225">
        <f>IF(DESEMBER!D19="", 0, DESEMBER!D19)
</f>
        <v>675000</v>
      </c>
      <c r="D7" s="224">
        <f t="shared" si="1"/>
        <v>475000</v>
      </c>
      <c r="E7" s="226">
        <f t="shared" si="2"/>
        <v>2.375</v>
      </c>
      <c r="F7" s="215"/>
      <c r="G7" s="230" t="str">
        <f>LET(
  bulanLalu, G4,
  bulanIni, G5,
  orderLalu, H4,
  orderIni, H5,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naik 3408% dari NOVEMBER ke DESEMBER</v>
      </c>
      <c r="H7" s="231"/>
      <c r="I7" s="231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23">
        <v>5.0</v>
      </c>
      <c r="B8" s="224">
        <f>IF(NOVEMBER!D20="", 0, NOVEMBER!D20)
</f>
        <v>0</v>
      </c>
      <c r="C8" s="232">
        <f>IF(DESEMBER!D20="", 0, DESEMBER!D20)
</f>
        <v>205000</v>
      </c>
      <c r="D8" s="224">
        <f t="shared" si="1"/>
        <v>205000</v>
      </c>
      <c r="E8" s="226">
        <f t="shared" si="2"/>
        <v>1</v>
      </c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23">
        <v>6.0</v>
      </c>
      <c r="B9" s="224">
        <f>IF(NOVEMBER!D21="", 0, NOVEMBER!D21)
</f>
        <v>0</v>
      </c>
      <c r="C9" s="223">
        <f>IF(DESEMBER!D21="", 0, DESEMBER!D21)
</f>
        <v>0</v>
      </c>
      <c r="D9" s="224">
        <f t="shared" si="1"/>
        <v>0</v>
      </c>
      <c r="E9" s="233" t="s">
        <v>47</v>
      </c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23">
        <v>7.0</v>
      </c>
      <c r="B10" s="224">
        <f>IF(NOVEMBER!D22="", 0, NOVEMBER!D22)
</f>
        <v>0</v>
      </c>
      <c r="C10" s="223">
        <f>IF(DESEMBER!D22="", 0, DESEMBER!D22)
</f>
        <v>0</v>
      </c>
      <c r="D10" s="224">
        <f t="shared" si="1"/>
        <v>0</v>
      </c>
      <c r="E10" s="226">
        <f t="shared" ref="E10:E34" si="3">IF(AND(C10=0,B10=0),0,IF(AND(B10=0,C10&gt;0),1,(C10-B10)/B10))
</f>
        <v>0</v>
      </c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23">
        <v>8.0</v>
      </c>
      <c r="B11" s="224">
        <f>IF(NOVEMBER!D23="", 0, NOVEMBER!D23)
</f>
        <v>0</v>
      </c>
      <c r="C11" s="223">
        <f>IF(DESEMBER!D23="", 0, DESEMBER!D23)
</f>
        <v>0</v>
      </c>
      <c r="D11" s="224">
        <f t="shared" si="1"/>
        <v>0</v>
      </c>
      <c r="E11" s="226">
        <f t="shared" si="3"/>
        <v>0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23">
        <v>9.0</v>
      </c>
      <c r="B12" s="224">
        <f>IF(NOVEMBER!D24="", 0, NOVEMBER!D24)
</f>
        <v>0</v>
      </c>
      <c r="C12" s="223">
        <f>IF(DESEMBER!D24="", 0, DESEMBER!D24)
</f>
        <v>0</v>
      </c>
      <c r="D12" s="224">
        <f t="shared" si="1"/>
        <v>0</v>
      </c>
      <c r="E12" s="226">
        <f t="shared" si="3"/>
        <v>0</v>
      </c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23">
        <v>10.0</v>
      </c>
      <c r="B13" s="224">
        <f>IF(NOVEMBER!D25="", 0, NOVEMBER!D25)
</f>
        <v>0</v>
      </c>
      <c r="C13" s="223">
        <f>IF(DESEMBER!D25="", 0, DESEMBER!D25)
</f>
        <v>0</v>
      </c>
      <c r="D13" s="224">
        <f t="shared" si="1"/>
        <v>0</v>
      </c>
      <c r="E13" s="226">
        <f t="shared" si="3"/>
        <v>0</v>
      </c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23">
        <v>11.0</v>
      </c>
      <c r="B14" s="224">
        <f>IF(NOVEMBER!D26="", 0, NOVEMBER!D26)
</f>
        <v>3215000</v>
      </c>
      <c r="C14" s="223">
        <f>IF(DESEMBER!D26="", 0, DESEMBER!D26)
</f>
        <v>0</v>
      </c>
      <c r="D14" s="224">
        <f t="shared" si="1"/>
        <v>-3215000</v>
      </c>
      <c r="E14" s="226">
        <f t="shared" si="3"/>
        <v>-1</v>
      </c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23">
        <v>12.0</v>
      </c>
      <c r="B15" s="224">
        <f>IF(NOVEMBER!D27="", 0, NOVEMBER!D27)
</f>
        <v>11535000</v>
      </c>
      <c r="C15" s="223">
        <f>IF(DESEMBER!D27="", 0, DESEMBER!D27)
</f>
        <v>0</v>
      </c>
      <c r="D15" s="224">
        <f t="shared" si="1"/>
        <v>-11535000</v>
      </c>
      <c r="E15" s="226">
        <f t="shared" si="3"/>
        <v>-1</v>
      </c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23">
        <v>13.0</v>
      </c>
      <c r="B16" s="224">
        <f>IF(NOVEMBER!D28="", 0, NOVEMBER!D28)
</f>
        <v>0</v>
      </c>
      <c r="C16" s="225">
        <f>IF(DESEMBER!D28="", 0, DESEMBER!D28)
</f>
        <v>170000</v>
      </c>
      <c r="D16" s="224">
        <f t="shared" si="1"/>
        <v>170000</v>
      </c>
      <c r="E16" s="226">
        <f t="shared" si="3"/>
        <v>1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23">
        <v>14.0</v>
      </c>
      <c r="B17" s="224">
        <f>IF(NOVEMBER!D29="", 0, NOVEMBER!D29)
</f>
        <v>250000</v>
      </c>
      <c r="C17" s="223">
        <f>IF(DESEMBER!D29="", 0, DESEMBER!D29)
</f>
        <v>0</v>
      </c>
      <c r="D17" s="224">
        <f t="shared" si="1"/>
        <v>-250000</v>
      </c>
      <c r="E17" s="226">
        <f t="shared" si="3"/>
        <v>-1</v>
      </c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23">
        <v>15.0</v>
      </c>
      <c r="B18" s="224">
        <f>IF(NOVEMBER!D30="", 0, NOVEMBER!D30)
</f>
        <v>0</v>
      </c>
      <c r="C18" s="223">
        <f>IF(DESEMBER!D30="", 0, DESEMBER!D30)
</f>
        <v>0</v>
      </c>
      <c r="D18" s="224">
        <f t="shared" si="1"/>
        <v>0</v>
      </c>
      <c r="E18" s="226">
        <f t="shared" si="3"/>
        <v>0</v>
      </c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>
      <c r="A19" s="223">
        <v>16.0</v>
      </c>
      <c r="B19" s="224">
        <f>IF(NOVEMBER!D31="", 0, NOVEMBER!D31)
</f>
        <v>0</v>
      </c>
      <c r="C19" s="223">
        <f>IF(DESEMBER!D31="", 0, DESEMBER!D31)
</f>
        <v>0</v>
      </c>
      <c r="D19" s="224">
        <f t="shared" si="1"/>
        <v>0</v>
      </c>
      <c r="E19" s="226">
        <f t="shared" si="3"/>
        <v>0</v>
      </c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>
      <c r="A20" s="223">
        <v>17.0</v>
      </c>
      <c r="B20" s="224">
        <f>NOVEMBER!D35</f>
        <v>7350000</v>
      </c>
      <c r="C20" s="223">
        <f>IF(DESEMBER!D32="", 0, DESEMBER!D32)
</f>
        <v>0</v>
      </c>
      <c r="D20" s="224">
        <f t="shared" si="1"/>
        <v>-7350000</v>
      </c>
      <c r="E20" s="226">
        <f t="shared" si="3"/>
        <v>-1</v>
      </c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>
      <c r="A21" s="223">
        <v>18.0</v>
      </c>
      <c r="B21" s="224">
        <f>IF(NOVEMBER!D33="", 0, NOVEMBER!D33)
</f>
        <v>0</v>
      </c>
      <c r="C21" s="225">
        <f>IF(DESEMBER!D33="", 0, DESEMBER!D33)
</f>
        <v>1200000</v>
      </c>
      <c r="D21" s="224">
        <f t="shared" si="1"/>
        <v>1200000</v>
      </c>
      <c r="E21" s="226">
        <f t="shared" si="3"/>
        <v>1</v>
      </c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>
      <c r="A22" s="223">
        <v>19.0</v>
      </c>
      <c r="B22" s="224">
        <f>IF(NOVEMBER!D34="", 0, NOVEMBER!D34)
</f>
        <v>0</v>
      </c>
      <c r="C22" s="223">
        <f>IF(DESEMBER!D34="", 0, DESEMBER!D34)
</f>
        <v>0</v>
      </c>
      <c r="D22" s="224">
        <f t="shared" si="1"/>
        <v>0</v>
      </c>
      <c r="E22" s="226">
        <f t="shared" si="3"/>
        <v>0</v>
      </c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>
      <c r="A23" s="223">
        <v>20.0</v>
      </c>
      <c r="B23" s="224">
        <f>IF(NOVEMBER!D35="", 0, NOVEMBER!D35)
</f>
        <v>7350000</v>
      </c>
      <c r="C23" s="223">
        <f>IF(DESEMBER!D35="", 0, DESEMBER!D35)
</f>
        <v>0</v>
      </c>
      <c r="D23" s="224">
        <f t="shared" si="1"/>
        <v>-7350000</v>
      </c>
      <c r="E23" s="226">
        <f t="shared" si="3"/>
        <v>-1</v>
      </c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>
      <c r="A24" s="223">
        <v>21.0</v>
      </c>
      <c r="B24" s="224">
        <f>IF(NOVEMBER!D36="", 0, NOVEMBER!D36)
</f>
        <v>0</v>
      </c>
      <c r="C24" s="223">
        <f>IF(DESEMBER!D36="", 0, DESEMBER!D36)
</f>
        <v>0</v>
      </c>
      <c r="D24" s="224">
        <f t="shared" si="1"/>
        <v>0</v>
      </c>
      <c r="E24" s="226">
        <f t="shared" si="3"/>
        <v>0</v>
      </c>
      <c r="F24" s="215"/>
      <c r="G24" s="234"/>
      <c r="H24" s="234"/>
      <c r="I24" s="234"/>
      <c r="J24" s="234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>
      <c r="A25" s="223">
        <v>22.0</v>
      </c>
      <c r="B25" s="224">
        <f>IF(NOVEMBER!D37="", 0, NOVEMBER!D37)
</f>
        <v>1790000</v>
      </c>
      <c r="C25" s="223">
        <f>IF(DESEMBER!D37="", 0, DESEMBER!D37)
</f>
        <v>0</v>
      </c>
      <c r="D25" s="224">
        <f t="shared" si="1"/>
        <v>-1790000</v>
      </c>
      <c r="E25" s="226">
        <f t="shared" si="3"/>
        <v>-1</v>
      </c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>
      <c r="A26" s="223">
        <v>23.0</v>
      </c>
      <c r="B26" s="224">
        <f>IF(NOVEMBER!D38="", 0, NOVEMBER!D38)
</f>
        <v>0</v>
      </c>
      <c r="C26" s="223">
        <f>IF(DESEMBER!D38="", 0, DESEMBER!D38)
</f>
        <v>0</v>
      </c>
      <c r="D26" s="224">
        <f t="shared" si="1"/>
        <v>0</v>
      </c>
      <c r="E26" s="226">
        <f t="shared" si="3"/>
        <v>0</v>
      </c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>
      <c r="A27" s="223">
        <v>24.0</v>
      </c>
      <c r="B27" s="224">
        <f>IF(NOVEMBER!D39="", 0, NOVEMBER!D39)
</f>
        <v>0</v>
      </c>
      <c r="C27" s="223">
        <f>IF(DESEMBER!D39="", 0, DESEMBER!D39)
</f>
        <v>0</v>
      </c>
      <c r="D27" s="224">
        <f t="shared" si="1"/>
        <v>0</v>
      </c>
      <c r="E27" s="226">
        <f t="shared" si="3"/>
        <v>0</v>
      </c>
      <c r="F27" s="215"/>
      <c r="G27" s="216" t="s">
        <v>442</v>
      </c>
      <c r="R27" s="215"/>
      <c r="S27" s="215"/>
      <c r="T27" s="215"/>
      <c r="U27" s="215"/>
      <c r="V27" s="215"/>
      <c r="W27" s="215"/>
      <c r="X27" s="215"/>
      <c r="Y27" s="215"/>
      <c r="Z27" s="215"/>
    </row>
    <row r="28">
      <c r="A28" s="223">
        <v>25.0</v>
      </c>
      <c r="B28" s="224">
        <f>IF(NOVEMBER!D40="", 0, NOVEMBER!D40)
</f>
        <v>0</v>
      </c>
      <c r="C28" s="223">
        <f>IF(DESEMBER!D40="", 0, DESEMBER!D40)
</f>
        <v>0</v>
      </c>
      <c r="D28" s="224">
        <f t="shared" si="1"/>
        <v>0</v>
      </c>
      <c r="E28" s="226">
        <f t="shared" si="3"/>
        <v>0</v>
      </c>
      <c r="F28" s="215"/>
      <c r="G28" s="217" t="s">
        <v>444</v>
      </c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>
      <c r="A29" s="223">
        <v>26.0</v>
      </c>
      <c r="B29" s="224">
        <f>IF(NOVEMBER!D41="", 0, NOVEMBER!D41)
</f>
        <v>0</v>
      </c>
      <c r="C29" s="232">
        <f>IF(DESEMBER!D41="", 0, DESEMBER!D41)
</f>
        <v>1595000</v>
      </c>
      <c r="D29" s="224">
        <f t="shared" si="1"/>
        <v>1595000</v>
      </c>
      <c r="E29" s="226">
        <f t="shared" si="3"/>
        <v>1</v>
      </c>
      <c r="F29" s="215"/>
      <c r="G29" s="221" t="s">
        <v>435</v>
      </c>
      <c r="H29" s="222" t="s">
        <v>449</v>
      </c>
      <c r="I29" s="222" t="s">
        <v>450</v>
      </c>
      <c r="J29" s="222" t="s">
        <v>389</v>
      </c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>
      <c r="A30" s="223">
        <v>27.0</v>
      </c>
      <c r="B30" s="224">
        <f>IF(NOVEMBER!D42="", 0, NOVEMBER!D42)
</f>
        <v>0</v>
      </c>
      <c r="C30" s="223">
        <f>IF(DESEMBER!D42="", 0, DESEMBER!D42)
</f>
        <v>0</v>
      </c>
      <c r="D30" s="224">
        <f t="shared" si="1"/>
        <v>0</v>
      </c>
      <c r="E30" s="226">
        <f t="shared" si="3"/>
        <v>0</v>
      </c>
      <c r="F30" s="215"/>
      <c r="G30" s="227" t="s">
        <v>387</v>
      </c>
      <c r="H30" s="224">
        <f>B5</f>
        <v>0</v>
      </c>
      <c r="I30" s="228">
        <f>IF(AND(H30=0,H31=0),0,IF(AND(H30=0,H31&gt;0),1,(H31-H30)/H30))
</f>
        <v>1</v>
      </c>
      <c r="J30" s="229">
        <f>NOVEMBER!$E$7</f>
        <v>70000000</v>
      </c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>
      <c r="A31" s="223">
        <v>28.0</v>
      </c>
      <c r="B31" s="224">
        <f>IF(NOVEMBER!D43="", 0, NOVEMBER!D43)
</f>
        <v>0</v>
      </c>
      <c r="C31" s="223">
        <f>IF(DESEMBER!D43="", 0, DESEMBER!D43)
</f>
        <v>0</v>
      </c>
      <c r="D31" s="224">
        <f t="shared" si="1"/>
        <v>0</v>
      </c>
      <c r="E31" s="226">
        <f t="shared" si="3"/>
        <v>0</v>
      </c>
      <c r="F31" s="215"/>
      <c r="G31" s="227" t="s">
        <v>451</v>
      </c>
      <c r="H31" s="224">
        <f>C5</f>
        <v>4760000</v>
      </c>
      <c r="I31" s="7"/>
      <c r="J31" s="229">
        <f>DESEMBER!$F$7</f>
        <v>70000000</v>
      </c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>
      <c r="A32" s="223">
        <v>29.0</v>
      </c>
      <c r="B32" s="224">
        <f>IF(NOVEMBER!D44="", 0, NOVEMBER!D44)
</f>
        <v>0</v>
      </c>
      <c r="C32" s="225">
        <f>IF(DESEMBER!D44="", 0, DESEMBER!D44)
</f>
        <v>24720000</v>
      </c>
      <c r="D32" s="224">
        <f t="shared" si="1"/>
        <v>24720000</v>
      </c>
      <c r="E32" s="226">
        <f t="shared" si="3"/>
        <v>1</v>
      </c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>
      <c r="A33" s="223">
        <v>30.0</v>
      </c>
      <c r="B33" s="224">
        <f>IF(NOVEMBER!D45="", 0, NOVEMBER!D45)
</f>
        <v>0</v>
      </c>
      <c r="C33" s="223">
        <f>IF(DESEMBER!D45="", 0, DESEMBER!D45)
</f>
        <v>0</v>
      </c>
      <c r="D33" s="224">
        <f t="shared" si="1"/>
        <v>0</v>
      </c>
      <c r="E33" s="226">
        <f t="shared" si="3"/>
        <v>0</v>
      </c>
      <c r="F33" s="215"/>
      <c r="G33" s="230" t="str">
        <f>LET(
  bulanLalu, G30,
  bulanIni, G31,
  orderLalu, H30,
  orderIni, H31,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33" s="231"/>
      <c r="I33" s="231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>
      <c r="A34" s="233">
        <v>31.0</v>
      </c>
      <c r="B34" s="224">
        <f>IF(NOVEMBER!D46="", 0, NOVEMBER!D46)
</f>
        <v>0</v>
      </c>
      <c r="C34" s="223">
        <f>IF(DESEMBER!D46="", 0, DESEMBER!D46)
</f>
        <v>0</v>
      </c>
      <c r="D34" s="224">
        <f t="shared" si="1"/>
        <v>0</v>
      </c>
      <c r="E34" s="226">
        <f t="shared" si="3"/>
        <v>0</v>
      </c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>
      <c r="A35" s="223" t="s">
        <v>5</v>
      </c>
      <c r="B35" s="224">
        <f>SUM(B4:B33)</f>
        <v>31820000</v>
      </c>
      <c r="C35" s="224">
        <f>SUM(C4:C34)</f>
        <v>39685000</v>
      </c>
      <c r="D35" s="215"/>
      <c r="E35" s="23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>
      <c r="A36" s="215"/>
      <c r="B36" s="236"/>
      <c r="C36" s="237"/>
      <c r="D36" s="215"/>
      <c r="E36" s="23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>
      <c r="A37" s="215"/>
      <c r="B37" s="236"/>
      <c r="C37" s="237"/>
      <c r="D37" s="215"/>
      <c r="E37" s="23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>
      <c r="A38" s="215"/>
      <c r="B38" s="236"/>
      <c r="C38" s="237"/>
      <c r="D38" s="215"/>
      <c r="E38" s="23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>
      <c r="A39" s="215"/>
      <c r="B39" s="236"/>
      <c r="C39" s="237"/>
      <c r="D39" s="215"/>
      <c r="E39" s="235"/>
      <c r="F39" s="238" t="s">
        <v>47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>
      <c r="A40" s="215"/>
      <c r="B40" s="236"/>
      <c r="C40" s="237"/>
      <c r="D40" s="215"/>
      <c r="E40" s="23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>
      <c r="A41" s="215"/>
      <c r="B41" s="236"/>
      <c r="C41" s="237"/>
      <c r="D41" s="215"/>
      <c r="E41" s="23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>
      <c r="A42" s="215"/>
      <c r="B42" s="236"/>
      <c r="C42" s="237"/>
      <c r="D42" s="215"/>
      <c r="E42" s="23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>
      <c r="A43" s="215"/>
      <c r="B43" s="236"/>
      <c r="C43" s="237"/>
      <c r="D43" s="215"/>
      <c r="E43" s="23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>
      <c r="A44" s="215"/>
      <c r="B44" s="236"/>
      <c r="C44" s="237"/>
      <c r="D44" s="215"/>
      <c r="E44" s="23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>
      <c r="A45" s="215"/>
      <c r="B45" s="236"/>
      <c r="C45" s="237"/>
      <c r="D45" s="215"/>
      <c r="E45" s="23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>
      <c r="A46" s="215"/>
      <c r="B46" s="236"/>
      <c r="C46" s="237"/>
      <c r="D46" s="215"/>
      <c r="E46" s="23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>
      <c r="A47" s="215"/>
      <c r="B47" s="236"/>
      <c r="C47" s="237"/>
      <c r="D47" s="215"/>
      <c r="E47" s="23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>
      <c r="A48" s="215"/>
      <c r="B48" s="236"/>
      <c r="C48" s="237"/>
      <c r="D48" s="215"/>
      <c r="E48" s="23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>
      <c r="A49" s="215"/>
      <c r="B49" s="236"/>
      <c r="C49" s="237"/>
      <c r="D49" s="215"/>
      <c r="E49" s="23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>
      <c r="A50" s="215"/>
      <c r="B50" s="236"/>
      <c r="C50" s="237"/>
      <c r="D50" s="215"/>
      <c r="E50" s="23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>
      <c r="A51" s="215"/>
      <c r="B51" s="236"/>
      <c r="C51" s="237"/>
      <c r="D51" s="215"/>
      <c r="E51" s="23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>
      <c r="A52" s="215"/>
      <c r="B52" s="236"/>
      <c r="C52" s="237"/>
      <c r="D52" s="215"/>
      <c r="E52" s="23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>
      <c r="A53" s="215"/>
      <c r="B53" s="236"/>
      <c r="C53" s="237"/>
      <c r="D53" s="215"/>
      <c r="E53" s="235"/>
      <c r="F53" s="215"/>
      <c r="G53" s="216" t="s">
        <v>452</v>
      </c>
      <c r="R53" s="215"/>
      <c r="S53" s="215"/>
      <c r="T53" s="215"/>
      <c r="U53" s="215"/>
      <c r="V53" s="215"/>
      <c r="W53" s="215"/>
      <c r="X53" s="215"/>
      <c r="Y53" s="215"/>
      <c r="Z53" s="215"/>
    </row>
    <row r="54">
      <c r="A54" s="215"/>
      <c r="B54" s="236"/>
      <c r="C54" s="237"/>
      <c r="D54" s="215"/>
      <c r="E54" s="235"/>
      <c r="F54" s="215"/>
      <c r="G54" s="217" t="s">
        <v>444</v>
      </c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>
      <c r="A55" s="215"/>
      <c r="B55" s="236"/>
      <c r="C55" s="237"/>
      <c r="D55" s="215"/>
      <c r="E55" s="235"/>
      <c r="F55" s="215"/>
      <c r="G55" s="221" t="s">
        <v>435</v>
      </c>
      <c r="H55" s="222" t="s">
        <v>449</v>
      </c>
      <c r="I55" s="222" t="s">
        <v>450</v>
      </c>
      <c r="J55" s="222" t="s">
        <v>389</v>
      </c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>
      <c r="A56" s="215"/>
      <c r="B56" s="236"/>
      <c r="C56" s="237"/>
      <c r="D56" s="215"/>
      <c r="E56" s="235"/>
      <c r="F56" s="215"/>
      <c r="G56" s="227" t="s">
        <v>387</v>
      </c>
      <c r="H56" s="224">
        <f>B6</f>
        <v>0</v>
      </c>
      <c r="I56" s="239">
        <f>IF(AND(H56=0,H57=0),0,IF(AND(H56=0,H57&gt;0),1,(H57-H56)/H56))
</f>
        <v>1</v>
      </c>
      <c r="J56" s="229">
        <f>NOVEMBER!$E$7</f>
        <v>70000000</v>
      </c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>
      <c r="A57" s="215"/>
      <c r="B57" s="236"/>
      <c r="C57" s="237"/>
      <c r="D57" s="215"/>
      <c r="E57" s="235"/>
      <c r="F57" s="215"/>
      <c r="G57" s="227" t="s">
        <v>451</v>
      </c>
      <c r="H57" s="224">
        <f>C6</f>
        <v>1800000</v>
      </c>
      <c r="I57" s="7"/>
      <c r="J57" s="229">
        <f>NOVEMBER!$E$7</f>
        <v>70000000</v>
      </c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>
      <c r="A58" s="215"/>
      <c r="B58" s="236"/>
      <c r="C58" s="237"/>
      <c r="D58" s="215"/>
      <c r="E58" s="23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>
      <c r="A59" s="215"/>
      <c r="B59" s="236"/>
      <c r="C59" s="237"/>
      <c r="D59" s="215"/>
      <c r="E59" s="235"/>
      <c r="F59" s="215"/>
      <c r="G59" s="230" t="str">
        <f>LET(
  bulanLalu, G56,
  bulanIni, G57,
  orderLalu, H56,
  orderIni, H57,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59" s="231"/>
      <c r="I59" s="231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>
      <c r="A60" s="215"/>
      <c r="B60" s="236"/>
      <c r="C60" s="237"/>
      <c r="D60" s="215"/>
      <c r="E60" s="23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>
      <c r="A61" s="215"/>
      <c r="B61" s="236"/>
      <c r="C61" s="237"/>
      <c r="D61" s="215"/>
      <c r="E61" s="23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>
      <c r="A62" s="215"/>
      <c r="B62" s="236"/>
      <c r="C62" s="237"/>
      <c r="D62" s="215"/>
      <c r="E62" s="23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>
      <c r="A63" s="215"/>
      <c r="B63" s="236"/>
      <c r="C63" s="237"/>
      <c r="D63" s="215"/>
      <c r="E63" s="23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>
      <c r="A64" s="215"/>
      <c r="B64" s="236"/>
      <c r="C64" s="237"/>
      <c r="D64" s="215"/>
      <c r="E64" s="23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>
      <c r="A65" s="215"/>
      <c r="B65" s="236"/>
      <c r="C65" s="237"/>
      <c r="D65" s="215"/>
      <c r="E65" s="23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>
      <c r="A66" s="215"/>
      <c r="B66" s="236"/>
      <c r="C66" s="237"/>
      <c r="D66" s="215"/>
      <c r="E66" s="23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>
      <c r="A67" s="215"/>
      <c r="B67" s="236"/>
      <c r="C67" s="237"/>
      <c r="D67" s="215"/>
      <c r="E67" s="23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>
      <c r="A68" s="215"/>
      <c r="B68" s="236"/>
      <c r="C68" s="237"/>
      <c r="D68" s="215"/>
      <c r="E68" s="23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>
      <c r="A69" s="215"/>
      <c r="B69" s="236"/>
      <c r="C69" s="237"/>
      <c r="D69" s="215"/>
      <c r="E69" s="23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A70" s="215"/>
      <c r="B70" s="236"/>
      <c r="C70" s="237"/>
      <c r="D70" s="215"/>
      <c r="E70" s="23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>
      <c r="A71" s="215"/>
      <c r="B71" s="236"/>
      <c r="C71" s="237"/>
      <c r="D71" s="215"/>
      <c r="E71" s="23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>
      <c r="A72" s="215"/>
      <c r="B72" s="236"/>
      <c r="C72" s="237"/>
      <c r="D72" s="215"/>
      <c r="E72" s="23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>
      <c r="A73" s="215"/>
      <c r="B73" s="236"/>
      <c r="C73" s="237"/>
      <c r="D73" s="215"/>
      <c r="E73" s="23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</row>
    <row r="74">
      <c r="A74" s="215"/>
      <c r="B74" s="236"/>
      <c r="C74" s="237"/>
      <c r="D74" s="215"/>
      <c r="E74" s="23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>
      <c r="A75" s="215"/>
      <c r="B75" s="236"/>
      <c r="C75" s="237"/>
      <c r="D75" s="215"/>
      <c r="E75" s="23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>
      <c r="A76" s="215"/>
      <c r="B76" s="236"/>
      <c r="C76" s="237"/>
      <c r="D76" s="215"/>
      <c r="E76" s="23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>
      <c r="A77" s="215"/>
      <c r="B77" s="236"/>
      <c r="C77" s="237"/>
      <c r="D77" s="215"/>
      <c r="E77" s="23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>
      <c r="A78" s="215"/>
      <c r="B78" s="236"/>
      <c r="C78" s="237"/>
      <c r="D78" s="215"/>
      <c r="E78" s="23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>
      <c r="A79" s="215"/>
      <c r="B79" s="236"/>
      <c r="C79" s="237"/>
      <c r="D79" s="215"/>
      <c r="E79" s="235"/>
      <c r="F79" s="215"/>
      <c r="G79" s="216" t="s">
        <v>453</v>
      </c>
      <c r="R79" s="215"/>
      <c r="S79" s="215"/>
      <c r="T79" s="215"/>
      <c r="U79" s="215"/>
      <c r="V79" s="215"/>
      <c r="W79" s="215"/>
      <c r="X79" s="215"/>
      <c r="Y79" s="215"/>
      <c r="Z79" s="215"/>
    </row>
    <row r="80">
      <c r="A80" s="215"/>
      <c r="B80" s="236"/>
      <c r="C80" s="237"/>
      <c r="D80" s="215"/>
      <c r="E80" s="235"/>
      <c r="F80" s="215"/>
      <c r="G80" s="217" t="s">
        <v>444</v>
      </c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>
      <c r="A81" s="215"/>
      <c r="B81" s="236"/>
      <c r="C81" s="237"/>
      <c r="D81" s="215"/>
      <c r="E81" s="235"/>
      <c r="F81" s="215"/>
      <c r="G81" s="221" t="s">
        <v>435</v>
      </c>
      <c r="H81" s="222" t="s">
        <v>449</v>
      </c>
      <c r="I81" s="222" t="s">
        <v>450</v>
      </c>
      <c r="J81" s="222" t="s">
        <v>389</v>
      </c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>
      <c r="A82" s="215"/>
      <c r="B82" s="236"/>
      <c r="C82" s="237"/>
      <c r="D82" s="215"/>
      <c r="E82" s="235"/>
      <c r="F82" s="215"/>
      <c r="G82" s="227" t="s">
        <v>387</v>
      </c>
      <c r="H82" s="224">
        <f>B7</f>
        <v>200000</v>
      </c>
      <c r="I82" s="239">
        <f>IF(AND(H82=0,H83=0),0,IF(AND(H82=0,H83&gt;0),1,(H83-H82)/H82))
</f>
        <v>2.375</v>
      </c>
      <c r="J82" s="229" t="str">
        <f>OKTOBER!$D$7</f>
        <v/>
      </c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>
      <c r="A83" s="215"/>
      <c r="B83" s="236"/>
      <c r="C83" s="237"/>
      <c r="D83" s="215"/>
      <c r="E83" s="235"/>
      <c r="F83" s="215"/>
      <c r="G83" s="227" t="s">
        <v>451</v>
      </c>
      <c r="H83" s="224">
        <f>C7</f>
        <v>675000</v>
      </c>
      <c r="I83" s="7"/>
      <c r="J83" s="229">
        <f>NOVEMBER!$E$7</f>
        <v>70000000</v>
      </c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>
      <c r="A84" s="215"/>
      <c r="B84" s="236"/>
      <c r="C84" s="237"/>
      <c r="D84" s="215"/>
      <c r="E84" s="23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>
      <c r="A85" s="215"/>
      <c r="B85" s="236"/>
      <c r="C85" s="237"/>
      <c r="D85" s="215"/>
      <c r="E85" s="235"/>
      <c r="F85" s="215"/>
      <c r="G85" s="230" t="str">
        <f>LET(
  bulanLalu, G82,
  bulanIni, G83,
  orderLalu, H82,
  orderIni, H83,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238% dari NOVEMBER ke DESEMBER</v>
      </c>
      <c r="H85" s="231"/>
      <c r="I85" s="231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>
      <c r="A86" s="215"/>
      <c r="B86" s="236"/>
      <c r="C86" s="237"/>
      <c r="D86" s="215"/>
      <c r="E86" s="238" t="s">
        <v>47</v>
      </c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>
      <c r="A87" s="215"/>
      <c r="B87" s="236"/>
      <c r="C87" s="237"/>
      <c r="D87" s="215"/>
      <c r="E87" s="23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>
      <c r="A88" s="215"/>
      <c r="B88" s="236"/>
      <c r="C88" s="237"/>
      <c r="D88" s="215"/>
      <c r="E88" s="23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>
      <c r="A89" s="215"/>
      <c r="B89" s="236"/>
      <c r="C89" s="237"/>
      <c r="D89" s="215"/>
      <c r="E89" s="23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>
      <c r="A90" s="215"/>
      <c r="B90" s="236"/>
      <c r="C90" s="237"/>
      <c r="D90" s="215"/>
      <c r="E90" s="23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>
      <c r="A91" s="215"/>
      <c r="B91" s="236"/>
      <c r="C91" s="237"/>
      <c r="D91" s="215"/>
      <c r="E91" s="23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>
      <c r="A92" s="215"/>
      <c r="B92" s="236"/>
      <c r="C92" s="237"/>
      <c r="D92" s="215"/>
      <c r="E92" s="23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>
      <c r="A93" s="215"/>
      <c r="B93" s="236"/>
      <c r="C93" s="237"/>
      <c r="D93" s="215"/>
      <c r="E93" s="23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>
      <c r="A94" s="215"/>
      <c r="B94" s="236"/>
      <c r="C94" s="237"/>
      <c r="D94" s="215"/>
      <c r="E94" s="23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>
      <c r="A95" s="215"/>
      <c r="B95" s="236"/>
      <c r="C95" s="237"/>
      <c r="D95" s="215"/>
      <c r="E95" s="23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>
      <c r="A96" s="215"/>
      <c r="B96" s="236"/>
      <c r="C96" s="237"/>
      <c r="D96" s="215"/>
      <c r="E96" s="23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>
      <c r="A97" s="215"/>
      <c r="B97" s="236"/>
      <c r="C97" s="237"/>
      <c r="D97" s="215"/>
      <c r="E97" s="23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>
      <c r="A98" s="215"/>
      <c r="B98" s="236"/>
      <c r="C98" s="237"/>
      <c r="D98" s="215"/>
      <c r="E98" s="23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>
      <c r="A99" s="215"/>
      <c r="B99" s="236"/>
      <c r="C99" s="237"/>
      <c r="D99" s="215"/>
      <c r="E99" s="23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>
      <c r="A100" s="215"/>
      <c r="B100" s="236"/>
      <c r="C100" s="237"/>
      <c r="D100" s="215"/>
      <c r="E100" s="23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>
      <c r="A101" s="215"/>
      <c r="B101" s="236"/>
      <c r="C101" s="237"/>
      <c r="D101" s="215"/>
      <c r="E101" s="23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>
      <c r="A102" s="215"/>
      <c r="B102" s="236"/>
      <c r="C102" s="237"/>
      <c r="D102" s="215"/>
      <c r="E102" s="23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>
      <c r="A103" s="215"/>
      <c r="B103" s="236"/>
      <c r="C103" s="237"/>
      <c r="D103" s="215"/>
      <c r="E103" s="23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>
      <c r="A104" s="215"/>
      <c r="B104" s="236"/>
      <c r="C104" s="237"/>
      <c r="D104" s="215"/>
      <c r="E104" s="235"/>
      <c r="F104" s="215"/>
      <c r="G104" s="216" t="s">
        <v>454</v>
      </c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>
      <c r="A105" s="215"/>
      <c r="B105" s="236"/>
      <c r="C105" s="237"/>
      <c r="D105" s="215"/>
      <c r="E105" s="235"/>
      <c r="F105" s="215"/>
      <c r="G105" s="240" t="s">
        <v>444</v>
      </c>
      <c r="H105" s="3"/>
      <c r="I105" s="3"/>
      <c r="J105" s="4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>
      <c r="A106" s="215"/>
      <c r="B106" s="236"/>
      <c r="C106" s="237"/>
      <c r="D106" s="215"/>
      <c r="E106" s="235"/>
      <c r="F106" s="215"/>
      <c r="G106" s="221" t="s">
        <v>435</v>
      </c>
      <c r="H106" s="222" t="s">
        <v>449</v>
      </c>
      <c r="I106" s="222" t="s">
        <v>450</v>
      </c>
      <c r="J106" s="222" t="s">
        <v>389</v>
      </c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>
      <c r="A107" s="215"/>
      <c r="B107" s="236"/>
      <c r="C107" s="237"/>
      <c r="D107" s="215"/>
      <c r="E107" s="235"/>
      <c r="F107" s="215"/>
      <c r="G107" s="227" t="s">
        <v>387</v>
      </c>
      <c r="H107" s="224">
        <f>B8</f>
        <v>0</v>
      </c>
      <c r="I107" s="228">
        <f>IF(AND(H107=0,H108=0),0,IF(AND(H107=0,H108&gt;0),1,(H108-H107)/H107))
</f>
        <v>1</v>
      </c>
      <c r="J107" s="229" t="str">
        <f>OKTOBER!$D$7</f>
        <v/>
      </c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>
      <c r="A108" s="215"/>
      <c r="B108" s="236"/>
      <c r="C108" s="237"/>
      <c r="D108" s="215"/>
      <c r="E108" s="235"/>
      <c r="F108" s="215"/>
      <c r="G108" s="227" t="s">
        <v>451</v>
      </c>
      <c r="H108" s="224">
        <f>C8</f>
        <v>205000</v>
      </c>
      <c r="I108" s="7"/>
      <c r="J108" s="229">
        <f>NOVEMBER!$E$7</f>
        <v>70000000</v>
      </c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>
      <c r="A109" s="215"/>
      <c r="B109" s="236"/>
      <c r="C109" s="237"/>
      <c r="D109" s="215"/>
      <c r="E109" s="23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>
      <c r="A110" s="215"/>
      <c r="B110" s="236"/>
      <c r="C110" s="237"/>
      <c r="D110" s="215"/>
      <c r="E110" s="235"/>
      <c r="F110" s="215"/>
      <c r="G110" s="230" t="str">
        <f>LET(
  bulanLalu, G107,
  bulanIni, G108,
  orderLalu, H107,
  orderIni, H108,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110" s="231"/>
      <c r="I110" s="231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>
      <c r="A111" s="215"/>
      <c r="B111" s="236"/>
      <c r="C111" s="237"/>
      <c r="D111" s="215"/>
      <c r="E111" s="23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>
      <c r="A112" s="215"/>
      <c r="B112" s="236"/>
      <c r="C112" s="237"/>
      <c r="D112" s="215"/>
      <c r="E112" s="23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>
      <c r="A113" s="215"/>
      <c r="B113" s="236"/>
      <c r="C113" s="237"/>
      <c r="D113" s="215"/>
      <c r="E113" s="23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>
      <c r="A114" s="215"/>
      <c r="B114" s="236"/>
      <c r="C114" s="237"/>
      <c r="D114" s="215"/>
      <c r="E114" s="23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>
      <c r="A115" s="215"/>
      <c r="B115" s="236"/>
      <c r="C115" s="237"/>
      <c r="D115" s="215"/>
      <c r="E115" s="23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>
      <c r="A116" s="215"/>
      <c r="B116" s="236"/>
      <c r="C116" s="237"/>
      <c r="D116" s="215"/>
      <c r="E116" s="23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>
      <c r="A117" s="215"/>
      <c r="B117" s="236"/>
      <c r="C117" s="237"/>
      <c r="D117" s="215"/>
      <c r="E117" s="23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>
      <c r="A118" s="215"/>
      <c r="B118" s="236"/>
      <c r="C118" s="237"/>
      <c r="D118" s="215"/>
      <c r="E118" s="23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>
      <c r="A119" s="215"/>
      <c r="B119" s="236"/>
      <c r="C119" s="237"/>
      <c r="D119" s="215"/>
      <c r="E119" s="23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>
      <c r="A120" s="215"/>
      <c r="B120" s="236"/>
      <c r="C120" s="237"/>
      <c r="D120" s="215"/>
      <c r="E120" s="23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>
      <c r="A121" s="215"/>
      <c r="B121" s="236"/>
      <c r="C121" s="237"/>
      <c r="D121" s="215"/>
      <c r="E121" s="23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>
      <c r="A122" s="215"/>
      <c r="B122" s="236"/>
      <c r="C122" s="237"/>
      <c r="D122" s="215"/>
      <c r="E122" s="23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>
      <c r="A123" s="215"/>
      <c r="B123" s="236"/>
      <c r="C123" s="237"/>
      <c r="D123" s="215"/>
      <c r="E123" s="23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>
      <c r="A124" s="215"/>
      <c r="B124" s="236"/>
      <c r="C124" s="237"/>
      <c r="D124" s="215"/>
      <c r="E124" s="23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>
      <c r="A125" s="215"/>
      <c r="B125" s="236"/>
      <c r="C125" s="237"/>
      <c r="D125" s="215"/>
      <c r="E125" s="23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>
      <c r="A126" s="215"/>
      <c r="B126" s="236"/>
      <c r="C126" s="237"/>
      <c r="D126" s="215"/>
      <c r="E126" s="23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>
      <c r="A127" s="215"/>
      <c r="B127" s="236"/>
      <c r="C127" s="237"/>
      <c r="D127" s="215"/>
      <c r="E127" s="23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>
      <c r="A128" s="215"/>
      <c r="B128" s="236"/>
      <c r="C128" s="237"/>
      <c r="D128" s="215"/>
      <c r="E128" s="23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>
      <c r="A129" s="215"/>
      <c r="B129" s="236"/>
      <c r="C129" s="237"/>
      <c r="D129" s="215"/>
      <c r="E129" s="235"/>
      <c r="F129" s="215"/>
      <c r="G129" s="216" t="s">
        <v>455</v>
      </c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>
      <c r="A130" s="215"/>
      <c r="B130" s="236"/>
      <c r="C130" s="237"/>
      <c r="D130" s="215"/>
      <c r="E130" s="235"/>
      <c r="F130" s="215"/>
      <c r="G130" s="240" t="s">
        <v>444</v>
      </c>
      <c r="H130" s="3"/>
      <c r="I130" s="3"/>
      <c r="J130" s="4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215"/>
      <c r="B131" s="236"/>
      <c r="C131" s="237"/>
      <c r="D131" s="215"/>
      <c r="E131" s="235"/>
      <c r="F131" s="215"/>
      <c r="G131" s="221" t="s">
        <v>435</v>
      </c>
      <c r="H131" s="222" t="s">
        <v>449</v>
      </c>
      <c r="I131" s="222" t="s">
        <v>450</v>
      </c>
      <c r="J131" s="222" t="s">
        <v>389</v>
      </c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>
      <c r="A132" s="215"/>
      <c r="B132" s="236"/>
      <c r="C132" s="237"/>
      <c r="D132" s="215"/>
      <c r="E132" s="235"/>
      <c r="F132" s="215"/>
      <c r="G132" s="241" t="s">
        <v>386</v>
      </c>
      <c r="H132" s="224">
        <f>B9</f>
        <v>0</v>
      </c>
      <c r="I132" s="242">
        <f>IF(AND(H132=0,H133=0),0,IF(AND(H132=0,H133&gt;0),1,(H133-H132)/H132))
</f>
        <v>0</v>
      </c>
      <c r="J132" s="229" t="str">
        <f>OKTOBER!$D$7</f>
        <v/>
      </c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>
      <c r="A133" s="215"/>
      <c r="B133" s="236"/>
      <c r="C133" s="237"/>
      <c r="D133" s="215"/>
      <c r="E133" s="235"/>
      <c r="F133" s="215"/>
      <c r="G133" s="241" t="s">
        <v>387</v>
      </c>
      <c r="H133" s="224">
        <f>C9</f>
        <v>0</v>
      </c>
      <c r="I133" s="7"/>
      <c r="J133" s="229">
        <f>NOVEMBER!$E$7</f>
        <v>70000000</v>
      </c>
      <c r="K133" s="238" t="s">
        <v>47</v>
      </c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>
      <c r="A134" s="215"/>
      <c r="B134" s="236"/>
      <c r="C134" s="237"/>
      <c r="D134" s="215"/>
      <c r="E134" s="23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>
      <c r="A135" s="215"/>
      <c r="B135" s="236"/>
      <c r="C135" s="237"/>
      <c r="D135" s="215"/>
      <c r="E135" s="235"/>
      <c r="F135" s="215"/>
      <c r="G135" s="230" t="str">
        <f>LET(
  bulanLalu, G132,
  bulanIni, G133,
  orderLalu, H132,
  orderIni, H133,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135" s="231"/>
      <c r="I135" s="231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>
      <c r="A136" s="215"/>
      <c r="B136" s="236"/>
      <c r="C136" s="237"/>
      <c r="D136" s="215"/>
      <c r="E136" s="23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>
      <c r="A137" s="215"/>
      <c r="B137" s="236"/>
      <c r="C137" s="237"/>
      <c r="D137" s="215"/>
      <c r="E137" s="23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>
      <c r="A138" s="215"/>
      <c r="B138" s="236"/>
      <c r="C138" s="237"/>
      <c r="D138" s="215"/>
      <c r="E138" s="23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>
      <c r="A139" s="215"/>
      <c r="B139" s="236"/>
      <c r="C139" s="237"/>
      <c r="D139" s="215"/>
      <c r="E139" s="23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>
      <c r="A140" s="215"/>
      <c r="B140" s="236"/>
      <c r="C140" s="237"/>
      <c r="D140" s="215"/>
      <c r="E140" s="23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>
      <c r="A141" s="215"/>
      <c r="B141" s="236"/>
      <c r="C141" s="237"/>
      <c r="D141" s="215"/>
      <c r="E141" s="23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>
      <c r="A142" s="215"/>
      <c r="B142" s="236"/>
      <c r="C142" s="237"/>
      <c r="D142" s="215"/>
      <c r="E142" s="23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>
      <c r="A143" s="215"/>
      <c r="B143" s="236"/>
      <c r="C143" s="237"/>
      <c r="D143" s="215"/>
      <c r="E143" s="23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>
      <c r="A144" s="215"/>
      <c r="B144" s="236"/>
      <c r="C144" s="237"/>
      <c r="D144" s="215"/>
      <c r="E144" s="23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>
      <c r="A145" s="215"/>
      <c r="B145" s="236"/>
      <c r="C145" s="237"/>
      <c r="D145" s="215"/>
      <c r="E145" s="23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>
      <c r="A146" s="215"/>
      <c r="B146" s="236"/>
      <c r="C146" s="237"/>
      <c r="D146" s="215"/>
      <c r="E146" s="23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>
      <c r="A147" s="215"/>
      <c r="B147" s="236"/>
      <c r="C147" s="237"/>
      <c r="D147" s="215"/>
      <c r="E147" s="23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>
      <c r="A148" s="215"/>
      <c r="B148" s="236"/>
      <c r="C148" s="237"/>
      <c r="D148" s="215"/>
      <c r="E148" s="23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>
      <c r="A149" s="215"/>
      <c r="B149" s="236"/>
      <c r="C149" s="237"/>
      <c r="D149" s="215"/>
      <c r="E149" s="23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>
      <c r="A150" s="215"/>
      <c r="B150" s="236"/>
      <c r="C150" s="237"/>
      <c r="D150" s="215"/>
      <c r="E150" s="23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>
      <c r="A151" s="215"/>
      <c r="B151" s="236"/>
      <c r="C151" s="237"/>
      <c r="D151" s="215"/>
      <c r="E151" s="23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>
      <c r="A152" s="215"/>
      <c r="B152" s="236"/>
      <c r="C152" s="237"/>
      <c r="D152" s="215"/>
      <c r="E152" s="23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>
      <c r="A153" s="215"/>
      <c r="B153" s="236"/>
      <c r="C153" s="237"/>
      <c r="D153" s="215"/>
      <c r="E153" s="23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>
      <c r="A154" s="215"/>
      <c r="B154" s="236"/>
      <c r="C154" s="237"/>
      <c r="D154" s="215"/>
      <c r="E154" s="235"/>
      <c r="F154" s="215"/>
      <c r="G154" s="216" t="s">
        <v>456</v>
      </c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>
      <c r="A155" s="215"/>
      <c r="B155" s="236"/>
      <c r="C155" s="237"/>
      <c r="D155" s="215"/>
      <c r="E155" s="235"/>
      <c r="F155" s="215"/>
      <c r="G155" s="240" t="s">
        <v>444</v>
      </c>
      <c r="H155" s="3"/>
      <c r="I155" s="3"/>
      <c r="J155" s="4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>
      <c r="A156" s="215"/>
      <c r="B156" s="236"/>
      <c r="C156" s="237"/>
      <c r="D156" s="215"/>
      <c r="E156" s="235"/>
      <c r="F156" s="215"/>
      <c r="G156" s="221" t="s">
        <v>435</v>
      </c>
      <c r="H156" s="222" t="s">
        <v>449</v>
      </c>
      <c r="I156" s="222" t="s">
        <v>450</v>
      </c>
      <c r="J156" s="222" t="s">
        <v>389</v>
      </c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>
      <c r="A157" s="215"/>
      <c r="B157" s="236"/>
      <c r="C157" s="237"/>
      <c r="D157" s="215"/>
      <c r="E157" s="235"/>
      <c r="F157" s="215"/>
      <c r="G157" s="241" t="s">
        <v>386</v>
      </c>
      <c r="H157" s="224">
        <f>B11</f>
        <v>0</v>
      </c>
      <c r="I157" s="242">
        <f>IF(AND(H157=0,H158=0),0,IF(AND(H157=0,H158&gt;0),1,(H158-H157)/H157))
</f>
        <v>0</v>
      </c>
      <c r="J157" s="229" t="str">
        <f>OKTOBER!$D$7</f>
        <v/>
      </c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>
      <c r="A158" s="215"/>
      <c r="B158" s="236"/>
      <c r="C158" s="237"/>
      <c r="D158" s="215"/>
      <c r="E158" s="235"/>
      <c r="F158" s="215"/>
      <c r="G158" s="241" t="s">
        <v>387</v>
      </c>
      <c r="H158" s="224">
        <f>C11</f>
        <v>0</v>
      </c>
      <c r="I158" s="7"/>
      <c r="J158" s="229">
        <f>NOVEMBER!$E$7</f>
        <v>70000000</v>
      </c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>
      <c r="A159" s="215"/>
      <c r="B159" s="236"/>
      <c r="C159" s="237"/>
      <c r="D159" s="215"/>
      <c r="E159" s="23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>
      <c r="A160" s="215"/>
      <c r="B160" s="236"/>
      <c r="C160" s="237"/>
      <c r="D160" s="215"/>
      <c r="E160" s="235"/>
      <c r="F160" s="215"/>
      <c r="G160" s="230" t="str">
        <f>LET(
  bulanLalu, G157,
  bulanIni, G158,
  orderLalu, H157,
  orderIni, H158,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160" s="231"/>
      <c r="I160" s="231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>
      <c r="A161" s="215"/>
      <c r="B161" s="236"/>
      <c r="C161" s="237"/>
      <c r="D161" s="215"/>
      <c r="E161" s="23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>
      <c r="A162" s="215"/>
      <c r="B162" s="236"/>
      <c r="C162" s="237"/>
      <c r="D162" s="215"/>
      <c r="E162" s="23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>
      <c r="A163" s="215"/>
      <c r="B163" s="236"/>
      <c r="C163" s="237"/>
      <c r="D163" s="215"/>
      <c r="E163" s="23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>
      <c r="A164" s="215"/>
      <c r="B164" s="236"/>
      <c r="C164" s="237"/>
      <c r="D164" s="215"/>
      <c r="E164" s="23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>
      <c r="A165" s="215"/>
      <c r="B165" s="236"/>
      <c r="C165" s="237"/>
      <c r="D165" s="215"/>
      <c r="E165" s="23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>
      <c r="A166" s="215"/>
      <c r="B166" s="236"/>
      <c r="C166" s="237"/>
      <c r="D166" s="215"/>
      <c r="E166" s="23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>
      <c r="A167" s="215"/>
      <c r="B167" s="236"/>
      <c r="C167" s="237"/>
      <c r="D167" s="215"/>
      <c r="E167" s="23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>
      <c r="A168" s="215"/>
      <c r="B168" s="236"/>
      <c r="C168" s="237"/>
      <c r="D168" s="215"/>
      <c r="E168" s="23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>
      <c r="A169" s="215"/>
      <c r="B169" s="236"/>
      <c r="C169" s="237"/>
      <c r="D169" s="215"/>
      <c r="E169" s="23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>
      <c r="A170" s="215"/>
      <c r="B170" s="236"/>
      <c r="C170" s="237"/>
      <c r="D170" s="215"/>
      <c r="E170" s="23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>
      <c r="A171" s="215"/>
      <c r="B171" s="236"/>
      <c r="C171" s="237"/>
      <c r="D171" s="215"/>
      <c r="E171" s="23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>
      <c r="A172" s="215"/>
      <c r="B172" s="236"/>
      <c r="C172" s="237"/>
      <c r="D172" s="215"/>
      <c r="E172" s="23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>
      <c r="A173" s="215"/>
      <c r="B173" s="236"/>
      <c r="C173" s="237"/>
      <c r="D173" s="215"/>
      <c r="E173" s="23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>
      <c r="A174" s="215"/>
      <c r="B174" s="236"/>
      <c r="C174" s="237"/>
      <c r="D174" s="215"/>
      <c r="E174" s="23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>
      <c r="A175" s="215"/>
      <c r="B175" s="236"/>
      <c r="C175" s="237"/>
      <c r="D175" s="215"/>
      <c r="E175" s="23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>
      <c r="A176" s="215"/>
      <c r="B176" s="236"/>
      <c r="C176" s="237"/>
      <c r="D176" s="215"/>
      <c r="E176" s="23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>
      <c r="A177" s="215"/>
      <c r="B177" s="236"/>
      <c r="C177" s="237"/>
      <c r="D177" s="215"/>
      <c r="E177" s="23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>
      <c r="A178" s="215"/>
      <c r="B178" s="236"/>
      <c r="C178" s="237"/>
      <c r="D178" s="215"/>
      <c r="E178" s="23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>
      <c r="A179" s="215"/>
      <c r="B179" s="236"/>
      <c r="C179" s="237"/>
      <c r="D179" s="215"/>
      <c r="E179" s="235"/>
      <c r="F179" s="215"/>
      <c r="G179" s="243" t="s">
        <v>457</v>
      </c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>
      <c r="A180" s="215"/>
      <c r="B180" s="236"/>
      <c r="C180" s="237"/>
      <c r="D180" s="215"/>
      <c r="E180" s="235"/>
      <c r="F180" s="215"/>
      <c r="G180" s="216" t="s">
        <v>458</v>
      </c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>
      <c r="A181" s="215"/>
      <c r="B181" s="236"/>
      <c r="C181" s="237"/>
      <c r="D181" s="215"/>
      <c r="E181" s="235"/>
      <c r="F181" s="215"/>
      <c r="G181" s="240" t="s">
        <v>444</v>
      </c>
      <c r="H181" s="3"/>
      <c r="I181" s="3"/>
      <c r="J181" s="4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>
      <c r="A182" s="215"/>
      <c r="B182" s="236"/>
      <c r="C182" s="237"/>
      <c r="D182" s="215"/>
      <c r="E182" s="235"/>
      <c r="F182" s="215"/>
      <c r="G182" s="221" t="s">
        <v>435</v>
      </c>
      <c r="H182" s="222" t="s">
        <v>449</v>
      </c>
      <c r="I182" s="222" t="s">
        <v>450</v>
      </c>
      <c r="J182" s="222" t="s">
        <v>389</v>
      </c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>
      <c r="A183" s="215"/>
      <c r="B183" s="236"/>
      <c r="C183" s="237"/>
      <c r="D183" s="215"/>
      <c r="E183" s="235"/>
      <c r="F183" s="215"/>
      <c r="G183" s="241" t="s">
        <v>386</v>
      </c>
      <c r="H183" s="224">
        <f>B12</f>
        <v>0</v>
      </c>
      <c r="I183" s="242">
        <f>IF(AND(H183=0,H184=0),0,IF(AND(H183=0,H184&gt;0),1,(H184-H183)/H183))
</f>
        <v>0</v>
      </c>
      <c r="J183" s="229" t="str">
        <f>OKTOBER!$D$7</f>
        <v/>
      </c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>
      <c r="A184" s="215"/>
      <c r="B184" s="236"/>
      <c r="C184" s="237"/>
      <c r="D184" s="215"/>
      <c r="E184" s="235"/>
      <c r="F184" s="215"/>
      <c r="G184" s="241" t="s">
        <v>387</v>
      </c>
      <c r="H184" s="224">
        <f>C12</f>
        <v>0</v>
      </c>
      <c r="I184" s="7"/>
      <c r="J184" s="229">
        <f>NOVEMBER!$E$7</f>
        <v>70000000</v>
      </c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>
      <c r="A185" s="215"/>
      <c r="B185" s="236"/>
      <c r="C185" s="237"/>
      <c r="D185" s="215"/>
      <c r="E185" s="23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>
      <c r="A186" s="215"/>
      <c r="B186" s="236"/>
      <c r="C186" s="237"/>
      <c r="D186" s="215"/>
      <c r="E186" s="235"/>
      <c r="F186" s="215"/>
      <c r="G186" s="230" t="str">
        <f>LET(
  bulanLalu, G183,
  bulanIni, G184,
  orderLalu, H183,
  orderIni, H184,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186" s="231"/>
      <c r="I186" s="231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>
      <c r="A187" s="215"/>
      <c r="B187" s="236"/>
      <c r="C187" s="237"/>
      <c r="D187" s="215"/>
      <c r="E187" s="23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>
      <c r="A188" s="215"/>
      <c r="B188" s="236"/>
      <c r="C188" s="237"/>
      <c r="D188" s="215"/>
      <c r="E188" s="23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>
      <c r="A189" s="215"/>
      <c r="B189" s="236"/>
      <c r="C189" s="237"/>
      <c r="D189" s="215"/>
      <c r="E189" s="23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>
      <c r="A190" s="215"/>
      <c r="B190" s="236"/>
      <c r="C190" s="237"/>
      <c r="D190" s="215"/>
      <c r="E190" s="23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>
      <c r="A191" s="215"/>
      <c r="B191" s="236"/>
      <c r="C191" s="237"/>
      <c r="D191" s="215"/>
      <c r="E191" s="23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>
      <c r="A192" s="215"/>
      <c r="B192" s="236"/>
      <c r="C192" s="237"/>
      <c r="D192" s="215"/>
      <c r="E192" s="23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>
      <c r="A193" s="215"/>
      <c r="B193" s="236"/>
      <c r="C193" s="237"/>
      <c r="D193" s="215"/>
      <c r="E193" s="23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>
      <c r="A194" s="215"/>
      <c r="B194" s="236"/>
      <c r="C194" s="237"/>
      <c r="D194" s="215"/>
      <c r="E194" s="23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>
      <c r="A195" s="215"/>
      <c r="B195" s="236"/>
      <c r="C195" s="237"/>
      <c r="D195" s="215"/>
      <c r="E195" s="23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>
      <c r="A196" s="215"/>
      <c r="B196" s="236"/>
      <c r="C196" s="237"/>
      <c r="D196" s="215"/>
      <c r="E196" s="23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>
      <c r="A197" s="215"/>
      <c r="B197" s="236"/>
      <c r="C197" s="237"/>
      <c r="D197" s="215"/>
      <c r="E197" s="23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>
      <c r="A198" s="215"/>
      <c r="B198" s="236"/>
      <c r="C198" s="237"/>
      <c r="D198" s="215"/>
      <c r="E198" s="23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>
      <c r="A199" s="215"/>
      <c r="B199" s="236"/>
      <c r="C199" s="237"/>
      <c r="D199" s="215"/>
      <c r="E199" s="23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>
      <c r="A200" s="215"/>
      <c r="B200" s="236"/>
      <c r="C200" s="237"/>
      <c r="D200" s="215"/>
      <c r="E200" s="23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>
      <c r="A201" s="215"/>
      <c r="B201" s="236"/>
      <c r="C201" s="237"/>
      <c r="D201" s="215"/>
      <c r="E201" s="23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>
      <c r="A202" s="215"/>
      <c r="B202" s="236"/>
      <c r="C202" s="237"/>
      <c r="D202" s="215"/>
      <c r="E202" s="23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>
      <c r="A203" s="215"/>
      <c r="B203" s="236"/>
      <c r="C203" s="237"/>
      <c r="D203" s="215"/>
      <c r="E203" s="23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>
      <c r="A204" s="215"/>
      <c r="B204" s="236"/>
      <c r="C204" s="237"/>
      <c r="D204" s="215"/>
      <c r="E204" s="23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>
      <c r="A205" s="215"/>
      <c r="B205" s="236"/>
      <c r="C205" s="237"/>
      <c r="D205" s="215"/>
      <c r="E205" s="235"/>
      <c r="F205" s="215"/>
      <c r="G205" s="216" t="s">
        <v>459</v>
      </c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>
      <c r="A206" s="215"/>
      <c r="B206" s="236"/>
      <c r="C206" s="237"/>
      <c r="D206" s="215"/>
      <c r="E206" s="235"/>
      <c r="F206" s="215"/>
      <c r="G206" s="240" t="s">
        <v>444</v>
      </c>
      <c r="H206" s="3"/>
      <c r="I206" s="3"/>
      <c r="J206" s="4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>
      <c r="A207" s="215"/>
      <c r="B207" s="236"/>
      <c r="C207" s="237"/>
      <c r="D207" s="215"/>
      <c r="E207" s="235"/>
      <c r="F207" s="215"/>
      <c r="G207" s="221" t="s">
        <v>435</v>
      </c>
      <c r="H207" s="222" t="s">
        <v>449</v>
      </c>
      <c r="I207" s="222" t="s">
        <v>450</v>
      </c>
      <c r="J207" s="222" t="s">
        <v>389</v>
      </c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>
      <c r="A208" s="215"/>
      <c r="B208" s="236"/>
      <c r="C208" s="237"/>
      <c r="D208" s="215"/>
      <c r="E208" s="235"/>
      <c r="F208" s="215"/>
      <c r="G208" s="241" t="s">
        <v>386</v>
      </c>
      <c r="H208" s="224">
        <f>B13</f>
        <v>0</v>
      </c>
      <c r="I208" s="242">
        <f>IF(AND(H208=0,H209=0),0,IF(AND(H208=0,H209&gt;0),1,(H209-H208)/H208))
</f>
        <v>0</v>
      </c>
      <c r="J208" s="229" t="str">
        <f>OKTOBER!$D$7</f>
        <v/>
      </c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>
      <c r="A209" s="215"/>
      <c r="B209" s="236"/>
      <c r="C209" s="237"/>
      <c r="D209" s="215"/>
      <c r="E209" s="235"/>
      <c r="F209" s="215"/>
      <c r="G209" s="241" t="s">
        <v>387</v>
      </c>
      <c r="H209" s="224">
        <f>C13</f>
        <v>0</v>
      </c>
      <c r="I209" s="7"/>
      <c r="J209" s="229">
        <f>NOVEMBER!$E$7</f>
        <v>70000000</v>
      </c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>
      <c r="A210" s="215"/>
      <c r="B210" s="236"/>
      <c r="C210" s="237"/>
      <c r="D210" s="215"/>
      <c r="E210" s="23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>
      <c r="A211" s="215"/>
      <c r="B211" s="236"/>
      <c r="C211" s="237"/>
      <c r="D211" s="215"/>
      <c r="E211" s="235"/>
      <c r="F211" s="215"/>
      <c r="G211" s="230" t="str">
        <f>LET(
  bulanLalu, G208,
  bulanIni, G209,
  orderLalu, H208,
  orderIni, H209,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OKTOBER dan NOVEMBER</v>
      </c>
      <c r="H211" s="231"/>
      <c r="I211" s="231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>
      <c r="A212" s="215"/>
      <c r="B212" s="236"/>
      <c r="C212" s="237"/>
      <c r="D212" s="215"/>
      <c r="E212" s="23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>
      <c r="A213" s="215"/>
      <c r="B213" s="236"/>
      <c r="C213" s="237"/>
      <c r="D213" s="215"/>
      <c r="E213" s="23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>
      <c r="A214" s="215"/>
      <c r="B214" s="236"/>
      <c r="C214" s="237"/>
      <c r="D214" s="215"/>
      <c r="E214" s="23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>
      <c r="A215" s="215"/>
      <c r="B215" s="236"/>
      <c r="C215" s="237"/>
      <c r="D215" s="215"/>
      <c r="E215" s="23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>
      <c r="A216" s="215"/>
      <c r="B216" s="236"/>
      <c r="C216" s="237"/>
      <c r="D216" s="215"/>
      <c r="E216" s="23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>
      <c r="A217" s="215"/>
      <c r="B217" s="236"/>
      <c r="C217" s="237"/>
      <c r="D217" s="215"/>
      <c r="E217" s="23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>
      <c r="A218" s="215"/>
      <c r="B218" s="236"/>
      <c r="C218" s="237"/>
      <c r="D218" s="215"/>
      <c r="E218" s="23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>
      <c r="A219" s="215"/>
      <c r="B219" s="236"/>
      <c r="C219" s="237"/>
      <c r="D219" s="215"/>
      <c r="E219" s="23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>
      <c r="A220" s="215"/>
      <c r="B220" s="236"/>
      <c r="C220" s="237"/>
      <c r="D220" s="215"/>
      <c r="E220" s="23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>
      <c r="A221" s="215"/>
      <c r="B221" s="236"/>
      <c r="C221" s="237"/>
      <c r="D221" s="215"/>
      <c r="E221" s="23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>
      <c r="A222" s="215"/>
      <c r="B222" s="236"/>
      <c r="C222" s="237"/>
      <c r="D222" s="215"/>
      <c r="E222" s="23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>
      <c r="A223" s="215"/>
      <c r="B223" s="236"/>
      <c r="C223" s="237"/>
      <c r="D223" s="215"/>
      <c r="E223" s="23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>
      <c r="A224" s="215"/>
      <c r="B224" s="236"/>
      <c r="C224" s="237"/>
      <c r="D224" s="215"/>
      <c r="E224" s="23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>
      <c r="A225" s="215"/>
      <c r="B225" s="236"/>
      <c r="C225" s="237"/>
      <c r="D225" s="215"/>
      <c r="E225" s="23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>
      <c r="A226" s="215"/>
      <c r="B226" s="236"/>
      <c r="C226" s="237"/>
      <c r="D226" s="215"/>
      <c r="E226" s="23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>
      <c r="A227" s="215"/>
      <c r="B227" s="236"/>
      <c r="C227" s="237"/>
      <c r="D227" s="215"/>
      <c r="E227" s="23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>
      <c r="A228" s="215"/>
      <c r="B228" s="236"/>
      <c r="C228" s="237"/>
      <c r="D228" s="215"/>
      <c r="E228" s="23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>
      <c r="A229" s="215"/>
      <c r="B229" s="236"/>
      <c r="C229" s="237"/>
      <c r="D229" s="215"/>
      <c r="E229" s="23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>
      <c r="A230" s="215"/>
      <c r="B230" s="236"/>
      <c r="C230" s="237"/>
      <c r="D230" s="215"/>
      <c r="E230" s="235"/>
      <c r="F230" s="215"/>
      <c r="G230" s="216" t="s">
        <v>460</v>
      </c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>
      <c r="A231" s="215"/>
      <c r="B231" s="236"/>
      <c r="C231" s="237"/>
      <c r="D231" s="215"/>
      <c r="E231" s="235"/>
      <c r="F231" s="215"/>
      <c r="G231" s="240" t="s">
        <v>444</v>
      </c>
      <c r="H231" s="3"/>
      <c r="I231" s="3"/>
      <c r="J231" s="4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>
      <c r="A232" s="215"/>
      <c r="B232" s="236"/>
      <c r="C232" s="237"/>
      <c r="D232" s="215"/>
      <c r="E232" s="235"/>
      <c r="F232" s="215"/>
      <c r="G232" s="221" t="s">
        <v>435</v>
      </c>
      <c r="H232" s="222" t="s">
        <v>449</v>
      </c>
      <c r="I232" s="222" t="s">
        <v>450</v>
      </c>
      <c r="J232" s="222" t="s">
        <v>389</v>
      </c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>
      <c r="A233" s="215"/>
      <c r="B233" s="236"/>
      <c r="C233" s="237"/>
      <c r="D233" s="215"/>
      <c r="E233" s="235"/>
      <c r="F233" s="215"/>
      <c r="G233" s="227" t="s">
        <v>387</v>
      </c>
      <c r="H233" s="224">
        <f>B14</f>
        <v>3215000</v>
      </c>
      <c r="I233" s="242">
        <f>IF(AND(H233=0,H234=0),0,IF(AND(H233=0,H234&gt;0),1,(H234-H233)/H233))
</f>
        <v>-1</v>
      </c>
      <c r="J233" s="229" t="str">
        <f>OKTOBER!$D$7</f>
        <v/>
      </c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>
      <c r="A234" s="215"/>
      <c r="B234" s="236"/>
      <c r="C234" s="237"/>
      <c r="D234" s="215"/>
      <c r="E234" s="235"/>
      <c r="F234" s="215"/>
      <c r="G234" s="227" t="s">
        <v>451</v>
      </c>
      <c r="H234" s="224">
        <f>C14</f>
        <v>0</v>
      </c>
      <c r="I234" s="7"/>
      <c r="J234" s="229">
        <f>NOVEMBER!$E$7</f>
        <v>70000000</v>
      </c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>
      <c r="A235" s="215"/>
      <c r="B235" s="236"/>
      <c r="C235" s="237"/>
      <c r="D235" s="215"/>
      <c r="E235" s="235"/>
      <c r="F235" s="215"/>
      <c r="G235" s="215"/>
      <c r="H235" s="215"/>
      <c r="I235" s="215"/>
      <c r="J235" s="215"/>
      <c r="K235" s="215"/>
      <c r="L235" s="238" t="s">
        <v>47</v>
      </c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>
      <c r="A236" s="215"/>
      <c r="B236" s="236"/>
      <c r="C236" s="237"/>
      <c r="D236" s="215"/>
      <c r="E236" s="235"/>
      <c r="F236" s="215"/>
      <c r="G236" s="230" t="str">
        <f>LET(
  bulanLalu, G233,
  bulanIni, G234,
  orderLalu, H233,
  orderIni, H234,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236" s="231"/>
      <c r="I236" s="231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>
      <c r="A237" s="215"/>
      <c r="B237" s="236"/>
      <c r="C237" s="237"/>
      <c r="D237" s="215"/>
      <c r="E237" s="23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>
      <c r="A238" s="215"/>
      <c r="B238" s="236"/>
      <c r="C238" s="237"/>
      <c r="D238" s="215"/>
      <c r="E238" s="23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>
      <c r="A239" s="215"/>
      <c r="B239" s="236"/>
      <c r="C239" s="237"/>
      <c r="D239" s="215"/>
      <c r="E239" s="23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>
      <c r="A240" s="215"/>
      <c r="B240" s="236"/>
      <c r="C240" s="237"/>
      <c r="D240" s="215"/>
      <c r="E240" s="23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>
      <c r="A241" s="215"/>
      <c r="B241" s="236"/>
      <c r="C241" s="237"/>
      <c r="D241" s="215"/>
      <c r="E241" s="23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>
      <c r="A242" s="215"/>
      <c r="B242" s="236"/>
      <c r="C242" s="237"/>
      <c r="D242" s="215"/>
      <c r="E242" s="23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>
      <c r="A243" s="215"/>
      <c r="B243" s="236"/>
      <c r="C243" s="237"/>
      <c r="D243" s="215"/>
      <c r="E243" s="23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>
      <c r="A244" s="215"/>
      <c r="B244" s="236"/>
      <c r="C244" s="237"/>
      <c r="D244" s="215"/>
      <c r="E244" s="23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>
      <c r="A245" s="215"/>
      <c r="B245" s="236"/>
      <c r="C245" s="237"/>
      <c r="D245" s="215"/>
      <c r="E245" s="23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>
      <c r="A246" s="215"/>
      <c r="B246" s="236"/>
      <c r="C246" s="237"/>
      <c r="D246" s="215"/>
      <c r="E246" s="23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>
      <c r="A247" s="215"/>
      <c r="B247" s="236"/>
      <c r="C247" s="237"/>
      <c r="D247" s="215"/>
      <c r="E247" s="23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>
      <c r="A248" s="215"/>
      <c r="B248" s="236"/>
      <c r="C248" s="237"/>
      <c r="D248" s="215"/>
      <c r="E248" s="23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>
      <c r="A249" s="215"/>
      <c r="B249" s="236"/>
      <c r="C249" s="237"/>
      <c r="D249" s="215"/>
      <c r="E249" s="23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>
      <c r="A250" s="215"/>
      <c r="B250" s="236"/>
      <c r="C250" s="237"/>
      <c r="D250" s="215"/>
      <c r="E250" s="23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>
      <c r="A251" s="215"/>
      <c r="B251" s="236"/>
      <c r="C251" s="237"/>
      <c r="D251" s="215"/>
      <c r="E251" s="23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>
      <c r="A252" s="215"/>
      <c r="B252" s="236"/>
      <c r="C252" s="237"/>
      <c r="D252" s="215"/>
      <c r="E252" s="23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>
      <c r="A253" s="215"/>
      <c r="B253" s="236"/>
      <c r="C253" s="237"/>
      <c r="D253" s="215"/>
      <c r="E253" s="23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>
      <c r="A254" s="215"/>
      <c r="B254" s="236"/>
      <c r="C254" s="237"/>
      <c r="D254" s="215"/>
      <c r="E254" s="23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>
      <c r="A255" s="215"/>
      <c r="B255" s="236"/>
      <c r="C255" s="237"/>
      <c r="D255" s="215"/>
      <c r="E255" s="23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>
      <c r="A256" s="215"/>
      <c r="B256" s="236"/>
      <c r="C256" s="237"/>
      <c r="D256" s="215"/>
      <c r="E256" s="235"/>
      <c r="F256" s="215"/>
      <c r="G256" s="216" t="s">
        <v>461</v>
      </c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>
      <c r="A257" s="215"/>
      <c r="B257" s="236"/>
      <c r="C257" s="237"/>
      <c r="D257" s="215"/>
      <c r="E257" s="235"/>
      <c r="F257" s="215"/>
      <c r="G257" s="240" t="s">
        <v>444</v>
      </c>
      <c r="H257" s="3"/>
      <c r="I257" s="3"/>
      <c r="J257" s="4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>
      <c r="A258" s="215"/>
      <c r="B258" s="236"/>
      <c r="C258" s="237"/>
      <c r="D258" s="215"/>
      <c r="E258" s="235"/>
      <c r="F258" s="215"/>
      <c r="G258" s="221" t="s">
        <v>435</v>
      </c>
      <c r="H258" s="222" t="s">
        <v>449</v>
      </c>
      <c r="I258" s="222" t="s">
        <v>450</v>
      </c>
      <c r="J258" s="222" t="s">
        <v>389</v>
      </c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>
      <c r="A259" s="215"/>
      <c r="B259" s="236"/>
      <c r="C259" s="237"/>
      <c r="D259" s="215"/>
      <c r="E259" s="235"/>
      <c r="F259" s="215"/>
      <c r="G259" s="227" t="s">
        <v>387</v>
      </c>
      <c r="H259" s="224">
        <f>B15</f>
        <v>11535000</v>
      </c>
      <c r="I259" s="242">
        <f>IF(AND(H259=0,H260=0),0,IF(AND(H259=0,H260&gt;0),1,(H260-H259)/H259))
</f>
        <v>-1</v>
      </c>
      <c r="J259" s="229" t="str">
        <f>OKTOBER!$D$7</f>
        <v/>
      </c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>
      <c r="A260" s="215"/>
      <c r="B260" s="236"/>
      <c r="C260" s="237"/>
      <c r="D260" s="215"/>
      <c r="E260" s="235"/>
      <c r="F260" s="215"/>
      <c r="G260" s="227" t="s">
        <v>451</v>
      </c>
      <c r="H260" s="224">
        <f>C15</f>
        <v>0</v>
      </c>
      <c r="I260" s="7"/>
      <c r="J260" s="229">
        <f>NOVEMBER!$E$7</f>
        <v>70000000</v>
      </c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>
      <c r="A261" s="215"/>
      <c r="B261" s="236"/>
      <c r="C261" s="237"/>
      <c r="D261" s="215"/>
      <c r="E261" s="235"/>
      <c r="F261" s="215"/>
      <c r="G261" s="215"/>
      <c r="H261" s="215"/>
      <c r="I261" s="215"/>
      <c r="J261" s="215"/>
      <c r="K261" s="215"/>
      <c r="L261" s="238" t="s">
        <v>47</v>
      </c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>
      <c r="A262" s="215"/>
      <c r="B262" s="236"/>
      <c r="C262" s="237"/>
      <c r="D262" s="215"/>
      <c r="E262" s="235"/>
      <c r="F262" s="215"/>
      <c r="G262" s="230" t="str">
        <f>LET(
  bulanLalu, G259,
  bulanIni, G260,
  orderLalu, H259,
  orderIni, H260,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262" s="231"/>
      <c r="I262" s="231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>
      <c r="A263" s="215"/>
      <c r="B263" s="236"/>
      <c r="C263" s="237"/>
      <c r="D263" s="215"/>
      <c r="E263" s="23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>
      <c r="A264" s="215"/>
      <c r="B264" s="236"/>
      <c r="C264" s="237"/>
      <c r="D264" s="215"/>
      <c r="E264" s="23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>
      <c r="A265" s="215"/>
      <c r="B265" s="236"/>
      <c r="C265" s="237"/>
      <c r="D265" s="215"/>
      <c r="E265" s="23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>
      <c r="A266" s="215"/>
      <c r="B266" s="236"/>
      <c r="C266" s="237"/>
      <c r="D266" s="215"/>
      <c r="E266" s="23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>
      <c r="A267" s="215"/>
      <c r="B267" s="236"/>
      <c r="C267" s="237"/>
      <c r="D267" s="215"/>
      <c r="E267" s="23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>
      <c r="A268" s="215"/>
      <c r="B268" s="236"/>
      <c r="C268" s="237"/>
      <c r="D268" s="215"/>
      <c r="E268" s="23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>
      <c r="A269" s="215"/>
      <c r="B269" s="236"/>
      <c r="C269" s="237"/>
      <c r="D269" s="215"/>
      <c r="E269" s="23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>
      <c r="A270" s="215"/>
      <c r="B270" s="236"/>
      <c r="C270" s="237"/>
      <c r="D270" s="215"/>
      <c r="E270" s="23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>
      <c r="A271" s="215"/>
      <c r="B271" s="236"/>
      <c r="C271" s="237"/>
      <c r="D271" s="215"/>
      <c r="E271" s="23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>
      <c r="A272" s="215"/>
      <c r="B272" s="236"/>
      <c r="C272" s="237"/>
      <c r="D272" s="215"/>
      <c r="E272" s="23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>
      <c r="A273" s="215"/>
      <c r="B273" s="236"/>
      <c r="C273" s="237"/>
      <c r="D273" s="215"/>
      <c r="E273" s="23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>
      <c r="A274" s="215"/>
      <c r="B274" s="236"/>
      <c r="C274" s="237"/>
      <c r="D274" s="215"/>
      <c r="E274" s="23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>
      <c r="A275" s="215"/>
      <c r="B275" s="236"/>
      <c r="C275" s="237"/>
      <c r="D275" s="215"/>
      <c r="E275" s="23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>
      <c r="A276" s="215"/>
      <c r="B276" s="236"/>
      <c r="C276" s="237"/>
      <c r="D276" s="215"/>
      <c r="E276" s="23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>
      <c r="A277" s="215"/>
      <c r="B277" s="236"/>
      <c r="C277" s="237"/>
      <c r="D277" s="215"/>
      <c r="E277" s="23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>
      <c r="A278" s="215"/>
      <c r="B278" s="236"/>
      <c r="C278" s="237"/>
      <c r="D278" s="215"/>
      <c r="E278" s="23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>
      <c r="A279" s="215"/>
      <c r="B279" s="236"/>
      <c r="C279" s="237"/>
      <c r="D279" s="215"/>
      <c r="E279" s="23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>
      <c r="A280" s="215"/>
      <c r="B280" s="236"/>
      <c r="C280" s="237"/>
      <c r="D280" s="215"/>
      <c r="E280" s="23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>
      <c r="A281" s="215"/>
      <c r="B281" s="236"/>
      <c r="C281" s="237"/>
      <c r="D281" s="215"/>
      <c r="E281" s="23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>
      <c r="A282" s="215"/>
      <c r="B282" s="236"/>
      <c r="C282" s="237"/>
      <c r="D282" s="215"/>
      <c r="E282" s="235"/>
      <c r="F282" s="215"/>
      <c r="G282" s="216" t="s">
        <v>462</v>
      </c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>
      <c r="A283" s="215"/>
      <c r="B283" s="236"/>
      <c r="C283" s="237"/>
      <c r="D283" s="215"/>
      <c r="E283" s="235"/>
      <c r="F283" s="215"/>
      <c r="G283" s="240" t="s">
        <v>444</v>
      </c>
      <c r="H283" s="3"/>
      <c r="I283" s="3"/>
      <c r="J283" s="4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>
      <c r="A284" s="215"/>
      <c r="B284" s="236"/>
      <c r="C284" s="237"/>
      <c r="D284" s="215"/>
      <c r="E284" s="235"/>
      <c r="F284" s="215"/>
      <c r="G284" s="221" t="s">
        <v>435</v>
      </c>
      <c r="H284" s="222" t="s">
        <v>449</v>
      </c>
      <c r="I284" s="222" t="s">
        <v>450</v>
      </c>
      <c r="J284" s="222" t="s">
        <v>389</v>
      </c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>
      <c r="A285" s="215"/>
      <c r="B285" s="236"/>
      <c r="C285" s="237"/>
      <c r="D285" s="215"/>
      <c r="E285" s="235"/>
      <c r="F285" s="215"/>
      <c r="G285" s="227" t="s">
        <v>387</v>
      </c>
      <c r="H285" s="224">
        <f>B16</f>
        <v>0</v>
      </c>
      <c r="I285" s="242">
        <f>IF(AND(H285=0,H286=0),0,IF(AND(H285=0,H286&gt;0),1,(H286-H285)/H285))
</f>
        <v>1</v>
      </c>
      <c r="J285" s="229" t="str">
        <f>OKTOBER!$D$7</f>
        <v/>
      </c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>
      <c r="A286" s="215"/>
      <c r="B286" s="236"/>
      <c r="C286" s="237"/>
      <c r="D286" s="215"/>
      <c r="E286" s="235"/>
      <c r="F286" s="215"/>
      <c r="G286" s="227" t="s">
        <v>451</v>
      </c>
      <c r="H286" s="224">
        <f>C16</f>
        <v>170000</v>
      </c>
      <c r="I286" s="7"/>
      <c r="J286" s="229">
        <f>NOVEMBER!$E$7</f>
        <v>70000000</v>
      </c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>
      <c r="A287" s="215"/>
      <c r="B287" s="236"/>
      <c r="C287" s="237"/>
      <c r="D287" s="215"/>
      <c r="E287" s="235"/>
      <c r="F287" s="215"/>
      <c r="G287" s="215"/>
      <c r="H287" s="215"/>
      <c r="I287" s="215"/>
      <c r="J287" s="215"/>
      <c r="K287" s="215"/>
      <c r="L287" s="238" t="s">
        <v>47</v>
      </c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>
      <c r="A288" s="215"/>
      <c r="B288" s="236"/>
      <c r="C288" s="237"/>
      <c r="D288" s="215"/>
      <c r="E288" s="235"/>
      <c r="F288" s="215"/>
      <c r="G288" s="230" t="str">
        <f>LET(
  bulanLalu, G285,
  bulanIni, G286,
  orderLalu, H285,
  orderIni, H286,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288" s="231"/>
      <c r="I288" s="231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>
      <c r="A289" s="215"/>
      <c r="B289" s="236"/>
      <c r="C289" s="237"/>
      <c r="D289" s="215"/>
      <c r="E289" s="23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>
      <c r="A290" s="215"/>
      <c r="B290" s="236"/>
      <c r="C290" s="237"/>
      <c r="D290" s="215"/>
      <c r="E290" s="23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>
      <c r="A291" s="215"/>
      <c r="B291" s="236"/>
      <c r="C291" s="237"/>
      <c r="D291" s="215"/>
      <c r="E291" s="23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>
      <c r="A292" s="215"/>
      <c r="B292" s="236"/>
      <c r="C292" s="237"/>
      <c r="D292" s="215"/>
      <c r="E292" s="235"/>
      <c r="F292" s="215"/>
      <c r="G292" s="215"/>
      <c r="H292" s="215"/>
      <c r="I292" s="215"/>
      <c r="J292" s="215"/>
      <c r="K292" s="215"/>
      <c r="L292" s="215"/>
      <c r="M292" s="215"/>
      <c r="N292" s="238" t="s">
        <v>47</v>
      </c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>
      <c r="A293" s="215"/>
      <c r="B293" s="236"/>
      <c r="C293" s="237"/>
      <c r="D293" s="215"/>
      <c r="E293" s="23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>
      <c r="A294" s="215"/>
      <c r="B294" s="236"/>
      <c r="C294" s="237"/>
      <c r="D294" s="215"/>
      <c r="E294" s="23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>
      <c r="A295" s="215"/>
      <c r="B295" s="236"/>
      <c r="C295" s="237"/>
      <c r="D295" s="215"/>
      <c r="E295" s="23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>
      <c r="A296" s="215"/>
      <c r="B296" s="236"/>
      <c r="C296" s="237"/>
      <c r="D296" s="215"/>
      <c r="E296" s="23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>
      <c r="A297" s="215"/>
      <c r="B297" s="236"/>
      <c r="C297" s="237"/>
      <c r="D297" s="215"/>
      <c r="E297" s="23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>
      <c r="A298" s="215"/>
      <c r="B298" s="236"/>
      <c r="C298" s="237"/>
      <c r="D298" s="215"/>
      <c r="E298" s="23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>
      <c r="A299" s="215"/>
      <c r="B299" s="236"/>
      <c r="C299" s="237"/>
      <c r="D299" s="215"/>
      <c r="E299" s="23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>
      <c r="A300" s="215"/>
      <c r="B300" s="236"/>
      <c r="C300" s="237"/>
      <c r="D300" s="215"/>
      <c r="E300" s="23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>
      <c r="A301" s="215"/>
      <c r="B301" s="236"/>
      <c r="C301" s="237"/>
      <c r="D301" s="215"/>
      <c r="E301" s="23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>
      <c r="A302" s="215"/>
      <c r="B302" s="236"/>
      <c r="C302" s="237"/>
      <c r="D302" s="215"/>
      <c r="E302" s="23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>
      <c r="A303" s="215"/>
      <c r="B303" s="236"/>
      <c r="C303" s="237"/>
      <c r="D303" s="215"/>
      <c r="E303" s="23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>
      <c r="A304" s="215"/>
      <c r="B304" s="236"/>
      <c r="C304" s="237"/>
      <c r="D304" s="215"/>
      <c r="E304" s="23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>
      <c r="A305" s="215"/>
      <c r="B305" s="236"/>
      <c r="C305" s="237"/>
      <c r="D305" s="215"/>
      <c r="E305" s="23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>
      <c r="A306" s="215"/>
      <c r="B306" s="236"/>
      <c r="C306" s="237"/>
      <c r="D306" s="215"/>
      <c r="E306" s="23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>
      <c r="A307" s="215"/>
      <c r="B307" s="236"/>
      <c r="C307" s="237"/>
      <c r="D307" s="215"/>
      <c r="E307" s="23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>
      <c r="A308" s="215"/>
      <c r="B308" s="236"/>
      <c r="C308" s="237"/>
      <c r="D308" s="215"/>
      <c r="E308" s="235"/>
      <c r="F308" s="215"/>
      <c r="G308" s="216" t="s">
        <v>463</v>
      </c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>
      <c r="A309" s="215"/>
      <c r="B309" s="236"/>
      <c r="C309" s="237"/>
      <c r="D309" s="215"/>
      <c r="E309" s="235"/>
      <c r="F309" s="215"/>
      <c r="G309" s="240" t="s">
        <v>444</v>
      </c>
      <c r="H309" s="3"/>
      <c r="I309" s="3"/>
      <c r="J309" s="4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>
      <c r="A310" s="215"/>
      <c r="B310" s="236"/>
      <c r="C310" s="237"/>
      <c r="D310" s="215"/>
      <c r="E310" s="235"/>
      <c r="F310" s="215"/>
      <c r="G310" s="221" t="s">
        <v>435</v>
      </c>
      <c r="H310" s="222" t="s">
        <v>449</v>
      </c>
      <c r="I310" s="222" t="s">
        <v>450</v>
      </c>
      <c r="J310" s="222" t="s">
        <v>389</v>
      </c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>
      <c r="A311" s="215"/>
      <c r="B311" s="236"/>
      <c r="C311" s="237"/>
      <c r="D311" s="215"/>
      <c r="E311" s="235"/>
      <c r="F311" s="215"/>
      <c r="G311" s="227" t="s">
        <v>387</v>
      </c>
      <c r="H311" s="224">
        <f>B18</f>
        <v>0</v>
      </c>
      <c r="I311" s="242">
        <f>IF(AND(H311=0,H312=0),0,IF(AND(H311=0,H312&gt;0),1,(H312-H311)/H311))
</f>
        <v>0</v>
      </c>
      <c r="J311" s="229" t="str">
        <f>OKTOBER!$D$7</f>
        <v/>
      </c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>
      <c r="A312" s="215"/>
      <c r="B312" s="236"/>
      <c r="C312" s="237"/>
      <c r="D312" s="215"/>
      <c r="E312" s="235"/>
      <c r="F312" s="215"/>
      <c r="G312" s="227" t="s">
        <v>451</v>
      </c>
      <c r="H312" s="224">
        <f>C18</f>
        <v>0</v>
      </c>
      <c r="I312" s="7"/>
      <c r="J312" s="229">
        <f>NOVEMBER!$E$7</f>
        <v>70000000</v>
      </c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>
      <c r="A313" s="215"/>
      <c r="B313" s="236"/>
      <c r="C313" s="237"/>
      <c r="D313" s="215"/>
      <c r="E313" s="235"/>
      <c r="F313" s="215"/>
      <c r="G313" s="215"/>
      <c r="H313" s="215"/>
      <c r="I313" s="215"/>
      <c r="J313" s="215"/>
      <c r="K313" s="215"/>
      <c r="L313" s="238" t="s">
        <v>47</v>
      </c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>
      <c r="A314" s="215"/>
      <c r="B314" s="236"/>
      <c r="C314" s="237"/>
      <c r="D314" s="215"/>
      <c r="E314" s="235"/>
      <c r="F314" s="215"/>
      <c r="G314" s="230" t="str">
        <f>LET(
  bulanLalu, G311,
  bulanIni, G312,
  orderLalu, H311,
  orderIni, H312,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314" s="231"/>
      <c r="I314" s="231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>
      <c r="A315" s="215"/>
      <c r="B315" s="236"/>
      <c r="C315" s="237"/>
      <c r="D315" s="215"/>
      <c r="E315" s="23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>
      <c r="A316" s="215"/>
      <c r="B316" s="236"/>
      <c r="C316" s="237"/>
      <c r="D316" s="215"/>
      <c r="E316" s="23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>
      <c r="A317" s="215"/>
      <c r="B317" s="236"/>
      <c r="C317" s="237"/>
      <c r="D317" s="215"/>
      <c r="E317" s="23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>
      <c r="A318" s="215"/>
      <c r="B318" s="236"/>
      <c r="C318" s="237"/>
      <c r="D318" s="215"/>
      <c r="E318" s="23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>
      <c r="A319" s="215"/>
      <c r="B319" s="236"/>
      <c r="C319" s="237"/>
      <c r="D319" s="215"/>
      <c r="E319" s="23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>
      <c r="A320" s="215"/>
      <c r="B320" s="236"/>
      <c r="C320" s="237"/>
      <c r="D320" s="215"/>
      <c r="E320" s="23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>
      <c r="A321" s="215"/>
      <c r="B321" s="236"/>
      <c r="C321" s="237"/>
      <c r="D321" s="215"/>
      <c r="E321" s="23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>
      <c r="A322" s="215"/>
      <c r="B322" s="236"/>
      <c r="C322" s="237"/>
      <c r="D322" s="215"/>
      <c r="E322" s="23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>
      <c r="A323" s="215"/>
      <c r="B323" s="236"/>
      <c r="C323" s="237"/>
      <c r="D323" s="215"/>
      <c r="E323" s="23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>
      <c r="A324" s="215"/>
      <c r="B324" s="236"/>
      <c r="C324" s="237"/>
      <c r="D324" s="215"/>
      <c r="E324" s="23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>
      <c r="A325" s="215"/>
      <c r="B325" s="236"/>
      <c r="C325" s="237"/>
      <c r="D325" s="215"/>
      <c r="E325" s="23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>
      <c r="A326" s="215"/>
      <c r="B326" s="236"/>
      <c r="C326" s="237"/>
      <c r="D326" s="215"/>
      <c r="E326" s="23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>
      <c r="A327" s="215"/>
      <c r="B327" s="236"/>
      <c r="C327" s="237"/>
      <c r="D327" s="215"/>
      <c r="E327" s="23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>
      <c r="A328" s="215"/>
      <c r="B328" s="236"/>
      <c r="C328" s="237"/>
      <c r="D328" s="215"/>
      <c r="E328" s="23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>
      <c r="A329" s="215"/>
      <c r="B329" s="236"/>
      <c r="C329" s="237"/>
      <c r="D329" s="215"/>
      <c r="E329" s="23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>
      <c r="A330" s="215"/>
      <c r="B330" s="236"/>
      <c r="C330" s="237"/>
      <c r="D330" s="215"/>
      <c r="E330" s="23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>
      <c r="A331" s="215"/>
      <c r="B331" s="236"/>
      <c r="C331" s="237"/>
      <c r="D331" s="215"/>
      <c r="E331" s="23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>
      <c r="A332" s="215"/>
      <c r="B332" s="236"/>
      <c r="C332" s="237"/>
      <c r="D332" s="215"/>
      <c r="E332" s="23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>
      <c r="A333" s="215"/>
      <c r="B333" s="236"/>
      <c r="C333" s="237"/>
      <c r="D333" s="215"/>
      <c r="E333" s="23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>
      <c r="A334" s="215"/>
      <c r="B334" s="236"/>
      <c r="C334" s="237"/>
      <c r="D334" s="215"/>
      <c r="E334" s="235"/>
      <c r="F334" s="215"/>
      <c r="G334" s="216" t="s">
        <v>464</v>
      </c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>
      <c r="A335" s="215"/>
      <c r="B335" s="236"/>
      <c r="C335" s="237"/>
      <c r="D335" s="215"/>
      <c r="E335" s="235"/>
      <c r="F335" s="215"/>
      <c r="G335" s="240" t="s">
        <v>444</v>
      </c>
      <c r="H335" s="3"/>
      <c r="I335" s="3"/>
      <c r="J335" s="4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>
      <c r="A336" s="215"/>
      <c r="B336" s="236"/>
      <c r="C336" s="237"/>
      <c r="D336" s="215"/>
      <c r="E336" s="235"/>
      <c r="F336" s="215"/>
      <c r="G336" s="221" t="s">
        <v>435</v>
      </c>
      <c r="H336" s="222" t="s">
        <v>449</v>
      </c>
      <c r="I336" s="222" t="s">
        <v>450</v>
      </c>
      <c r="J336" s="222" t="s">
        <v>389</v>
      </c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>
      <c r="A337" s="215"/>
      <c r="B337" s="236"/>
      <c r="C337" s="237"/>
      <c r="D337" s="215"/>
      <c r="E337" s="235"/>
      <c r="F337" s="215"/>
      <c r="G337" s="227" t="s">
        <v>387</v>
      </c>
      <c r="H337" s="224">
        <f>B19</f>
        <v>0</v>
      </c>
      <c r="I337" s="242">
        <f>IF(AND(H337=0,H338=0),0,IF(AND(H337=0,H338&gt;0),1,(H338-H337)/H337))
</f>
        <v>0</v>
      </c>
      <c r="J337" s="229" t="str">
        <f>OKTOBER!$D$7</f>
        <v/>
      </c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>
      <c r="A338" s="215"/>
      <c r="B338" s="236"/>
      <c r="C338" s="237"/>
      <c r="D338" s="215"/>
      <c r="E338" s="235"/>
      <c r="F338" s="215"/>
      <c r="G338" s="227" t="s">
        <v>451</v>
      </c>
      <c r="H338" s="224">
        <f>C19</f>
        <v>0</v>
      </c>
      <c r="I338" s="7"/>
      <c r="J338" s="229">
        <f>NOVEMBER!$E$7</f>
        <v>70000000</v>
      </c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>
      <c r="A339" s="215"/>
      <c r="B339" s="236"/>
      <c r="C339" s="237"/>
      <c r="D339" s="215"/>
      <c r="E339" s="235"/>
      <c r="F339" s="215"/>
      <c r="G339" s="215"/>
      <c r="H339" s="215"/>
      <c r="I339" s="215"/>
      <c r="J339" s="215"/>
      <c r="K339" s="215"/>
      <c r="L339" s="238" t="s">
        <v>47</v>
      </c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>
      <c r="A340" s="215"/>
      <c r="B340" s="236"/>
      <c r="C340" s="237"/>
      <c r="D340" s="215"/>
      <c r="E340" s="235"/>
      <c r="F340" s="215"/>
      <c r="G340" s="230" t="str">
        <f>LET(
  bulanLalu, G337,
  bulanIni, G338,
  orderLalu, H337,
  orderIni, H338,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340" s="231"/>
      <c r="I340" s="231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>
      <c r="A341" s="215"/>
      <c r="B341" s="236"/>
      <c r="C341" s="237"/>
      <c r="D341" s="215"/>
      <c r="E341" s="23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>
      <c r="A342" s="215"/>
      <c r="B342" s="236"/>
      <c r="C342" s="237"/>
      <c r="D342" s="215"/>
      <c r="E342" s="23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>
      <c r="A343" s="215"/>
      <c r="B343" s="236"/>
      <c r="C343" s="237"/>
      <c r="D343" s="215"/>
      <c r="E343" s="23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>
      <c r="A344" s="215"/>
      <c r="B344" s="236"/>
      <c r="C344" s="237"/>
      <c r="D344" s="215"/>
      <c r="E344" s="23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>
      <c r="A345" s="215"/>
      <c r="B345" s="236"/>
      <c r="C345" s="237"/>
      <c r="D345" s="215"/>
      <c r="E345" s="23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>
      <c r="A346" s="215"/>
      <c r="B346" s="236"/>
      <c r="C346" s="237"/>
      <c r="D346" s="215"/>
      <c r="E346" s="23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>
      <c r="A347" s="215"/>
      <c r="B347" s="236"/>
      <c r="C347" s="237"/>
      <c r="D347" s="215"/>
      <c r="E347" s="23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>
      <c r="A348" s="215"/>
      <c r="B348" s="236"/>
      <c r="C348" s="237"/>
      <c r="D348" s="215"/>
      <c r="E348" s="23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>
      <c r="A349" s="215"/>
      <c r="B349" s="236"/>
      <c r="C349" s="237"/>
      <c r="D349" s="215"/>
      <c r="E349" s="23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>
      <c r="A350" s="215"/>
      <c r="B350" s="236"/>
      <c r="C350" s="237"/>
      <c r="D350" s="215"/>
      <c r="E350" s="23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>
      <c r="A351" s="215"/>
      <c r="B351" s="236"/>
      <c r="C351" s="237"/>
      <c r="D351" s="215"/>
      <c r="E351" s="23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>
      <c r="A352" s="215"/>
      <c r="B352" s="236"/>
      <c r="C352" s="237"/>
      <c r="D352" s="215"/>
      <c r="E352" s="23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>
      <c r="A353" s="215"/>
      <c r="B353" s="236"/>
      <c r="C353" s="237"/>
      <c r="D353" s="215"/>
      <c r="E353" s="23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>
      <c r="A354" s="215"/>
      <c r="B354" s="236"/>
      <c r="C354" s="237"/>
      <c r="D354" s="215"/>
      <c r="E354" s="23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>
      <c r="A355" s="215"/>
      <c r="B355" s="236"/>
      <c r="C355" s="237"/>
      <c r="D355" s="215"/>
      <c r="E355" s="23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>
      <c r="A356" s="215"/>
      <c r="B356" s="236"/>
      <c r="C356" s="237"/>
      <c r="D356" s="215"/>
      <c r="E356" s="23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>
      <c r="A357" s="215"/>
      <c r="B357" s="236"/>
      <c r="C357" s="237"/>
      <c r="D357" s="215"/>
      <c r="E357" s="23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>
      <c r="A358" s="215"/>
      <c r="B358" s="236"/>
      <c r="C358" s="237"/>
      <c r="D358" s="215"/>
      <c r="E358" s="23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>
      <c r="A359" s="215"/>
      <c r="B359" s="236"/>
      <c r="C359" s="237"/>
      <c r="D359" s="215"/>
      <c r="E359" s="23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>
      <c r="A360" s="215"/>
      <c r="B360" s="236"/>
      <c r="C360" s="237"/>
      <c r="D360" s="215"/>
      <c r="E360" s="235"/>
      <c r="F360" s="215"/>
      <c r="G360" s="216" t="s">
        <v>465</v>
      </c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>
      <c r="A361" s="215"/>
      <c r="B361" s="236"/>
      <c r="C361" s="237"/>
      <c r="D361" s="215"/>
      <c r="E361" s="235"/>
      <c r="F361" s="215"/>
      <c r="G361" s="240" t="s">
        <v>444</v>
      </c>
      <c r="H361" s="3"/>
      <c r="I361" s="3"/>
      <c r="J361" s="4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>
      <c r="A362" s="215"/>
      <c r="B362" s="236"/>
      <c r="C362" s="237"/>
      <c r="D362" s="215"/>
      <c r="E362" s="235"/>
      <c r="F362" s="215"/>
      <c r="G362" s="221" t="s">
        <v>435</v>
      </c>
      <c r="H362" s="222" t="s">
        <v>449</v>
      </c>
      <c r="I362" s="222" t="s">
        <v>450</v>
      </c>
      <c r="J362" s="222" t="s">
        <v>389</v>
      </c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>
      <c r="A363" s="215"/>
      <c r="B363" s="236"/>
      <c r="C363" s="237"/>
      <c r="D363" s="215"/>
      <c r="E363" s="235"/>
      <c r="F363" s="215"/>
      <c r="G363" s="227" t="s">
        <v>387</v>
      </c>
      <c r="H363" s="224">
        <f>B20</f>
        <v>7350000</v>
      </c>
      <c r="I363" s="242">
        <f>IF(AND(H363=0,H364=0),0,IF(AND(H363=0,H364&gt;0),1,(H364-H363)/H363))
</f>
        <v>-1</v>
      </c>
      <c r="J363" s="229" t="str">
        <f>OKTOBER!$D$7</f>
        <v/>
      </c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>
      <c r="A364" s="215"/>
      <c r="B364" s="236"/>
      <c r="C364" s="237"/>
      <c r="D364" s="215"/>
      <c r="E364" s="235"/>
      <c r="F364" s="215"/>
      <c r="G364" s="227" t="s">
        <v>451</v>
      </c>
      <c r="H364" s="224">
        <f>C20</f>
        <v>0</v>
      </c>
      <c r="I364" s="7"/>
      <c r="J364" s="229">
        <f>NOVEMBER!$E$7</f>
        <v>70000000</v>
      </c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>
      <c r="A365" s="215"/>
      <c r="B365" s="236"/>
      <c r="C365" s="237"/>
      <c r="D365" s="215"/>
      <c r="E365" s="235"/>
      <c r="F365" s="215"/>
      <c r="G365" s="215"/>
      <c r="H365" s="215"/>
      <c r="I365" s="215"/>
      <c r="J365" s="215"/>
      <c r="K365" s="215"/>
      <c r="L365" s="238" t="s">
        <v>47</v>
      </c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>
      <c r="A366" s="215"/>
      <c r="B366" s="236"/>
      <c r="C366" s="237"/>
      <c r="D366" s="215"/>
      <c r="E366" s="235"/>
      <c r="F366" s="215"/>
      <c r="G366" s="230" t="str">
        <f>LET(
  bulanLalu, G363,
  bulanIni, G364,
  orderLalu, H363,
  orderIni, H364,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366" s="231"/>
      <c r="I366" s="231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>
      <c r="A367" s="215"/>
      <c r="B367" s="236"/>
      <c r="C367" s="237"/>
      <c r="D367" s="215"/>
      <c r="E367" s="23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>
      <c r="A368" s="215"/>
      <c r="B368" s="236"/>
      <c r="C368" s="237"/>
      <c r="D368" s="215"/>
      <c r="E368" s="23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>
      <c r="A369" s="215"/>
      <c r="B369" s="236"/>
      <c r="C369" s="237"/>
      <c r="D369" s="215"/>
      <c r="E369" s="23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>
      <c r="A370" s="215"/>
      <c r="B370" s="236"/>
      <c r="C370" s="237"/>
      <c r="D370" s="215"/>
      <c r="E370" s="23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>
      <c r="A371" s="215"/>
      <c r="B371" s="236"/>
      <c r="C371" s="237"/>
      <c r="D371" s="215"/>
      <c r="E371" s="23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>
      <c r="A372" s="215"/>
      <c r="B372" s="236"/>
      <c r="C372" s="237"/>
      <c r="D372" s="215"/>
      <c r="E372" s="23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>
      <c r="A373" s="215"/>
      <c r="B373" s="236"/>
      <c r="C373" s="237"/>
      <c r="D373" s="215"/>
      <c r="E373" s="23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>
      <c r="A374" s="215"/>
      <c r="B374" s="236"/>
      <c r="C374" s="237"/>
      <c r="D374" s="215"/>
      <c r="E374" s="23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>
      <c r="A375" s="215"/>
      <c r="B375" s="236"/>
      <c r="C375" s="237"/>
      <c r="D375" s="215"/>
      <c r="E375" s="23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>
      <c r="A376" s="215"/>
      <c r="B376" s="236"/>
      <c r="C376" s="237"/>
      <c r="D376" s="215"/>
      <c r="E376" s="23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>
      <c r="A377" s="215"/>
      <c r="B377" s="236"/>
      <c r="C377" s="237"/>
      <c r="D377" s="215"/>
      <c r="E377" s="23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>
      <c r="A378" s="215"/>
      <c r="B378" s="236"/>
      <c r="C378" s="237"/>
      <c r="D378" s="215"/>
      <c r="E378" s="23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>
      <c r="A379" s="215"/>
      <c r="B379" s="236"/>
      <c r="C379" s="237"/>
      <c r="D379" s="215"/>
      <c r="E379" s="23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>
      <c r="A380" s="215"/>
      <c r="B380" s="236"/>
      <c r="C380" s="237"/>
      <c r="D380" s="215"/>
      <c r="E380" s="23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>
      <c r="A381" s="215"/>
      <c r="B381" s="236"/>
      <c r="C381" s="237"/>
      <c r="D381" s="215"/>
      <c r="E381" s="23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>
      <c r="A382" s="215"/>
      <c r="B382" s="236"/>
      <c r="C382" s="237"/>
      <c r="D382" s="215"/>
      <c r="E382" s="23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>
      <c r="A383" s="215"/>
      <c r="B383" s="236"/>
      <c r="C383" s="237"/>
      <c r="D383" s="215"/>
      <c r="E383" s="23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>
      <c r="A384" s="215"/>
      <c r="B384" s="236"/>
      <c r="C384" s="237"/>
      <c r="D384" s="215"/>
      <c r="E384" s="23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>
      <c r="A385" s="215"/>
      <c r="B385" s="236"/>
      <c r="C385" s="237"/>
      <c r="D385" s="215"/>
      <c r="E385" s="23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>
      <c r="A386" s="215"/>
      <c r="B386" s="236"/>
      <c r="C386" s="237"/>
      <c r="D386" s="215"/>
      <c r="E386" s="235"/>
      <c r="F386" s="215"/>
      <c r="G386" s="216" t="s">
        <v>466</v>
      </c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>
      <c r="A387" s="215"/>
      <c r="B387" s="236"/>
      <c r="C387" s="237"/>
      <c r="D387" s="215"/>
      <c r="E387" s="235"/>
      <c r="F387" s="215"/>
      <c r="G387" s="240" t="s">
        <v>444</v>
      </c>
      <c r="H387" s="3"/>
      <c r="I387" s="3"/>
      <c r="J387" s="4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>
      <c r="A388" s="215"/>
      <c r="B388" s="236"/>
      <c r="C388" s="237"/>
      <c r="D388" s="215"/>
      <c r="E388" s="235"/>
      <c r="F388" s="215"/>
      <c r="G388" s="221" t="s">
        <v>435</v>
      </c>
      <c r="H388" s="222" t="s">
        <v>449</v>
      </c>
      <c r="I388" s="222" t="s">
        <v>450</v>
      </c>
      <c r="J388" s="222" t="s">
        <v>389</v>
      </c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>
      <c r="A389" s="215"/>
      <c r="B389" s="236"/>
      <c r="C389" s="237"/>
      <c r="D389" s="215"/>
      <c r="E389" s="235"/>
      <c r="F389" s="215"/>
      <c r="G389" s="227" t="s">
        <v>387</v>
      </c>
      <c r="H389" s="224">
        <f>B21</f>
        <v>0</v>
      </c>
      <c r="I389" s="242">
        <f>IF(AND(H389=0,H390=0),0,IF(AND(H389=0,H390&gt;0),1,(H390-H389)/H389))
</f>
        <v>1</v>
      </c>
      <c r="J389" s="229" t="str">
        <f>OKTOBER!$D$7</f>
        <v/>
      </c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>
      <c r="A390" s="215"/>
      <c r="B390" s="236"/>
      <c r="C390" s="237"/>
      <c r="D390" s="215"/>
      <c r="E390" s="235"/>
      <c r="F390" s="215"/>
      <c r="G390" s="227" t="s">
        <v>451</v>
      </c>
      <c r="H390" s="224">
        <f>C21</f>
        <v>1200000</v>
      </c>
      <c r="I390" s="7"/>
      <c r="J390" s="229">
        <f>NOVEMBER!$E$7</f>
        <v>70000000</v>
      </c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>
      <c r="A391" s="215"/>
      <c r="B391" s="236"/>
      <c r="C391" s="237"/>
      <c r="D391" s="215"/>
      <c r="E391" s="235"/>
      <c r="F391" s="215"/>
      <c r="G391" s="215"/>
      <c r="H391" s="215"/>
      <c r="I391" s="215"/>
      <c r="J391" s="215"/>
      <c r="K391" s="215"/>
      <c r="L391" s="238" t="s">
        <v>47</v>
      </c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>
      <c r="A392" s="215"/>
      <c r="B392" s="236"/>
      <c r="C392" s="237"/>
      <c r="D392" s="215"/>
      <c r="E392" s="235"/>
      <c r="F392" s="215"/>
      <c r="G392" s="230" t="str">
        <f>LET(
  bulanLalu, G389,
  bulanIni, G390,
  orderLalu, H389,
  orderIni, H390,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392" s="231"/>
      <c r="I392" s="231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>
      <c r="A393" s="215"/>
      <c r="B393" s="236"/>
      <c r="C393" s="237"/>
      <c r="D393" s="215"/>
      <c r="E393" s="23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>
      <c r="A394" s="215"/>
      <c r="B394" s="236"/>
      <c r="C394" s="237"/>
      <c r="D394" s="215"/>
      <c r="E394" s="23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>
      <c r="A395" s="215"/>
      <c r="B395" s="236"/>
      <c r="C395" s="237"/>
      <c r="D395" s="215"/>
      <c r="E395" s="23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>
      <c r="A396" s="215"/>
      <c r="B396" s="236"/>
      <c r="C396" s="237"/>
      <c r="D396" s="215"/>
      <c r="E396" s="23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>
      <c r="A397" s="215"/>
      <c r="B397" s="236"/>
      <c r="C397" s="237"/>
      <c r="D397" s="215"/>
      <c r="E397" s="23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>
      <c r="A398" s="215"/>
      <c r="B398" s="236"/>
      <c r="C398" s="237"/>
      <c r="D398" s="215"/>
      <c r="E398" s="23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>
      <c r="A399" s="215"/>
      <c r="B399" s="236"/>
      <c r="C399" s="237"/>
      <c r="D399" s="215"/>
      <c r="E399" s="23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>
      <c r="A400" s="215"/>
      <c r="B400" s="236"/>
      <c r="C400" s="237"/>
      <c r="D400" s="215"/>
      <c r="E400" s="23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>
      <c r="A401" s="215"/>
      <c r="B401" s="236"/>
      <c r="C401" s="237"/>
      <c r="D401" s="215"/>
      <c r="E401" s="23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>
      <c r="A402" s="215"/>
      <c r="B402" s="236"/>
      <c r="C402" s="237"/>
      <c r="D402" s="215"/>
      <c r="E402" s="23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>
      <c r="A403" s="215"/>
      <c r="B403" s="236"/>
      <c r="C403" s="237"/>
      <c r="D403" s="215"/>
      <c r="E403" s="23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>
      <c r="A404" s="215"/>
      <c r="B404" s="236"/>
      <c r="C404" s="237"/>
      <c r="D404" s="215"/>
      <c r="E404" s="23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>
      <c r="A405" s="215"/>
      <c r="B405" s="236"/>
      <c r="C405" s="237"/>
      <c r="D405" s="215"/>
      <c r="E405" s="23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>
      <c r="A406" s="215"/>
      <c r="B406" s="236"/>
      <c r="C406" s="237"/>
      <c r="D406" s="215"/>
      <c r="E406" s="23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>
      <c r="A407" s="215"/>
      <c r="B407" s="236"/>
      <c r="C407" s="237"/>
      <c r="D407" s="215"/>
      <c r="E407" s="23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>
      <c r="A408" s="215"/>
      <c r="B408" s="236"/>
      <c r="C408" s="237"/>
      <c r="D408" s="215"/>
      <c r="E408" s="23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>
      <c r="A409" s="215"/>
      <c r="B409" s="236"/>
      <c r="C409" s="237"/>
      <c r="D409" s="215"/>
      <c r="E409" s="23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>
      <c r="A410" s="215"/>
      <c r="B410" s="236"/>
      <c r="C410" s="237"/>
      <c r="D410" s="215"/>
      <c r="E410" s="23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>
      <c r="A411" s="215"/>
      <c r="B411" s="236"/>
      <c r="C411" s="237"/>
      <c r="D411" s="215"/>
      <c r="E411" s="23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>
      <c r="A412" s="215"/>
      <c r="B412" s="236"/>
      <c r="C412" s="237"/>
      <c r="D412" s="215"/>
      <c r="E412" s="235"/>
      <c r="F412" s="215"/>
      <c r="G412" s="216" t="s">
        <v>467</v>
      </c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>
      <c r="A413" s="215"/>
      <c r="B413" s="236"/>
      <c r="C413" s="237"/>
      <c r="D413" s="215"/>
      <c r="E413" s="235"/>
      <c r="F413" s="215"/>
      <c r="G413" s="240" t="s">
        <v>444</v>
      </c>
      <c r="H413" s="3"/>
      <c r="I413" s="3"/>
      <c r="J413" s="4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>
      <c r="A414" s="215"/>
      <c r="B414" s="236"/>
      <c r="C414" s="237"/>
      <c r="D414" s="215"/>
      <c r="E414" s="235"/>
      <c r="F414" s="215"/>
      <c r="G414" s="221" t="s">
        <v>435</v>
      </c>
      <c r="H414" s="222" t="s">
        <v>449</v>
      </c>
      <c r="I414" s="222" t="s">
        <v>450</v>
      </c>
      <c r="J414" s="222" t="s">
        <v>389</v>
      </c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>
      <c r="A415" s="215"/>
      <c r="B415" s="236"/>
      <c r="C415" s="237"/>
      <c r="D415" s="215"/>
      <c r="E415" s="235"/>
      <c r="F415" s="215"/>
      <c r="G415" s="227" t="s">
        <v>387</v>
      </c>
      <c r="H415" s="224">
        <f>B22</f>
        <v>0</v>
      </c>
      <c r="I415" s="242">
        <f>IF(AND(H415=0,H416=0),0,IF(AND(H415=0,H416&gt;0),1,(H416-H415)/H415))
</f>
        <v>0</v>
      </c>
      <c r="J415" s="229" t="str">
        <f>OKTOBER!$D$7</f>
        <v/>
      </c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>
      <c r="A416" s="215"/>
      <c r="B416" s="236"/>
      <c r="C416" s="237"/>
      <c r="D416" s="215"/>
      <c r="E416" s="235"/>
      <c r="F416" s="215"/>
      <c r="G416" s="227" t="s">
        <v>451</v>
      </c>
      <c r="H416" s="224">
        <f>C22</f>
        <v>0</v>
      </c>
      <c r="I416" s="7"/>
      <c r="J416" s="229">
        <f>NOVEMBER!$E$7</f>
        <v>70000000</v>
      </c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>
      <c r="A417" s="215"/>
      <c r="B417" s="236"/>
      <c r="C417" s="237"/>
      <c r="D417" s="215"/>
      <c r="E417" s="235"/>
      <c r="F417" s="215"/>
      <c r="G417" s="215"/>
      <c r="H417" s="215"/>
      <c r="I417" s="215"/>
      <c r="J417" s="215"/>
      <c r="K417" s="215"/>
      <c r="L417" s="238" t="s">
        <v>47</v>
      </c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>
      <c r="A418" s="215"/>
      <c r="B418" s="236"/>
      <c r="C418" s="237"/>
      <c r="D418" s="215"/>
      <c r="E418" s="235"/>
      <c r="F418" s="215"/>
      <c r="G418" s="230" t="str">
        <f>LET(
  bulanLalu, G415,
  bulanIni, G416,
  orderLalu, H415,
  orderIni, H416,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418" s="231"/>
      <c r="I418" s="231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>
      <c r="A419" s="215"/>
      <c r="B419" s="236"/>
      <c r="C419" s="237"/>
      <c r="D419" s="215"/>
      <c r="E419" s="23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>
      <c r="A420" s="215"/>
      <c r="B420" s="236"/>
      <c r="C420" s="237"/>
      <c r="D420" s="215"/>
      <c r="E420" s="23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>
      <c r="A421" s="215"/>
      <c r="B421" s="236"/>
      <c r="C421" s="237"/>
      <c r="D421" s="215"/>
      <c r="E421" s="23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>
      <c r="A422" s="215"/>
      <c r="B422" s="236"/>
      <c r="C422" s="237"/>
      <c r="D422" s="215"/>
      <c r="E422" s="23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>
      <c r="A423" s="215"/>
      <c r="B423" s="236"/>
      <c r="C423" s="237"/>
      <c r="D423" s="215"/>
      <c r="E423" s="23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>
      <c r="A424" s="215"/>
      <c r="B424" s="236"/>
      <c r="C424" s="237"/>
      <c r="D424" s="215"/>
      <c r="E424" s="23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>
      <c r="A425" s="215"/>
      <c r="B425" s="236"/>
      <c r="C425" s="237"/>
      <c r="D425" s="215"/>
      <c r="E425" s="23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>
      <c r="A426" s="215"/>
      <c r="B426" s="236"/>
      <c r="C426" s="237"/>
      <c r="D426" s="215"/>
      <c r="E426" s="23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>
      <c r="A427" s="215"/>
      <c r="B427" s="236"/>
      <c r="C427" s="237"/>
      <c r="D427" s="215"/>
      <c r="E427" s="23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>
      <c r="A428" s="215"/>
      <c r="B428" s="236"/>
      <c r="C428" s="237"/>
      <c r="D428" s="215"/>
      <c r="E428" s="23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>
      <c r="A429" s="215"/>
      <c r="B429" s="236"/>
      <c r="C429" s="237"/>
      <c r="D429" s="215"/>
      <c r="E429" s="23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>
      <c r="A430" s="215"/>
      <c r="B430" s="236"/>
      <c r="C430" s="237"/>
      <c r="D430" s="215"/>
      <c r="E430" s="23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>
      <c r="A431" s="215"/>
      <c r="B431" s="236"/>
      <c r="C431" s="237"/>
      <c r="D431" s="215"/>
      <c r="E431" s="23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>
      <c r="A432" s="215"/>
      <c r="B432" s="236"/>
      <c r="C432" s="237"/>
      <c r="D432" s="215"/>
      <c r="E432" s="23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>
      <c r="A433" s="215"/>
      <c r="B433" s="236"/>
      <c r="C433" s="237"/>
      <c r="D433" s="215"/>
      <c r="E433" s="23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>
      <c r="A434" s="215"/>
      <c r="B434" s="236"/>
      <c r="C434" s="237"/>
      <c r="D434" s="215"/>
      <c r="E434" s="23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>
      <c r="A435" s="215"/>
      <c r="B435" s="236"/>
      <c r="C435" s="237"/>
      <c r="D435" s="215"/>
      <c r="E435" s="23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>
      <c r="A436" s="215"/>
      <c r="B436" s="236"/>
      <c r="C436" s="237"/>
      <c r="D436" s="215"/>
      <c r="E436" s="23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>
      <c r="A437" s="215"/>
      <c r="B437" s="236"/>
      <c r="C437" s="237"/>
      <c r="D437" s="215"/>
      <c r="E437" s="23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>
      <c r="A438" s="215"/>
      <c r="B438" s="236"/>
      <c r="C438" s="237"/>
      <c r="D438" s="215"/>
      <c r="E438" s="235"/>
      <c r="F438" s="215"/>
      <c r="G438" s="216" t="s">
        <v>468</v>
      </c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>
      <c r="A439" s="215"/>
      <c r="B439" s="236"/>
      <c r="C439" s="237"/>
      <c r="D439" s="215"/>
      <c r="E439" s="235"/>
      <c r="F439" s="215"/>
      <c r="G439" s="240" t="s">
        <v>444</v>
      </c>
      <c r="H439" s="3"/>
      <c r="I439" s="3"/>
      <c r="J439" s="4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>
      <c r="A440" s="215"/>
      <c r="B440" s="236"/>
      <c r="C440" s="237"/>
      <c r="D440" s="215"/>
      <c r="E440" s="235"/>
      <c r="F440" s="215"/>
      <c r="G440" s="221" t="s">
        <v>435</v>
      </c>
      <c r="H440" s="222" t="s">
        <v>449</v>
      </c>
      <c r="I440" s="222" t="s">
        <v>450</v>
      </c>
      <c r="J440" s="222" t="s">
        <v>389</v>
      </c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>
      <c r="A441" s="215"/>
      <c r="B441" s="236"/>
      <c r="C441" s="237"/>
      <c r="D441" s="215"/>
      <c r="E441" s="235"/>
      <c r="F441" s="215"/>
      <c r="G441" s="227" t="s">
        <v>387</v>
      </c>
      <c r="H441" s="224">
        <f>B23</f>
        <v>7350000</v>
      </c>
      <c r="I441" s="242">
        <f>IF(AND(H441=0,H442=0),0,IF(AND(H441=0,H442&gt;0),1,(H442-H441)/H441))
</f>
        <v>-1</v>
      </c>
      <c r="J441" s="229" t="str">
        <f>OKTOBER!$D$7</f>
        <v/>
      </c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>
      <c r="A442" s="215"/>
      <c r="B442" s="236"/>
      <c r="C442" s="237"/>
      <c r="D442" s="215"/>
      <c r="E442" s="235"/>
      <c r="F442" s="215"/>
      <c r="G442" s="227" t="s">
        <v>451</v>
      </c>
      <c r="H442" s="224">
        <f>C23</f>
        <v>0</v>
      </c>
      <c r="I442" s="7"/>
      <c r="J442" s="229">
        <f>NOVEMBER!$E$7</f>
        <v>70000000</v>
      </c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>
      <c r="A443" s="215"/>
      <c r="B443" s="236"/>
      <c r="C443" s="237"/>
      <c r="D443" s="215"/>
      <c r="E443" s="235"/>
      <c r="F443" s="215"/>
      <c r="G443" s="215"/>
      <c r="H443" s="215"/>
      <c r="I443" s="215"/>
      <c r="J443" s="215"/>
      <c r="K443" s="215"/>
      <c r="L443" s="238" t="s">
        <v>47</v>
      </c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>
      <c r="A444" s="215"/>
      <c r="B444" s="236"/>
      <c r="C444" s="237"/>
      <c r="D444" s="215"/>
      <c r="E444" s="235"/>
      <c r="F444" s="215"/>
      <c r="G444" s="230" t="str">
        <f>LET(
  bulanLalu, G441,
  bulanIni, G442,
  orderLalu, H441,
  orderIni, H442,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444" s="231"/>
      <c r="I444" s="231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>
      <c r="A445" s="215"/>
      <c r="B445" s="236"/>
      <c r="C445" s="237"/>
      <c r="D445" s="215"/>
      <c r="E445" s="23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>
      <c r="A446" s="215"/>
      <c r="B446" s="236"/>
      <c r="C446" s="237"/>
      <c r="D446" s="215"/>
      <c r="E446" s="23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>
      <c r="A447" s="215"/>
      <c r="B447" s="236"/>
      <c r="C447" s="237"/>
      <c r="D447" s="215"/>
      <c r="E447" s="23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>
      <c r="A448" s="215"/>
      <c r="B448" s="236"/>
      <c r="C448" s="237"/>
      <c r="D448" s="215"/>
      <c r="E448" s="23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>
      <c r="A449" s="215"/>
      <c r="B449" s="236"/>
      <c r="C449" s="237"/>
      <c r="D449" s="215"/>
      <c r="E449" s="23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>
      <c r="A450" s="215"/>
      <c r="B450" s="236"/>
      <c r="C450" s="237"/>
      <c r="D450" s="215"/>
      <c r="E450" s="23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>
      <c r="A451" s="215"/>
      <c r="B451" s="236"/>
      <c r="C451" s="237"/>
      <c r="D451" s="215"/>
      <c r="E451" s="23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>
      <c r="A452" s="215"/>
      <c r="B452" s="236"/>
      <c r="C452" s="237"/>
      <c r="D452" s="215"/>
      <c r="E452" s="23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>
      <c r="A453" s="215"/>
      <c r="B453" s="236"/>
      <c r="C453" s="237"/>
      <c r="D453" s="215"/>
      <c r="E453" s="23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>
      <c r="A454" s="215"/>
      <c r="B454" s="236"/>
      <c r="C454" s="237"/>
      <c r="D454" s="215"/>
      <c r="E454" s="23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>
      <c r="A455" s="215"/>
      <c r="B455" s="236"/>
      <c r="C455" s="237"/>
      <c r="D455" s="215"/>
      <c r="E455" s="23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>
      <c r="A456" s="215"/>
      <c r="B456" s="236"/>
      <c r="C456" s="237"/>
      <c r="D456" s="215"/>
      <c r="E456" s="23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>
      <c r="A457" s="215"/>
      <c r="B457" s="236"/>
      <c r="C457" s="237"/>
      <c r="D457" s="215"/>
      <c r="E457" s="23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>
      <c r="A458" s="215"/>
      <c r="B458" s="236"/>
      <c r="C458" s="237"/>
      <c r="D458" s="215"/>
      <c r="E458" s="23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>
      <c r="A459" s="215"/>
      <c r="B459" s="236"/>
      <c r="C459" s="237"/>
      <c r="D459" s="215"/>
      <c r="E459" s="23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>
      <c r="A460" s="215"/>
      <c r="B460" s="236"/>
      <c r="C460" s="237"/>
      <c r="D460" s="215"/>
      <c r="E460" s="23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>
      <c r="A461" s="215"/>
      <c r="B461" s="236"/>
      <c r="C461" s="237"/>
      <c r="D461" s="215"/>
      <c r="E461" s="23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>
      <c r="A462" s="215"/>
      <c r="B462" s="236"/>
      <c r="C462" s="237"/>
      <c r="D462" s="215"/>
      <c r="E462" s="23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>
      <c r="A463" s="215"/>
      <c r="B463" s="236"/>
      <c r="C463" s="237"/>
      <c r="D463" s="215"/>
      <c r="E463" s="23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>
      <c r="A464" s="215"/>
      <c r="B464" s="236"/>
      <c r="C464" s="237"/>
      <c r="D464" s="215"/>
      <c r="E464" s="235"/>
      <c r="F464" s="215"/>
      <c r="G464" s="216" t="s">
        <v>469</v>
      </c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>
      <c r="A465" s="215"/>
      <c r="B465" s="236"/>
      <c r="C465" s="237"/>
      <c r="D465" s="215"/>
      <c r="E465" s="235"/>
      <c r="F465" s="215"/>
      <c r="G465" s="240" t="s">
        <v>444</v>
      </c>
      <c r="H465" s="3"/>
      <c r="I465" s="3"/>
      <c r="J465" s="4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>
      <c r="A466" s="215"/>
      <c r="B466" s="236"/>
      <c r="C466" s="237"/>
      <c r="D466" s="215"/>
      <c r="E466" s="235"/>
      <c r="F466" s="215"/>
      <c r="G466" s="221" t="s">
        <v>435</v>
      </c>
      <c r="H466" s="222" t="s">
        <v>449</v>
      </c>
      <c r="I466" s="222" t="s">
        <v>450</v>
      </c>
      <c r="J466" s="222" t="s">
        <v>389</v>
      </c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>
      <c r="A467" s="215"/>
      <c r="B467" s="236"/>
      <c r="C467" s="237"/>
      <c r="D467" s="215"/>
      <c r="E467" s="235"/>
      <c r="F467" s="215"/>
      <c r="G467" s="227" t="s">
        <v>387</v>
      </c>
      <c r="H467" s="224">
        <f>B25</f>
        <v>1790000</v>
      </c>
      <c r="I467" s="242">
        <f>IF(AND(H467=0,H468=0),0,IF(AND(H467=0,H468&gt;0),1,(H468-H467)/H467))
</f>
        <v>-1</v>
      </c>
      <c r="J467" s="229" t="str">
        <f>OKTOBER!$D$7</f>
        <v/>
      </c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>
      <c r="A468" s="215"/>
      <c r="B468" s="236"/>
      <c r="C468" s="237"/>
      <c r="D468" s="215"/>
      <c r="E468" s="235"/>
      <c r="F468" s="215"/>
      <c r="G468" s="227" t="s">
        <v>451</v>
      </c>
      <c r="H468" s="224">
        <f>C25</f>
        <v>0</v>
      </c>
      <c r="I468" s="7"/>
      <c r="J468" s="229">
        <f>NOVEMBER!$E$7</f>
        <v>70000000</v>
      </c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>
      <c r="A469" s="215"/>
      <c r="B469" s="236"/>
      <c r="C469" s="237"/>
      <c r="D469" s="215"/>
      <c r="E469" s="23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>
      <c r="A470" s="215"/>
      <c r="B470" s="236"/>
      <c r="C470" s="237"/>
      <c r="D470" s="215"/>
      <c r="E470" s="235"/>
      <c r="F470" s="215"/>
      <c r="G470" s="230" t="str">
        <f>LET(
  bulanLalu, G467,
  bulanIni, G468,
  orderLalu, H467,
  orderIni, H468,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turun 100% dari NOVEMBER ke DESEMBER</v>
      </c>
      <c r="H470" s="231"/>
      <c r="I470" s="231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>
      <c r="A471" s="215"/>
      <c r="B471" s="236"/>
      <c r="C471" s="237"/>
      <c r="D471" s="215"/>
      <c r="E471" s="235"/>
      <c r="F471" s="215"/>
      <c r="G471" s="244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>
      <c r="A472" s="215"/>
      <c r="B472" s="236"/>
      <c r="C472" s="237"/>
      <c r="D472" s="215"/>
      <c r="E472" s="23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>
      <c r="A473" s="215"/>
      <c r="B473" s="236"/>
      <c r="C473" s="237"/>
      <c r="D473" s="215"/>
      <c r="E473" s="23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>
      <c r="A474" s="215"/>
      <c r="B474" s="236"/>
      <c r="C474" s="237"/>
      <c r="D474" s="215"/>
      <c r="E474" s="23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>
      <c r="A475" s="215"/>
      <c r="B475" s="236"/>
      <c r="C475" s="237"/>
      <c r="D475" s="215"/>
      <c r="E475" s="23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>
      <c r="A476" s="215"/>
      <c r="B476" s="236"/>
      <c r="C476" s="237"/>
      <c r="D476" s="215"/>
      <c r="E476" s="23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>
      <c r="A477" s="215"/>
      <c r="B477" s="236"/>
      <c r="C477" s="237"/>
      <c r="D477" s="215"/>
      <c r="E477" s="23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>
      <c r="A478" s="215"/>
      <c r="B478" s="236"/>
      <c r="C478" s="237"/>
      <c r="D478" s="215"/>
      <c r="E478" s="23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>
      <c r="A479" s="215"/>
      <c r="B479" s="236"/>
      <c r="C479" s="237"/>
      <c r="D479" s="215"/>
      <c r="E479" s="23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>
      <c r="A480" s="215"/>
      <c r="B480" s="236"/>
      <c r="C480" s="237"/>
      <c r="D480" s="215"/>
      <c r="E480" s="23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>
      <c r="A481" s="215"/>
      <c r="B481" s="236"/>
      <c r="C481" s="237"/>
      <c r="D481" s="215"/>
      <c r="E481" s="23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>
      <c r="A482" s="215"/>
      <c r="B482" s="236"/>
      <c r="C482" s="237"/>
      <c r="D482" s="215"/>
      <c r="E482" s="23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>
      <c r="A483" s="215"/>
      <c r="B483" s="236"/>
      <c r="C483" s="237"/>
      <c r="D483" s="215"/>
      <c r="E483" s="23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>
      <c r="A484" s="215"/>
      <c r="B484" s="236"/>
      <c r="C484" s="237"/>
      <c r="D484" s="215"/>
      <c r="E484" s="23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>
      <c r="A485" s="215"/>
      <c r="B485" s="236"/>
      <c r="C485" s="237"/>
      <c r="D485" s="215"/>
      <c r="E485" s="23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>
      <c r="A486" s="215"/>
      <c r="B486" s="236"/>
      <c r="C486" s="237"/>
      <c r="D486" s="215"/>
      <c r="E486" s="23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>
      <c r="A487" s="215"/>
      <c r="B487" s="236"/>
      <c r="C487" s="237"/>
      <c r="D487" s="215"/>
      <c r="E487" s="23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>
      <c r="A488" s="215"/>
      <c r="B488" s="236"/>
      <c r="C488" s="237"/>
      <c r="D488" s="215"/>
      <c r="E488" s="23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>
      <c r="A489" s="215"/>
      <c r="B489" s="236"/>
      <c r="C489" s="237"/>
      <c r="D489" s="215"/>
      <c r="E489" s="235"/>
      <c r="F489" s="215"/>
      <c r="G489" s="216" t="s">
        <v>470</v>
      </c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>
      <c r="A490" s="215"/>
      <c r="B490" s="236"/>
      <c r="C490" s="237"/>
      <c r="D490" s="215"/>
      <c r="E490" s="235"/>
      <c r="F490" s="215"/>
      <c r="G490" s="240" t="s">
        <v>444</v>
      </c>
      <c r="H490" s="3"/>
      <c r="I490" s="3"/>
      <c r="J490" s="4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>
      <c r="A491" s="215"/>
      <c r="B491" s="236"/>
      <c r="C491" s="237"/>
      <c r="D491" s="215"/>
      <c r="E491" s="235"/>
      <c r="F491" s="215"/>
      <c r="G491" s="221" t="s">
        <v>435</v>
      </c>
      <c r="H491" s="222" t="s">
        <v>449</v>
      </c>
      <c r="I491" s="222" t="s">
        <v>450</v>
      </c>
      <c r="J491" s="222" t="s">
        <v>389</v>
      </c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>
      <c r="A492" s="215"/>
      <c r="B492" s="236"/>
      <c r="C492" s="237"/>
      <c r="D492" s="215"/>
      <c r="E492" s="235"/>
      <c r="F492" s="215"/>
      <c r="G492" s="227" t="s">
        <v>387</v>
      </c>
      <c r="H492" s="224">
        <f>B26</f>
        <v>0</v>
      </c>
      <c r="I492" s="242">
        <f>IF(AND(H492=0,H493=0),0,IF(AND(H492=0,H493&gt;0),1,(H493-H492)/H492))
</f>
        <v>0</v>
      </c>
      <c r="J492" s="229" t="str">
        <f>OKTOBER!$D$7</f>
        <v/>
      </c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>
      <c r="A493" s="215"/>
      <c r="B493" s="236"/>
      <c r="C493" s="237"/>
      <c r="D493" s="215"/>
      <c r="E493" s="235"/>
      <c r="F493" s="215"/>
      <c r="G493" s="227" t="s">
        <v>451</v>
      </c>
      <c r="H493" s="224">
        <f>C26</f>
        <v>0</v>
      </c>
      <c r="I493" s="7"/>
      <c r="J493" s="229">
        <f>NOVEMBER!$E$7</f>
        <v>70000000</v>
      </c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>
      <c r="A494" s="215"/>
      <c r="B494" s="236"/>
      <c r="C494" s="237"/>
      <c r="D494" s="215"/>
      <c r="E494" s="23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>
      <c r="A495" s="215"/>
      <c r="B495" s="236"/>
      <c r="C495" s="237"/>
      <c r="D495" s="215"/>
      <c r="E495" s="235"/>
      <c r="F495" s="215"/>
      <c r="G495" s="230" t="str">
        <f>LET(
  bulanLalu, G492,
  bulanIni, G493,
  orderLalu, H492,
  orderIni, H493,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495" s="231"/>
      <c r="I495" s="231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>
      <c r="A496" s="215"/>
      <c r="B496" s="236"/>
      <c r="C496" s="237"/>
      <c r="D496" s="215"/>
      <c r="E496" s="23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>
      <c r="A497" s="215"/>
      <c r="B497" s="236"/>
      <c r="C497" s="237"/>
      <c r="D497" s="215"/>
      <c r="E497" s="23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>
      <c r="A498" s="215"/>
      <c r="B498" s="236"/>
      <c r="C498" s="237"/>
      <c r="D498" s="215"/>
      <c r="E498" s="23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>
      <c r="A499" s="215"/>
      <c r="B499" s="236"/>
      <c r="C499" s="237"/>
      <c r="D499" s="215"/>
      <c r="E499" s="23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>
      <c r="A500" s="215"/>
      <c r="B500" s="236"/>
      <c r="C500" s="237"/>
      <c r="D500" s="215"/>
      <c r="E500" s="23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>
      <c r="A501" s="215"/>
      <c r="B501" s="236"/>
      <c r="C501" s="237"/>
      <c r="D501" s="215"/>
      <c r="E501" s="23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>
      <c r="A502" s="215"/>
      <c r="B502" s="236"/>
      <c r="C502" s="237"/>
      <c r="D502" s="215"/>
      <c r="E502" s="23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>
      <c r="A503" s="215"/>
      <c r="B503" s="236"/>
      <c r="C503" s="237"/>
      <c r="D503" s="215"/>
      <c r="E503" s="23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>
      <c r="A504" s="215"/>
      <c r="B504" s="236"/>
      <c r="C504" s="237"/>
      <c r="D504" s="215"/>
      <c r="E504" s="23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>
      <c r="A505" s="215"/>
      <c r="B505" s="236"/>
      <c r="C505" s="237"/>
      <c r="D505" s="215"/>
      <c r="E505" s="23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>
      <c r="A506" s="215"/>
      <c r="B506" s="236"/>
      <c r="C506" s="237"/>
      <c r="D506" s="215"/>
      <c r="E506" s="23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>
      <c r="A507" s="215"/>
      <c r="B507" s="236"/>
      <c r="C507" s="237"/>
      <c r="D507" s="215"/>
      <c r="E507" s="23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>
      <c r="A508" s="215"/>
      <c r="B508" s="236"/>
      <c r="C508" s="237"/>
      <c r="D508" s="215"/>
      <c r="E508" s="23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>
      <c r="A509" s="215"/>
      <c r="B509" s="236"/>
      <c r="C509" s="237"/>
      <c r="D509" s="215"/>
      <c r="E509" s="23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>
      <c r="A510" s="215"/>
      <c r="B510" s="236"/>
      <c r="C510" s="237"/>
      <c r="D510" s="215"/>
      <c r="E510" s="23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>
      <c r="A511" s="215"/>
      <c r="B511" s="236"/>
      <c r="C511" s="237"/>
      <c r="D511" s="215"/>
      <c r="E511" s="23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>
      <c r="A512" s="215"/>
      <c r="B512" s="236"/>
      <c r="C512" s="237"/>
      <c r="D512" s="215"/>
      <c r="E512" s="23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>
      <c r="A513" s="215"/>
      <c r="B513" s="236"/>
      <c r="C513" s="237"/>
      <c r="D513" s="215"/>
      <c r="E513" s="23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>
      <c r="A514" s="215"/>
      <c r="B514" s="236"/>
      <c r="C514" s="237"/>
      <c r="D514" s="215"/>
      <c r="E514" s="23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>
      <c r="A515" s="215"/>
      <c r="B515" s="236"/>
      <c r="C515" s="237"/>
      <c r="D515" s="215"/>
      <c r="E515" s="235"/>
      <c r="F515" s="215"/>
      <c r="G515" s="216" t="s">
        <v>471</v>
      </c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>
      <c r="A516" s="215"/>
      <c r="B516" s="236"/>
      <c r="C516" s="237"/>
      <c r="D516" s="215"/>
      <c r="E516" s="235"/>
      <c r="F516" s="215"/>
      <c r="G516" s="240" t="s">
        <v>444</v>
      </c>
      <c r="H516" s="3"/>
      <c r="I516" s="3"/>
      <c r="J516" s="4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>
      <c r="A517" s="215"/>
      <c r="B517" s="236"/>
      <c r="C517" s="237"/>
      <c r="D517" s="215"/>
      <c r="E517" s="235"/>
      <c r="F517" s="215"/>
      <c r="G517" s="221" t="s">
        <v>435</v>
      </c>
      <c r="H517" s="222" t="s">
        <v>449</v>
      </c>
      <c r="I517" s="222" t="s">
        <v>450</v>
      </c>
      <c r="J517" s="222" t="s">
        <v>389</v>
      </c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>
      <c r="A518" s="215"/>
      <c r="B518" s="236"/>
      <c r="C518" s="237"/>
      <c r="D518" s="215"/>
      <c r="E518" s="235"/>
      <c r="F518" s="215"/>
      <c r="G518" s="227" t="s">
        <v>387</v>
      </c>
      <c r="H518" s="224">
        <f>B27</f>
        <v>0</v>
      </c>
      <c r="I518" s="242">
        <f>IF(AND(H518=0,H519=0),0,IF(AND(H518=0,H519&gt;0),1,(H519-H518)/H518))
</f>
        <v>0</v>
      </c>
      <c r="J518" s="229" t="str">
        <f>OKTOBER!$D$7</f>
        <v/>
      </c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>
      <c r="A519" s="215"/>
      <c r="B519" s="236"/>
      <c r="C519" s="237"/>
      <c r="D519" s="215"/>
      <c r="E519" s="235"/>
      <c r="F519" s="215"/>
      <c r="G519" s="227" t="s">
        <v>451</v>
      </c>
      <c r="H519" s="224">
        <f>C27</f>
        <v>0</v>
      </c>
      <c r="I519" s="7"/>
      <c r="J519" s="229">
        <f>NOVEMBER!$E$7</f>
        <v>70000000</v>
      </c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>
      <c r="A520" s="215"/>
      <c r="B520" s="236"/>
      <c r="C520" s="237"/>
      <c r="D520" s="215"/>
      <c r="E520" s="23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>
      <c r="A521" s="215"/>
      <c r="B521" s="236"/>
      <c r="C521" s="237"/>
      <c r="D521" s="215"/>
      <c r="E521" s="235"/>
      <c r="F521" s="215"/>
      <c r="G521" s="230" t="str">
        <f>LET(
  bulanLalu, G518,
  bulanIni, G519,
  orderLalu, H518,
  orderIni, H519,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521" s="231"/>
      <c r="I521" s="231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>
      <c r="A522" s="215"/>
      <c r="B522" s="236"/>
      <c r="C522" s="237"/>
      <c r="D522" s="215"/>
      <c r="E522" s="23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>
      <c r="A523" s="215"/>
      <c r="B523" s="236"/>
      <c r="C523" s="237"/>
      <c r="D523" s="215"/>
      <c r="E523" s="23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>
      <c r="A524" s="215"/>
      <c r="B524" s="236"/>
      <c r="C524" s="237"/>
      <c r="D524" s="215"/>
      <c r="E524" s="23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>
      <c r="A525" s="215"/>
      <c r="B525" s="236"/>
      <c r="C525" s="237"/>
      <c r="D525" s="215"/>
      <c r="E525" s="23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>
      <c r="A526" s="215"/>
      <c r="B526" s="236"/>
      <c r="C526" s="237"/>
      <c r="D526" s="215"/>
      <c r="E526" s="23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>
      <c r="A527" s="215"/>
      <c r="B527" s="236"/>
      <c r="C527" s="237"/>
      <c r="D527" s="215"/>
      <c r="E527" s="23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>
      <c r="A528" s="215"/>
      <c r="B528" s="236"/>
      <c r="C528" s="237"/>
      <c r="D528" s="215"/>
      <c r="E528" s="23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>
      <c r="A529" s="215"/>
      <c r="B529" s="236"/>
      <c r="C529" s="237"/>
      <c r="D529" s="215"/>
      <c r="E529" s="23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>
      <c r="A530" s="215"/>
      <c r="B530" s="236"/>
      <c r="C530" s="237"/>
      <c r="D530" s="215"/>
      <c r="E530" s="23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>
      <c r="A531" s="215"/>
      <c r="B531" s="236"/>
      <c r="C531" s="237"/>
      <c r="D531" s="215"/>
      <c r="E531" s="23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>
      <c r="A532" s="215"/>
      <c r="B532" s="236"/>
      <c r="C532" s="237"/>
      <c r="D532" s="215"/>
      <c r="E532" s="23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>
      <c r="A533" s="215"/>
      <c r="B533" s="236"/>
      <c r="C533" s="237"/>
      <c r="D533" s="215"/>
      <c r="E533" s="23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>
      <c r="A534" s="215"/>
      <c r="B534" s="236"/>
      <c r="C534" s="237"/>
      <c r="D534" s="215"/>
      <c r="E534" s="23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>
      <c r="A535" s="215"/>
      <c r="B535" s="236"/>
      <c r="C535" s="237"/>
      <c r="D535" s="215"/>
      <c r="E535" s="23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>
      <c r="A536" s="215"/>
      <c r="B536" s="236"/>
      <c r="C536" s="237"/>
      <c r="D536" s="215"/>
      <c r="E536" s="23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>
      <c r="A537" s="215"/>
      <c r="B537" s="236"/>
      <c r="C537" s="237"/>
      <c r="D537" s="215"/>
      <c r="E537" s="23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>
      <c r="A538" s="215"/>
      <c r="B538" s="236"/>
      <c r="C538" s="237"/>
      <c r="D538" s="215"/>
      <c r="E538" s="23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>
      <c r="A539" s="215"/>
      <c r="B539" s="236"/>
      <c r="C539" s="237"/>
      <c r="D539" s="215"/>
      <c r="E539" s="23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>
      <c r="A540" s="215"/>
      <c r="B540" s="236"/>
      <c r="C540" s="237"/>
      <c r="D540" s="215"/>
      <c r="E540" s="235"/>
      <c r="F540" s="215"/>
      <c r="G540" s="216" t="s">
        <v>472</v>
      </c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>
      <c r="A541" s="215"/>
      <c r="B541" s="236"/>
      <c r="C541" s="237"/>
      <c r="D541" s="215"/>
      <c r="E541" s="235"/>
      <c r="F541" s="215"/>
      <c r="G541" s="240" t="s">
        <v>444</v>
      </c>
      <c r="H541" s="3"/>
      <c r="I541" s="3"/>
      <c r="J541" s="4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>
      <c r="A542" s="215"/>
      <c r="B542" s="236"/>
      <c r="C542" s="237"/>
      <c r="D542" s="215"/>
      <c r="E542" s="235"/>
      <c r="F542" s="215"/>
      <c r="G542" s="221" t="s">
        <v>435</v>
      </c>
      <c r="H542" s="222" t="s">
        <v>449</v>
      </c>
      <c r="I542" s="222" t="s">
        <v>450</v>
      </c>
      <c r="J542" s="222" t="s">
        <v>389</v>
      </c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>
      <c r="A543" s="215"/>
      <c r="B543" s="236"/>
      <c r="C543" s="237"/>
      <c r="D543" s="215"/>
      <c r="E543" s="235"/>
      <c r="F543" s="215"/>
      <c r="G543" s="227" t="s">
        <v>387</v>
      </c>
      <c r="H543" s="224">
        <f>B29</f>
        <v>0</v>
      </c>
      <c r="I543" s="242">
        <f>IF(AND(H543=0,H544=0),0,IF(AND(H543=0,H544&gt;0),1,(H544-H543)/H543))
</f>
        <v>1</v>
      </c>
      <c r="J543" s="229" t="str">
        <f>OKTOBER!$D$7</f>
        <v/>
      </c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>
      <c r="A544" s="215"/>
      <c r="B544" s="236"/>
      <c r="C544" s="237"/>
      <c r="D544" s="215"/>
      <c r="E544" s="235"/>
      <c r="F544" s="215"/>
      <c r="G544" s="227" t="s">
        <v>451</v>
      </c>
      <c r="H544" s="224">
        <f>C29</f>
        <v>1595000</v>
      </c>
      <c r="I544" s="7"/>
      <c r="J544" s="229">
        <f>NOVEMBER!$E$7</f>
        <v>70000000</v>
      </c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>
      <c r="A545" s="215"/>
      <c r="B545" s="236"/>
      <c r="C545" s="237"/>
      <c r="D545" s="215"/>
      <c r="E545" s="23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>
      <c r="A546" s="215"/>
      <c r="B546" s="236"/>
      <c r="C546" s="237"/>
      <c r="D546" s="215"/>
      <c r="E546" s="235"/>
      <c r="F546" s="215"/>
      <c r="G546" s="230" t="str">
        <f>LET(
  bulanLalu, G543,
  bulanIni, G544,
  orderLalu, H543,
  orderIni, H544,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546" s="231"/>
      <c r="I546" s="231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>
      <c r="A547" s="215"/>
      <c r="B547" s="236"/>
      <c r="C547" s="237"/>
      <c r="D547" s="215"/>
      <c r="E547" s="23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>
      <c r="A548" s="215"/>
      <c r="B548" s="236"/>
      <c r="C548" s="237"/>
      <c r="D548" s="215"/>
      <c r="E548" s="23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>
      <c r="A549" s="215"/>
      <c r="B549" s="236"/>
      <c r="C549" s="237"/>
      <c r="D549" s="215"/>
      <c r="E549" s="23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>
      <c r="A550" s="215"/>
      <c r="B550" s="236"/>
      <c r="C550" s="237"/>
      <c r="D550" s="215"/>
      <c r="E550" s="23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>
      <c r="A551" s="215"/>
      <c r="B551" s="236"/>
      <c r="C551" s="237"/>
      <c r="D551" s="215"/>
      <c r="E551" s="23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>
      <c r="A552" s="215"/>
      <c r="B552" s="236"/>
      <c r="C552" s="237"/>
      <c r="D552" s="215"/>
      <c r="E552" s="23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>
      <c r="A553" s="215"/>
      <c r="B553" s="236"/>
      <c r="C553" s="237"/>
      <c r="D553" s="215"/>
      <c r="E553" s="23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>
      <c r="A554" s="215"/>
      <c r="B554" s="236"/>
      <c r="C554" s="237"/>
      <c r="D554" s="215"/>
      <c r="E554" s="23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>
      <c r="A555" s="215"/>
      <c r="B555" s="236"/>
      <c r="C555" s="237"/>
      <c r="D555" s="215"/>
      <c r="E555" s="23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>
      <c r="A556" s="215"/>
      <c r="B556" s="236"/>
      <c r="C556" s="237"/>
      <c r="D556" s="215"/>
      <c r="E556" s="23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>
      <c r="A557" s="215"/>
      <c r="B557" s="236"/>
      <c r="C557" s="237"/>
      <c r="D557" s="215"/>
      <c r="E557" s="23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>
      <c r="A558" s="215"/>
      <c r="B558" s="236"/>
      <c r="C558" s="237"/>
      <c r="D558" s="215"/>
      <c r="E558" s="23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>
      <c r="A559" s="215"/>
      <c r="B559" s="236"/>
      <c r="C559" s="237"/>
      <c r="D559" s="215"/>
      <c r="E559" s="23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>
      <c r="A560" s="215"/>
      <c r="B560" s="236"/>
      <c r="C560" s="237"/>
      <c r="D560" s="215"/>
      <c r="E560" s="23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>
      <c r="A561" s="215"/>
      <c r="B561" s="236"/>
      <c r="C561" s="237"/>
      <c r="D561" s="215"/>
      <c r="E561" s="23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>
      <c r="A562" s="215"/>
      <c r="B562" s="236"/>
      <c r="C562" s="237"/>
      <c r="D562" s="215"/>
      <c r="E562" s="23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>
      <c r="A563" s="215"/>
      <c r="B563" s="236"/>
      <c r="C563" s="237"/>
      <c r="D563" s="215"/>
      <c r="E563" s="23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>
      <c r="A564" s="215"/>
      <c r="B564" s="236"/>
      <c r="C564" s="237"/>
      <c r="D564" s="215"/>
      <c r="E564" s="23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>
      <c r="A565" s="215"/>
      <c r="B565" s="236"/>
      <c r="C565" s="237"/>
      <c r="D565" s="215"/>
      <c r="E565" s="235"/>
      <c r="F565" s="215"/>
      <c r="G565" s="216" t="s">
        <v>473</v>
      </c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>
      <c r="A566" s="215"/>
      <c r="B566" s="236"/>
      <c r="C566" s="237"/>
      <c r="D566" s="215"/>
      <c r="E566" s="235"/>
      <c r="F566" s="215"/>
      <c r="G566" s="240" t="s">
        <v>444</v>
      </c>
      <c r="H566" s="3"/>
      <c r="I566" s="3"/>
      <c r="J566" s="4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>
      <c r="A567" s="215"/>
      <c r="B567" s="236"/>
      <c r="C567" s="237"/>
      <c r="D567" s="215"/>
      <c r="E567" s="235"/>
      <c r="F567" s="215"/>
      <c r="G567" s="221" t="s">
        <v>435</v>
      </c>
      <c r="H567" s="222" t="s">
        <v>449</v>
      </c>
      <c r="I567" s="222" t="s">
        <v>450</v>
      </c>
      <c r="J567" s="222" t="s">
        <v>389</v>
      </c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>
      <c r="A568" s="215"/>
      <c r="B568" s="236"/>
      <c r="C568" s="237"/>
      <c r="D568" s="215"/>
      <c r="E568" s="235"/>
      <c r="F568" s="215"/>
      <c r="G568" s="227" t="s">
        <v>387</v>
      </c>
      <c r="H568" s="224">
        <f>B30</f>
        <v>0</v>
      </c>
      <c r="I568" s="242">
        <f>IF(AND(H568=0,H569=0),0,IF(AND(H568=0,H569&gt;0),1,(H569-H568)/H568))
</f>
        <v>0</v>
      </c>
      <c r="J568" s="229" t="str">
        <f>OKTOBER!$D$7</f>
        <v/>
      </c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>
      <c r="A569" s="215"/>
      <c r="B569" s="236"/>
      <c r="C569" s="237"/>
      <c r="D569" s="215"/>
      <c r="E569" s="235"/>
      <c r="F569" s="215"/>
      <c r="G569" s="227" t="s">
        <v>451</v>
      </c>
      <c r="H569" s="224">
        <f>C30</f>
        <v>0</v>
      </c>
      <c r="I569" s="7"/>
      <c r="J569" s="229">
        <f>NOVEMBER!$E$7</f>
        <v>70000000</v>
      </c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>
      <c r="A570" s="215"/>
      <c r="B570" s="236"/>
      <c r="C570" s="237"/>
      <c r="D570" s="215"/>
      <c r="E570" s="23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>
      <c r="A571" s="215"/>
      <c r="B571" s="236"/>
      <c r="C571" s="237"/>
      <c r="D571" s="215"/>
      <c r="E571" s="235"/>
      <c r="F571" s="215"/>
      <c r="G571" s="230" t="str">
        <f>LET(
  bulanLalu, G568,
  bulanIni, G569,
  orderLalu, H568,
  orderIni, H569,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571" s="231"/>
      <c r="I571" s="231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>
      <c r="A572" s="215"/>
      <c r="B572" s="236"/>
      <c r="C572" s="237"/>
      <c r="D572" s="215"/>
      <c r="E572" s="23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>
      <c r="A573" s="215"/>
      <c r="B573" s="236"/>
      <c r="C573" s="237"/>
      <c r="D573" s="215"/>
      <c r="E573" s="23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>
      <c r="A574" s="215"/>
      <c r="B574" s="236"/>
      <c r="C574" s="237"/>
      <c r="D574" s="215"/>
      <c r="E574" s="23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>
      <c r="A575" s="215"/>
      <c r="B575" s="236"/>
      <c r="C575" s="237"/>
      <c r="D575" s="215"/>
      <c r="E575" s="23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>
      <c r="A576" s="215"/>
      <c r="B576" s="236"/>
      <c r="C576" s="237"/>
      <c r="D576" s="215"/>
      <c r="E576" s="23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>
      <c r="A577" s="215"/>
      <c r="B577" s="236"/>
      <c r="C577" s="237"/>
      <c r="D577" s="215"/>
      <c r="E577" s="23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>
      <c r="A578" s="215"/>
      <c r="B578" s="236"/>
      <c r="C578" s="237"/>
      <c r="D578" s="215"/>
      <c r="E578" s="23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>
      <c r="A579" s="215"/>
      <c r="B579" s="236"/>
      <c r="C579" s="237"/>
      <c r="D579" s="215"/>
      <c r="E579" s="23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>
      <c r="A580" s="215"/>
      <c r="B580" s="236"/>
      <c r="C580" s="237"/>
      <c r="D580" s="215"/>
      <c r="E580" s="23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>
      <c r="A581" s="215"/>
      <c r="B581" s="236"/>
      <c r="C581" s="237"/>
      <c r="D581" s="215"/>
      <c r="E581" s="23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>
      <c r="A582" s="215"/>
      <c r="B582" s="236"/>
      <c r="C582" s="237"/>
      <c r="D582" s="215"/>
      <c r="E582" s="23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>
      <c r="A583" s="215"/>
      <c r="B583" s="236"/>
      <c r="C583" s="237"/>
      <c r="D583" s="215"/>
      <c r="E583" s="23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>
      <c r="A584" s="215"/>
      <c r="B584" s="236"/>
      <c r="C584" s="237"/>
      <c r="D584" s="215"/>
      <c r="E584" s="23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>
      <c r="A585" s="215"/>
      <c r="B585" s="236"/>
      <c r="C585" s="237"/>
      <c r="D585" s="215"/>
      <c r="E585" s="23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>
      <c r="A586" s="215"/>
      <c r="B586" s="236"/>
      <c r="C586" s="237"/>
      <c r="D586" s="215"/>
      <c r="E586" s="23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>
      <c r="A587" s="215"/>
      <c r="B587" s="236"/>
      <c r="C587" s="237"/>
      <c r="D587" s="215"/>
      <c r="E587" s="23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>
      <c r="A588" s="215"/>
      <c r="B588" s="236"/>
      <c r="C588" s="237"/>
      <c r="D588" s="215"/>
      <c r="E588" s="23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>
      <c r="A589" s="215"/>
      <c r="B589" s="236"/>
      <c r="C589" s="237"/>
      <c r="D589" s="215"/>
      <c r="E589" s="23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>
      <c r="A590" s="215"/>
      <c r="B590" s="236"/>
      <c r="C590" s="237"/>
      <c r="D590" s="215"/>
      <c r="E590" s="235"/>
      <c r="F590" s="215"/>
      <c r="G590" s="216" t="s">
        <v>474</v>
      </c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>
      <c r="A591" s="215"/>
      <c r="B591" s="236"/>
      <c r="C591" s="237"/>
      <c r="D591" s="215"/>
      <c r="E591" s="235"/>
      <c r="F591" s="215"/>
      <c r="G591" s="240" t="s">
        <v>444</v>
      </c>
      <c r="H591" s="3"/>
      <c r="I591" s="3"/>
      <c r="J591" s="4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>
      <c r="A592" s="215"/>
      <c r="B592" s="236"/>
      <c r="C592" s="237"/>
      <c r="D592" s="215"/>
      <c r="E592" s="235"/>
      <c r="F592" s="215"/>
      <c r="G592" s="221" t="s">
        <v>435</v>
      </c>
      <c r="H592" s="222" t="s">
        <v>449</v>
      </c>
      <c r="I592" s="222" t="s">
        <v>450</v>
      </c>
      <c r="J592" s="222" t="s">
        <v>389</v>
      </c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>
      <c r="A593" s="215"/>
      <c r="B593" s="236"/>
      <c r="C593" s="237"/>
      <c r="D593" s="215"/>
      <c r="E593" s="235"/>
      <c r="F593" s="215"/>
      <c r="G593" s="241" t="s">
        <v>387</v>
      </c>
      <c r="H593" s="245">
        <f>B32</f>
        <v>0</v>
      </c>
      <c r="I593" s="242">
        <f>IF(AND(H593=0,H594=0),0,IF(AND(H593=0,H594&gt;0),1,(H594-H593)/H593))
</f>
        <v>1</v>
      </c>
      <c r="J593" s="229" t="str">
        <f>OKTOBER!$D$7</f>
        <v/>
      </c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>
      <c r="A594" s="215"/>
      <c r="B594" s="236"/>
      <c r="C594" s="237"/>
      <c r="D594" s="215"/>
      <c r="E594" s="235"/>
      <c r="F594" s="215"/>
      <c r="G594" s="241" t="s">
        <v>451</v>
      </c>
      <c r="H594" s="245">
        <f>C32</f>
        <v>24720000</v>
      </c>
      <c r="I594" s="7"/>
      <c r="J594" s="229">
        <f>NOVEMBER!$E$7</f>
        <v>70000000</v>
      </c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>
      <c r="A595" s="215"/>
      <c r="B595" s="236"/>
      <c r="C595" s="237"/>
      <c r="D595" s="215"/>
      <c r="E595" s="23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>
      <c r="A596" s="215"/>
      <c r="B596" s="236"/>
      <c r="C596" s="237"/>
      <c r="D596" s="215"/>
      <c r="E596" s="235"/>
      <c r="F596" s="215"/>
      <c r="G596" s="230" t="str">
        <f>LET(
  bulanLalu, G593,
  bulanIni, G594,
  orderLalu, H593,
  orderIni, H594,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naik 100% dari NOVEMBER ke DESEMBER</v>
      </c>
      <c r="H596" s="231"/>
      <c r="I596" s="231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>
      <c r="A597" s="215"/>
      <c r="B597" s="236"/>
      <c r="C597" s="237"/>
      <c r="D597" s="215"/>
      <c r="E597" s="23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>
      <c r="A598" s="215"/>
      <c r="B598" s="236"/>
      <c r="C598" s="237"/>
      <c r="D598" s="215"/>
      <c r="E598" s="23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>
      <c r="A599" s="215"/>
      <c r="B599" s="236"/>
      <c r="C599" s="237"/>
      <c r="D599" s="215"/>
      <c r="E599" s="23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>
      <c r="A600" s="215"/>
      <c r="B600" s="236"/>
      <c r="C600" s="237"/>
      <c r="D600" s="215"/>
      <c r="E600" s="23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>
      <c r="A601" s="215"/>
      <c r="B601" s="236"/>
      <c r="C601" s="237"/>
      <c r="D601" s="215"/>
      <c r="E601" s="23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>
      <c r="A602" s="215"/>
      <c r="B602" s="236"/>
      <c r="C602" s="237"/>
      <c r="D602" s="215"/>
      <c r="E602" s="23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>
      <c r="A603" s="215"/>
      <c r="B603" s="236"/>
      <c r="C603" s="237"/>
      <c r="D603" s="215"/>
      <c r="E603" s="23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>
      <c r="A604" s="215"/>
      <c r="B604" s="236"/>
      <c r="C604" s="237"/>
      <c r="D604" s="215"/>
      <c r="E604" s="23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>
      <c r="A605" s="215"/>
      <c r="B605" s="236"/>
      <c r="C605" s="237"/>
      <c r="D605" s="215"/>
      <c r="E605" s="23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>
      <c r="A606" s="215"/>
      <c r="B606" s="236"/>
      <c r="C606" s="237"/>
      <c r="D606" s="215"/>
      <c r="E606" s="23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>
      <c r="A607" s="215"/>
      <c r="B607" s="236"/>
      <c r="C607" s="237"/>
      <c r="D607" s="215"/>
      <c r="E607" s="23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>
      <c r="A608" s="215"/>
      <c r="B608" s="236"/>
      <c r="C608" s="237"/>
      <c r="D608" s="215"/>
      <c r="E608" s="23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>
      <c r="A609" s="215"/>
      <c r="B609" s="236"/>
      <c r="C609" s="237"/>
      <c r="D609" s="215"/>
      <c r="E609" s="23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>
      <c r="A610" s="215"/>
      <c r="B610" s="236"/>
      <c r="C610" s="237"/>
      <c r="D610" s="215"/>
      <c r="E610" s="23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>
      <c r="A611" s="215"/>
      <c r="B611" s="236"/>
      <c r="C611" s="237"/>
      <c r="D611" s="215"/>
      <c r="E611" s="23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>
      <c r="A612" s="215"/>
      <c r="B612" s="236"/>
      <c r="C612" s="237"/>
      <c r="D612" s="215"/>
      <c r="E612" s="23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>
      <c r="A613" s="215"/>
      <c r="B613" s="236"/>
      <c r="C613" s="237"/>
      <c r="D613" s="215"/>
      <c r="E613" s="23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>
      <c r="A614" s="215"/>
      <c r="B614" s="236"/>
      <c r="C614" s="237"/>
      <c r="D614" s="215"/>
      <c r="E614" s="23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>
      <c r="A615" s="215"/>
      <c r="B615" s="236"/>
      <c r="C615" s="237"/>
      <c r="D615" s="215"/>
      <c r="E615" s="235"/>
      <c r="F615" s="215"/>
      <c r="G615" s="216" t="s">
        <v>475</v>
      </c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>
      <c r="A616" s="215"/>
      <c r="B616" s="236"/>
      <c r="C616" s="237"/>
      <c r="D616" s="215"/>
      <c r="E616" s="235"/>
      <c r="F616" s="215"/>
      <c r="G616" s="240" t="s">
        <v>444</v>
      </c>
      <c r="H616" s="3"/>
      <c r="I616" s="3"/>
      <c r="J616" s="4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>
      <c r="A617" s="215"/>
      <c r="B617" s="236"/>
      <c r="C617" s="237"/>
      <c r="D617" s="215"/>
      <c r="E617" s="235"/>
      <c r="F617" s="215"/>
      <c r="G617" s="221" t="s">
        <v>435</v>
      </c>
      <c r="H617" s="222" t="s">
        <v>449</v>
      </c>
      <c r="I617" s="222" t="s">
        <v>450</v>
      </c>
      <c r="J617" s="222" t="s">
        <v>389</v>
      </c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>
      <c r="A618" s="215"/>
      <c r="B618" s="236"/>
      <c r="C618" s="237"/>
      <c r="D618" s="215"/>
      <c r="E618" s="235"/>
      <c r="F618" s="215"/>
      <c r="G618" s="241" t="s">
        <v>387</v>
      </c>
      <c r="H618" s="245">
        <f>B33</f>
        <v>0</v>
      </c>
      <c r="I618" s="242">
        <f>IF(AND(H618=0,H619=0),0,IF(AND(H618=0,H619&gt;0),1,(H619-H618)/H618))
</f>
        <v>0</v>
      </c>
      <c r="J618" s="229" t="str">
        <f>OKTOBER!$D$7</f>
        <v/>
      </c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>
      <c r="A619" s="215"/>
      <c r="B619" s="236"/>
      <c r="C619" s="237"/>
      <c r="D619" s="215"/>
      <c r="E619" s="235"/>
      <c r="F619" s="215"/>
      <c r="G619" s="241" t="s">
        <v>451</v>
      </c>
      <c r="H619" s="245">
        <f>C33</f>
        <v>0</v>
      </c>
      <c r="I619" s="7"/>
      <c r="J619" s="229">
        <f>NOVEMBER!$E$7</f>
        <v>70000000</v>
      </c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>
      <c r="A620" s="215"/>
      <c r="B620" s="236"/>
      <c r="C620" s="237"/>
      <c r="D620" s="215"/>
      <c r="E620" s="23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>
      <c r="A621" s="215"/>
      <c r="B621" s="236"/>
      <c r="C621" s="237"/>
      <c r="D621" s="215"/>
      <c r="E621" s="235"/>
      <c r="F621" s="215"/>
      <c r="G621" s="230" t="str">
        <f>LET(
  bulanLalu, G618,
  bulanIni, G619,
  orderLalu, H618,
  orderIni, H619,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621" s="231"/>
      <c r="I621" s="231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>
      <c r="A622" s="215"/>
      <c r="B622" s="236"/>
      <c r="C622" s="237"/>
      <c r="D622" s="215"/>
      <c r="E622" s="23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>
      <c r="A623" s="215"/>
      <c r="B623" s="236"/>
      <c r="C623" s="237"/>
      <c r="D623" s="215"/>
      <c r="E623" s="23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>
      <c r="A624" s="215"/>
      <c r="B624" s="236"/>
      <c r="C624" s="237"/>
      <c r="D624" s="215"/>
      <c r="E624" s="23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>
      <c r="A625" s="215"/>
      <c r="B625" s="236"/>
      <c r="C625" s="237"/>
      <c r="D625" s="215"/>
      <c r="E625" s="23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>
      <c r="A626" s="215"/>
      <c r="B626" s="236"/>
      <c r="C626" s="237"/>
      <c r="D626" s="215"/>
      <c r="E626" s="23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>
      <c r="A627" s="215"/>
      <c r="B627" s="236"/>
      <c r="C627" s="237"/>
      <c r="D627" s="215"/>
      <c r="E627" s="23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>
      <c r="A628" s="215"/>
      <c r="B628" s="236"/>
      <c r="C628" s="237"/>
      <c r="D628" s="215"/>
      <c r="E628" s="23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>
      <c r="A629" s="215"/>
      <c r="B629" s="236"/>
      <c r="C629" s="237"/>
      <c r="D629" s="215"/>
      <c r="E629" s="23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>
      <c r="A630" s="215"/>
      <c r="B630" s="236"/>
      <c r="C630" s="237"/>
      <c r="D630" s="215"/>
      <c r="E630" s="23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>
      <c r="A631" s="215"/>
      <c r="B631" s="236"/>
      <c r="C631" s="237"/>
      <c r="D631" s="215"/>
      <c r="E631" s="23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>
      <c r="A632" s="215"/>
      <c r="B632" s="236"/>
      <c r="C632" s="237"/>
      <c r="D632" s="215"/>
      <c r="E632" s="23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>
      <c r="A633" s="215"/>
      <c r="B633" s="236"/>
      <c r="C633" s="237"/>
      <c r="D633" s="215"/>
      <c r="E633" s="23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>
      <c r="A634" s="215"/>
      <c r="B634" s="236"/>
      <c r="C634" s="237"/>
      <c r="D634" s="215"/>
      <c r="E634" s="23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>
      <c r="A635" s="215"/>
      <c r="B635" s="236"/>
      <c r="C635" s="237"/>
      <c r="D635" s="215"/>
      <c r="E635" s="23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>
      <c r="A636" s="215"/>
      <c r="B636" s="236"/>
      <c r="C636" s="237"/>
      <c r="D636" s="215"/>
      <c r="E636" s="23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>
      <c r="A637" s="215"/>
      <c r="B637" s="236"/>
      <c r="C637" s="237"/>
      <c r="D637" s="215"/>
      <c r="E637" s="23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>
      <c r="A638" s="215"/>
      <c r="B638" s="236"/>
      <c r="C638" s="237"/>
      <c r="D638" s="215"/>
      <c r="E638" s="23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>
      <c r="A639" s="215"/>
      <c r="B639" s="236"/>
      <c r="C639" s="237"/>
      <c r="D639" s="215"/>
      <c r="E639" s="23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>
      <c r="A640" s="215"/>
      <c r="B640" s="236"/>
      <c r="C640" s="237"/>
      <c r="D640" s="215"/>
      <c r="E640" s="235"/>
      <c r="F640" s="215"/>
      <c r="G640" s="216" t="s">
        <v>476</v>
      </c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>
      <c r="A641" s="215"/>
      <c r="B641" s="236"/>
      <c r="C641" s="237"/>
      <c r="D641" s="215"/>
      <c r="E641" s="235"/>
      <c r="F641" s="215"/>
      <c r="G641" s="240" t="s">
        <v>444</v>
      </c>
      <c r="H641" s="3"/>
      <c r="I641" s="3"/>
      <c r="J641" s="4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>
      <c r="A642" s="215"/>
      <c r="B642" s="236"/>
      <c r="C642" s="237"/>
      <c r="D642" s="215"/>
      <c r="E642" s="235"/>
      <c r="F642" s="215"/>
      <c r="G642" s="221" t="s">
        <v>435</v>
      </c>
      <c r="H642" s="222" t="s">
        <v>449</v>
      </c>
      <c r="I642" s="222" t="s">
        <v>450</v>
      </c>
      <c r="J642" s="222" t="s">
        <v>389</v>
      </c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>
      <c r="A643" s="215"/>
      <c r="B643" s="236"/>
      <c r="C643" s="237"/>
      <c r="D643" s="215"/>
      <c r="E643" s="235"/>
      <c r="F643" s="215"/>
      <c r="G643" s="241" t="s">
        <v>387</v>
      </c>
      <c r="H643" s="245">
        <f>B34</f>
        <v>0</v>
      </c>
      <c r="I643" s="242">
        <f>IF(AND(H643=0,H644=0),0,IF(AND(H643=0,H644&gt;0),1,(H644-H643)/H643))
</f>
        <v>0</v>
      </c>
      <c r="J643" s="229" t="str">
        <f>OKTOBER!$D$7</f>
        <v/>
      </c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>
      <c r="A644" s="215"/>
      <c r="B644" s="236"/>
      <c r="C644" s="237"/>
      <c r="D644" s="215"/>
      <c r="E644" s="235"/>
      <c r="F644" s="215"/>
      <c r="G644" s="241" t="s">
        <v>451</v>
      </c>
      <c r="H644" s="245">
        <f>C34</f>
        <v>0</v>
      </c>
      <c r="I644" s="7"/>
      <c r="J644" s="229">
        <f>NOVEMBER!$E$7</f>
        <v>70000000</v>
      </c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>
      <c r="A645" s="215"/>
      <c r="B645" s="236"/>
      <c r="C645" s="237"/>
      <c r="D645" s="215"/>
      <c r="E645" s="23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>
      <c r="A646" s="215"/>
      <c r="B646" s="236"/>
      <c r="C646" s="237"/>
      <c r="D646" s="215"/>
      <c r="E646" s="235"/>
      <c r="F646" s="215"/>
      <c r="G646" s="230" t="str">
        <f>LET(
  bulanLalu, G643,
  bulanIni, G644,
  orderLalu, H643,
  orderIni, H644,
  perubahan, IF(orderLalu=0, 0, (orderIni - orderLalu) / orderLalu),
  IF(
    orderLalu=0,
      IF(
        orderIni=0,
          "Order tetap 0% antara " &amp; bulanLalu &amp; " dan " &amp; bulanIni,
          "Order naik 100% dari " &amp; bulanLalu &amp; " ke " &amp; bulanIni
      ),
    IF(
      orderIni &gt; orderLalu,
      "Order naik " &amp; TEXT(perubahan, "0%") &amp; " dari " &amp; bulanLalu &amp; " ke " &amp; bulanIni,
      IF(
        orderIni &lt; orderLalu,
        "Order turun " &amp; TEXT(ABS(perubahan), "0%") &amp; " dari " &amp; bulanLalu &amp; " ke " &amp; bulanIni,
        "Order tetap 0% antara " &amp; bulanLalu &amp; " dan " &amp; bulanIni
      )
    )
  )
)
</f>
        <v>Order tetap 0% antara NOVEMBER dan DESEMBER</v>
      </c>
      <c r="H646" s="231"/>
      <c r="I646" s="231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>
      <c r="A647" s="215"/>
      <c r="B647" s="236"/>
      <c r="C647" s="237"/>
      <c r="D647" s="215"/>
      <c r="E647" s="23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>
      <c r="A648" s="215"/>
      <c r="B648" s="236"/>
      <c r="C648" s="237"/>
      <c r="D648" s="215"/>
      <c r="E648" s="23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>
      <c r="A649" s="215"/>
      <c r="B649" s="236"/>
      <c r="C649" s="237"/>
      <c r="D649" s="215"/>
      <c r="E649" s="23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>
      <c r="A650" s="215"/>
      <c r="B650" s="236"/>
      <c r="C650" s="237"/>
      <c r="D650" s="215"/>
      <c r="E650" s="23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>
      <c r="A651" s="215"/>
      <c r="B651" s="236"/>
      <c r="C651" s="237"/>
      <c r="D651" s="215"/>
      <c r="E651" s="23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>
      <c r="A652" s="215"/>
      <c r="B652" s="236"/>
      <c r="C652" s="237"/>
      <c r="D652" s="215"/>
      <c r="E652" s="23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>
      <c r="A653" s="215"/>
      <c r="B653" s="236"/>
      <c r="C653" s="237"/>
      <c r="D653" s="215"/>
      <c r="E653" s="23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>
      <c r="A654" s="215"/>
      <c r="B654" s="236"/>
      <c r="C654" s="237"/>
      <c r="D654" s="215"/>
      <c r="E654" s="23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>
      <c r="A655" s="215"/>
      <c r="B655" s="236"/>
      <c r="C655" s="237"/>
      <c r="D655" s="215"/>
      <c r="E655" s="23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>
      <c r="A656" s="215"/>
      <c r="B656" s="236"/>
      <c r="C656" s="237"/>
      <c r="D656" s="215"/>
      <c r="E656" s="23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>
      <c r="A657" s="215"/>
      <c r="B657" s="236"/>
      <c r="C657" s="237"/>
      <c r="D657" s="215"/>
      <c r="E657" s="23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>
      <c r="A658" s="215"/>
      <c r="B658" s="236"/>
      <c r="C658" s="237"/>
      <c r="D658" s="215"/>
      <c r="E658" s="23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>
      <c r="A659" s="215"/>
      <c r="B659" s="236"/>
      <c r="C659" s="237"/>
      <c r="D659" s="215"/>
      <c r="E659" s="23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>
      <c r="A660" s="215"/>
      <c r="B660" s="236"/>
      <c r="C660" s="237"/>
      <c r="D660" s="215"/>
      <c r="E660" s="23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>
      <c r="A661" s="215"/>
      <c r="B661" s="236"/>
      <c r="C661" s="237"/>
      <c r="D661" s="215"/>
      <c r="E661" s="23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>
      <c r="A662" s="215"/>
      <c r="B662" s="236"/>
      <c r="C662" s="237"/>
      <c r="D662" s="215"/>
      <c r="E662" s="23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>
      <c r="A663" s="215"/>
      <c r="B663" s="236"/>
      <c r="C663" s="237"/>
      <c r="D663" s="215"/>
      <c r="E663" s="23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>
      <c r="A664" s="215"/>
      <c r="B664" s="236"/>
      <c r="C664" s="237"/>
      <c r="D664" s="215"/>
      <c r="E664" s="23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>
      <c r="A665" s="215"/>
      <c r="B665" s="236"/>
      <c r="C665" s="237"/>
      <c r="D665" s="215"/>
      <c r="E665" s="235"/>
      <c r="F665" s="234"/>
      <c r="G665" s="243"/>
      <c r="R665" s="234"/>
      <c r="S665" s="234"/>
      <c r="T665" s="215"/>
      <c r="U665" s="215"/>
      <c r="V665" s="215"/>
      <c r="W665" s="215"/>
      <c r="X665" s="215"/>
      <c r="Y665" s="215"/>
      <c r="Z665" s="215"/>
    </row>
    <row r="666">
      <c r="A666" s="215"/>
      <c r="B666" s="236"/>
      <c r="C666" s="237"/>
      <c r="D666" s="215"/>
      <c r="E666" s="235"/>
      <c r="F666" s="234"/>
      <c r="G666" s="246"/>
      <c r="K666" s="234"/>
      <c r="L666" s="234"/>
      <c r="M666" s="234"/>
      <c r="N666" s="234"/>
      <c r="O666" s="234"/>
      <c r="P666" s="234"/>
      <c r="Q666" s="234"/>
      <c r="R666" s="234"/>
      <c r="S666" s="234"/>
      <c r="T666" s="215"/>
      <c r="U666" s="215"/>
      <c r="V666" s="215"/>
      <c r="W666" s="215"/>
      <c r="X666" s="215"/>
      <c r="Y666" s="215"/>
      <c r="Z666" s="215"/>
    </row>
    <row r="667">
      <c r="A667" s="215"/>
      <c r="B667" s="236"/>
      <c r="C667" s="237"/>
      <c r="D667" s="215"/>
      <c r="E667" s="235"/>
      <c r="F667" s="234"/>
      <c r="G667" s="234"/>
      <c r="H667" s="247"/>
      <c r="I667" s="247"/>
      <c r="J667" s="247"/>
      <c r="K667" s="234"/>
      <c r="L667" s="234"/>
      <c r="M667" s="234"/>
      <c r="N667" s="234"/>
      <c r="O667" s="234"/>
      <c r="P667" s="234"/>
      <c r="Q667" s="234"/>
      <c r="R667" s="234"/>
      <c r="S667" s="234"/>
      <c r="T667" s="215"/>
      <c r="U667" s="215"/>
      <c r="V667" s="215"/>
      <c r="W667" s="215"/>
      <c r="X667" s="215"/>
      <c r="Y667" s="215"/>
      <c r="Z667" s="215"/>
    </row>
    <row r="668">
      <c r="A668" s="215"/>
      <c r="B668" s="236"/>
      <c r="C668" s="237"/>
      <c r="D668" s="215"/>
      <c r="E668" s="235"/>
      <c r="F668" s="234"/>
      <c r="G668" s="234"/>
      <c r="H668" s="248"/>
      <c r="I668" s="249"/>
      <c r="J668" s="250"/>
      <c r="K668" s="234"/>
      <c r="L668" s="234"/>
      <c r="M668" s="234"/>
      <c r="N668" s="234"/>
      <c r="O668" s="234"/>
      <c r="P668" s="234"/>
      <c r="Q668" s="234"/>
      <c r="R668" s="234"/>
      <c r="S668" s="234"/>
      <c r="T668" s="215"/>
      <c r="U668" s="215"/>
      <c r="V668" s="215"/>
      <c r="W668" s="215"/>
      <c r="X668" s="215"/>
      <c r="Y668" s="215"/>
      <c r="Z668" s="215"/>
    </row>
    <row r="669">
      <c r="A669" s="215"/>
      <c r="B669" s="236"/>
      <c r="C669" s="237"/>
      <c r="D669" s="215"/>
      <c r="E669" s="235"/>
      <c r="F669" s="234"/>
      <c r="G669" s="234"/>
      <c r="H669" s="248"/>
      <c r="J669" s="250"/>
      <c r="K669" s="234"/>
      <c r="L669" s="234"/>
      <c r="M669" s="234"/>
      <c r="N669" s="234"/>
      <c r="O669" s="234"/>
      <c r="P669" s="234"/>
      <c r="Q669" s="234"/>
      <c r="R669" s="234"/>
      <c r="S669" s="234"/>
      <c r="T669" s="215"/>
      <c r="U669" s="215"/>
      <c r="V669" s="215"/>
      <c r="W669" s="215"/>
      <c r="X669" s="215"/>
      <c r="Y669" s="215"/>
      <c r="Z669" s="215"/>
    </row>
    <row r="670">
      <c r="A670" s="215"/>
      <c r="B670" s="236"/>
      <c r="C670" s="237"/>
      <c r="D670" s="215"/>
      <c r="E670" s="235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15"/>
      <c r="U670" s="215"/>
      <c r="V670" s="215"/>
      <c r="W670" s="215"/>
      <c r="X670" s="215"/>
      <c r="Y670" s="215"/>
      <c r="Z670" s="215"/>
    </row>
    <row r="671">
      <c r="A671" s="215"/>
      <c r="B671" s="236"/>
      <c r="C671" s="237"/>
      <c r="D671" s="215"/>
      <c r="E671" s="235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15"/>
      <c r="U671" s="215"/>
      <c r="V671" s="215"/>
      <c r="W671" s="215"/>
      <c r="X671" s="215"/>
      <c r="Y671" s="215"/>
      <c r="Z671" s="215"/>
    </row>
    <row r="672">
      <c r="A672" s="215"/>
      <c r="B672" s="236"/>
      <c r="C672" s="237"/>
      <c r="D672" s="215"/>
      <c r="E672" s="235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15"/>
      <c r="U672" s="215"/>
      <c r="V672" s="215"/>
      <c r="W672" s="215"/>
      <c r="X672" s="215"/>
      <c r="Y672" s="215"/>
      <c r="Z672" s="215"/>
    </row>
    <row r="673">
      <c r="A673" s="215"/>
      <c r="B673" s="236"/>
      <c r="C673" s="237"/>
      <c r="D673" s="215"/>
      <c r="E673" s="235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15"/>
      <c r="U673" s="215"/>
      <c r="V673" s="215"/>
      <c r="W673" s="215"/>
      <c r="X673" s="215"/>
      <c r="Y673" s="215"/>
      <c r="Z673" s="215"/>
    </row>
    <row r="674">
      <c r="A674" s="215"/>
      <c r="B674" s="236"/>
      <c r="C674" s="237"/>
      <c r="D674" s="215"/>
      <c r="E674" s="235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15"/>
      <c r="U674" s="215"/>
      <c r="V674" s="215"/>
      <c r="W674" s="215"/>
      <c r="X674" s="215"/>
      <c r="Y674" s="215"/>
      <c r="Z674" s="215"/>
    </row>
    <row r="675">
      <c r="A675" s="215"/>
      <c r="B675" s="236"/>
      <c r="C675" s="237"/>
      <c r="D675" s="215"/>
      <c r="E675" s="235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15"/>
      <c r="U675" s="215"/>
      <c r="V675" s="215"/>
      <c r="W675" s="215"/>
      <c r="X675" s="215"/>
      <c r="Y675" s="215"/>
      <c r="Z675" s="215"/>
    </row>
    <row r="676">
      <c r="A676" s="215"/>
      <c r="B676" s="236"/>
      <c r="C676" s="237"/>
      <c r="D676" s="215"/>
      <c r="E676" s="235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15"/>
      <c r="U676" s="215"/>
      <c r="V676" s="215"/>
      <c r="W676" s="215"/>
      <c r="X676" s="215"/>
      <c r="Y676" s="215"/>
      <c r="Z676" s="215"/>
    </row>
    <row r="677">
      <c r="A677" s="215"/>
      <c r="B677" s="236"/>
      <c r="C677" s="237"/>
      <c r="D677" s="215"/>
      <c r="E677" s="235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15"/>
      <c r="U677" s="215"/>
      <c r="V677" s="215"/>
      <c r="W677" s="215"/>
      <c r="X677" s="215"/>
      <c r="Y677" s="215"/>
      <c r="Z677" s="215"/>
    </row>
    <row r="678">
      <c r="A678" s="215"/>
      <c r="B678" s="236"/>
      <c r="C678" s="237"/>
      <c r="D678" s="215"/>
      <c r="E678" s="235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15"/>
      <c r="U678" s="215"/>
      <c r="V678" s="215"/>
      <c r="W678" s="215"/>
      <c r="X678" s="215"/>
      <c r="Y678" s="215"/>
      <c r="Z678" s="215"/>
    </row>
    <row r="679">
      <c r="A679" s="215"/>
      <c r="B679" s="236"/>
      <c r="C679" s="237"/>
      <c r="D679" s="215"/>
      <c r="E679" s="235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15"/>
      <c r="U679" s="215"/>
      <c r="V679" s="215"/>
      <c r="W679" s="215"/>
      <c r="X679" s="215"/>
      <c r="Y679" s="215"/>
      <c r="Z679" s="215"/>
    </row>
    <row r="680">
      <c r="A680" s="215"/>
      <c r="B680" s="236"/>
      <c r="C680" s="237"/>
      <c r="D680" s="215"/>
      <c r="E680" s="235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15"/>
      <c r="U680" s="215"/>
      <c r="V680" s="215"/>
      <c r="W680" s="215"/>
      <c r="X680" s="215"/>
      <c r="Y680" s="215"/>
      <c r="Z680" s="215"/>
    </row>
    <row r="681">
      <c r="A681" s="215"/>
      <c r="B681" s="236"/>
      <c r="C681" s="237"/>
      <c r="D681" s="215"/>
      <c r="E681" s="235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15"/>
      <c r="U681" s="215"/>
      <c r="V681" s="215"/>
      <c r="W681" s="215"/>
      <c r="X681" s="215"/>
      <c r="Y681" s="215"/>
      <c r="Z681" s="215"/>
    </row>
    <row r="682">
      <c r="A682" s="215"/>
      <c r="B682" s="236"/>
      <c r="C682" s="237"/>
      <c r="D682" s="215"/>
      <c r="E682" s="235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15"/>
      <c r="U682" s="215"/>
      <c r="V682" s="215"/>
      <c r="W682" s="215"/>
      <c r="X682" s="215"/>
      <c r="Y682" s="215"/>
      <c r="Z682" s="215"/>
    </row>
    <row r="683">
      <c r="A683" s="215"/>
      <c r="B683" s="236"/>
      <c r="C683" s="237"/>
      <c r="D683" s="215"/>
      <c r="E683" s="235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15"/>
      <c r="U683" s="215"/>
      <c r="V683" s="215"/>
      <c r="W683" s="215"/>
      <c r="X683" s="215"/>
      <c r="Y683" s="215"/>
      <c r="Z683" s="215"/>
    </row>
    <row r="684">
      <c r="A684" s="215"/>
      <c r="B684" s="236"/>
      <c r="C684" s="237"/>
      <c r="D684" s="215"/>
      <c r="E684" s="235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15"/>
      <c r="U684" s="215"/>
      <c r="V684" s="215"/>
      <c r="W684" s="215"/>
      <c r="X684" s="215"/>
      <c r="Y684" s="215"/>
      <c r="Z684" s="215"/>
    </row>
    <row r="685">
      <c r="A685" s="215"/>
      <c r="B685" s="236"/>
      <c r="C685" s="237"/>
      <c r="D685" s="215"/>
      <c r="E685" s="235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15"/>
      <c r="U685" s="215"/>
      <c r="V685" s="215"/>
      <c r="W685" s="215"/>
      <c r="X685" s="215"/>
      <c r="Y685" s="215"/>
      <c r="Z685" s="215"/>
    </row>
    <row r="686">
      <c r="A686" s="215"/>
      <c r="B686" s="236"/>
      <c r="C686" s="237"/>
      <c r="D686" s="215"/>
      <c r="E686" s="235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15"/>
      <c r="U686" s="215"/>
      <c r="V686" s="215"/>
      <c r="W686" s="215"/>
      <c r="X686" s="215"/>
      <c r="Y686" s="215"/>
      <c r="Z686" s="215"/>
    </row>
    <row r="687">
      <c r="A687" s="215"/>
      <c r="B687" s="236"/>
      <c r="C687" s="237"/>
      <c r="D687" s="215"/>
      <c r="E687" s="235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15"/>
      <c r="U687" s="215"/>
      <c r="V687" s="215"/>
      <c r="W687" s="215"/>
      <c r="X687" s="215"/>
      <c r="Y687" s="215"/>
      <c r="Z687" s="215"/>
    </row>
    <row r="688">
      <c r="A688" s="215"/>
      <c r="B688" s="236"/>
      <c r="C688" s="237"/>
      <c r="D688" s="215"/>
      <c r="E688" s="235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15"/>
      <c r="U688" s="215"/>
      <c r="V688" s="215"/>
      <c r="W688" s="215"/>
      <c r="X688" s="215"/>
      <c r="Y688" s="215"/>
      <c r="Z688" s="215"/>
    </row>
    <row r="689">
      <c r="A689" s="215"/>
      <c r="B689" s="236"/>
      <c r="C689" s="237"/>
      <c r="D689" s="215"/>
      <c r="E689" s="235"/>
      <c r="F689" s="234"/>
      <c r="G689" s="243"/>
      <c r="R689" s="234"/>
      <c r="S689" s="234"/>
      <c r="T689" s="215"/>
      <c r="U689" s="215"/>
      <c r="V689" s="215"/>
      <c r="W689" s="215"/>
      <c r="X689" s="215"/>
      <c r="Y689" s="215"/>
      <c r="Z689" s="215"/>
    </row>
    <row r="690">
      <c r="A690" s="215"/>
      <c r="B690" s="236"/>
      <c r="C690" s="237"/>
      <c r="D690" s="215"/>
      <c r="E690" s="235"/>
      <c r="F690" s="234"/>
      <c r="G690" s="246"/>
      <c r="K690" s="234"/>
      <c r="L690" s="234"/>
      <c r="M690" s="234"/>
      <c r="N690" s="234"/>
      <c r="O690" s="234"/>
      <c r="P690" s="234"/>
      <c r="Q690" s="234"/>
      <c r="R690" s="234"/>
      <c r="S690" s="234"/>
      <c r="T690" s="215"/>
      <c r="U690" s="215"/>
      <c r="V690" s="215"/>
      <c r="W690" s="215"/>
      <c r="X690" s="215"/>
      <c r="Y690" s="215"/>
      <c r="Z690" s="215"/>
    </row>
    <row r="691">
      <c r="A691" s="215"/>
      <c r="B691" s="236"/>
      <c r="C691" s="237"/>
      <c r="D691" s="215"/>
      <c r="E691" s="235"/>
      <c r="F691" s="234"/>
      <c r="G691" s="234"/>
      <c r="H691" s="247"/>
      <c r="I691" s="247"/>
      <c r="J691" s="247"/>
      <c r="K691" s="234"/>
      <c r="L691" s="234"/>
      <c r="M691" s="234"/>
      <c r="N691" s="234"/>
      <c r="O691" s="234"/>
      <c r="P691" s="234"/>
      <c r="Q691" s="234"/>
      <c r="R691" s="234"/>
      <c r="S691" s="234"/>
      <c r="T691" s="215"/>
      <c r="U691" s="215"/>
      <c r="V691" s="215"/>
      <c r="W691" s="215"/>
      <c r="X691" s="215"/>
      <c r="Y691" s="215"/>
      <c r="Z691" s="215"/>
    </row>
    <row r="692">
      <c r="A692" s="215"/>
      <c r="B692" s="236"/>
      <c r="C692" s="237"/>
      <c r="D692" s="215"/>
      <c r="E692" s="235"/>
      <c r="F692" s="234"/>
      <c r="G692" s="234"/>
      <c r="H692" s="248"/>
      <c r="I692" s="249"/>
      <c r="J692" s="250"/>
      <c r="K692" s="234"/>
      <c r="L692" s="234"/>
      <c r="M692" s="234"/>
      <c r="N692" s="234"/>
      <c r="O692" s="234"/>
      <c r="P692" s="234"/>
      <c r="Q692" s="234"/>
      <c r="R692" s="234"/>
      <c r="S692" s="234"/>
      <c r="T692" s="215"/>
      <c r="U692" s="215"/>
      <c r="V692" s="215"/>
      <c r="W692" s="215"/>
      <c r="X692" s="215"/>
      <c r="Y692" s="215"/>
      <c r="Z692" s="215"/>
    </row>
    <row r="693">
      <c r="A693" s="215"/>
      <c r="B693" s="236"/>
      <c r="C693" s="237"/>
      <c r="D693" s="215"/>
      <c r="E693" s="235"/>
      <c r="F693" s="234"/>
      <c r="G693" s="234"/>
      <c r="H693" s="248"/>
      <c r="J693" s="250"/>
      <c r="K693" s="234"/>
      <c r="L693" s="234"/>
      <c r="M693" s="234"/>
      <c r="N693" s="234"/>
      <c r="O693" s="234"/>
      <c r="P693" s="234"/>
      <c r="Q693" s="234"/>
      <c r="R693" s="234"/>
      <c r="S693" s="234"/>
      <c r="T693" s="215"/>
      <c r="U693" s="215"/>
      <c r="V693" s="215"/>
      <c r="W693" s="215"/>
      <c r="X693" s="215"/>
      <c r="Y693" s="215"/>
      <c r="Z693" s="215"/>
    </row>
    <row r="694">
      <c r="A694" s="215"/>
      <c r="B694" s="236"/>
      <c r="C694" s="237"/>
      <c r="D694" s="215"/>
      <c r="E694" s="235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15"/>
      <c r="U694" s="215"/>
      <c r="V694" s="215"/>
      <c r="W694" s="215"/>
      <c r="X694" s="215"/>
      <c r="Y694" s="215"/>
      <c r="Z694" s="215"/>
    </row>
    <row r="695">
      <c r="A695" s="215"/>
      <c r="B695" s="236"/>
      <c r="C695" s="237"/>
      <c r="D695" s="215"/>
      <c r="E695" s="235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15"/>
      <c r="U695" s="215"/>
      <c r="V695" s="215"/>
      <c r="W695" s="215"/>
      <c r="X695" s="215"/>
      <c r="Y695" s="215"/>
      <c r="Z695" s="215"/>
    </row>
    <row r="696">
      <c r="A696" s="215"/>
      <c r="B696" s="236"/>
      <c r="C696" s="237"/>
      <c r="D696" s="215"/>
      <c r="E696" s="235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15"/>
      <c r="U696" s="215"/>
      <c r="V696" s="215"/>
      <c r="W696" s="215"/>
      <c r="X696" s="215"/>
      <c r="Y696" s="215"/>
      <c r="Z696" s="215"/>
    </row>
    <row r="697">
      <c r="A697" s="215"/>
      <c r="B697" s="236"/>
      <c r="C697" s="237"/>
      <c r="D697" s="215"/>
      <c r="E697" s="235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15"/>
      <c r="U697" s="215"/>
      <c r="V697" s="215"/>
      <c r="W697" s="215"/>
      <c r="X697" s="215"/>
      <c r="Y697" s="215"/>
      <c r="Z697" s="215"/>
    </row>
    <row r="698">
      <c r="A698" s="215"/>
      <c r="B698" s="236"/>
      <c r="C698" s="237"/>
      <c r="D698" s="215"/>
      <c r="E698" s="235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15"/>
      <c r="U698" s="215"/>
      <c r="V698" s="215"/>
      <c r="W698" s="215"/>
      <c r="X698" s="215"/>
      <c r="Y698" s="215"/>
      <c r="Z698" s="215"/>
    </row>
    <row r="699">
      <c r="A699" s="215"/>
      <c r="B699" s="236"/>
      <c r="C699" s="237"/>
      <c r="D699" s="215"/>
      <c r="E699" s="235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15"/>
      <c r="U699" s="215"/>
      <c r="V699" s="215"/>
      <c r="W699" s="215"/>
      <c r="X699" s="215"/>
      <c r="Y699" s="215"/>
      <c r="Z699" s="215"/>
    </row>
    <row r="700">
      <c r="A700" s="215"/>
      <c r="B700" s="236"/>
      <c r="C700" s="237"/>
      <c r="D700" s="215"/>
      <c r="E700" s="235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15"/>
      <c r="U700" s="215"/>
      <c r="V700" s="215"/>
      <c r="W700" s="215"/>
      <c r="X700" s="215"/>
      <c r="Y700" s="215"/>
      <c r="Z700" s="215"/>
    </row>
    <row r="701">
      <c r="A701" s="215"/>
      <c r="B701" s="236"/>
      <c r="C701" s="237"/>
      <c r="D701" s="215"/>
      <c r="E701" s="235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15"/>
      <c r="U701" s="215"/>
      <c r="V701" s="215"/>
      <c r="W701" s="215"/>
      <c r="X701" s="215"/>
      <c r="Y701" s="215"/>
      <c r="Z701" s="215"/>
    </row>
    <row r="702">
      <c r="A702" s="215"/>
      <c r="B702" s="236"/>
      <c r="C702" s="237"/>
      <c r="D702" s="215"/>
      <c r="E702" s="235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15"/>
      <c r="U702" s="215"/>
      <c r="V702" s="215"/>
      <c r="W702" s="215"/>
      <c r="X702" s="215"/>
      <c r="Y702" s="215"/>
      <c r="Z702" s="215"/>
    </row>
    <row r="703">
      <c r="A703" s="215"/>
      <c r="B703" s="236"/>
      <c r="C703" s="237"/>
      <c r="D703" s="215"/>
      <c r="E703" s="235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15"/>
      <c r="U703" s="215"/>
      <c r="V703" s="215"/>
      <c r="W703" s="215"/>
      <c r="X703" s="215"/>
      <c r="Y703" s="215"/>
      <c r="Z703" s="215"/>
    </row>
    <row r="704">
      <c r="A704" s="215"/>
      <c r="B704" s="236"/>
      <c r="C704" s="237"/>
      <c r="D704" s="215"/>
      <c r="E704" s="235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15"/>
      <c r="U704" s="215"/>
      <c r="V704" s="215"/>
      <c r="W704" s="215"/>
      <c r="X704" s="215"/>
      <c r="Y704" s="215"/>
      <c r="Z704" s="215"/>
    </row>
    <row r="705">
      <c r="A705" s="215"/>
      <c r="B705" s="236"/>
      <c r="C705" s="237"/>
      <c r="D705" s="215"/>
      <c r="E705" s="235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15"/>
      <c r="U705" s="215"/>
      <c r="V705" s="215"/>
      <c r="W705" s="215"/>
      <c r="X705" s="215"/>
      <c r="Y705" s="215"/>
      <c r="Z705" s="215"/>
    </row>
    <row r="706">
      <c r="A706" s="215"/>
      <c r="B706" s="236"/>
      <c r="C706" s="237"/>
      <c r="D706" s="215"/>
      <c r="E706" s="235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15"/>
      <c r="U706" s="215"/>
      <c r="V706" s="215"/>
      <c r="W706" s="215"/>
      <c r="X706" s="215"/>
      <c r="Y706" s="215"/>
      <c r="Z706" s="215"/>
    </row>
    <row r="707">
      <c r="A707" s="215"/>
      <c r="B707" s="236"/>
      <c r="C707" s="237"/>
      <c r="D707" s="215"/>
      <c r="E707" s="235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15"/>
      <c r="U707" s="215"/>
      <c r="V707" s="215"/>
      <c r="W707" s="215"/>
      <c r="X707" s="215"/>
      <c r="Y707" s="215"/>
      <c r="Z707" s="215"/>
    </row>
    <row r="708">
      <c r="A708" s="215"/>
      <c r="B708" s="236"/>
      <c r="C708" s="237"/>
      <c r="D708" s="215"/>
      <c r="E708" s="235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15"/>
      <c r="U708" s="215"/>
      <c r="V708" s="215"/>
      <c r="W708" s="215"/>
      <c r="X708" s="215"/>
      <c r="Y708" s="215"/>
      <c r="Z708" s="215"/>
    </row>
    <row r="709">
      <c r="A709" s="215"/>
      <c r="B709" s="236"/>
      <c r="C709" s="237"/>
      <c r="D709" s="215"/>
      <c r="E709" s="235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15"/>
      <c r="U709" s="215"/>
      <c r="V709" s="215"/>
      <c r="W709" s="215"/>
      <c r="X709" s="215"/>
      <c r="Y709" s="215"/>
      <c r="Z709" s="215"/>
    </row>
    <row r="710">
      <c r="A710" s="215"/>
      <c r="B710" s="236"/>
      <c r="C710" s="237"/>
      <c r="D710" s="215"/>
      <c r="E710" s="235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15"/>
      <c r="U710" s="215"/>
      <c r="V710" s="215"/>
      <c r="W710" s="215"/>
      <c r="X710" s="215"/>
      <c r="Y710" s="215"/>
      <c r="Z710" s="215"/>
    </row>
    <row r="711">
      <c r="A711" s="215"/>
      <c r="B711" s="236"/>
      <c r="C711" s="237"/>
      <c r="D711" s="215"/>
      <c r="E711" s="235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15"/>
      <c r="U711" s="215"/>
      <c r="V711" s="215"/>
      <c r="W711" s="215"/>
      <c r="X711" s="215"/>
      <c r="Y711" s="215"/>
      <c r="Z711" s="215"/>
    </row>
    <row r="712">
      <c r="A712" s="215"/>
      <c r="B712" s="236"/>
      <c r="C712" s="237"/>
      <c r="D712" s="215"/>
      <c r="E712" s="235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15"/>
      <c r="U712" s="215"/>
      <c r="V712" s="215"/>
      <c r="W712" s="215"/>
      <c r="X712" s="215"/>
      <c r="Y712" s="215"/>
      <c r="Z712" s="215"/>
    </row>
    <row r="713">
      <c r="A713" s="215"/>
      <c r="B713" s="236"/>
      <c r="C713" s="237"/>
      <c r="D713" s="215"/>
      <c r="E713" s="235"/>
      <c r="F713" s="234"/>
      <c r="G713" s="243"/>
      <c r="R713" s="234"/>
      <c r="S713" s="234"/>
      <c r="T713" s="215"/>
      <c r="U713" s="215"/>
      <c r="V713" s="215"/>
      <c r="W713" s="215"/>
      <c r="X713" s="215"/>
      <c r="Y713" s="215"/>
      <c r="Z713" s="215"/>
    </row>
    <row r="714">
      <c r="A714" s="215"/>
      <c r="B714" s="236"/>
      <c r="C714" s="237"/>
      <c r="D714" s="215"/>
      <c r="E714" s="235"/>
      <c r="F714" s="234"/>
      <c r="G714" s="246"/>
      <c r="K714" s="234"/>
      <c r="L714" s="234"/>
      <c r="M714" s="234"/>
      <c r="N714" s="234"/>
      <c r="O714" s="234"/>
      <c r="P714" s="234"/>
      <c r="Q714" s="234"/>
      <c r="R714" s="234"/>
      <c r="S714" s="234"/>
      <c r="T714" s="215"/>
      <c r="U714" s="215"/>
      <c r="V714" s="215"/>
      <c r="W714" s="215"/>
      <c r="X714" s="215"/>
      <c r="Y714" s="215"/>
      <c r="Z714" s="215"/>
    </row>
    <row r="715">
      <c r="A715" s="215"/>
      <c r="B715" s="236"/>
      <c r="C715" s="237"/>
      <c r="D715" s="215"/>
      <c r="E715" s="235"/>
      <c r="F715" s="234"/>
      <c r="G715" s="234"/>
      <c r="H715" s="247"/>
      <c r="I715" s="247"/>
      <c r="J715" s="247"/>
      <c r="K715" s="234"/>
      <c r="L715" s="234"/>
      <c r="M715" s="234"/>
      <c r="N715" s="234"/>
      <c r="O715" s="234"/>
      <c r="P715" s="234"/>
      <c r="Q715" s="234"/>
      <c r="R715" s="234"/>
      <c r="S715" s="234"/>
      <c r="T715" s="215"/>
      <c r="U715" s="215"/>
      <c r="V715" s="215"/>
      <c r="W715" s="215"/>
      <c r="X715" s="215"/>
      <c r="Y715" s="215"/>
      <c r="Z715" s="215"/>
    </row>
    <row r="716">
      <c r="A716" s="215"/>
      <c r="B716" s="236"/>
      <c r="C716" s="237"/>
      <c r="D716" s="215"/>
      <c r="E716" s="235"/>
      <c r="F716" s="234"/>
      <c r="G716" s="234"/>
      <c r="H716" s="248"/>
      <c r="I716" s="249"/>
      <c r="J716" s="250"/>
      <c r="K716" s="234"/>
      <c r="L716" s="234"/>
      <c r="M716" s="234"/>
      <c r="N716" s="234"/>
      <c r="O716" s="234"/>
      <c r="P716" s="234"/>
      <c r="Q716" s="234"/>
      <c r="R716" s="234"/>
      <c r="S716" s="234"/>
      <c r="T716" s="215"/>
      <c r="U716" s="215"/>
      <c r="V716" s="215"/>
      <c r="W716" s="215"/>
      <c r="X716" s="215"/>
      <c r="Y716" s="215"/>
      <c r="Z716" s="215"/>
    </row>
    <row r="717">
      <c r="A717" s="215"/>
      <c r="B717" s="236"/>
      <c r="C717" s="237"/>
      <c r="D717" s="215"/>
      <c r="E717" s="235"/>
      <c r="F717" s="234"/>
      <c r="G717" s="234"/>
      <c r="H717" s="248"/>
      <c r="J717" s="250"/>
      <c r="K717" s="234"/>
      <c r="L717" s="234"/>
      <c r="M717" s="234"/>
      <c r="N717" s="234"/>
      <c r="O717" s="234"/>
      <c r="P717" s="234"/>
      <c r="Q717" s="234"/>
      <c r="R717" s="234"/>
      <c r="S717" s="234"/>
      <c r="T717" s="215"/>
      <c r="U717" s="215"/>
      <c r="V717" s="215"/>
      <c r="W717" s="215"/>
      <c r="X717" s="215"/>
      <c r="Y717" s="215"/>
      <c r="Z717" s="215"/>
    </row>
    <row r="718">
      <c r="A718" s="215"/>
      <c r="B718" s="236"/>
      <c r="C718" s="237"/>
      <c r="D718" s="215"/>
      <c r="E718" s="235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15"/>
      <c r="U718" s="215"/>
      <c r="V718" s="215"/>
      <c r="W718" s="215"/>
      <c r="X718" s="215"/>
      <c r="Y718" s="215"/>
      <c r="Z718" s="215"/>
    </row>
    <row r="719">
      <c r="A719" s="215"/>
      <c r="B719" s="236"/>
      <c r="C719" s="237"/>
      <c r="D719" s="215"/>
      <c r="E719" s="235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15"/>
      <c r="U719" s="215"/>
      <c r="V719" s="215"/>
      <c r="W719" s="215"/>
      <c r="X719" s="215"/>
      <c r="Y719" s="215"/>
      <c r="Z719" s="215"/>
    </row>
    <row r="720">
      <c r="A720" s="215"/>
      <c r="B720" s="236"/>
      <c r="C720" s="237"/>
      <c r="D720" s="215"/>
      <c r="E720" s="235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15"/>
      <c r="U720" s="215"/>
      <c r="V720" s="215"/>
      <c r="W720" s="215"/>
      <c r="X720" s="215"/>
      <c r="Y720" s="215"/>
      <c r="Z720" s="215"/>
    </row>
    <row r="721">
      <c r="A721" s="215"/>
      <c r="B721" s="236"/>
      <c r="C721" s="237"/>
      <c r="D721" s="215"/>
      <c r="E721" s="235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15"/>
      <c r="U721" s="215"/>
      <c r="V721" s="215"/>
      <c r="W721" s="215"/>
      <c r="X721" s="215"/>
      <c r="Y721" s="215"/>
      <c r="Z721" s="215"/>
    </row>
    <row r="722">
      <c r="A722" s="215"/>
      <c r="B722" s="236"/>
      <c r="C722" s="237"/>
      <c r="D722" s="215"/>
      <c r="E722" s="235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15"/>
      <c r="U722" s="215"/>
      <c r="V722" s="215"/>
      <c r="W722" s="215"/>
      <c r="X722" s="215"/>
      <c r="Y722" s="215"/>
      <c r="Z722" s="215"/>
    </row>
    <row r="723">
      <c r="A723" s="215"/>
      <c r="B723" s="236"/>
      <c r="C723" s="237"/>
      <c r="D723" s="215"/>
      <c r="E723" s="235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15"/>
      <c r="U723" s="215"/>
      <c r="V723" s="215"/>
      <c r="W723" s="215"/>
      <c r="X723" s="215"/>
      <c r="Y723" s="215"/>
      <c r="Z723" s="215"/>
    </row>
    <row r="724">
      <c r="A724" s="215"/>
      <c r="B724" s="236"/>
      <c r="C724" s="237"/>
      <c r="D724" s="215"/>
      <c r="E724" s="235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15"/>
      <c r="U724" s="215"/>
      <c r="V724" s="215"/>
      <c r="W724" s="215"/>
      <c r="X724" s="215"/>
      <c r="Y724" s="215"/>
      <c r="Z724" s="215"/>
    </row>
    <row r="725">
      <c r="A725" s="215"/>
      <c r="B725" s="236"/>
      <c r="C725" s="237"/>
      <c r="D725" s="215"/>
      <c r="E725" s="235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15"/>
      <c r="U725" s="215"/>
      <c r="V725" s="215"/>
      <c r="W725" s="215"/>
      <c r="X725" s="215"/>
      <c r="Y725" s="215"/>
      <c r="Z725" s="215"/>
    </row>
    <row r="726">
      <c r="A726" s="215"/>
      <c r="B726" s="236"/>
      <c r="C726" s="237"/>
      <c r="D726" s="215"/>
      <c r="E726" s="235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15"/>
      <c r="U726" s="215"/>
      <c r="V726" s="215"/>
      <c r="W726" s="215"/>
      <c r="X726" s="215"/>
      <c r="Y726" s="215"/>
      <c r="Z726" s="215"/>
    </row>
    <row r="727">
      <c r="A727" s="215"/>
      <c r="B727" s="236"/>
      <c r="C727" s="237"/>
      <c r="D727" s="215"/>
      <c r="E727" s="235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15"/>
      <c r="U727" s="215"/>
      <c r="V727" s="215"/>
      <c r="W727" s="215"/>
      <c r="X727" s="215"/>
      <c r="Y727" s="215"/>
      <c r="Z727" s="215"/>
    </row>
    <row r="728">
      <c r="A728" s="215"/>
      <c r="B728" s="236"/>
      <c r="C728" s="237"/>
      <c r="D728" s="215"/>
      <c r="E728" s="235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15"/>
      <c r="U728" s="215"/>
      <c r="V728" s="215"/>
      <c r="W728" s="215"/>
      <c r="X728" s="215"/>
      <c r="Y728" s="215"/>
      <c r="Z728" s="215"/>
    </row>
    <row r="729">
      <c r="A729" s="215"/>
      <c r="B729" s="236"/>
      <c r="C729" s="237"/>
      <c r="D729" s="215"/>
      <c r="E729" s="235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15"/>
      <c r="U729" s="215"/>
      <c r="V729" s="215"/>
      <c r="W729" s="215"/>
      <c r="X729" s="215"/>
      <c r="Y729" s="215"/>
      <c r="Z729" s="215"/>
    </row>
    <row r="730">
      <c r="A730" s="215"/>
      <c r="B730" s="236"/>
      <c r="C730" s="237"/>
      <c r="D730" s="215"/>
      <c r="E730" s="235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15"/>
      <c r="U730" s="215"/>
      <c r="V730" s="215"/>
      <c r="W730" s="215"/>
      <c r="X730" s="215"/>
      <c r="Y730" s="215"/>
      <c r="Z730" s="215"/>
    </row>
    <row r="731">
      <c r="A731" s="215"/>
      <c r="B731" s="236"/>
      <c r="C731" s="237"/>
      <c r="D731" s="215"/>
      <c r="E731" s="235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15"/>
      <c r="U731" s="215"/>
      <c r="V731" s="215"/>
      <c r="W731" s="215"/>
      <c r="X731" s="215"/>
      <c r="Y731" s="215"/>
      <c r="Z731" s="215"/>
    </row>
    <row r="732">
      <c r="A732" s="215"/>
      <c r="B732" s="236"/>
      <c r="C732" s="237"/>
      <c r="D732" s="215"/>
      <c r="E732" s="235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15"/>
      <c r="U732" s="215"/>
      <c r="V732" s="215"/>
      <c r="W732" s="215"/>
      <c r="X732" s="215"/>
      <c r="Y732" s="215"/>
      <c r="Z732" s="215"/>
    </row>
    <row r="733">
      <c r="A733" s="215"/>
      <c r="B733" s="236"/>
      <c r="C733" s="237"/>
      <c r="D733" s="215"/>
      <c r="E733" s="235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15"/>
      <c r="U733" s="215"/>
      <c r="V733" s="215"/>
      <c r="W733" s="215"/>
      <c r="X733" s="215"/>
      <c r="Y733" s="215"/>
      <c r="Z733" s="215"/>
    </row>
    <row r="734">
      <c r="A734" s="215"/>
      <c r="B734" s="236"/>
      <c r="C734" s="237"/>
      <c r="D734" s="215"/>
      <c r="E734" s="235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15"/>
      <c r="U734" s="215"/>
      <c r="V734" s="215"/>
      <c r="W734" s="215"/>
      <c r="X734" s="215"/>
      <c r="Y734" s="215"/>
      <c r="Z734" s="215"/>
    </row>
    <row r="735">
      <c r="A735" s="215"/>
      <c r="B735" s="236"/>
      <c r="C735" s="237"/>
      <c r="D735" s="215"/>
      <c r="E735" s="235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15"/>
      <c r="U735" s="215"/>
      <c r="V735" s="215"/>
      <c r="W735" s="215"/>
      <c r="X735" s="215"/>
      <c r="Y735" s="215"/>
      <c r="Z735" s="215"/>
    </row>
    <row r="736">
      <c r="A736" s="215"/>
      <c r="B736" s="236"/>
      <c r="C736" s="237"/>
      <c r="D736" s="215"/>
      <c r="E736" s="235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15"/>
      <c r="U736" s="215"/>
      <c r="V736" s="215"/>
      <c r="W736" s="215"/>
      <c r="X736" s="215"/>
      <c r="Y736" s="215"/>
      <c r="Z736" s="215"/>
    </row>
    <row r="737">
      <c r="A737" s="215"/>
      <c r="B737" s="236"/>
      <c r="C737" s="237"/>
      <c r="D737" s="215"/>
      <c r="E737" s="235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15"/>
      <c r="U737" s="215"/>
      <c r="V737" s="215"/>
      <c r="W737" s="215"/>
      <c r="X737" s="215"/>
      <c r="Y737" s="215"/>
      <c r="Z737" s="215"/>
    </row>
    <row r="738">
      <c r="A738" s="215"/>
      <c r="B738" s="236"/>
      <c r="C738" s="237"/>
      <c r="D738" s="215"/>
      <c r="E738" s="235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15"/>
      <c r="U738" s="215"/>
      <c r="V738" s="215"/>
      <c r="W738" s="215"/>
      <c r="X738" s="215"/>
      <c r="Y738" s="215"/>
      <c r="Z738" s="215"/>
    </row>
    <row r="739">
      <c r="A739" s="215"/>
      <c r="B739" s="236"/>
      <c r="C739" s="237"/>
      <c r="D739" s="215"/>
      <c r="E739" s="235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15"/>
      <c r="U739" s="215"/>
      <c r="V739" s="215"/>
      <c r="W739" s="215"/>
      <c r="X739" s="215"/>
      <c r="Y739" s="215"/>
      <c r="Z739" s="215"/>
    </row>
    <row r="740">
      <c r="A740" s="215"/>
      <c r="B740" s="236"/>
      <c r="C740" s="237"/>
      <c r="D740" s="215"/>
      <c r="E740" s="23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>
      <c r="A741" s="215"/>
      <c r="B741" s="236"/>
      <c r="C741" s="237"/>
      <c r="D741" s="215"/>
      <c r="E741" s="23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>
      <c r="A742" s="215"/>
      <c r="B742" s="236"/>
      <c r="C742" s="237"/>
      <c r="D742" s="215"/>
      <c r="E742" s="23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>
      <c r="A743" s="215"/>
      <c r="B743" s="236"/>
      <c r="C743" s="237"/>
      <c r="D743" s="215"/>
      <c r="E743" s="23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>
      <c r="A744" s="215"/>
      <c r="B744" s="236"/>
      <c r="C744" s="237"/>
      <c r="D744" s="215"/>
      <c r="E744" s="23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>
      <c r="A745" s="215"/>
      <c r="B745" s="236"/>
      <c r="C745" s="237"/>
      <c r="D745" s="215"/>
      <c r="E745" s="23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>
      <c r="A746" s="215"/>
      <c r="B746" s="236"/>
      <c r="C746" s="237"/>
      <c r="D746" s="215"/>
      <c r="E746" s="23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>
      <c r="A747" s="215"/>
      <c r="B747" s="236"/>
      <c r="C747" s="237"/>
      <c r="D747" s="215"/>
      <c r="E747" s="23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>
      <c r="A748" s="215"/>
      <c r="B748" s="236"/>
      <c r="C748" s="237"/>
      <c r="D748" s="215"/>
      <c r="E748" s="23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>
      <c r="A749" s="215"/>
      <c r="B749" s="236"/>
      <c r="C749" s="237"/>
      <c r="D749" s="215"/>
      <c r="E749" s="23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>
      <c r="A750" s="215"/>
      <c r="B750" s="236"/>
      <c r="C750" s="237"/>
      <c r="D750" s="215"/>
      <c r="E750" s="23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>
      <c r="A751" s="215"/>
      <c r="B751" s="236"/>
      <c r="C751" s="237"/>
      <c r="D751" s="215"/>
      <c r="E751" s="23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>
      <c r="A752" s="215"/>
      <c r="B752" s="236"/>
      <c r="C752" s="237"/>
      <c r="D752" s="215"/>
      <c r="E752" s="23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>
      <c r="A753" s="215"/>
      <c r="B753" s="236"/>
      <c r="C753" s="237"/>
      <c r="D753" s="215"/>
      <c r="E753" s="23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>
      <c r="A754" s="215"/>
      <c r="B754" s="236"/>
      <c r="C754" s="237"/>
      <c r="D754" s="215"/>
      <c r="E754" s="23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>
      <c r="A755" s="215"/>
      <c r="B755" s="236"/>
      <c r="C755" s="237"/>
      <c r="D755" s="215"/>
      <c r="E755" s="23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>
      <c r="A756" s="215"/>
      <c r="B756" s="236"/>
      <c r="C756" s="237"/>
      <c r="D756" s="215"/>
      <c r="E756" s="23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>
      <c r="A757" s="215"/>
      <c r="B757" s="236"/>
      <c r="C757" s="237"/>
      <c r="D757" s="215"/>
      <c r="E757" s="23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>
      <c r="A758" s="215"/>
      <c r="B758" s="236"/>
      <c r="C758" s="237"/>
      <c r="D758" s="215"/>
      <c r="E758" s="23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>
      <c r="A759" s="215"/>
      <c r="B759" s="236"/>
      <c r="C759" s="237"/>
      <c r="D759" s="215"/>
      <c r="E759" s="23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>
      <c r="A760" s="215"/>
      <c r="B760" s="236"/>
      <c r="C760" s="237"/>
      <c r="D760" s="215"/>
      <c r="E760" s="23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>
      <c r="A761" s="215"/>
      <c r="B761" s="236"/>
      <c r="C761" s="237"/>
      <c r="D761" s="215"/>
      <c r="E761" s="23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>
      <c r="A762" s="215"/>
      <c r="B762" s="236"/>
      <c r="C762" s="237"/>
      <c r="D762" s="215"/>
      <c r="E762" s="23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>
      <c r="A763" s="215"/>
      <c r="B763" s="236"/>
      <c r="C763" s="237"/>
      <c r="D763" s="215"/>
      <c r="E763" s="23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>
      <c r="A764" s="215"/>
      <c r="B764" s="236"/>
      <c r="C764" s="237"/>
      <c r="D764" s="215"/>
      <c r="E764" s="23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>
      <c r="A765" s="215"/>
      <c r="B765" s="236"/>
      <c r="C765" s="237"/>
      <c r="D765" s="215"/>
      <c r="E765" s="23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>
      <c r="A766" s="215"/>
      <c r="B766" s="236"/>
      <c r="C766" s="237"/>
      <c r="D766" s="215"/>
      <c r="E766" s="23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>
      <c r="A767" s="215"/>
      <c r="B767" s="236"/>
      <c r="C767" s="237"/>
      <c r="D767" s="215"/>
      <c r="E767" s="23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>
      <c r="A768" s="215"/>
      <c r="B768" s="236"/>
      <c r="C768" s="237"/>
      <c r="D768" s="215"/>
      <c r="E768" s="23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>
      <c r="A769" s="215"/>
      <c r="B769" s="236"/>
      <c r="C769" s="237"/>
      <c r="D769" s="215"/>
      <c r="E769" s="23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>
      <c r="A770" s="215"/>
      <c r="B770" s="236"/>
      <c r="C770" s="237"/>
      <c r="D770" s="215"/>
      <c r="E770" s="23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>
      <c r="A771" s="215"/>
      <c r="B771" s="236"/>
      <c r="C771" s="237"/>
      <c r="D771" s="215"/>
      <c r="E771" s="23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>
      <c r="A772" s="215"/>
      <c r="B772" s="236"/>
      <c r="C772" s="237"/>
      <c r="D772" s="215"/>
      <c r="E772" s="23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>
      <c r="A773" s="215"/>
      <c r="B773" s="236"/>
      <c r="C773" s="237"/>
      <c r="D773" s="215"/>
      <c r="E773" s="23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>
      <c r="A774" s="215"/>
      <c r="B774" s="236"/>
      <c r="C774" s="237"/>
      <c r="D774" s="215"/>
      <c r="E774" s="23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>
      <c r="A775" s="215"/>
      <c r="B775" s="236"/>
      <c r="C775" s="237"/>
      <c r="D775" s="215"/>
      <c r="E775" s="23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>
      <c r="A776" s="215"/>
      <c r="B776" s="236"/>
      <c r="C776" s="237"/>
      <c r="D776" s="215"/>
      <c r="E776" s="23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>
      <c r="A777" s="215"/>
      <c r="B777" s="236"/>
      <c r="C777" s="237"/>
      <c r="D777" s="215"/>
      <c r="E777" s="23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>
      <c r="A778" s="215"/>
      <c r="B778" s="236"/>
      <c r="C778" s="237"/>
      <c r="D778" s="215"/>
      <c r="E778" s="23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>
      <c r="A779" s="215"/>
      <c r="B779" s="236"/>
      <c r="C779" s="237"/>
      <c r="D779" s="215"/>
      <c r="E779" s="23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>
      <c r="A780" s="215"/>
      <c r="B780" s="236"/>
      <c r="C780" s="237"/>
      <c r="D780" s="215"/>
      <c r="E780" s="23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>
      <c r="A781" s="215"/>
      <c r="B781" s="236"/>
      <c r="C781" s="237"/>
      <c r="D781" s="215"/>
      <c r="E781" s="23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>
      <c r="A782" s="215"/>
      <c r="B782" s="236"/>
      <c r="C782" s="237"/>
      <c r="D782" s="215"/>
      <c r="E782" s="23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>
      <c r="A783" s="215"/>
      <c r="B783" s="236"/>
      <c r="C783" s="237"/>
      <c r="D783" s="215"/>
      <c r="E783" s="23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>
      <c r="A784" s="215"/>
      <c r="B784" s="236"/>
      <c r="C784" s="237"/>
      <c r="D784" s="215"/>
      <c r="E784" s="23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>
      <c r="A785" s="215"/>
      <c r="B785" s="236"/>
      <c r="C785" s="237"/>
      <c r="D785" s="215"/>
      <c r="E785" s="23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>
      <c r="A786" s="215"/>
      <c r="B786" s="236"/>
      <c r="C786" s="237"/>
      <c r="D786" s="215"/>
      <c r="E786" s="23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>
      <c r="A787" s="215"/>
      <c r="B787" s="236"/>
      <c r="C787" s="237"/>
      <c r="D787" s="215"/>
      <c r="E787" s="23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>
      <c r="A788" s="215"/>
      <c r="B788" s="236"/>
      <c r="C788" s="237"/>
      <c r="D788" s="215"/>
      <c r="E788" s="23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>
      <c r="A789" s="215"/>
      <c r="B789" s="236"/>
      <c r="C789" s="237"/>
      <c r="D789" s="215"/>
      <c r="E789" s="23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>
      <c r="A790" s="215"/>
      <c r="B790" s="236"/>
      <c r="C790" s="237"/>
      <c r="D790" s="215"/>
      <c r="E790" s="23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>
      <c r="A791" s="215"/>
      <c r="B791" s="236"/>
      <c r="C791" s="237"/>
      <c r="D791" s="215"/>
      <c r="E791" s="23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>
      <c r="A792" s="215"/>
      <c r="B792" s="236"/>
      <c r="C792" s="237"/>
      <c r="D792" s="215"/>
      <c r="E792" s="23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>
      <c r="A793" s="215"/>
      <c r="B793" s="236"/>
      <c r="C793" s="237"/>
      <c r="D793" s="215"/>
      <c r="E793" s="23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>
      <c r="A794" s="215"/>
      <c r="B794" s="236"/>
      <c r="C794" s="237"/>
      <c r="D794" s="215"/>
      <c r="E794" s="23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>
      <c r="A795" s="215"/>
      <c r="B795" s="236"/>
      <c r="C795" s="237"/>
      <c r="D795" s="215"/>
      <c r="E795" s="23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>
      <c r="A796" s="215"/>
      <c r="B796" s="236"/>
      <c r="C796" s="237"/>
      <c r="D796" s="215"/>
      <c r="E796" s="23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>
      <c r="A797" s="215"/>
      <c r="B797" s="236"/>
      <c r="C797" s="237"/>
      <c r="D797" s="215"/>
      <c r="E797" s="23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>
      <c r="A798" s="215"/>
      <c r="B798" s="236"/>
      <c r="C798" s="237"/>
      <c r="D798" s="215"/>
      <c r="E798" s="23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>
      <c r="A799" s="215"/>
      <c r="B799" s="236"/>
      <c r="C799" s="237"/>
      <c r="D799" s="215"/>
      <c r="E799" s="23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>
      <c r="A800" s="215"/>
      <c r="B800" s="236"/>
      <c r="C800" s="237"/>
      <c r="D800" s="215"/>
      <c r="E800" s="23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>
      <c r="A801" s="215"/>
      <c r="B801" s="236"/>
      <c r="C801" s="237"/>
      <c r="D801" s="215"/>
      <c r="E801" s="23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>
      <c r="A802" s="215"/>
      <c r="B802" s="236"/>
      <c r="C802" s="237"/>
      <c r="D802" s="215"/>
      <c r="E802" s="23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>
      <c r="A803" s="215"/>
      <c r="B803" s="236"/>
      <c r="C803" s="237"/>
      <c r="D803" s="215"/>
      <c r="E803" s="23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>
      <c r="A804" s="215"/>
      <c r="B804" s="236"/>
      <c r="C804" s="237"/>
      <c r="D804" s="215"/>
      <c r="E804" s="23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>
      <c r="A805" s="215"/>
      <c r="B805" s="236"/>
      <c r="C805" s="237"/>
      <c r="D805" s="215"/>
      <c r="E805" s="23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>
      <c r="A806" s="215"/>
      <c r="B806" s="236"/>
      <c r="C806" s="237"/>
      <c r="D806" s="215"/>
      <c r="E806" s="23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>
      <c r="A807" s="215"/>
      <c r="B807" s="236"/>
      <c r="C807" s="237"/>
      <c r="D807" s="215"/>
      <c r="E807" s="23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>
      <c r="A808" s="215"/>
      <c r="B808" s="236"/>
      <c r="C808" s="237"/>
      <c r="D808" s="215"/>
      <c r="E808" s="23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>
      <c r="A809" s="215"/>
      <c r="B809" s="236"/>
      <c r="C809" s="237"/>
      <c r="D809" s="215"/>
      <c r="E809" s="23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>
      <c r="A810" s="215"/>
      <c r="B810" s="236"/>
      <c r="C810" s="237"/>
      <c r="D810" s="215"/>
      <c r="E810" s="23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>
      <c r="A811" s="215"/>
      <c r="B811" s="236"/>
      <c r="C811" s="237"/>
      <c r="D811" s="215"/>
      <c r="E811" s="23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>
      <c r="A812" s="215"/>
      <c r="B812" s="236"/>
      <c r="C812" s="237"/>
      <c r="D812" s="215"/>
      <c r="E812" s="23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>
      <c r="A813" s="215"/>
      <c r="B813" s="236"/>
      <c r="C813" s="237"/>
      <c r="D813" s="215"/>
      <c r="E813" s="23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>
      <c r="A814" s="215"/>
      <c r="B814" s="236"/>
      <c r="C814" s="237"/>
      <c r="D814" s="215"/>
      <c r="E814" s="23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>
      <c r="A815" s="215"/>
      <c r="B815" s="236"/>
      <c r="C815" s="237"/>
      <c r="D815" s="215"/>
      <c r="E815" s="23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>
      <c r="A816" s="215"/>
      <c r="B816" s="236"/>
      <c r="C816" s="237"/>
      <c r="D816" s="215"/>
      <c r="E816" s="23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>
      <c r="A817" s="215"/>
      <c r="B817" s="236"/>
      <c r="C817" s="237"/>
      <c r="D817" s="215"/>
      <c r="E817" s="23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>
      <c r="A818" s="215"/>
      <c r="B818" s="236"/>
      <c r="C818" s="237"/>
      <c r="D818" s="215"/>
      <c r="E818" s="23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>
      <c r="A819" s="215"/>
      <c r="B819" s="236"/>
      <c r="C819" s="237"/>
      <c r="D819" s="215"/>
      <c r="E819" s="23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>
      <c r="A820" s="215"/>
      <c r="B820" s="236"/>
      <c r="C820" s="237"/>
      <c r="D820" s="215"/>
      <c r="E820" s="23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>
      <c r="A821" s="215"/>
      <c r="B821" s="236"/>
      <c r="C821" s="237"/>
      <c r="D821" s="215"/>
      <c r="E821" s="23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>
      <c r="A822" s="215"/>
      <c r="B822" s="236"/>
      <c r="C822" s="237"/>
      <c r="D822" s="215"/>
      <c r="E822" s="23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>
      <c r="A823" s="215"/>
      <c r="B823" s="236"/>
      <c r="C823" s="237"/>
      <c r="D823" s="215"/>
      <c r="E823" s="23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>
      <c r="A824" s="215"/>
      <c r="B824" s="236"/>
      <c r="C824" s="237"/>
      <c r="D824" s="215"/>
      <c r="E824" s="23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>
      <c r="A825" s="215"/>
      <c r="B825" s="236"/>
      <c r="C825" s="237"/>
      <c r="D825" s="215"/>
      <c r="E825" s="23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>
      <c r="A826" s="215"/>
      <c r="B826" s="236"/>
      <c r="C826" s="237"/>
      <c r="D826" s="215"/>
      <c r="E826" s="23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>
      <c r="A827" s="215"/>
      <c r="B827" s="236"/>
      <c r="C827" s="237"/>
      <c r="D827" s="215"/>
      <c r="E827" s="23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>
      <c r="A828" s="215"/>
      <c r="B828" s="236"/>
      <c r="C828" s="237"/>
      <c r="D828" s="215"/>
      <c r="E828" s="23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>
      <c r="A829" s="215"/>
      <c r="B829" s="236"/>
      <c r="C829" s="237"/>
      <c r="D829" s="215"/>
      <c r="E829" s="23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>
      <c r="A830" s="215"/>
      <c r="B830" s="236"/>
      <c r="C830" s="237"/>
      <c r="D830" s="215"/>
      <c r="E830" s="23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>
      <c r="A831" s="215"/>
      <c r="B831" s="236"/>
      <c r="C831" s="237"/>
      <c r="D831" s="215"/>
      <c r="E831" s="23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>
      <c r="A832" s="215"/>
      <c r="B832" s="236"/>
      <c r="C832" s="237"/>
      <c r="D832" s="215"/>
      <c r="E832" s="23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>
      <c r="A833" s="215"/>
      <c r="B833" s="236"/>
      <c r="C833" s="237"/>
      <c r="D833" s="215"/>
      <c r="E833" s="23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>
      <c r="A834" s="215"/>
      <c r="B834" s="236"/>
      <c r="C834" s="237"/>
      <c r="D834" s="215"/>
      <c r="E834" s="23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>
      <c r="A835" s="215"/>
      <c r="B835" s="236"/>
      <c r="C835" s="237"/>
      <c r="D835" s="215"/>
      <c r="E835" s="23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>
      <c r="A836" s="215"/>
      <c r="B836" s="236"/>
      <c r="C836" s="237"/>
      <c r="D836" s="215"/>
      <c r="E836" s="23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>
      <c r="A837" s="215"/>
      <c r="B837" s="236"/>
      <c r="C837" s="237"/>
      <c r="D837" s="215"/>
      <c r="E837" s="23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>
      <c r="A838" s="215"/>
      <c r="B838" s="236"/>
      <c r="C838" s="237"/>
      <c r="D838" s="215"/>
      <c r="E838" s="23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>
      <c r="A839" s="215"/>
      <c r="B839" s="236"/>
      <c r="C839" s="237"/>
      <c r="D839" s="215"/>
      <c r="E839" s="23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>
      <c r="A840" s="215"/>
      <c r="B840" s="236"/>
      <c r="C840" s="237"/>
      <c r="D840" s="215"/>
      <c r="E840" s="23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>
      <c r="A841" s="215"/>
      <c r="B841" s="236"/>
      <c r="C841" s="237"/>
      <c r="D841" s="215"/>
      <c r="E841" s="23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>
      <c r="A842" s="215"/>
      <c r="B842" s="236"/>
      <c r="C842" s="237"/>
      <c r="D842" s="215"/>
      <c r="E842" s="23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>
      <c r="A843" s="215"/>
      <c r="B843" s="236"/>
      <c r="C843" s="237"/>
      <c r="D843" s="215"/>
      <c r="E843" s="23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>
      <c r="A844" s="215"/>
      <c r="B844" s="236"/>
      <c r="C844" s="237"/>
      <c r="D844" s="215"/>
      <c r="E844" s="23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>
      <c r="A845" s="215"/>
      <c r="B845" s="236"/>
      <c r="C845" s="237"/>
      <c r="D845" s="215"/>
      <c r="E845" s="23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>
      <c r="A846" s="215"/>
      <c r="B846" s="236"/>
      <c r="C846" s="237"/>
      <c r="D846" s="215"/>
      <c r="E846" s="23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>
      <c r="A847" s="215"/>
      <c r="B847" s="236"/>
      <c r="C847" s="237"/>
      <c r="D847" s="215"/>
      <c r="E847" s="23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>
      <c r="A848" s="215"/>
      <c r="B848" s="236"/>
      <c r="C848" s="237"/>
      <c r="D848" s="215"/>
      <c r="E848" s="23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>
      <c r="A849" s="215"/>
      <c r="B849" s="236"/>
      <c r="C849" s="237"/>
      <c r="D849" s="215"/>
      <c r="E849" s="23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>
      <c r="A850" s="215"/>
      <c r="B850" s="236"/>
      <c r="C850" s="237"/>
      <c r="D850" s="215"/>
      <c r="E850" s="23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>
      <c r="A851" s="215"/>
      <c r="B851" s="236"/>
      <c r="C851" s="237"/>
      <c r="D851" s="215"/>
      <c r="E851" s="23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>
      <c r="A852" s="215"/>
      <c r="B852" s="236"/>
      <c r="C852" s="237"/>
      <c r="D852" s="215"/>
      <c r="E852" s="23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>
      <c r="A853" s="215"/>
      <c r="B853" s="236"/>
      <c r="C853" s="237"/>
      <c r="D853" s="215"/>
      <c r="E853" s="23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>
      <c r="A854" s="215"/>
      <c r="B854" s="236"/>
      <c r="C854" s="237"/>
      <c r="D854" s="215"/>
      <c r="E854" s="23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>
      <c r="A855" s="215"/>
      <c r="B855" s="236"/>
      <c r="C855" s="237"/>
      <c r="D855" s="215"/>
      <c r="E855" s="23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>
      <c r="A856" s="215"/>
      <c r="B856" s="236"/>
      <c r="C856" s="237"/>
      <c r="D856" s="215"/>
      <c r="E856" s="23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>
      <c r="A857" s="215"/>
      <c r="B857" s="236"/>
      <c r="C857" s="237"/>
      <c r="D857" s="215"/>
      <c r="E857" s="23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>
      <c r="A858" s="215"/>
      <c r="B858" s="236"/>
      <c r="C858" s="237"/>
      <c r="D858" s="215"/>
      <c r="E858" s="23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>
      <c r="A859" s="215"/>
      <c r="B859" s="236"/>
      <c r="C859" s="237"/>
      <c r="D859" s="215"/>
      <c r="E859" s="23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>
      <c r="A860" s="215"/>
      <c r="B860" s="236"/>
      <c r="C860" s="237"/>
      <c r="D860" s="215"/>
      <c r="E860" s="23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>
      <c r="A861" s="215"/>
      <c r="B861" s="236"/>
      <c r="C861" s="237"/>
      <c r="D861" s="215"/>
      <c r="E861" s="23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>
      <c r="A862" s="215"/>
      <c r="B862" s="236"/>
      <c r="C862" s="237"/>
      <c r="D862" s="215"/>
      <c r="E862" s="23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>
      <c r="A863" s="215"/>
      <c r="B863" s="236"/>
      <c r="C863" s="237"/>
      <c r="D863" s="215"/>
      <c r="E863" s="23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>
      <c r="A864" s="215"/>
      <c r="B864" s="236"/>
      <c r="C864" s="237"/>
      <c r="D864" s="215"/>
      <c r="E864" s="23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>
      <c r="A865" s="215"/>
      <c r="B865" s="236"/>
      <c r="C865" s="237"/>
      <c r="D865" s="215"/>
      <c r="E865" s="23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>
      <c r="A866" s="215"/>
      <c r="B866" s="236"/>
      <c r="C866" s="237"/>
      <c r="D866" s="215"/>
      <c r="E866" s="23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>
      <c r="A867" s="215"/>
      <c r="B867" s="236"/>
      <c r="C867" s="237"/>
      <c r="D867" s="215"/>
      <c r="E867" s="23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>
      <c r="A868" s="215"/>
      <c r="B868" s="236"/>
      <c r="C868" s="237"/>
      <c r="D868" s="215"/>
      <c r="E868" s="23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>
      <c r="A869" s="215"/>
      <c r="B869" s="236"/>
      <c r="C869" s="237"/>
      <c r="D869" s="215"/>
      <c r="E869" s="23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>
      <c r="A870" s="215"/>
      <c r="B870" s="236"/>
      <c r="C870" s="237"/>
      <c r="D870" s="215"/>
      <c r="E870" s="23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>
      <c r="A871" s="215"/>
      <c r="B871" s="236"/>
      <c r="C871" s="237"/>
      <c r="D871" s="215"/>
      <c r="E871" s="23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>
      <c r="A872" s="215"/>
      <c r="B872" s="236"/>
      <c r="C872" s="237"/>
      <c r="D872" s="215"/>
      <c r="E872" s="23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>
      <c r="A873" s="215"/>
      <c r="B873" s="236"/>
      <c r="C873" s="237"/>
      <c r="D873" s="215"/>
      <c r="E873" s="23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>
      <c r="A874" s="215"/>
      <c r="B874" s="236"/>
      <c r="C874" s="237"/>
      <c r="D874" s="215"/>
      <c r="E874" s="23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>
      <c r="A875" s="215"/>
      <c r="B875" s="236"/>
      <c r="C875" s="237"/>
      <c r="D875" s="215"/>
      <c r="E875" s="23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>
      <c r="A876" s="215"/>
      <c r="B876" s="236"/>
      <c r="C876" s="237"/>
      <c r="D876" s="215"/>
      <c r="E876" s="23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>
      <c r="A877" s="215"/>
      <c r="B877" s="236"/>
      <c r="C877" s="237"/>
      <c r="D877" s="215"/>
      <c r="E877" s="23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>
      <c r="A878" s="215"/>
      <c r="B878" s="236"/>
      <c r="C878" s="237"/>
      <c r="D878" s="215"/>
      <c r="E878" s="23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>
      <c r="A879" s="215"/>
      <c r="B879" s="236"/>
      <c r="C879" s="237"/>
      <c r="D879" s="215"/>
      <c r="E879" s="23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>
      <c r="A880" s="215"/>
      <c r="B880" s="236"/>
      <c r="C880" s="237"/>
      <c r="D880" s="215"/>
      <c r="E880" s="23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>
      <c r="A881" s="215"/>
      <c r="B881" s="236"/>
      <c r="C881" s="237"/>
      <c r="D881" s="215"/>
      <c r="E881" s="23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>
      <c r="A882" s="215"/>
      <c r="B882" s="236"/>
      <c r="C882" s="237"/>
      <c r="D882" s="215"/>
      <c r="E882" s="23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>
      <c r="A883" s="215"/>
      <c r="B883" s="236"/>
      <c r="C883" s="237"/>
      <c r="D883" s="215"/>
      <c r="E883" s="23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>
      <c r="A884" s="215"/>
      <c r="B884" s="236"/>
      <c r="C884" s="237"/>
      <c r="D884" s="215"/>
      <c r="E884" s="23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>
      <c r="A885" s="215"/>
      <c r="B885" s="236"/>
      <c r="C885" s="237"/>
      <c r="D885" s="215"/>
      <c r="E885" s="23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>
      <c r="A886" s="215"/>
      <c r="B886" s="236"/>
      <c r="C886" s="237"/>
      <c r="D886" s="215"/>
      <c r="E886" s="23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>
      <c r="A887" s="215"/>
      <c r="B887" s="236"/>
      <c r="C887" s="237"/>
      <c r="D887" s="215"/>
      <c r="E887" s="23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>
      <c r="A888" s="215"/>
      <c r="B888" s="236"/>
      <c r="C888" s="237"/>
      <c r="D888" s="215"/>
      <c r="E888" s="23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>
      <c r="A889" s="215"/>
      <c r="B889" s="236"/>
      <c r="C889" s="237"/>
      <c r="D889" s="215"/>
      <c r="E889" s="23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>
      <c r="A890" s="215"/>
      <c r="B890" s="236"/>
      <c r="C890" s="237"/>
      <c r="D890" s="215"/>
      <c r="E890" s="23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>
      <c r="A891" s="215"/>
      <c r="B891" s="236"/>
      <c r="C891" s="237"/>
      <c r="D891" s="215"/>
      <c r="E891" s="23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>
      <c r="A892" s="215"/>
      <c r="B892" s="236"/>
      <c r="C892" s="237"/>
      <c r="D892" s="215"/>
      <c r="E892" s="23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>
      <c r="A893" s="215"/>
      <c r="B893" s="236"/>
      <c r="C893" s="237"/>
      <c r="D893" s="215"/>
      <c r="E893" s="23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>
      <c r="A894" s="215"/>
      <c r="B894" s="236"/>
      <c r="C894" s="237"/>
      <c r="D894" s="215"/>
      <c r="E894" s="23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>
      <c r="A895" s="215"/>
      <c r="B895" s="236"/>
      <c r="C895" s="237"/>
      <c r="D895" s="215"/>
      <c r="E895" s="23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>
      <c r="A896" s="215"/>
      <c r="B896" s="236"/>
      <c r="C896" s="237"/>
      <c r="D896" s="215"/>
      <c r="E896" s="23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>
      <c r="A897" s="215"/>
      <c r="B897" s="236"/>
      <c r="C897" s="237"/>
      <c r="D897" s="215"/>
      <c r="E897" s="23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>
      <c r="A898" s="215"/>
      <c r="B898" s="236"/>
      <c r="C898" s="237"/>
      <c r="D898" s="215"/>
      <c r="E898" s="23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>
      <c r="A899" s="215"/>
      <c r="B899" s="236"/>
      <c r="C899" s="237"/>
      <c r="D899" s="215"/>
      <c r="E899" s="23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>
      <c r="A900" s="215"/>
      <c r="B900" s="236"/>
      <c r="C900" s="237"/>
      <c r="D900" s="215"/>
      <c r="E900" s="23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>
      <c r="A901" s="215"/>
      <c r="B901" s="236"/>
      <c r="C901" s="237"/>
      <c r="D901" s="215"/>
      <c r="E901" s="23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>
      <c r="A902" s="215"/>
      <c r="B902" s="236"/>
      <c r="C902" s="237"/>
      <c r="D902" s="215"/>
      <c r="E902" s="23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>
      <c r="A903" s="215"/>
      <c r="B903" s="236"/>
      <c r="C903" s="237"/>
      <c r="D903" s="215"/>
      <c r="E903" s="23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>
      <c r="A904" s="215"/>
      <c r="B904" s="236"/>
      <c r="C904" s="237"/>
      <c r="D904" s="215"/>
      <c r="E904" s="23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>
      <c r="A905" s="215"/>
      <c r="B905" s="236"/>
      <c r="C905" s="237"/>
      <c r="D905" s="215"/>
      <c r="E905" s="23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>
      <c r="A906" s="215"/>
      <c r="B906" s="236"/>
      <c r="C906" s="237"/>
      <c r="D906" s="215"/>
      <c r="E906" s="23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>
      <c r="A907" s="215"/>
      <c r="B907" s="236"/>
      <c r="C907" s="237"/>
      <c r="D907" s="215"/>
      <c r="E907" s="23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>
      <c r="A908" s="215"/>
      <c r="B908" s="236"/>
      <c r="C908" s="237"/>
      <c r="D908" s="215"/>
      <c r="E908" s="23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>
      <c r="A909" s="215"/>
      <c r="B909" s="236"/>
      <c r="C909" s="237"/>
      <c r="D909" s="215"/>
      <c r="E909" s="23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>
      <c r="A910" s="215"/>
      <c r="B910" s="236"/>
      <c r="C910" s="237"/>
      <c r="D910" s="215"/>
      <c r="E910" s="23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>
      <c r="A911" s="215"/>
      <c r="B911" s="236"/>
      <c r="C911" s="237"/>
      <c r="D911" s="215"/>
      <c r="E911" s="23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>
      <c r="A912" s="215"/>
      <c r="B912" s="236"/>
      <c r="C912" s="237"/>
      <c r="D912" s="215"/>
      <c r="E912" s="23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>
      <c r="A913" s="215"/>
      <c r="B913" s="236"/>
      <c r="C913" s="237"/>
      <c r="D913" s="215"/>
      <c r="E913" s="23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>
      <c r="A914" s="215"/>
      <c r="B914" s="236"/>
      <c r="C914" s="237"/>
      <c r="D914" s="215"/>
      <c r="E914" s="23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>
      <c r="A915" s="215"/>
      <c r="B915" s="236"/>
      <c r="C915" s="237"/>
      <c r="D915" s="215"/>
      <c r="E915" s="23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>
      <c r="A916" s="215"/>
      <c r="B916" s="236"/>
      <c r="C916" s="237"/>
      <c r="D916" s="215"/>
      <c r="E916" s="23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>
      <c r="A917" s="215"/>
      <c r="B917" s="236"/>
      <c r="C917" s="237"/>
      <c r="D917" s="215"/>
      <c r="E917" s="23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>
      <c r="A918" s="215"/>
      <c r="B918" s="236"/>
      <c r="C918" s="237"/>
      <c r="D918" s="215"/>
      <c r="E918" s="23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>
      <c r="A919" s="215"/>
      <c r="B919" s="236"/>
      <c r="C919" s="237"/>
      <c r="D919" s="215"/>
      <c r="E919" s="23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>
      <c r="A920" s="215"/>
      <c r="B920" s="236"/>
      <c r="C920" s="237"/>
      <c r="D920" s="215"/>
      <c r="E920" s="23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>
      <c r="A921" s="215"/>
      <c r="B921" s="236"/>
      <c r="C921" s="237"/>
      <c r="D921" s="215"/>
      <c r="E921" s="23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>
      <c r="A922" s="215"/>
      <c r="B922" s="236"/>
      <c r="C922" s="237"/>
      <c r="D922" s="215"/>
      <c r="E922" s="23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>
      <c r="A923" s="215"/>
      <c r="B923" s="236"/>
      <c r="C923" s="237"/>
      <c r="D923" s="215"/>
      <c r="E923" s="23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>
      <c r="A924" s="215"/>
      <c r="B924" s="236"/>
      <c r="C924" s="237"/>
      <c r="D924" s="215"/>
      <c r="E924" s="23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>
      <c r="A925" s="215"/>
      <c r="B925" s="236"/>
      <c r="C925" s="237"/>
      <c r="D925" s="215"/>
      <c r="E925" s="23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>
      <c r="A926" s="215"/>
      <c r="B926" s="236"/>
      <c r="C926" s="237"/>
      <c r="D926" s="215"/>
      <c r="E926" s="23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>
      <c r="A927" s="215"/>
      <c r="B927" s="236"/>
      <c r="C927" s="237"/>
      <c r="D927" s="215"/>
      <c r="E927" s="23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>
      <c r="A928" s="215"/>
      <c r="B928" s="236"/>
      <c r="C928" s="237"/>
      <c r="D928" s="215"/>
      <c r="E928" s="23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>
      <c r="A929" s="215"/>
      <c r="B929" s="236"/>
      <c r="C929" s="237"/>
      <c r="D929" s="215"/>
      <c r="E929" s="23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>
      <c r="A930" s="215"/>
      <c r="B930" s="236"/>
      <c r="C930" s="237"/>
      <c r="D930" s="215"/>
      <c r="E930" s="23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>
      <c r="A931" s="215"/>
      <c r="B931" s="236"/>
      <c r="C931" s="237"/>
      <c r="D931" s="215"/>
      <c r="E931" s="23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>
      <c r="A932" s="215"/>
      <c r="B932" s="236"/>
      <c r="C932" s="237"/>
      <c r="D932" s="215"/>
      <c r="E932" s="23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>
      <c r="A933" s="215"/>
      <c r="B933" s="236"/>
      <c r="C933" s="237"/>
      <c r="D933" s="215"/>
      <c r="E933" s="23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>
      <c r="A934" s="215"/>
      <c r="B934" s="236"/>
      <c r="C934" s="237"/>
      <c r="D934" s="215"/>
      <c r="E934" s="23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>
      <c r="A935" s="215"/>
      <c r="B935" s="236"/>
      <c r="C935" s="237"/>
      <c r="D935" s="215"/>
      <c r="E935" s="23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>
      <c r="A936" s="215"/>
      <c r="B936" s="236"/>
      <c r="C936" s="237"/>
      <c r="D936" s="215"/>
      <c r="E936" s="23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>
      <c r="A937" s="215"/>
      <c r="B937" s="236"/>
      <c r="C937" s="237"/>
      <c r="D937" s="215"/>
      <c r="E937" s="23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>
      <c r="A938" s="215"/>
      <c r="B938" s="236"/>
      <c r="C938" s="237"/>
      <c r="D938" s="215"/>
      <c r="E938" s="23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>
      <c r="A939" s="215"/>
      <c r="B939" s="236"/>
      <c r="C939" s="237"/>
      <c r="D939" s="215"/>
      <c r="E939" s="23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>
      <c r="A940" s="215"/>
      <c r="B940" s="236"/>
      <c r="C940" s="237"/>
      <c r="D940" s="215"/>
      <c r="E940" s="23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>
      <c r="A941" s="215"/>
      <c r="B941" s="236"/>
      <c r="C941" s="237"/>
      <c r="D941" s="215"/>
      <c r="E941" s="23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>
      <c r="A942" s="215"/>
      <c r="B942" s="236"/>
      <c r="C942" s="237"/>
      <c r="D942" s="215"/>
      <c r="E942" s="23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>
      <c r="A943" s="215"/>
      <c r="B943" s="236"/>
      <c r="C943" s="237"/>
      <c r="D943" s="215"/>
      <c r="E943" s="23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>
      <c r="A944" s="215"/>
      <c r="B944" s="236"/>
      <c r="C944" s="237"/>
      <c r="D944" s="215"/>
      <c r="E944" s="23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>
      <c r="A945" s="215"/>
      <c r="B945" s="236"/>
      <c r="C945" s="237"/>
      <c r="D945" s="215"/>
      <c r="E945" s="23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>
      <c r="A946" s="215"/>
      <c r="B946" s="236"/>
      <c r="C946" s="237"/>
      <c r="D946" s="215"/>
      <c r="E946" s="23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>
      <c r="A947" s="215"/>
      <c r="B947" s="236"/>
      <c r="C947" s="237"/>
      <c r="D947" s="215"/>
      <c r="E947" s="23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>
      <c r="A948" s="215"/>
      <c r="B948" s="236"/>
      <c r="C948" s="237"/>
      <c r="D948" s="215"/>
      <c r="E948" s="23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>
      <c r="A949" s="215"/>
      <c r="B949" s="236"/>
      <c r="C949" s="237"/>
      <c r="D949" s="215"/>
      <c r="E949" s="23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>
      <c r="A950" s="215"/>
      <c r="B950" s="236"/>
      <c r="C950" s="237"/>
      <c r="D950" s="215"/>
      <c r="E950" s="23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>
      <c r="A951" s="215"/>
      <c r="B951" s="236"/>
      <c r="C951" s="237"/>
      <c r="D951" s="215"/>
      <c r="E951" s="23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>
      <c r="A952" s="215"/>
      <c r="B952" s="236"/>
      <c r="C952" s="237"/>
      <c r="D952" s="215"/>
      <c r="E952" s="23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>
      <c r="A953" s="215"/>
      <c r="B953" s="236"/>
      <c r="C953" s="237"/>
      <c r="D953" s="215"/>
      <c r="E953" s="23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>
      <c r="A954" s="215"/>
      <c r="B954" s="236"/>
      <c r="C954" s="237"/>
      <c r="D954" s="215"/>
      <c r="E954" s="23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>
      <c r="A955" s="215"/>
      <c r="B955" s="236"/>
      <c r="C955" s="237"/>
      <c r="D955" s="215"/>
      <c r="E955" s="23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>
      <c r="A956" s="215"/>
      <c r="B956" s="236"/>
      <c r="C956" s="237"/>
      <c r="D956" s="215"/>
      <c r="E956" s="23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>
      <c r="A957" s="215"/>
      <c r="B957" s="236"/>
      <c r="C957" s="237"/>
      <c r="D957" s="215"/>
      <c r="E957" s="23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>
      <c r="A958" s="215"/>
      <c r="B958" s="236"/>
      <c r="C958" s="237"/>
      <c r="D958" s="215"/>
      <c r="E958" s="23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>
      <c r="A959" s="215"/>
      <c r="B959" s="236"/>
      <c r="C959" s="237"/>
      <c r="D959" s="215"/>
      <c r="E959" s="23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>
      <c r="A960" s="215"/>
      <c r="B960" s="236"/>
      <c r="C960" s="237"/>
      <c r="D960" s="215"/>
      <c r="E960" s="23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>
      <c r="A961" s="215"/>
      <c r="B961" s="236"/>
      <c r="C961" s="237"/>
      <c r="D961" s="215"/>
      <c r="E961" s="23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>
      <c r="A962" s="215"/>
      <c r="B962" s="236"/>
      <c r="C962" s="237"/>
      <c r="D962" s="215"/>
      <c r="E962" s="23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>
      <c r="A963" s="215"/>
      <c r="B963" s="236"/>
      <c r="C963" s="237"/>
      <c r="D963" s="215"/>
      <c r="E963" s="23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>
      <c r="A964" s="215"/>
      <c r="B964" s="236"/>
      <c r="C964" s="237"/>
      <c r="D964" s="215"/>
      <c r="E964" s="23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>
      <c r="A965" s="215"/>
      <c r="B965" s="236"/>
      <c r="C965" s="237"/>
      <c r="D965" s="215"/>
      <c r="E965" s="23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>
      <c r="A966" s="215"/>
      <c r="B966" s="236"/>
      <c r="C966" s="237"/>
      <c r="D966" s="215"/>
      <c r="E966" s="23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>
      <c r="A967" s="215"/>
      <c r="B967" s="236"/>
      <c r="C967" s="237"/>
      <c r="D967" s="215"/>
      <c r="E967" s="23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>
      <c r="A968" s="215"/>
      <c r="B968" s="236"/>
      <c r="C968" s="237"/>
      <c r="D968" s="215"/>
      <c r="E968" s="23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>
      <c r="A969" s="215"/>
      <c r="B969" s="236"/>
      <c r="C969" s="237"/>
      <c r="D969" s="215"/>
      <c r="E969" s="23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>
      <c r="A970" s="215"/>
      <c r="B970" s="236"/>
      <c r="C970" s="237"/>
      <c r="D970" s="215"/>
      <c r="E970" s="23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>
      <c r="A971" s="215"/>
      <c r="B971" s="236"/>
      <c r="C971" s="237"/>
      <c r="D971" s="215"/>
      <c r="E971" s="23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>
      <c r="A972" s="215"/>
      <c r="B972" s="236"/>
      <c r="C972" s="237"/>
      <c r="D972" s="215"/>
      <c r="E972" s="23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>
      <c r="A973" s="215"/>
      <c r="B973" s="236"/>
      <c r="C973" s="237"/>
      <c r="D973" s="215"/>
      <c r="E973" s="23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>
      <c r="A974" s="215"/>
      <c r="B974" s="236"/>
      <c r="C974" s="237"/>
      <c r="D974" s="215"/>
      <c r="E974" s="23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>
      <c r="A975" s="215"/>
      <c r="B975" s="236"/>
      <c r="C975" s="237"/>
      <c r="D975" s="215"/>
      <c r="E975" s="23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>
      <c r="A976" s="215"/>
      <c r="B976" s="236"/>
      <c r="C976" s="237"/>
      <c r="D976" s="215"/>
      <c r="E976" s="23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>
      <c r="A977" s="215"/>
      <c r="B977" s="236"/>
      <c r="C977" s="237"/>
      <c r="D977" s="215"/>
      <c r="E977" s="23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>
      <c r="A978" s="215"/>
      <c r="B978" s="236"/>
      <c r="C978" s="237"/>
      <c r="D978" s="215"/>
      <c r="E978" s="23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>
      <c r="A979" s="215"/>
      <c r="B979" s="236"/>
      <c r="C979" s="237"/>
      <c r="D979" s="215"/>
      <c r="E979" s="23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>
      <c r="A980" s="215"/>
      <c r="B980" s="236"/>
      <c r="C980" s="237"/>
      <c r="D980" s="215"/>
      <c r="E980" s="23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>
      <c r="A981" s="215"/>
      <c r="B981" s="236"/>
      <c r="C981" s="237"/>
      <c r="D981" s="215"/>
      <c r="E981" s="23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>
      <c r="A982" s="215"/>
      <c r="B982" s="236"/>
      <c r="C982" s="237"/>
      <c r="D982" s="215"/>
      <c r="E982" s="23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>
      <c r="A983" s="215"/>
      <c r="B983" s="236"/>
      <c r="C983" s="237"/>
      <c r="D983" s="215"/>
      <c r="E983" s="23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>
      <c r="A984" s="215"/>
      <c r="B984" s="236"/>
      <c r="C984" s="237"/>
      <c r="D984" s="215"/>
      <c r="E984" s="23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>
      <c r="A985" s="215"/>
      <c r="B985" s="236"/>
      <c r="C985" s="237"/>
      <c r="D985" s="215"/>
      <c r="E985" s="23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>
      <c r="A986" s="215"/>
      <c r="B986" s="236"/>
      <c r="C986" s="237"/>
      <c r="D986" s="215"/>
      <c r="E986" s="23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>
      <c r="A987" s="215"/>
      <c r="B987" s="236"/>
      <c r="C987" s="237"/>
      <c r="D987" s="215"/>
      <c r="E987" s="23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>
      <c r="A988" s="215"/>
      <c r="B988" s="236"/>
      <c r="C988" s="237"/>
      <c r="D988" s="215"/>
      <c r="E988" s="23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>
      <c r="A989" s="215"/>
      <c r="B989" s="236"/>
      <c r="C989" s="237"/>
      <c r="D989" s="215"/>
      <c r="E989" s="23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>
      <c r="A990" s="215"/>
      <c r="B990" s="236"/>
      <c r="C990" s="237"/>
      <c r="D990" s="215"/>
      <c r="E990" s="23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>
      <c r="A991" s="215"/>
      <c r="B991" s="236"/>
      <c r="C991" s="237"/>
      <c r="D991" s="215"/>
      <c r="E991" s="23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>
      <c r="A992" s="215"/>
      <c r="B992" s="236"/>
      <c r="C992" s="237"/>
      <c r="D992" s="215"/>
      <c r="E992" s="23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>
      <c r="A993" s="215"/>
      <c r="B993" s="236"/>
      <c r="C993" s="237"/>
      <c r="D993" s="215"/>
      <c r="E993" s="23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>
      <c r="A994" s="215"/>
      <c r="B994" s="236"/>
      <c r="C994" s="237"/>
      <c r="D994" s="215"/>
      <c r="E994" s="23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>
      <c r="A995" s="215"/>
      <c r="B995" s="236"/>
      <c r="C995" s="237"/>
      <c r="D995" s="215"/>
      <c r="E995" s="23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>
      <c r="A996" s="215"/>
      <c r="B996" s="236"/>
      <c r="C996" s="237"/>
      <c r="D996" s="215"/>
      <c r="E996" s="23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>
      <c r="A997" s="215"/>
      <c r="B997" s="236"/>
      <c r="C997" s="237"/>
      <c r="D997" s="215"/>
      <c r="E997" s="23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>
      <c r="A998" s="215"/>
      <c r="B998" s="236"/>
      <c r="C998" s="237"/>
      <c r="D998" s="215"/>
      <c r="E998" s="23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>
      <c r="A999" s="215"/>
      <c r="B999" s="236"/>
      <c r="C999" s="237"/>
      <c r="D999" s="215"/>
      <c r="E999" s="23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>
      <c r="A1000" s="215"/>
      <c r="B1000" s="236"/>
      <c r="C1000" s="237"/>
      <c r="D1000" s="215"/>
      <c r="E1000" s="23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  <row r="1001">
      <c r="A1001" s="215"/>
      <c r="B1001" s="236"/>
      <c r="C1001" s="237"/>
      <c r="D1001" s="215"/>
      <c r="E1001" s="235"/>
      <c r="F1001" s="215"/>
      <c r="G1001" s="215"/>
      <c r="H1001" s="215"/>
      <c r="I1001" s="215"/>
      <c r="J1001" s="215"/>
      <c r="K1001" s="215"/>
      <c r="L1001" s="215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</row>
    <row r="1002">
      <c r="A1002" s="215"/>
      <c r="B1002" s="236"/>
      <c r="C1002" s="237"/>
      <c r="D1002" s="215"/>
      <c r="E1002" s="235"/>
      <c r="F1002" s="215"/>
      <c r="G1002" s="215"/>
      <c r="H1002" s="215"/>
      <c r="I1002" s="215"/>
      <c r="J1002" s="215"/>
      <c r="K1002" s="215"/>
      <c r="L1002" s="215"/>
      <c r="M1002" s="215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215"/>
      <c r="Z1002" s="215"/>
    </row>
    <row r="1003">
      <c r="A1003" s="215"/>
      <c r="B1003" s="236"/>
      <c r="C1003" s="237"/>
      <c r="D1003" s="215"/>
      <c r="E1003" s="235"/>
      <c r="F1003" s="215"/>
      <c r="G1003" s="215"/>
      <c r="H1003" s="215"/>
      <c r="I1003" s="215"/>
      <c r="J1003" s="215"/>
      <c r="K1003" s="215"/>
      <c r="L1003" s="215"/>
      <c r="M1003" s="215"/>
      <c r="N1003" s="215"/>
      <c r="O1003" s="215"/>
      <c r="P1003" s="215"/>
      <c r="Q1003" s="215"/>
      <c r="R1003" s="215"/>
      <c r="S1003" s="215"/>
      <c r="T1003" s="215"/>
      <c r="U1003" s="215"/>
      <c r="V1003" s="215"/>
      <c r="W1003" s="215"/>
      <c r="X1003" s="215"/>
      <c r="Y1003" s="215"/>
      <c r="Z1003" s="215"/>
    </row>
    <row r="1004">
      <c r="A1004" s="215"/>
      <c r="B1004" s="236"/>
      <c r="C1004" s="237"/>
      <c r="D1004" s="215"/>
      <c r="E1004" s="235"/>
      <c r="F1004" s="215"/>
      <c r="G1004" s="215"/>
      <c r="H1004" s="215"/>
      <c r="I1004" s="215"/>
      <c r="J1004" s="215"/>
      <c r="K1004" s="215"/>
      <c r="L1004" s="215"/>
      <c r="M1004" s="215"/>
      <c r="N1004" s="215"/>
      <c r="O1004" s="215"/>
      <c r="P1004" s="215"/>
      <c r="Q1004" s="215"/>
      <c r="R1004" s="215"/>
      <c r="S1004" s="215"/>
      <c r="T1004" s="215"/>
      <c r="U1004" s="215"/>
      <c r="V1004" s="215"/>
      <c r="W1004" s="215"/>
      <c r="X1004" s="215"/>
      <c r="Y1004" s="215"/>
      <c r="Z1004" s="215"/>
    </row>
    <row r="1005">
      <c r="A1005" s="215"/>
      <c r="B1005" s="236"/>
      <c r="C1005" s="237"/>
      <c r="D1005" s="215"/>
      <c r="E1005" s="235"/>
      <c r="F1005" s="215"/>
      <c r="G1005" s="215"/>
      <c r="H1005" s="215"/>
      <c r="I1005" s="215"/>
      <c r="J1005" s="215"/>
      <c r="K1005" s="215"/>
      <c r="L1005" s="215"/>
      <c r="M1005" s="215"/>
      <c r="N1005" s="215"/>
      <c r="O1005" s="215"/>
      <c r="P1005" s="215"/>
      <c r="Q1005" s="215"/>
      <c r="R1005" s="215"/>
      <c r="S1005" s="215"/>
      <c r="T1005" s="215"/>
      <c r="U1005" s="215"/>
      <c r="V1005" s="215"/>
      <c r="W1005" s="215"/>
      <c r="X1005" s="215"/>
      <c r="Y1005" s="215"/>
      <c r="Z1005" s="215"/>
    </row>
    <row r="1006">
      <c r="A1006" s="215"/>
      <c r="B1006" s="236"/>
      <c r="C1006" s="237"/>
      <c r="D1006" s="215"/>
      <c r="E1006" s="235"/>
      <c r="F1006" s="215"/>
      <c r="G1006" s="215"/>
      <c r="H1006" s="215"/>
      <c r="I1006" s="215"/>
      <c r="J1006" s="215"/>
      <c r="K1006" s="215"/>
      <c r="L1006" s="215"/>
      <c r="M1006" s="215"/>
      <c r="N1006" s="215"/>
      <c r="O1006" s="215"/>
      <c r="P1006" s="215"/>
      <c r="Q1006" s="215"/>
      <c r="R1006" s="215"/>
      <c r="S1006" s="215"/>
      <c r="T1006" s="215"/>
      <c r="U1006" s="215"/>
      <c r="V1006" s="215"/>
      <c r="W1006" s="215"/>
      <c r="X1006" s="215"/>
      <c r="Y1006" s="215"/>
      <c r="Z1006" s="215"/>
    </row>
    <row r="1007">
      <c r="A1007" s="215"/>
      <c r="B1007" s="236"/>
      <c r="C1007" s="237"/>
      <c r="D1007" s="215"/>
      <c r="E1007" s="235"/>
      <c r="F1007" s="215"/>
      <c r="G1007" s="215"/>
      <c r="H1007" s="215"/>
      <c r="I1007" s="215"/>
      <c r="J1007" s="215"/>
      <c r="K1007" s="215"/>
      <c r="L1007" s="215"/>
      <c r="M1007" s="215"/>
      <c r="N1007" s="215"/>
      <c r="O1007" s="215"/>
      <c r="P1007" s="215"/>
      <c r="Q1007" s="215"/>
      <c r="R1007" s="215"/>
      <c r="S1007" s="215"/>
      <c r="T1007" s="215"/>
      <c r="U1007" s="215"/>
      <c r="V1007" s="215"/>
      <c r="W1007" s="215"/>
      <c r="X1007" s="215"/>
      <c r="Y1007" s="215"/>
      <c r="Z1007" s="215"/>
    </row>
    <row r="1008">
      <c r="A1008" s="215"/>
      <c r="B1008" s="236"/>
      <c r="C1008" s="237"/>
      <c r="D1008" s="215"/>
      <c r="E1008" s="235"/>
      <c r="F1008" s="215"/>
      <c r="G1008" s="215"/>
      <c r="H1008" s="215"/>
      <c r="I1008" s="215"/>
      <c r="J1008" s="215"/>
      <c r="K1008" s="215"/>
      <c r="L1008" s="215"/>
      <c r="M1008" s="215"/>
      <c r="N1008" s="215"/>
      <c r="O1008" s="215"/>
      <c r="P1008" s="215"/>
      <c r="Q1008" s="215"/>
      <c r="R1008" s="215"/>
      <c r="S1008" s="215"/>
      <c r="T1008" s="215"/>
      <c r="U1008" s="215"/>
      <c r="V1008" s="215"/>
      <c r="W1008" s="215"/>
      <c r="X1008" s="215"/>
      <c r="Y1008" s="215"/>
      <c r="Z1008" s="215"/>
    </row>
    <row r="1009">
      <c r="A1009" s="215"/>
      <c r="B1009" s="236"/>
      <c r="C1009" s="237"/>
      <c r="D1009" s="215"/>
      <c r="E1009" s="235"/>
      <c r="F1009" s="215"/>
      <c r="G1009" s="215"/>
      <c r="H1009" s="215"/>
      <c r="I1009" s="215"/>
      <c r="J1009" s="215"/>
      <c r="K1009" s="215"/>
      <c r="L1009" s="215"/>
      <c r="M1009" s="215"/>
      <c r="N1009" s="215"/>
      <c r="O1009" s="215"/>
      <c r="P1009" s="215"/>
      <c r="Q1009" s="215"/>
      <c r="R1009" s="215"/>
      <c r="S1009" s="215"/>
      <c r="T1009" s="215"/>
      <c r="U1009" s="215"/>
      <c r="V1009" s="215"/>
      <c r="W1009" s="215"/>
      <c r="X1009" s="215"/>
      <c r="Y1009" s="215"/>
      <c r="Z1009" s="215"/>
    </row>
    <row r="1010">
      <c r="A1010" s="215"/>
      <c r="B1010" s="236"/>
      <c r="C1010" s="237"/>
      <c r="D1010" s="215"/>
      <c r="E1010" s="235"/>
      <c r="F1010" s="215"/>
      <c r="G1010" s="215"/>
      <c r="H1010" s="215"/>
      <c r="I1010" s="215"/>
      <c r="J1010" s="215"/>
      <c r="K1010" s="215"/>
      <c r="L1010" s="215"/>
      <c r="M1010" s="215"/>
      <c r="N1010" s="215"/>
      <c r="O1010" s="215"/>
      <c r="P1010" s="215"/>
      <c r="Q1010" s="215"/>
      <c r="R1010" s="215"/>
      <c r="S1010" s="215"/>
      <c r="T1010" s="215"/>
      <c r="U1010" s="215"/>
      <c r="V1010" s="215"/>
      <c r="W1010" s="215"/>
      <c r="X1010" s="215"/>
      <c r="Y1010" s="215"/>
      <c r="Z1010" s="215"/>
    </row>
    <row r="1011">
      <c r="A1011" s="215"/>
      <c r="B1011" s="236"/>
      <c r="C1011" s="237"/>
      <c r="D1011" s="215"/>
      <c r="E1011" s="235"/>
      <c r="F1011" s="215"/>
      <c r="G1011" s="215"/>
      <c r="H1011" s="215"/>
      <c r="I1011" s="215"/>
      <c r="J1011" s="215"/>
      <c r="K1011" s="215"/>
      <c r="L1011" s="215"/>
      <c r="M1011" s="215"/>
      <c r="N1011" s="215"/>
      <c r="O1011" s="215"/>
      <c r="P1011" s="215"/>
      <c r="Q1011" s="215"/>
      <c r="R1011" s="215"/>
      <c r="S1011" s="215"/>
      <c r="T1011" s="215"/>
      <c r="U1011" s="215"/>
      <c r="V1011" s="215"/>
      <c r="W1011" s="215"/>
      <c r="X1011" s="215"/>
      <c r="Y1011" s="215"/>
      <c r="Z1011" s="215"/>
    </row>
    <row r="1012">
      <c r="A1012" s="215"/>
      <c r="B1012" s="236"/>
      <c r="C1012" s="237"/>
      <c r="D1012" s="215"/>
      <c r="E1012" s="235"/>
      <c r="F1012" s="215"/>
      <c r="G1012" s="215"/>
      <c r="H1012" s="215"/>
      <c r="I1012" s="215"/>
      <c r="J1012" s="215"/>
      <c r="K1012" s="215"/>
      <c r="L1012" s="215"/>
      <c r="M1012" s="215"/>
      <c r="N1012" s="215"/>
      <c r="O1012" s="215"/>
      <c r="P1012" s="215"/>
      <c r="Q1012" s="215"/>
      <c r="R1012" s="215"/>
      <c r="S1012" s="215"/>
      <c r="T1012" s="215"/>
      <c r="U1012" s="215"/>
      <c r="V1012" s="215"/>
      <c r="W1012" s="215"/>
      <c r="X1012" s="215"/>
      <c r="Y1012" s="215"/>
      <c r="Z1012" s="215"/>
    </row>
  </sheetData>
  <mergeCells count="89">
    <mergeCell ref="G335:J335"/>
    <mergeCell ref="I337:I338"/>
    <mergeCell ref="G360:Q360"/>
    <mergeCell ref="G361:J361"/>
    <mergeCell ref="I363:I364"/>
    <mergeCell ref="G386:Q386"/>
    <mergeCell ref="G387:J387"/>
    <mergeCell ref="I389:I390"/>
    <mergeCell ref="G412:Q412"/>
    <mergeCell ref="G413:J413"/>
    <mergeCell ref="I415:I416"/>
    <mergeCell ref="G438:Q438"/>
    <mergeCell ref="G439:J439"/>
    <mergeCell ref="I441:I442"/>
    <mergeCell ref="G464:Q464"/>
    <mergeCell ref="G465:J465"/>
    <mergeCell ref="I467:I468"/>
    <mergeCell ref="G489:Q489"/>
    <mergeCell ref="G490:J490"/>
    <mergeCell ref="I492:I493"/>
    <mergeCell ref="G515:Q515"/>
    <mergeCell ref="G516:J516"/>
    <mergeCell ref="I518:I519"/>
    <mergeCell ref="G540:Q540"/>
    <mergeCell ref="G541:J541"/>
    <mergeCell ref="I543:I544"/>
    <mergeCell ref="G565:Q565"/>
    <mergeCell ref="G566:J566"/>
    <mergeCell ref="G690:J690"/>
    <mergeCell ref="I692:I693"/>
    <mergeCell ref="G713:Q713"/>
    <mergeCell ref="G714:J714"/>
    <mergeCell ref="I716:I717"/>
    <mergeCell ref="G640:Q640"/>
    <mergeCell ref="G641:J641"/>
    <mergeCell ref="I643:I644"/>
    <mergeCell ref="G665:Q665"/>
    <mergeCell ref="G666:J666"/>
    <mergeCell ref="I668:I669"/>
    <mergeCell ref="G689:Q689"/>
    <mergeCell ref="G1:Q1"/>
    <mergeCell ref="A2:E2"/>
    <mergeCell ref="G2:J2"/>
    <mergeCell ref="I4:I5"/>
    <mergeCell ref="G27:Q27"/>
    <mergeCell ref="G28:J28"/>
    <mergeCell ref="I30:I31"/>
    <mergeCell ref="G53:Q53"/>
    <mergeCell ref="G54:J54"/>
    <mergeCell ref="I56:I57"/>
    <mergeCell ref="G79:Q79"/>
    <mergeCell ref="G80:J80"/>
    <mergeCell ref="I82:I83"/>
    <mergeCell ref="G104:Q104"/>
    <mergeCell ref="G105:J105"/>
    <mergeCell ref="I107:I108"/>
    <mergeCell ref="G129:Q129"/>
    <mergeCell ref="G130:J130"/>
    <mergeCell ref="I132:I133"/>
    <mergeCell ref="G154:Q154"/>
    <mergeCell ref="G155:J155"/>
    <mergeCell ref="I157:I158"/>
    <mergeCell ref="G179:Q179"/>
    <mergeCell ref="G180:Q180"/>
    <mergeCell ref="G181:J181"/>
    <mergeCell ref="I183:I184"/>
    <mergeCell ref="G205:Q205"/>
    <mergeCell ref="G206:J206"/>
    <mergeCell ref="I208:I209"/>
    <mergeCell ref="G230:Q230"/>
    <mergeCell ref="G231:J231"/>
    <mergeCell ref="I233:I234"/>
    <mergeCell ref="G256:Q256"/>
    <mergeCell ref="G257:J257"/>
    <mergeCell ref="I259:I260"/>
    <mergeCell ref="G282:Q282"/>
    <mergeCell ref="G283:J283"/>
    <mergeCell ref="I285:I286"/>
    <mergeCell ref="G308:Q308"/>
    <mergeCell ref="G309:J309"/>
    <mergeCell ref="I311:I312"/>
    <mergeCell ref="G334:Q334"/>
    <mergeCell ref="I568:I569"/>
    <mergeCell ref="G590:Q590"/>
    <mergeCell ref="G591:J591"/>
    <mergeCell ref="I593:I594"/>
    <mergeCell ref="G615:Q615"/>
    <mergeCell ref="G616:J616"/>
    <mergeCell ref="I618:I61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25"/>
  </cols>
  <sheetData>
    <row r="1">
      <c r="A1" s="214"/>
      <c r="B1" s="214"/>
      <c r="C1" s="214"/>
      <c r="D1" s="214"/>
      <c r="E1" s="214"/>
      <c r="F1" s="215"/>
      <c r="G1" s="216" t="s">
        <v>482</v>
      </c>
      <c r="R1" s="215"/>
      <c r="S1" s="215"/>
      <c r="T1" s="215"/>
      <c r="U1" s="215"/>
      <c r="V1" s="215"/>
      <c r="W1" s="215"/>
      <c r="X1" s="215"/>
      <c r="Y1" s="215"/>
      <c r="Z1" s="215"/>
    </row>
    <row r="2">
      <c r="A2" s="214" t="s">
        <v>443</v>
      </c>
      <c r="F2" s="215"/>
      <c r="G2" s="217" t="s">
        <v>444</v>
      </c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>
      <c r="A3" s="218" t="s">
        <v>445</v>
      </c>
      <c r="B3" s="218" t="s">
        <v>477</v>
      </c>
      <c r="C3" s="254" t="s">
        <v>446</v>
      </c>
      <c r="D3" s="218" t="s">
        <v>441</v>
      </c>
      <c r="E3" s="218" t="s">
        <v>448</v>
      </c>
      <c r="F3" s="215"/>
      <c r="G3" s="221" t="s">
        <v>435</v>
      </c>
      <c r="H3" s="222" t="s">
        <v>449</v>
      </c>
      <c r="I3" s="222" t="s">
        <v>450</v>
      </c>
      <c r="J3" s="222" t="s">
        <v>389</v>
      </c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>
      <c r="A4" s="280">
        <v>45962.0</v>
      </c>
      <c r="B4" s="223">
        <f t="shared" ref="B4:B7" si="1">IFERROR(
  INDEX('ORDER MASUK OKTOBER'!E:E,
    MATCH(A4,
      DAY('ORDER MASUK OKTOBER'!A:A),
      0
    )
  ),
  0
)
</f>
        <v>0</v>
      </c>
      <c r="C4" s="224">
        <f>SUMIF('BULAN BERJALAN BANUA'!D:D, A4, 'BULAN BERJALAN BANUA'!H:H)</f>
        <v>130000</v>
      </c>
      <c r="D4" s="224">
        <f t="shared" ref="D4:D33" si="2">C4-B4</f>
        <v>130000</v>
      </c>
      <c r="E4" s="226">
        <f t="shared" ref="E4:E33" si="3">IF(AND(B4=0,C4=0),0,IF(AND(B4=0,C4&gt;0),1,(C4-B4)/B4))
</f>
        <v>1</v>
      </c>
      <c r="F4" s="215"/>
      <c r="G4" s="241" t="s">
        <v>386</v>
      </c>
      <c r="H4" s="224">
        <f>B35</f>
        <v>0</v>
      </c>
      <c r="I4" s="228">
        <f>IF(AND(H4=0,H5=0),0,IF(AND(H4=0,H5&gt;0),1,(H5-H4)/H4))
</f>
        <v>1</v>
      </c>
      <c r="J4" s="229" t="str">
        <f>OKTOBER!$D$7</f>
        <v/>
      </c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80">
        <v>45963.0</v>
      </c>
      <c r="B5" s="223">
        <f t="shared" si="1"/>
        <v>0</v>
      </c>
      <c r="C5" s="224">
        <f>SUMIF('BULAN BERJALAN BANUA'!D:D, A5, 'BULAN BERJALAN BANUA'!H:H)</f>
        <v>0</v>
      </c>
      <c r="D5" s="224">
        <f t="shared" si="2"/>
        <v>0</v>
      </c>
      <c r="E5" s="226">
        <f t="shared" si="3"/>
        <v>0</v>
      </c>
      <c r="F5" s="215"/>
      <c r="G5" s="241" t="s">
        <v>387</v>
      </c>
      <c r="H5" s="224">
        <f>C35</f>
        <v>31820000</v>
      </c>
      <c r="I5" s="7"/>
      <c r="J5" s="229">
        <f>NOVEMBER!$E$7</f>
        <v>70000000</v>
      </c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80">
        <v>45964.0</v>
      </c>
      <c r="B6" s="223">
        <f t="shared" si="1"/>
        <v>0</v>
      </c>
      <c r="C6" s="224">
        <f>SUMIF('BULAN BERJALAN BANUA'!D:D, A6, 'BULAN BERJALAN BANUA'!H:H)</f>
        <v>0</v>
      </c>
      <c r="D6" s="224">
        <f t="shared" si="2"/>
        <v>0</v>
      </c>
      <c r="E6" s="226">
        <f t="shared" si="3"/>
        <v>0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80">
        <v>45965.0</v>
      </c>
      <c r="B7" s="223">
        <f t="shared" si="1"/>
        <v>0</v>
      </c>
      <c r="C7" s="224">
        <f>SUMIF('BULAN BERJALAN BANUA'!D:D, A7, 'BULAN BERJALAN BANUA'!H:H)</f>
        <v>200000</v>
      </c>
      <c r="D7" s="224">
        <f t="shared" si="2"/>
        <v>200000</v>
      </c>
      <c r="E7" s="226">
        <f t="shared" si="3"/>
        <v>1</v>
      </c>
      <c r="F7" s="215"/>
      <c r="G7" s="230" t="str">
        <f>LET(
  bulanLalu, G4,
  bulanIni, G5,
  orderLalu, H4,
  orderIni, H5,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#DIV/0!</v>
      </c>
      <c r="H7" s="231"/>
      <c r="I7" s="231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80">
        <v>45966.0</v>
      </c>
      <c r="B8" s="223">
        <v>0.0</v>
      </c>
      <c r="C8" s="224">
        <f>SUMIF('BULAN BERJALAN BANUA'!D:D, A8, 'BULAN BERJALAN BANUA'!H:H)</f>
        <v>0</v>
      </c>
      <c r="D8" s="224">
        <f t="shared" si="2"/>
        <v>0</v>
      </c>
      <c r="E8" s="226">
        <f t="shared" si="3"/>
        <v>0</v>
      </c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80">
        <v>45967.0</v>
      </c>
      <c r="B9" s="223" t="str">
        <f>OKTOBER!D21</f>
        <v/>
      </c>
      <c r="C9" s="224">
        <f>SUMIF('BULAN BERJALAN BANUA'!D:D, A9, 'BULAN BERJALAN BANUA'!H:H)</f>
        <v>0</v>
      </c>
      <c r="D9" s="224">
        <f t="shared" si="2"/>
        <v>0</v>
      </c>
      <c r="E9" s="226">
        <f t="shared" si="3"/>
        <v>0</v>
      </c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80">
        <v>45968.0</v>
      </c>
      <c r="B10" s="223" t="str">
        <f>OKTOBER!D22</f>
        <v/>
      </c>
      <c r="C10" s="224">
        <f>IF(NOVEMBER!D22="", 0, NOVEMBER!D22)
</f>
        <v>0</v>
      </c>
      <c r="D10" s="224">
        <f t="shared" si="2"/>
        <v>0</v>
      </c>
      <c r="E10" s="226">
        <f t="shared" si="3"/>
        <v>0</v>
      </c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80">
        <v>45969.0</v>
      </c>
      <c r="B11" s="223" t="str">
        <f>OKTOBER!D23</f>
        <v/>
      </c>
      <c r="C11" s="224">
        <f>IF(NOVEMBER!D23="", 0, NOVEMBER!D23)
</f>
        <v>0</v>
      </c>
      <c r="D11" s="224">
        <f t="shared" si="2"/>
        <v>0</v>
      </c>
      <c r="E11" s="226">
        <f t="shared" si="3"/>
        <v>0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80">
        <v>45970.0</v>
      </c>
      <c r="B12" s="223" t="str">
        <f>OKTOBER!D24</f>
        <v/>
      </c>
      <c r="C12" s="224">
        <f>IF(NOVEMBER!D24="", 0, NOVEMBER!D24)
</f>
        <v>0</v>
      </c>
      <c r="D12" s="224">
        <f t="shared" si="2"/>
        <v>0</v>
      </c>
      <c r="E12" s="226">
        <f t="shared" si="3"/>
        <v>0</v>
      </c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80">
        <v>45971.0</v>
      </c>
      <c r="B13" s="223" t="str">
        <f>OKTOBER!D25</f>
        <v/>
      </c>
      <c r="C13" s="224">
        <f>IF(NOVEMBER!D25="", 0, NOVEMBER!D25)
</f>
        <v>0</v>
      </c>
      <c r="D13" s="224">
        <f t="shared" si="2"/>
        <v>0</v>
      </c>
      <c r="E13" s="226">
        <f t="shared" si="3"/>
        <v>0</v>
      </c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80">
        <v>45972.0</v>
      </c>
      <c r="B14" s="223" t="str">
        <f>OKTOBER!D26</f>
        <v/>
      </c>
      <c r="C14" s="224">
        <f>IF(NOVEMBER!D26="", 0, NOVEMBER!D26)
</f>
        <v>3215000</v>
      </c>
      <c r="D14" s="224">
        <f t="shared" si="2"/>
        <v>3215000</v>
      </c>
      <c r="E14" s="226">
        <f t="shared" si="3"/>
        <v>1</v>
      </c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80">
        <v>45973.0</v>
      </c>
      <c r="B15" s="223" t="str">
        <f>OKTOBER!D27</f>
        <v/>
      </c>
      <c r="C15" s="224">
        <f>IF(NOVEMBER!D27="", 0, NOVEMBER!D27)
</f>
        <v>11535000</v>
      </c>
      <c r="D15" s="224">
        <f t="shared" si="2"/>
        <v>11535000</v>
      </c>
      <c r="E15" s="226">
        <f t="shared" si="3"/>
        <v>1</v>
      </c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80">
        <v>45974.0</v>
      </c>
      <c r="B16" s="223" t="str">
        <f>OKTOBER!D28</f>
        <v/>
      </c>
      <c r="C16" s="224">
        <f>IF(NOVEMBER!D28="", 0, NOVEMBER!D28)
</f>
        <v>0</v>
      </c>
      <c r="D16" s="224">
        <f t="shared" si="2"/>
        <v>0</v>
      </c>
      <c r="E16" s="226">
        <f t="shared" si="3"/>
        <v>0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80">
        <v>45975.0</v>
      </c>
      <c r="B17" s="223" t="str">
        <f>OKTOBER!D29</f>
        <v/>
      </c>
      <c r="C17" s="224">
        <f>IF(NOVEMBER!D29="", 0, NOVEMBER!D29)
</f>
        <v>250000</v>
      </c>
      <c r="D17" s="224">
        <f t="shared" si="2"/>
        <v>250000</v>
      </c>
      <c r="E17" s="226">
        <f t="shared" si="3"/>
        <v>1</v>
      </c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80">
        <v>45976.0</v>
      </c>
      <c r="B18" s="223" t="str">
        <f>OKTOBER!D30</f>
        <v/>
      </c>
      <c r="C18" s="224">
        <f>IF(NOVEMBER!D30="", 0, NOVEMBER!D30)
</f>
        <v>0</v>
      </c>
      <c r="D18" s="224">
        <f t="shared" si="2"/>
        <v>0</v>
      </c>
      <c r="E18" s="226">
        <f t="shared" si="3"/>
        <v>0</v>
      </c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>
      <c r="A19" s="280">
        <v>45977.0</v>
      </c>
      <c r="B19" s="223" t="str">
        <f>OKTOBER!D31</f>
        <v/>
      </c>
      <c r="C19" s="224">
        <f>IF(NOVEMBER!D31="", 0, NOVEMBER!D31)
</f>
        <v>0</v>
      </c>
      <c r="D19" s="224">
        <f t="shared" si="2"/>
        <v>0</v>
      </c>
      <c r="E19" s="226">
        <f t="shared" si="3"/>
        <v>0</v>
      </c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>
      <c r="A20" s="280">
        <v>45978.0</v>
      </c>
      <c r="B20" s="223" t="str">
        <f>OKTOBER!D32</f>
        <v/>
      </c>
      <c r="C20" s="224">
        <f>NOVEMBER!D35</f>
        <v>7350000</v>
      </c>
      <c r="D20" s="224">
        <f t="shared" si="2"/>
        <v>7350000</v>
      </c>
      <c r="E20" s="226">
        <f t="shared" si="3"/>
        <v>1</v>
      </c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>
      <c r="A21" s="280">
        <v>45979.0</v>
      </c>
      <c r="B21" s="223" t="str">
        <f>OKTOBER!D33</f>
        <v/>
      </c>
      <c r="C21" s="224">
        <f>IF(NOVEMBER!D33="", 0, NOVEMBER!D33)
</f>
        <v>0</v>
      </c>
      <c r="D21" s="224">
        <f t="shared" si="2"/>
        <v>0</v>
      </c>
      <c r="E21" s="226">
        <f t="shared" si="3"/>
        <v>0</v>
      </c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>
      <c r="A22" s="280">
        <v>45980.0</v>
      </c>
      <c r="B22" s="233">
        <v>0.0</v>
      </c>
      <c r="C22" s="224">
        <f>IF(NOVEMBER!D34="", 0, NOVEMBER!D34)
</f>
        <v>0</v>
      </c>
      <c r="D22" s="224">
        <f t="shared" si="2"/>
        <v>0</v>
      </c>
      <c r="E22" s="226">
        <f t="shared" si="3"/>
        <v>0</v>
      </c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>
      <c r="A23" s="280">
        <v>45981.0</v>
      </c>
      <c r="B23" s="223" t="str">
        <f>OKTOBER!D35</f>
        <v/>
      </c>
      <c r="C23" s="224">
        <f>IF(NOVEMBER!D35="", 0, NOVEMBER!D35)
</f>
        <v>7350000</v>
      </c>
      <c r="D23" s="224">
        <f t="shared" si="2"/>
        <v>7350000</v>
      </c>
      <c r="E23" s="226">
        <f t="shared" si="3"/>
        <v>1</v>
      </c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>
      <c r="A24" s="280">
        <v>45982.0</v>
      </c>
      <c r="B24" s="223" t="str">
        <f>OKTOBER!D36</f>
        <v/>
      </c>
      <c r="C24" s="224">
        <f>IF(NOVEMBER!D36="", 0, NOVEMBER!D36)
</f>
        <v>0</v>
      </c>
      <c r="D24" s="224">
        <f t="shared" si="2"/>
        <v>0</v>
      </c>
      <c r="E24" s="226">
        <f t="shared" si="3"/>
        <v>0</v>
      </c>
      <c r="F24" s="215"/>
      <c r="G24" s="234"/>
      <c r="H24" s="234"/>
      <c r="I24" s="234"/>
      <c r="J24" s="234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>
      <c r="A25" s="280">
        <v>45983.0</v>
      </c>
      <c r="B25" s="223" t="str">
        <f>OKTOBER!D37</f>
        <v/>
      </c>
      <c r="C25" s="224">
        <f>IF(NOVEMBER!D37="", 0, NOVEMBER!D37)
</f>
        <v>1790000</v>
      </c>
      <c r="D25" s="224">
        <f t="shared" si="2"/>
        <v>1790000</v>
      </c>
      <c r="E25" s="226">
        <f t="shared" si="3"/>
        <v>1</v>
      </c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>
      <c r="A26" s="280">
        <v>45984.0</v>
      </c>
      <c r="B26" s="223" t="str">
        <f>OKTOBER!D38</f>
        <v/>
      </c>
      <c r="C26" s="224">
        <f>IF(NOVEMBER!D38="", 0, NOVEMBER!D38)
</f>
        <v>0</v>
      </c>
      <c r="D26" s="224">
        <f t="shared" si="2"/>
        <v>0</v>
      </c>
      <c r="E26" s="226">
        <f t="shared" si="3"/>
        <v>0</v>
      </c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>
      <c r="A27" s="280">
        <v>45985.0</v>
      </c>
      <c r="B27" s="223" t="str">
        <f>OKTOBER!D39</f>
        <v/>
      </c>
      <c r="C27" s="224">
        <f>IF(NOVEMBER!D39="", 0, NOVEMBER!D39)
</f>
        <v>0</v>
      </c>
      <c r="D27" s="224">
        <f t="shared" si="2"/>
        <v>0</v>
      </c>
      <c r="E27" s="226">
        <f t="shared" si="3"/>
        <v>0</v>
      </c>
      <c r="F27" s="215"/>
      <c r="G27" s="216" t="s">
        <v>483</v>
      </c>
      <c r="R27" s="215"/>
      <c r="S27" s="215"/>
      <c r="T27" s="215"/>
      <c r="U27" s="215"/>
      <c r="V27" s="215"/>
      <c r="W27" s="215"/>
      <c r="X27" s="215"/>
      <c r="Y27" s="215"/>
      <c r="Z27" s="215"/>
    </row>
    <row r="28">
      <c r="A28" s="280">
        <v>45986.0</v>
      </c>
      <c r="B28" s="223" t="str">
        <f>OKTOBER!D40</f>
        <v/>
      </c>
      <c r="C28" s="224">
        <f>IF(NOVEMBER!D40="", 0, NOVEMBER!D40)
</f>
        <v>0</v>
      </c>
      <c r="D28" s="224">
        <f t="shared" si="2"/>
        <v>0</v>
      </c>
      <c r="E28" s="226">
        <f t="shared" si="3"/>
        <v>0</v>
      </c>
      <c r="F28" s="215"/>
      <c r="G28" s="217" t="s">
        <v>444</v>
      </c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>
      <c r="A29" s="280">
        <v>45987.0</v>
      </c>
      <c r="B29" s="223" t="str">
        <f>OKTOBER!D41</f>
        <v/>
      </c>
      <c r="C29" s="224">
        <f>IF(NOVEMBER!D41="", 0, NOVEMBER!D41)
</f>
        <v>0</v>
      </c>
      <c r="D29" s="224">
        <f t="shared" si="2"/>
        <v>0</v>
      </c>
      <c r="E29" s="226">
        <f t="shared" si="3"/>
        <v>0</v>
      </c>
      <c r="F29" s="215"/>
      <c r="G29" s="221" t="s">
        <v>435</v>
      </c>
      <c r="H29" s="222" t="s">
        <v>449</v>
      </c>
      <c r="I29" s="222" t="s">
        <v>450</v>
      </c>
      <c r="J29" s="222" t="s">
        <v>389</v>
      </c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>
      <c r="A30" s="280">
        <v>45988.0</v>
      </c>
      <c r="B30" s="223" t="str">
        <f>OKTOBER!D42</f>
        <v/>
      </c>
      <c r="C30" s="224">
        <f>IF(NOVEMBER!D42="", 0, NOVEMBER!D42)
</f>
        <v>0</v>
      </c>
      <c r="D30" s="224">
        <f t="shared" si="2"/>
        <v>0</v>
      </c>
      <c r="E30" s="226">
        <f t="shared" si="3"/>
        <v>0</v>
      </c>
      <c r="F30" s="215"/>
      <c r="G30" s="241" t="s">
        <v>386</v>
      </c>
      <c r="H30" s="224" t="str">
        <f>B18</f>
        <v/>
      </c>
      <c r="I30" s="239">
        <f>IF(AND(H30=0,H31=0),0,IF(AND(H30=0,H31&gt;0),1,(H31-H30)/H30))
</f>
        <v>0</v>
      </c>
      <c r="J30" s="229" t="str">
        <f>OKTOBER!$D$7</f>
        <v/>
      </c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>
      <c r="A31" s="280">
        <v>45989.0</v>
      </c>
      <c r="B31" s="223" t="str">
        <f>OKTOBER!D43</f>
        <v/>
      </c>
      <c r="C31" s="224">
        <f>IF(NOVEMBER!D43="", 0, NOVEMBER!D43)
</f>
        <v>0</v>
      </c>
      <c r="D31" s="224">
        <f t="shared" si="2"/>
        <v>0</v>
      </c>
      <c r="E31" s="226">
        <f t="shared" si="3"/>
        <v>0</v>
      </c>
      <c r="F31" s="215"/>
      <c r="G31" s="241" t="s">
        <v>387</v>
      </c>
      <c r="H31" s="224">
        <f>C18</f>
        <v>0</v>
      </c>
      <c r="I31" s="7"/>
      <c r="J31" s="229">
        <f>NOVEMBER!$E$7</f>
        <v>70000000</v>
      </c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>
      <c r="A32" s="280">
        <v>45990.0</v>
      </c>
      <c r="B32" s="223" t="str">
        <f>OKTOBER!D44</f>
        <v/>
      </c>
      <c r="C32" s="224">
        <f>IF(NOVEMBER!D44="", 0, NOVEMBER!D44)
</f>
        <v>0</v>
      </c>
      <c r="D32" s="224">
        <f t="shared" si="2"/>
        <v>0</v>
      </c>
      <c r="E32" s="226">
        <f t="shared" si="3"/>
        <v>0</v>
      </c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>
      <c r="A33" s="280">
        <v>45991.0</v>
      </c>
      <c r="B33" s="223" t="str">
        <f>OKTOBER!D45</f>
        <v/>
      </c>
      <c r="C33" s="224">
        <f>IF(NOVEMBER!D45="", 0, NOVEMBER!D45)
</f>
        <v>0</v>
      </c>
      <c r="D33" s="224">
        <f t="shared" si="2"/>
        <v>0</v>
      </c>
      <c r="E33" s="226">
        <f t="shared" si="3"/>
        <v>0</v>
      </c>
      <c r="F33" s="215"/>
      <c r="G33" s="230" t="str">
        <f>LET(
  bulanLalu, G30,
  bulanIni, G31,
  orderLalu, H30,
  orderIni, H31,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tetap sama antara OKTOBER dan NOVEMBER</v>
      </c>
      <c r="H33" s="231"/>
      <c r="I33" s="231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>
      <c r="A34" s="280">
        <v>45992.0</v>
      </c>
      <c r="B34" s="223" t="str">
        <f>OKTOBER!D46</f>
        <v/>
      </c>
      <c r="C34" s="224">
        <f>IF(NOVEMBER!D46="", 0, NOVEMBER!D46)
</f>
        <v>0</v>
      </c>
      <c r="D34" s="236"/>
      <c r="E34" s="281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>
      <c r="A35" s="223" t="s">
        <v>5</v>
      </c>
      <c r="B35" s="224">
        <f>SUM(B4:B34)</f>
        <v>0</v>
      </c>
      <c r="C35" s="224">
        <f>SUM(C4:C33)</f>
        <v>31820000</v>
      </c>
      <c r="D35" s="215"/>
      <c r="E35" s="23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>
      <c r="A36" s="215"/>
      <c r="B36" s="237"/>
      <c r="C36" s="236"/>
      <c r="D36" s="215"/>
      <c r="E36" s="23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>
      <c r="A37" s="215"/>
      <c r="B37" s="237"/>
      <c r="C37" s="236"/>
      <c r="D37" s="215"/>
      <c r="E37" s="23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>
      <c r="A38" s="215"/>
      <c r="B38" s="237"/>
      <c r="C38" s="236"/>
      <c r="D38" s="215"/>
      <c r="E38" s="23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>
      <c r="A39" s="215"/>
      <c r="B39" s="237"/>
      <c r="C39" s="236"/>
      <c r="D39" s="215"/>
      <c r="E39" s="23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>
      <c r="A40" s="215"/>
      <c r="B40" s="237"/>
      <c r="C40" s="236"/>
      <c r="D40" s="215"/>
      <c r="E40" s="23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>
      <c r="A41" s="215"/>
      <c r="B41" s="237"/>
      <c r="C41" s="236"/>
      <c r="D41" s="215"/>
      <c r="E41" s="23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>
      <c r="A42" s="215"/>
      <c r="B42" s="237"/>
      <c r="C42" s="236"/>
      <c r="D42" s="215"/>
      <c r="E42" s="23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>
      <c r="A43" s="215"/>
      <c r="B43" s="237"/>
      <c r="C43" s="236"/>
      <c r="D43" s="215"/>
      <c r="E43" s="23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>
      <c r="A44" s="215"/>
      <c r="B44" s="237"/>
      <c r="C44" s="236"/>
      <c r="D44" s="215"/>
      <c r="E44" s="23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>
      <c r="A45" s="215"/>
      <c r="B45" s="237"/>
      <c r="C45" s="236"/>
      <c r="D45" s="215"/>
      <c r="E45" s="23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>
      <c r="A46" s="215"/>
      <c r="B46" s="237"/>
      <c r="C46" s="236"/>
      <c r="D46" s="215"/>
      <c r="E46" s="23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>
      <c r="A47" s="215"/>
      <c r="B47" s="237"/>
      <c r="C47" s="236"/>
      <c r="D47" s="215"/>
      <c r="E47" s="23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>
      <c r="A48" s="215"/>
      <c r="B48" s="237"/>
      <c r="C48" s="236"/>
      <c r="D48" s="215"/>
      <c r="E48" s="23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>
      <c r="A49" s="215"/>
      <c r="B49" s="237"/>
      <c r="C49" s="236"/>
      <c r="D49" s="215"/>
      <c r="E49" s="23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>
      <c r="A50" s="215"/>
      <c r="B50" s="237"/>
      <c r="C50" s="236"/>
      <c r="D50" s="215"/>
      <c r="E50" s="23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>
      <c r="A51" s="215"/>
      <c r="B51" s="237"/>
      <c r="C51" s="236"/>
      <c r="D51" s="215"/>
      <c r="E51" s="23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>
      <c r="A52" s="215"/>
      <c r="B52" s="237"/>
      <c r="C52" s="236"/>
      <c r="D52" s="215"/>
      <c r="E52" s="23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>
      <c r="A53" s="215"/>
      <c r="B53" s="237"/>
      <c r="C53" s="236"/>
      <c r="D53" s="215"/>
      <c r="E53" s="235"/>
      <c r="F53" s="215"/>
      <c r="G53" s="216" t="s">
        <v>484</v>
      </c>
      <c r="R53" s="215"/>
      <c r="S53" s="215"/>
      <c r="T53" s="215"/>
      <c r="U53" s="215"/>
      <c r="V53" s="215"/>
      <c r="W53" s="215"/>
      <c r="X53" s="215"/>
      <c r="Y53" s="215"/>
      <c r="Z53" s="215"/>
    </row>
    <row r="54">
      <c r="A54" s="215"/>
      <c r="B54" s="237"/>
      <c r="C54" s="236"/>
      <c r="D54" s="215"/>
      <c r="E54" s="235"/>
      <c r="F54" s="215"/>
      <c r="G54" s="217" t="s">
        <v>444</v>
      </c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>
      <c r="A55" s="215"/>
      <c r="B55" s="237"/>
      <c r="C55" s="236"/>
      <c r="D55" s="215"/>
      <c r="E55" s="235"/>
      <c r="F55" s="215"/>
      <c r="G55" s="221" t="s">
        <v>435</v>
      </c>
      <c r="H55" s="222" t="s">
        <v>449</v>
      </c>
      <c r="I55" s="222" t="s">
        <v>450</v>
      </c>
      <c r="J55" s="222" t="s">
        <v>389</v>
      </c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>
      <c r="A56" s="215"/>
      <c r="B56" s="237"/>
      <c r="C56" s="236"/>
      <c r="D56" s="215"/>
      <c r="E56" s="235"/>
      <c r="F56" s="215"/>
      <c r="G56" s="241" t="s">
        <v>386</v>
      </c>
      <c r="H56" s="224" t="str">
        <f>B19</f>
        <v/>
      </c>
      <c r="I56" s="239">
        <f>IF(AND(H56=0,H57=0),0,IF(AND(H56=0,H57&gt;0),1,(H57-H56)/H56))
</f>
        <v>0</v>
      </c>
      <c r="J56" s="229" t="str">
        <f>OKTOBER!$D$7</f>
        <v/>
      </c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>
      <c r="A57" s="215"/>
      <c r="B57" s="237"/>
      <c r="C57" s="236"/>
      <c r="D57" s="215"/>
      <c r="E57" s="235"/>
      <c r="F57" s="215"/>
      <c r="G57" s="241" t="s">
        <v>387</v>
      </c>
      <c r="H57" s="224">
        <f>C19</f>
        <v>0</v>
      </c>
      <c r="I57" s="7"/>
      <c r="J57" s="229">
        <f>NOVEMBER!$E$7</f>
        <v>70000000</v>
      </c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>
      <c r="A58" s="215"/>
      <c r="B58" s="237"/>
      <c r="C58" s="236"/>
      <c r="D58" s="215"/>
      <c r="E58" s="23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>
      <c r="A59" s="215"/>
      <c r="B59" s="237"/>
      <c r="C59" s="236"/>
      <c r="D59" s="215"/>
      <c r="E59" s="235"/>
      <c r="F59" s="215"/>
      <c r="G59" s="230" t="str">
        <f>LET(
  bulanLalu, G56,
  bulanIni, G57,
  orderLalu, H56,
  orderIni, H57,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tetap sama antara OKTOBER dan NOVEMBER</v>
      </c>
      <c r="H59" s="231"/>
      <c r="I59" s="231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>
      <c r="A60" s="215"/>
      <c r="B60" s="237"/>
      <c r="C60" s="236"/>
      <c r="D60" s="215"/>
      <c r="E60" s="23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>
      <c r="A61" s="215"/>
      <c r="B61" s="237"/>
      <c r="C61" s="236"/>
      <c r="D61" s="215"/>
      <c r="E61" s="23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>
      <c r="A62" s="215"/>
      <c r="B62" s="237"/>
      <c r="C62" s="236"/>
      <c r="D62" s="215"/>
      <c r="E62" s="23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>
      <c r="A63" s="215"/>
      <c r="B63" s="237"/>
      <c r="C63" s="236"/>
      <c r="D63" s="215"/>
      <c r="E63" s="23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>
      <c r="A64" s="215"/>
      <c r="B64" s="237"/>
      <c r="C64" s="236"/>
      <c r="D64" s="215"/>
      <c r="E64" s="23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>
      <c r="A65" s="215"/>
      <c r="B65" s="237"/>
      <c r="C65" s="236"/>
      <c r="D65" s="215"/>
      <c r="E65" s="23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>
      <c r="A66" s="215"/>
      <c r="B66" s="237"/>
      <c r="C66" s="236"/>
      <c r="D66" s="215"/>
      <c r="E66" s="23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>
      <c r="A67" s="215"/>
      <c r="B67" s="237"/>
      <c r="C67" s="236"/>
      <c r="D67" s="215"/>
      <c r="E67" s="23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>
      <c r="A68" s="215"/>
      <c r="B68" s="237"/>
      <c r="C68" s="236"/>
      <c r="D68" s="215"/>
      <c r="E68" s="23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>
      <c r="A69" s="215"/>
      <c r="B69" s="237"/>
      <c r="C69" s="236"/>
      <c r="D69" s="215"/>
      <c r="E69" s="23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A70" s="215"/>
      <c r="B70" s="237"/>
      <c r="C70" s="236"/>
      <c r="D70" s="215"/>
      <c r="E70" s="23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>
      <c r="A71" s="215"/>
      <c r="B71" s="237"/>
      <c r="C71" s="236"/>
      <c r="D71" s="215"/>
      <c r="E71" s="23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>
      <c r="A72" s="215"/>
      <c r="B72" s="237"/>
      <c r="C72" s="236"/>
      <c r="D72" s="215"/>
      <c r="E72" s="23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>
      <c r="A73" s="215"/>
      <c r="B73" s="237"/>
      <c r="C73" s="236"/>
      <c r="D73" s="215"/>
      <c r="E73" s="23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</row>
    <row r="74">
      <c r="A74" s="215"/>
      <c r="B74" s="237"/>
      <c r="C74" s="236"/>
      <c r="D74" s="215"/>
      <c r="E74" s="23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>
      <c r="A75" s="215"/>
      <c r="B75" s="237"/>
      <c r="C75" s="236"/>
      <c r="D75" s="215"/>
      <c r="E75" s="23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>
      <c r="A76" s="215"/>
      <c r="B76" s="237"/>
      <c r="C76" s="236"/>
      <c r="D76" s="215"/>
      <c r="E76" s="23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>
      <c r="A77" s="215"/>
      <c r="B77" s="237"/>
      <c r="C77" s="236"/>
      <c r="D77" s="215"/>
      <c r="E77" s="23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>
      <c r="A78" s="215"/>
      <c r="B78" s="237"/>
      <c r="C78" s="236"/>
      <c r="D78" s="215"/>
      <c r="E78" s="23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>
      <c r="A79" s="215"/>
      <c r="B79" s="237"/>
      <c r="C79" s="236"/>
      <c r="D79" s="215"/>
      <c r="E79" s="235"/>
      <c r="F79" s="215"/>
      <c r="G79" s="216" t="s">
        <v>485</v>
      </c>
      <c r="R79" s="215"/>
      <c r="S79" s="215"/>
      <c r="T79" s="215"/>
      <c r="U79" s="215"/>
      <c r="V79" s="215"/>
      <c r="W79" s="215"/>
      <c r="X79" s="215"/>
      <c r="Y79" s="215"/>
      <c r="Z79" s="215"/>
    </row>
    <row r="80">
      <c r="A80" s="215"/>
      <c r="B80" s="237"/>
      <c r="C80" s="236"/>
      <c r="D80" s="215"/>
      <c r="E80" s="235"/>
      <c r="F80" s="215"/>
      <c r="G80" s="217" t="s">
        <v>444</v>
      </c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>
      <c r="A81" s="215"/>
      <c r="B81" s="237"/>
      <c r="C81" s="236"/>
      <c r="D81" s="215"/>
      <c r="E81" s="235"/>
      <c r="F81" s="215"/>
      <c r="G81" s="221" t="s">
        <v>435</v>
      </c>
      <c r="H81" s="222" t="s">
        <v>449</v>
      </c>
      <c r="I81" s="222" t="s">
        <v>450</v>
      </c>
      <c r="J81" s="222" t="s">
        <v>389</v>
      </c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>
      <c r="A82" s="215"/>
      <c r="B82" s="237"/>
      <c r="C82" s="236"/>
      <c r="D82" s="215"/>
      <c r="E82" s="235"/>
      <c r="F82" s="215"/>
      <c r="G82" s="241" t="s">
        <v>386</v>
      </c>
      <c r="H82" s="224" t="str">
        <f>B20</f>
        <v/>
      </c>
      <c r="I82" s="239">
        <f>IF(AND(H82=0,H83=0),0,IF(AND(H82=0,H83&gt;0),1,(H83-H82)/H82))
</f>
        <v>1</v>
      </c>
      <c r="J82" s="229" t="str">
        <f>OKTOBER!$D$7</f>
        <v/>
      </c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>
      <c r="A83" s="215"/>
      <c r="B83" s="237"/>
      <c r="C83" s="236"/>
      <c r="D83" s="215"/>
      <c r="E83" s="235"/>
      <c r="F83" s="215"/>
      <c r="G83" s="241" t="s">
        <v>387</v>
      </c>
      <c r="H83" s="224">
        <f>C20</f>
        <v>7350000</v>
      </c>
      <c r="I83" s="7"/>
      <c r="J83" s="229">
        <f>NOVEMBER!$E$7</f>
        <v>70000000</v>
      </c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>
      <c r="A84" s="215"/>
      <c r="B84" s="237"/>
      <c r="C84" s="236"/>
      <c r="D84" s="215"/>
      <c r="E84" s="23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>
      <c r="A85" s="215"/>
      <c r="B85" s="237"/>
      <c r="C85" s="236"/>
      <c r="D85" s="215"/>
      <c r="E85" s="235"/>
      <c r="F85" s="215"/>
      <c r="G85" s="230" t="str">
        <f>LET(
  bulanLalu, G82,
  bulanIni, G83,
  orderLalu, H82,
  orderIni, H83,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#DIV/0!</v>
      </c>
      <c r="H85" s="231"/>
      <c r="I85" s="231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>
      <c r="A86" s="215"/>
      <c r="B86" s="237"/>
      <c r="C86" s="236"/>
      <c r="D86" s="215"/>
      <c r="E86" s="23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>
      <c r="A87" s="215"/>
      <c r="B87" s="237"/>
      <c r="C87" s="236"/>
      <c r="D87" s="215"/>
      <c r="E87" s="23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>
      <c r="A88" s="215"/>
      <c r="B88" s="237"/>
      <c r="C88" s="236"/>
      <c r="D88" s="215"/>
      <c r="E88" s="23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>
      <c r="A89" s="215"/>
      <c r="B89" s="237"/>
      <c r="C89" s="236"/>
      <c r="D89" s="215"/>
      <c r="E89" s="23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>
      <c r="A90" s="215"/>
      <c r="B90" s="237"/>
      <c r="C90" s="236"/>
      <c r="D90" s="215"/>
      <c r="E90" s="23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>
      <c r="A91" s="215"/>
      <c r="B91" s="237"/>
      <c r="C91" s="236"/>
      <c r="D91" s="215"/>
      <c r="E91" s="23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>
      <c r="A92" s="215"/>
      <c r="B92" s="237"/>
      <c r="C92" s="236"/>
      <c r="D92" s="215"/>
      <c r="E92" s="23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>
      <c r="A93" s="215"/>
      <c r="B93" s="237"/>
      <c r="C93" s="236"/>
      <c r="D93" s="215"/>
      <c r="E93" s="23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>
      <c r="A94" s="215"/>
      <c r="B94" s="237"/>
      <c r="C94" s="236"/>
      <c r="D94" s="215"/>
      <c r="E94" s="23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>
      <c r="A95" s="215"/>
      <c r="B95" s="237"/>
      <c r="C95" s="236"/>
      <c r="D95" s="215"/>
      <c r="E95" s="23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>
      <c r="A96" s="215"/>
      <c r="B96" s="237"/>
      <c r="C96" s="236"/>
      <c r="D96" s="215"/>
      <c r="E96" s="23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>
      <c r="A97" s="215"/>
      <c r="B97" s="237"/>
      <c r="C97" s="236"/>
      <c r="D97" s="215"/>
      <c r="E97" s="23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>
      <c r="A98" s="215"/>
      <c r="B98" s="237"/>
      <c r="C98" s="236"/>
      <c r="D98" s="215"/>
      <c r="E98" s="23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>
      <c r="A99" s="215"/>
      <c r="B99" s="237"/>
      <c r="C99" s="236"/>
      <c r="D99" s="215"/>
      <c r="E99" s="23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>
      <c r="A100" s="215"/>
      <c r="B100" s="237"/>
      <c r="C100" s="236"/>
      <c r="D100" s="215"/>
      <c r="E100" s="23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>
      <c r="A101" s="215"/>
      <c r="B101" s="237"/>
      <c r="C101" s="236"/>
      <c r="D101" s="215"/>
      <c r="E101" s="23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>
      <c r="A102" s="215"/>
      <c r="B102" s="237"/>
      <c r="C102" s="236"/>
      <c r="D102" s="215"/>
      <c r="E102" s="23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>
      <c r="A103" s="215"/>
      <c r="B103" s="237"/>
      <c r="C103" s="236"/>
      <c r="D103" s="215"/>
      <c r="E103" s="23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>
      <c r="A104" s="215"/>
      <c r="B104" s="237"/>
      <c r="C104" s="236"/>
      <c r="D104" s="215"/>
      <c r="E104" s="235"/>
      <c r="F104" s="215"/>
      <c r="G104" s="216" t="s">
        <v>482</v>
      </c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>
      <c r="A105" s="215"/>
      <c r="B105" s="237"/>
      <c r="C105" s="236"/>
      <c r="D105" s="215"/>
      <c r="E105" s="235"/>
      <c r="F105" s="215"/>
      <c r="G105" s="240" t="s">
        <v>444</v>
      </c>
      <c r="H105" s="3"/>
      <c r="I105" s="3"/>
      <c r="J105" s="4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>
      <c r="A106" s="215"/>
      <c r="B106" s="237"/>
      <c r="C106" s="236"/>
      <c r="D106" s="215"/>
      <c r="E106" s="235"/>
      <c r="F106" s="215"/>
      <c r="G106" s="221" t="s">
        <v>435</v>
      </c>
      <c r="H106" s="222" t="s">
        <v>449</v>
      </c>
      <c r="I106" s="222" t="s">
        <v>450</v>
      </c>
      <c r="J106" s="222" t="s">
        <v>389</v>
      </c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>
      <c r="A107" s="215"/>
      <c r="B107" s="237"/>
      <c r="C107" s="236"/>
      <c r="D107" s="215"/>
      <c r="E107" s="235"/>
      <c r="F107" s="215"/>
      <c r="G107" s="241" t="s">
        <v>386</v>
      </c>
      <c r="H107" s="224">
        <f>B22</f>
        <v>0</v>
      </c>
      <c r="I107" s="228">
        <f>IF(AND(H107=0,H108=0),0,IF(AND(H107=0,H108&gt;0),1,(H108-H107)/H107))
</f>
        <v>0</v>
      </c>
      <c r="J107" s="229" t="str">
        <f>OKTOBER!$D$7</f>
        <v/>
      </c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>
      <c r="A108" s="215"/>
      <c r="B108" s="237"/>
      <c r="C108" s="236"/>
      <c r="D108" s="215"/>
      <c r="E108" s="235"/>
      <c r="F108" s="215"/>
      <c r="G108" s="241" t="s">
        <v>387</v>
      </c>
      <c r="H108" s="224">
        <f>C22</f>
        <v>0</v>
      </c>
      <c r="I108" s="7"/>
      <c r="J108" s="229">
        <f>NOVEMBER!$E$7</f>
        <v>70000000</v>
      </c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>
      <c r="A109" s="215"/>
      <c r="B109" s="237"/>
      <c r="C109" s="236"/>
      <c r="D109" s="215"/>
      <c r="E109" s="23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>
      <c r="A110" s="215"/>
      <c r="B110" s="237"/>
      <c r="C110" s="236"/>
      <c r="D110" s="215"/>
      <c r="E110" s="235"/>
      <c r="F110" s="215"/>
      <c r="G110" s="230" t="str">
        <f>LET(
  bulanLalu, G107,
  bulanIni, G108,
  orderLalu, H107,
  orderIni, H108,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tetap sama antara OKTOBER dan NOVEMBER</v>
      </c>
      <c r="H110" s="231"/>
      <c r="I110" s="231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>
      <c r="A111" s="215"/>
      <c r="B111" s="237"/>
      <c r="C111" s="236"/>
      <c r="D111" s="215"/>
      <c r="E111" s="23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>
      <c r="A112" s="215"/>
      <c r="B112" s="237"/>
      <c r="C112" s="236"/>
      <c r="D112" s="215"/>
      <c r="E112" s="23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>
      <c r="A113" s="215"/>
      <c r="B113" s="237"/>
      <c r="C113" s="236"/>
      <c r="D113" s="215"/>
      <c r="E113" s="23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>
      <c r="A114" s="215"/>
      <c r="B114" s="237"/>
      <c r="C114" s="236"/>
      <c r="D114" s="215"/>
      <c r="E114" s="23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>
      <c r="A115" s="215"/>
      <c r="B115" s="237"/>
      <c r="C115" s="236"/>
      <c r="D115" s="215"/>
      <c r="E115" s="23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>
      <c r="A116" s="215"/>
      <c r="B116" s="237"/>
      <c r="C116" s="236"/>
      <c r="D116" s="215"/>
      <c r="E116" s="23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>
      <c r="A117" s="215"/>
      <c r="B117" s="237"/>
      <c r="C117" s="236"/>
      <c r="D117" s="215"/>
      <c r="E117" s="23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>
      <c r="A118" s="215"/>
      <c r="B118" s="237"/>
      <c r="C118" s="236"/>
      <c r="D118" s="215"/>
      <c r="E118" s="23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>
      <c r="A119" s="215"/>
      <c r="B119" s="237"/>
      <c r="C119" s="236"/>
      <c r="D119" s="215"/>
      <c r="E119" s="23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>
      <c r="A120" s="215"/>
      <c r="B120" s="237"/>
      <c r="C120" s="236"/>
      <c r="D120" s="215"/>
      <c r="E120" s="23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>
      <c r="A121" s="215"/>
      <c r="B121" s="237"/>
      <c r="C121" s="236"/>
      <c r="D121" s="215"/>
      <c r="E121" s="23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>
      <c r="A122" s="215"/>
      <c r="B122" s="237"/>
      <c r="C122" s="236"/>
      <c r="D122" s="215"/>
      <c r="E122" s="23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>
      <c r="A123" s="215"/>
      <c r="B123" s="237"/>
      <c r="C123" s="236"/>
      <c r="D123" s="215"/>
      <c r="E123" s="23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>
      <c r="A124" s="215"/>
      <c r="B124" s="237"/>
      <c r="C124" s="236"/>
      <c r="D124" s="215"/>
      <c r="E124" s="23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>
      <c r="A125" s="215"/>
      <c r="B125" s="237"/>
      <c r="C125" s="236"/>
      <c r="D125" s="215"/>
      <c r="E125" s="23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>
      <c r="A126" s="215"/>
      <c r="B126" s="237"/>
      <c r="C126" s="236"/>
      <c r="D126" s="215"/>
      <c r="E126" s="23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>
      <c r="A127" s="215"/>
      <c r="B127" s="237"/>
      <c r="C127" s="236"/>
      <c r="D127" s="215"/>
      <c r="E127" s="23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>
      <c r="A128" s="215"/>
      <c r="B128" s="237"/>
      <c r="C128" s="236"/>
      <c r="D128" s="215"/>
      <c r="E128" s="23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>
      <c r="A129" s="215"/>
      <c r="B129" s="237"/>
      <c r="C129" s="236"/>
      <c r="D129" s="215"/>
      <c r="E129" s="235"/>
      <c r="F129" s="215"/>
      <c r="G129" s="216" t="s">
        <v>486</v>
      </c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>
      <c r="A130" s="215"/>
      <c r="B130" s="237"/>
      <c r="C130" s="236"/>
      <c r="D130" s="215"/>
      <c r="E130" s="235"/>
      <c r="F130" s="215"/>
      <c r="G130" s="240" t="s">
        <v>444</v>
      </c>
      <c r="H130" s="3"/>
      <c r="I130" s="3"/>
      <c r="J130" s="4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215"/>
      <c r="B131" s="237"/>
      <c r="C131" s="236"/>
      <c r="D131" s="215"/>
      <c r="E131" s="235"/>
      <c r="F131" s="215"/>
      <c r="G131" s="221" t="s">
        <v>435</v>
      </c>
      <c r="H131" s="222" t="s">
        <v>449</v>
      </c>
      <c r="I131" s="222" t="s">
        <v>450</v>
      </c>
      <c r="J131" s="222" t="s">
        <v>389</v>
      </c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>
      <c r="A132" s="215"/>
      <c r="B132" s="237"/>
      <c r="C132" s="236"/>
      <c r="D132" s="215"/>
      <c r="E132" s="235"/>
      <c r="F132" s="215"/>
      <c r="G132" s="241" t="s">
        <v>386</v>
      </c>
      <c r="H132" s="224" t="str">
        <f>B23</f>
        <v/>
      </c>
      <c r="I132" s="242">
        <f>IF(AND(H132=0,H133=0),0,IF(AND(H132=0,H133&gt;0),1,(H133-H132)/H132))
</f>
        <v>1</v>
      </c>
      <c r="J132" s="229" t="str">
        <f>OKTOBER!$D$7</f>
        <v/>
      </c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>
      <c r="A133" s="215"/>
      <c r="B133" s="237"/>
      <c r="C133" s="236"/>
      <c r="D133" s="215"/>
      <c r="E133" s="235"/>
      <c r="F133" s="215"/>
      <c r="G133" s="241" t="s">
        <v>387</v>
      </c>
      <c r="H133" s="224">
        <f>C23</f>
        <v>7350000</v>
      </c>
      <c r="I133" s="7"/>
      <c r="J133" s="229">
        <f>NOVEMBER!$E$7</f>
        <v>70000000</v>
      </c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>
      <c r="A134" s="215"/>
      <c r="B134" s="237"/>
      <c r="C134" s="236"/>
      <c r="D134" s="215"/>
      <c r="E134" s="23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>
      <c r="A135" s="215"/>
      <c r="B135" s="237"/>
      <c r="C135" s="236"/>
      <c r="D135" s="215"/>
      <c r="E135" s="235"/>
      <c r="F135" s="215"/>
      <c r="G135" s="230" t="str">
        <f>LET(
  bulanLalu, G132,
  bulanIni, G133,
  orderLalu, H132,
  orderIni, H133,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#DIV/0!</v>
      </c>
      <c r="H135" s="231"/>
      <c r="I135" s="231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>
      <c r="A136" s="215"/>
      <c r="B136" s="237"/>
      <c r="C136" s="236"/>
      <c r="D136" s="215"/>
      <c r="E136" s="23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>
      <c r="A137" s="215"/>
      <c r="B137" s="237"/>
      <c r="C137" s="236"/>
      <c r="D137" s="215"/>
      <c r="E137" s="23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>
      <c r="A138" s="215"/>
      <c r="B138" s="237"/>
      <c r="C138" s="236"/>
      <c r="D138" s="215"/>
      <c r="E138" s="23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>
      <c r="A139" s="215"/>
      <c r="B139" s="237"/>
      <c r="C139" s="236"/>
      <c r="D139" s="215"/>
      <c r="E139" s="23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>
      <c r="A140" s="215"/>
      <c r="B140" s="237"/>
      <c r="C140" s="236"/>
      <c r="D140" s="215"/>
      <c r="E140" s="23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>
      <c r="A141" s="215"/>
      <c r="B141" s="237"/>
      <c r="C141" s="236"/>
      <c r="D141" s="215"/>
      <c r="E141" s="23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>
      <c r="A142" s="215"/>
      <c r="B142" s="237"/>
      <c r="C142" s="236"/>
      <c r="D142" s="215"/>
      <c r="E142" s="23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>
      <c r="A143" s="215"/>
      <c r="B143" s="237"/>
      <c r="C143" s="236"/>
      <c r="D143" s="215"/>
      <c r="E143" s="23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>
      <c r="A144" s="215"/>
      <c r="B144" s="237"/>
      <c r="C144" s="236"/>
      <c r="D144" s="215"/>
      <c r="E144" s="23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>
      <c r="A145" s="215"/>
      <c r="B145" s="237"/>
      <c r="C145" s="236"/>
      <c r="D145" s="215"/>
      <c r="E145" s="23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>
      <c r="A146" s="215"/>
      <c r="B146" s="237"/>
      <c r="C146" s="236"/>
      <c r="D146" s="215"/>
      <c r="E146" s="23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>
      <c r="A147" s="215"/>
      <c r="B147" s="237"/>
      <c r="C147" s="236"/>
      <c r="D147" s="215"/>
      <c r="E147" s="23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>
      <c r="A148" s="215"/>
      <c r="B148" s="237"/>
      <c r="C148" s="236"/>
      <c r="D148" s="215"/>
      <c r="E148" s="23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>
      <c r="A149" s="215"/>
      <c r="B149" s="237"/>
      <c r="C149" s="236"/>
      <c r="D149" s="215"/>
      <c r="E149" s="23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>
      <c r="A150" s="215"/>
      <c r="B150" s="237"/>
      <c r="C150" s="236"/>
      <c r="D150" s="215"/>
      <c r="E150" s="23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>
      <c r="A151" s="215"/>
      <c r="B151" s="237"/>
      <c r="C151" s="236"/>
      <c r="D151" s="215"/>
      <c r="E151" s="23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>
      <c r="A152" s="215"/>
      <c r="B152" s="237"/>
      <c r="C152" s="236"/>
      <c r="D152" s="215"/>
      <c r="E152" s="23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>
      <c r="A153" s="215"/>
      <c r="B153" s="237"/>
      <c r="C153" s="236"/>
      <c r="D153" s="215"/>
      <c r="E153" s="23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>
      <c r="A154" s="215"/>
      <c r="B154" s="237"/>
      <c r="C154" s="236"/>
      <c r="D154" s="215"/>
      <c r="E154" s="235"/>
      <c r="F154" s="215"/>
      <c r="G154" s="216" t="s">
        <v>487</v>
      </c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>
      <c r="A155" s="215"/>
      <c r="B155" s="237"/>
      <c r="C155" s="236"/>
      <c r="D155" s="215"/>
      <c r="E155" s="235"/>
      <c r="F155" s="215"/>
      <c r="G155" s="240" t="s">
        <v>444</v>
      </c>
      <c r="H155" s="3"/>
      <c r="I155" s="3"/>
      <c r="J155" s="4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>
      <c r="A156" s="215"/>
      <c r="B156" s="237"/>
      <c r="C156" s="236"/>
      <c r="D156" s="215"/>
      <c r="E156" s="235"/>
      <c r="F156" s="215"/>
      <c r="G156" s="221" t="s">
        <v>435</v>
      </c>
      <c r="H156" s="222" t="s">
        <v>449</v>
      </c>
      <c r="I156" s="222" t="s">
        <v>450</v>
      </c>
      <c r="J156" s="222" t="s">
        <v>389</v>
      </c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>
      <c r="A157" s="215"/>
      <c r="B157" s="237"/>
      <c r="C157" s="236"/>
      <c r="D157" s="215"/>
      <c r="E157" s="235"/>
      <c r="F157" s="215"/>
      <c r="G157" s="241" t="s">
        <v>386</v>
      </c>
      <c r="H157" s="224">
        <f>sum(B24)</f>
        <v>0</v>
      </c>
      <c r="I157" s="242">
        <f>IF(AND(H157=0,H158=0),0,IF(AND(H157=0,H158&gt;0),1,(H158-H157)/H157))
</f>
        <v>0</v>
      </c>
      <c r="J157" s="229" t="str">
        <f>OKTOBER!$D$7</f>
        <v/>
      </c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>
      <c r="A158" s="215"/>
      <c r="B158" s="237"/>
      <c r="C158" s="236"/>
      <c r="D158" s="215"/>
      <c r="E158" s="235"/>
      <c r="F158" s="215"/>
      <c r="G158" s="241" t="s">
        <v>387</v>
      </c>
      <c r="H158" s="224">
        <f>sum(C24)</f>
        <v>0</v>
      </c>
      <c r="I158" s="7"/>
      <c r="J158" s="229">
        <f>NOVEMBER!$E$7</f>
        <v>70000000</v>
      </c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>
      <c r="A159" s="215"/>
      <c r="B159" s="237"/>
      <c r="C159" s="236"/>
      <c r="D159" s="215"/>
      <c r="E159" s="23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>
      <c r="A160" s="215"/>
      <c r="B160" s="237"/>
      <c r="C160" s="236"/>
      <c r="D160" s="215"/>
      <c r="E160" s="235"/>
      <c r="F160" s="215"/>
      <c r="G160" s="230" t="str">
        <f>LET(
  bulanLalu, G157,
  bulanIni, G158,
  orderLalu, H157,
  orderIni, H158,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tetap sama antara OKTOBER dan NOVEMBER</v>
      </c>
      <c r="H160" s="231"/>
      <c r="I160" s="231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>
      <c r="A161" s="215"/>
      <c r="B161" s="237"/>
      <c r="C161" s="236"/>
      <c r="D161" s="215"/>
      <c r="E161" s="23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>
      <c r="A162" s="215"/>
      <c r="B162" s="237"/>
      <c r="C162" s="236"/>
      <c r="D162" s="215"/>
      <c r="E162" s="23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>
      <c r="A163" s="215"/>
      <c r="B163" s="237"/>
      <c r="C163" s="236"/>
      <c r="D163" s="215"/>
      <c r="E163" s="23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>
      <c r="A164" s="215"/>
      <c r="B164" s="237"/>
      <c r="C164" s="236"/>
      <c r="D164" s="215"/>
      <c r="E164" s="23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>
      <c r="A165" s="215"/>
      <c r="B165" s="237"/>
      <c r="C165" s="236"/>
      <c r="D165" s="215"/>
      <c r="E165" s="23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>
      <c r="A166" s="215"/>
      <c r="B166" s="237"/>
      <c r="C166" s="236"/>
      <c r="D166" s="215"/>
      <c r="E166" s="23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>
      <c r="A167" s="215"/>
      <c r="B167" s="237"/>
      <c r="C167" s="236"/>
      <c r="D167" s="215"/>
      <c r="E167" s="23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>
      <c r="A168" s="215"/>
      <c r="B168" s="237"/>
      <c r="C168" s="236"/>
      <c r="D168" s="215"/>
      <c r="E168" s="23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>
      <c r="A169" s="215"/>
      <c r="B169" s="237"/>
      <c r="C169" s="236"/>
      <c r="D169" s="215"/>
      <c r="E169" s="23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>
      <c r="A170" s="215"/>
      <c r="B170" s="237"/>
      <c r="C170" s="236"/>
      <c r="D170" s="215"/>
      <c r="E170" s="23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>
      <c r="A171" s="215"/>
      <c r="B171" s="237"/>
      <c r="C171" s="236"/>
      <c r="D171" s="215"/>
      <c r="E171" s="23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>
      <c r="A172" s="215"/>
      <c r="B172" s="237"/>
      <c r="C172" s="236"/>
      <c r="D172" s="215"/>
      <c r="E172" s="23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>
      <c r="A173" s="215"/>
      <c r="B173" s="237"/>
      <c r="C173" s="236"/>
      <c r="D173" s="215"/>
      <c r="E173" s="23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>
      <c r="A174" s="215"/>
      <c r="B174" s="237"/>
      <c r="C174" s="236"/>
      <c r="D174" s="215"/>
      <c r="E174" s="23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>
      <c r="A175" s="215"/>
      <c r="B175" s="237"/>
      <c r="C175" s="236"/>
      <c r="D175" s="215"/>
      <c r="E175" s="23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>
      <c r="A176" s="215"/>
      <c r="B176" s="237"/>
      <c r="C176" s="236"/>
      <c r="D176" s="215"/>
      <c r="E176" s="23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>
      <c r="A177" s="215"/>
      <c r="B177" s="237"/>
      <c r="C177" s="236"/>
      <c r="D177" s="215"/>
      <c r="E177" s="23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>
      <c r="A178" s="215"/>
      <c r="B178" s="237"/>
      <c r="C178" s="236"/>
      <c r="D178" s="215"/>
      <c r="E178" s="23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>
      <c r="A179" s="215"/>
      <c r="B179" s="237"/>
      <c r="C179" s="236"/>
      <c r="D179" s="215"/>
      <c r="E179" s="235"/>
      <c r="F179" s="215"/>
      <c r="G179" s="216" t="s">
        <v>457</v>
      </c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>
      <c r="A180" s="215"/>
      <c r="B180" s="237"/>
      <c r="C180" s="236"/>
      <c r="D180" s="215"/>
      <c r="E180" s="235"/>
      <c r="F180" s="215"/>
      <c r="G180" s="240" t="s">
        <v>444</v>
      </c>
      <c r="H180" s="3"/>
      <c r="I180" s="3"/>
      <c r="J180" s="4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>
      <c r="A181" s="215"/>
      <c r="B181" s="237"/>
      <c r="C181" s="236"/>
      <c r="D181" s="215"/>
      <c r="E181" s="235"/>
      <c r="F181" s="215"/>
      <c r="G181" s="221" t="s">
        <v>435</v>
      </c>
      <c r="H181" s="222" t="s">
        <v>449</v>
      </c>
      <c r="I181" s="222" t="s">
        <v>450</v>
      </c>
      <c r="J181" s="222" t="s">
        <v>389</v>
      </c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>
      <c r="A182" s="215"/>
      <c r="B182" s="237"/>
      <c r="C182" s="236"/>
      <c r="D182" s="215"/>
      <c r="E182" s="235"/>
      <c r="F182" s="215"/>
      <c r="G182" s="241" t="s">
        <v>386</v>
      </c>
      <c r="H182" s="224">
        <f>sum(B25)</f>
        <v>0</v>
      </c>
      <c r="I182" s="242">
        <f>IF(AND(H182=0,H183=0),0,IF(AND(H182=0,H183&gt;0),1,(H183-H182)/H182))
</f>
        <v>1</v>
      </c>
      <c r="J182" s="229" t="str">
        <f>OKTOBER!$D$7</f>
        <v/>
      </c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>
      <c r="A183" s="215"/>
      <c r="B183" s="237"/>
      <c r="C183" s="236"/>
      <c r="D183" s="215"/>
      <c r="E183" s="235"/>
      <c r="F183" s="215"/>
      <c r="G183" s="241" t="s">
        <v>387</v>
      </c>
      <c r="H183" s="224">
        <f>sum(C25)</f>
        <v>1790000</v>
      </c>
      <c r="I183" s="7"/>
      <c r="J183" s="229">
        <f>NOVEMBER!$E$7</f>
        <v>70000000</v>
      </c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>
      <c r="A184" s="215"/>
      <c r="B184" s="237"/>
      <c r="C184" s="236"/>
      <c r="D184" s="215"/>
      <c r="E184" s="23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>
      <c r="A185" s="215"/>
      <c r="B185" s="237"/>
      <c r="C185" s="236"/>
      <c r="D185" s="215"/>
      <c r="E185" s="235"/>
      <c r="F185" s="215"/>
      <c r="G185" s="230" t="str">
        <f>LET(
  bulanLalu, G182,
  bulanIni, G183,
  orderLalu, H182,
  orderIni, H183,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#DIV/0!</v>
      </c>
      <c r="H185" s="231"/>
      <c r="I185" s="231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>
      <c r="A186" s="215"/>
      <c r="B186" s="237"/>
      <c r="C186" s="236"/>
      <c r="D186" s="215"/>
      <c r="E186" s="23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>
      <c r="A187" s="215"/>
      <c r="B187" s="237"/>
      <c r="C187" s="236"/>
      <c r="D187" s="215"/>
      <c r="E187" s="23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>
      <c r="A188" s="215"/>
      <c r="B188" s="237"/>
      <c r="C188" s="236"/>
      <c r="D188" s="215"/>
      <c r="E188" s="23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>
      <c r="A189" s="215"/>
      <c r="B189" s="237"/>
      <c r="C189" s="236"/>
      <c r="D189" s="215"/>
      <c r="E189" s="23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>
      <c r="A190" s="215"/>
      <c r="B190" s="237"/>
      <c r="C190" s="236"/>
      <c r="D190" s="215"/>
      <c r="E190" s="23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>
      <c r="A191" s="215"/>
      <c r="B191" s="237"/>
      <c r="C191" s="236"/>
      <c r="D191" s="215"/>
      <c r="E191" s="23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>
      <c r="A192" s="215"/>
      <c r="B192" s="237"/>
      <c r="C192" s="236"/>
      <c r="D192" s="215"/>
      <c r="E192" s="23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>
      <c r="A193" s="215"/>
      <c r="B193" s="237"/>
      <c r="C193" s="236"/>
      <c r="D193" s="215"/>
      <c r="E193" s="23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>
      <c r="A194" s="215"/>
      <c r="B194" s="237"/>
      <c r="C194" s="236"/>
      <c r="D194" s="215"/>
      <c r="E194" s="23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>
      <c r="A195" s="215"/>
      <c r="B195" s="237"/>
      <c r="C195" s="236"/>
      <c r="D195" s="215"/>
      <c r="E195" s="23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>
      <c r="A196" s="215"/>
      <c r="B196" s="237"/>
      <c r="C196" s="236"/>
      <c r="D196" s="215"/>
      <c r="E196" s="23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>
      <c r="A197" s="215"/>
      <c r="B197" s="237"/>
      <c r="C197" s="236"/>
      <c r="D197" s="215"/>
      <c r="E197" s="23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>
      <c r="A198" s="215"/>
      <c r="B198" s="237"/>
      <c r="C198" s="236"/>
      <c r="D198" s="215"/>
      <c r="E198" s="23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>
      <c r="A199" s="215"/>
      <c r="B199" s="237"/>
      <c r="C199" s="236"/>
      <c r="D199" s="215"/>
      <c r="E199" s="23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>
      <c r="A200" s="215"/>
      <c r="B200" s="237"/>
      <c r="C200" s="236"/>
      <c r="D200" s="215"/>
      <c r="E200" s="23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>
      <c r="A201" s="215"/>
      <c r="B201" s="237"/>
      <c r="C201" s="236"/>
      <c r="D201" s="215"/>
      <c r="E201" s="23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>
      <c r="A202" s="215"/>
      <c r="B202" s="237"/>
      <c r="C202" s="236"/>
      <c r="D202" s="215"/>
      <c r="E202" s="23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>
      <c r="A203" s="215"/>
      <c r="B203" s="237"/>
      <c r="C203" s="236"/>
      <c r="D203" s="215"/>
      <c r="E203" s="23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>
      <c r="A204" s="215"/>
      <c r="B204" s="237"/>
      <c r="C204" s="236"/>
      <c r="D204" s="215"/>
      <c r="E204" s="235"/>
      <c r="F204" s="215"/>
      <c r="G204" s="216" t="s">
        <v>488</v>
      </c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>
      <c r="A205" s="215"/>
      <c r="B205" s="237"/>
      <c r="C205" s="236"/>
      <c r="D205" s="215"/>
      <c r="E205" s="235"/>
      <c r="F205" s="215"/>
      <c r="G205" s="240" t="s">
        <v>444</v>
      </c>
      <c r="H205" s="3"/>
      <c r="I205" s="3"/>
      <c r="J205" s="4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>
      <c r="A206" s="215"/>
      <c r="B206" s="237"/>
      <c r="C206" s="236"/>
      <c r="D206" s="215"/>
      <c r="E206" s="235"/>
      <c r="F206" s="215"/>
      <c r="G206" s="221" t="s">
        <v>435</v>
      </c>
      <c r="H206" s="222" t="s">
        <v>449</v>
      </c>
      <c r="I206" s="222" t="s">
        <v>450</v>
      </c>
      <c r="J206" s="222" t="s">
        <v>389</v>
      </c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>
      <c r="A207" s="215"/>
      <c r="B207" s="237"/>
      <c r="C207" s="236"/>
      <c r="D207" s="215"/>
      <c r="E207" s="235"/>
      <c r="F207" s="215"/>
      <c r="G207" s="241" t="s">
        <v>386</v>
      </c>
      <c r="H207" s="224">
        <f>sum(B26)</f>
        <v>0</v>
      </c>
      <c r="I207" s="242">
        <f>IF(AND(H207=0,H208=0),0,IF(AND(H207=0,H208&gt;0),1,(H208-H207)/H207))
</f>
        <v>0</v>
      </c>
      <c r="J207" s="229" t="str">
        <f>OKTOBER!$D$7</f>
        <v/>
      </c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>
      <c r="A208" s="215"/>
      <c r="B208" s="237"/>
      <c r="C208" s="236"/>
      <c r="D208" s="215"/>
      <c r="E208" s="235"/>
      <c r="F208" s="215"/>
      <c r="G208" s="241" t="s">
        <v>387</v>
      </c>
      <c r="H208" s="224">
        <f>sum(C26)</f>
        <v>0</v>
      </c>
      <c r="I208" s="7"/>
      <c r="J208" s="229">
        <f>NOVEMBER!$E$7</f>
        <v>70000000</v>
      </c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>
      <c r="A209" s="215"/>
      <c r="B209" s="237"/>
      <c r="C209" s="236"/>
      <c r="D209" s="215"/>
      <c r="E209" s="23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>
      <c r="A210" s="215"/>
      <c r="B210" s="237"/>
      <c r="C210" s="236"/>
      <c r="D210" s="215"/>
      <c r="E210" s="235"/>
      <c r="F210" s="215"/>
      <c r="G210" s="230" t="str">
        <f>LET(
  bulanLalu, G207,
  bulanIni, G208,
  orderLalu, H207,
  orderIni, H208,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tetap sama antara OKTOBER dan NOVEMBER</v>
      </c>
      <c r="H210" s="231"/>
      <c r="I210" s="231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>
      <c r="A211" s="215"/>
      <c r="B211" s="237"/>
      <c r="C211" s="236"/>
      <c r="D211" s="215"/>
      <c r="E211" s="23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>
      <c r="A212" s="215"/>
      <c r="B212" s="237"/>
      <c r="C212" s="236"/>
      <c r="D212" s="215"/>
      <c r="E212" s="23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>
      <c r="A213" s="215"/>
      <c r="B213" s="237"/>
      <c r="C213" s="236"/>
      <c r="D213" s="215"/>
      <c r="E213" s="23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>
      <c r="A214" s="215"/>
      <c r="B214" s="237"/>
      <c r="C214" s="236"/>
      <c r="D214" s="215"/>
      <c r="E214" s="23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>
      <c r="A215" s="215"/>
      <c r="B215" s="237"/>
      <c r="C215" s="236"/>
      <c r="D215" s="215"/>
      <c r="E215" s="23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>
      <c r="A216" s="215"/>
      <c r="B216" s="237"/>
      <c r="C216" s="236"/>
      <c r="D216" s="215"/>
      <c r="E216" s="23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>
      <c r="A217" s="215"/>
      <c r="B217" s="237"/>
      <c r="C217" s="236"/>
      <c r="D217" s="215"/>
      <c r="E217" s="23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>
      <c r="A218" s="215"/>
      <c r="B218" s="237"/>
      <c r="C218" s="236"/>
      <c r="D218" s="215"/>
      <c r="E218" s="23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>
      <c r="A219" s="215"/>
      <c r="B219" s="237"/>
      <c r="C219" s="236"/>
      <c r="D219" s="215"/>
      <c r="E219" s="23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>
      <c r="A220" s="215"/>
      <c r="B220" s="237"/>
      <c r="C220" s="236"/>
      <c r="D220" s="215"/>
      <c r="E220" s="23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>
      <c r="A221" s="215"/>
      <c r="B221" s="237"/>
      <c r="C221" s="236"/>
      <c r="D221" s="215"/>
      <c r="E221" s="23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>
      <c r="A222" s="215"/>
      <c r="B222" s="237"/>
      <c r="C222" s="236"/>
      <c r="D222" s="215"/>
      <c r="E222" s="23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>
      <c r="A223" s="215"/>
      <c r="B223" s="237"/>
      <c r="C223" s="236"/>
      <c r="D223" s="215"/>
      <c r="E223" s="23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>
      <c r="A224" s="215"/>
      <c r="B224" s="237"/>
      <c r="C224" s="236"/>
      <c r="D224" s="215"/>
      <c r="E224" s="23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>
      <c r="A225" s="215"/>
      <c r="B225" s="237"/>
      <c r="C225" s="236"/>
      <c r="D225" s="215"/>
      <c r="E225" s="23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>
      <c r="A226" s="215"/>
      <c r="B226" s="237"/>
      <c r="C226" s="236"/>
      <c r="D226" s="215"/>
      <c r="E226" s="23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>
      <c r="A227" s="215"/>
      <c r="B227" s="237"/>
      <c r="C227" s="236"/>
      <c r="D227" s="215"/>
      <c r="E227" s="23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>
      <c r="A228" s="215"/>
      <c r="B228" s="237"/>
      <c r="C228" s="236"/>
      <c r="D228" s="215"/>
      <c r="E228" s="23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>
      <c r="A229" s="215"/>
      <c r="B229" s="237"/>
      <c r="C229" s="236"/>
      <c r="D229" s="215"/>
      <c r="E229" s="235"/>
      <c r="F229" s="215"/>
      <c r="G229" s="216" t="s">
        <v>489</v>
      </c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>
      <c r="A230" s="215"/>
      <c r="B230" s="237"/>
      <c r="C230" s="236"/>
      <c r="D230" s="215"/>
      <c r="E230" s="235"/>
      <c r="F230" s="215"/>
      <c r="G230" s="240" t="s">
        <v>444</v>
      </c>
      <c r="H230" s="3"/>
      <c r="I230" s="3"/>
      <c r="J230" s="4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>
      <c r="A231" s="215"/>
      <c r="B231" s="237"/>
      <c r="C231" s="236"/>
      <c r="D231" s="215"/>
      <c r="E231" s="235"/>
      <c r="F231" s="215"/>
      <c r="G231" s="221" t="s">
        <v>435</v>
      </c>
      <c r="H231" s="222" t="s">
        <v>449</v>
      </c>
      <c r="I231" s="222" t="s">
        <v>450</v>
      </c>
      <c r="J231" s="222" t="s">
        <v>389</v>
      </c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>
      <c r="A232" s="215"/>
      <c r="B232" s="237"/>
      <c r="C232" s="236"/>
      <c r="D232" s="215"/>
      <c r="E232" s="235"/>
      <c r="F232" s="215"/>
      <c r="G232" s="241" t="s">
        <v>386</v>
      </c>
      <c r="H232" s="224">
        <f>sum(B27)</f>
        <v>0</v>
      </c>
      <c r="I232" s="242">
        <f>IF(AND(H232=0,H233=0),0,IF(AND(H232=0,H233&gt;0),1,(H233-H232)/H232))
</f>
        <v>0</v>
      </c>
      <c r="J232" s="229" t="str">
        <f>OKTOBER!$D$7</f>
        <v/>
      </c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>
      <c r="A233" s="215"/>
      <c r="B233" s="237"/>
      <c r="C233" s="236"/>
      <c r="D233" s="215"/>
      <c r="E233" s="235"/>
      <c r="F233" s="215"/>
      <c r="G233" s="241" t="s">
        <v>387</v>
      </c>
      <c r="H233" s="224">
        <f>sum(C27)</f>
        <v>0</v>
      </c>
      <c r="I233" s="7"/>
      <c r="J233" s="229">
        <f>NOVEMBER!$E$7</f>
        <v>70000000</v>
      </c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>
      <c r="A234" s="215"/>
      <c r="B234" s="237"/>
      <c r="C234" s="236"/>
      <c r="D234" s="215"/>
      <c r="E234" s="23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>
      <c r="A235" s="215"/>
      <c r="B235" s="237"/>
      <c r="C235" s="236"/>
      <c r="D235" s="215"/>
      <c r="E235" s="235"/>
      <c r="F235" s="215"/>
      <c r="G235" s="230" t="str">
        <f>LET(
  bulanLalu, G232,
  bulanIni, G233,
  orderLalu, H232,
  orderIni, H233,
  perubahan, (orderIni - orderLalu) / orderLalu,
  IF(
    orderIni &gt; orderLalu,
    "Order naik " &amp; TEXT(perubahan,"0%") &amp; " dari " &amp; bulanLalu &amp; " ke " &amp; bulanIni,
    IF(
      orderIni &lt; orderLalu,
      "Order turun " &amp; TEXT(ABS(perubahan),"0%") &amp; " dari " &amp; bulanLalu &amp; " ke " &amp; bulanIni,
      "Order tetap sama antara " &amp; bulanLalu &amp; " dan " &amp; bulanIni
    )
  )
)
</f>
        <v>Order tetap sama antara OKTOBER dan NOVEMBER</v>
      </c>
      <c r="H235" s="231"/>
      <c r="I235" s="231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>
      <c r="A236" s="215"/>
      <c r="B236" s="237"/>
      <c r="C236" s="236"/>
      <c r="D236" s="215"/>
      <c r="E236" s="23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>
      <c r="A237" s="215"/>
      <c r="B237" s="237"/>
      <c r="C237" s="236"/>
      <c r="D237" s="215"/>
      <c r="E237" s="23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>
      <c r="A238" s="215"/>
      <c r="B238" s="237"/>
      <c r="C238" s="236"/>
      <c r="D238" s="215"/>
      <c r="E238" s="23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>
      <c r="A239" s="215"/>
      <c r="B239" s="237"/>
      <c r="C239" s="236"/>
      <c r="D239" s="215"/>
      <c r="E239" s="23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>
      <c r="A240" s="215"/>
      <c r="B240" s="237"/>
      <c r="C240" s="236"/>
      <c r="D240" s="215"/>
      <c r="E240" s="23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>
      <c r="A241" s="215"/>
      <c r="B241" s="237"/>
      <c r="C241" s="236"/>
      <c r="D241" s="215"/>
      <c r="E241" s="23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>
      <c r="A242" s="215"/>
      <c r="B242" s="237"/>
      <c r="C242" s="236"/>
      <c r="D242" s="215"/>
      <c r="E242" s="23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>
      <c r="A243" s="215"/>
      <c r="B243" s="237"/>
      <c r="C243" s="236"/>
      <c r="D243" s="215"/>
      <c r="E243" s="23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>
      <c r="A244" s="215"/>
      <c r="B244" s="237"/>
      <c r="C244" s="236"/>
      <c r="D244" s="215"/>
      <c r="E244" s="23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>
      <c r="A245" s="215"/>
      <c r="B245" s="237"/>
      <c r="C245" s="236"/>
      <c r="D245" s="215"/>
      <c r="E245" s="23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>
      <c r="A246" s="215"/>
      <c r="B246" s="237"/>
      <c r="C246" s="236"/>
      <c r="D246" s="215"/>
      <c r="E246" s="23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>
      <c r="A247" s="215"/>
      <c r="B247" s="237"/>
      <c r="C247" s="236"/>
      <c r="D247" s="215"/>
      <c r="E247" s="23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>
      <c r="A248" s="215"/>
      <c r="B248" s="237"/>
      <c r="C248" s="236"/>
      <c r="D248" s="215"/>
      <c r="E248" s="23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>
      <c r="A249" s="215"/>
      <c r="B249" s="237"/>
      <c r="C249" s="236"/>
      <c r="D249" s="215"/>
      <c r="E249" s="23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>
      <c r="A250" s="215"/>
      <c r="B250" s="237"/>
      <c r="C250" s="236"/>
      <c r="D250" s="215"/>
      <c r="E250" s="23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>
      <c r="A251" s="215"/>
      <c r="B251" s="237"/>
      <c r="C251" s="236"/>
      <c r="D251" s="215"/>
      <c r="E251" s="23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>
      <c r="A252" s="215"/>
      <c r="B252" s="237"/>
      <c r="C252" s="236"/>
      <c r="D252" s="215"/>
      <c r="E252" s="23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>
      <c r="A253" s="215"/>
      <c r="B253" s="237"/>
      <c r="C253" s="236"/>
      <c r="D253" s="215"/>
      <c r="E253" s="23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>
      <c r="A254" s="215"/>
      <c r="B254" s="237"/>
      <c r="C254" s="236"/>
      <c r="D254" s="215"/>
      <c r="E254" s="23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>
      <c r="A255" s="215"/>
      <c r="B255" s="237"/>
      <c r="C255" s="236"/>
      <c r="D255" s="215"/>
      <c r="E255" s="23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>
      <c r="A256" s="215"/>
      <c r="B256" s="237"/>
      <c r="C256" s="236"/>
      <c r="D256" s="215"/>
      <c r="E256" s="23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>
      <c r="A257" s="215"/>
      <c r="B257" s="237"/>
      <c r="C257" s="236"/>
      <c r="D257" s="215"/>
      <c r="E257" s="23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>
      <c r="A258" s="215"/>
      <c r="B258" s="237"/>
      <c r="C258" s="236"/>
      <c r="D258" s="215"/>
      <c r="E258" s="23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>
      <c r="A259" s="215"/>
      <c r="B259" s="237"/>
      <c r="C259" s="236"/>
      <c r="D259" s="215"/>
      <c r="E259" s="23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>
      <c r="A260" s="215"/>
      <c r="B260" s="237"/>
      <c r="C260" s="236"/>
      <c r="D260" s="215"/>
      <c r="E260" s="23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>
      <c r="A261" s="215"/>
      <c r="B261" s="237"/>
      <c r="C261" s="236"/>
      <c r="D261" s="215"/>
      <c r="E261" s="23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>
      <c r="A262" s="215"/>
      <c r="B262" s="237"/>
      <c r="C262" s="236"/>
      <c r="D262" s="215"/>
      <c r="E262" s="23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>
      <c r="A263" s="215"/>
      <c r="B263" s="237"/>
      <c r="C263" s="236"/>
      <c r="D263" s="215"/>
      <c r="E263" s="23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>
      <c r="A264" s="215"/>
      <c r="B264" s="237"/>
      <c r="C264" s="236"/>
      <c r="D264" s="215"/>
      <c r="E264" s="23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>
      <c r="A265" s="215"/>
      <c r="B265" s="237"/>
      <c r="C265" s="236"/>
      <c r="D265" s="215"/>
      <c r="E265" s="23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>
      <c r="A266" s="215"/>
      <c r="B266" s="237"/>
      <c r="C266" s="236"/>
      <c r="D266" s="215"/>
      <c r="E266" s="23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>
      <c r="A267" s="215"/>
      <c r="B267" s="237"/>
      <c r="C267" s="236"/>
      <c r="D267" s="215"/>
      <c r="E267" s="23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>
      <c r="A268" s="215"/>
      <c r="B268" s="237"/>
      <c r="C268" s="236"/>
      <c r="D268" s="215"/>
      <c r="E268" s="23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>
      <c r="A269" s="215"/>
      <c r="B269" s="237"/>
      <c r="C269" s="236"/>
      <c r="D269" s="215"/>
      <c r="E269" s="23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>
      <c r="A270" s="215"/>
      <c r="B270" s="237"/>
      <c r="C270" s="236"/>
      <c r="D270" s="215"/>
      <c r="E270" s="23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>
      <c r="A271" s="215"/>
      <c r="B271" s="237"/>
      <c r="C271" s="236"/>
      <c r="D271" s="215"/>
      <c r="E271" s="23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>
      <c r="A272" s="215"/>
      <c r="B272" s="237"/>
      <c r="C272" s="236"/>
      <c r="D272" s="215"/>
      <c r="E272" s="23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>
      <c r="A273" s="215"/>
      <c r="B273" s="237"/>
      <c r="C273" s="236"/>
      <c r="D273" s="215"/>
      <c r="E273" s="23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>
      <c r="A274" s="215"/>
      <c r="B274" s="237"/>
      <c r="C274" s="236"/>
      <c r="D274" s="215"/>
      <c r="E274" s="23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>
      <c r="A275" s="215"/>
      <c r="B275" s="237"/>
      <c r="C275" s="236"/>
      <c r="D275" s="215"/>
      <c r="E275" s="23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>
      <c r="A276" s="215"/>
      <c r="B276" s="237"/>
      <c r="C276" s="236"/>
      <c r="D276" s="215"/>
      <c r="E276" s="23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>
      <c r="A277" s="215"/>
      <c r="B277" s="237"/>
      <c r="C277" s="236"/>
      <c r="D277" s="215"/>
      <c r="E277" s="23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>
      <c r="A278" s="215"/>
      <c r="B278" s="237"/>
      <c r="C278" s="236"/>
      <c r="D278" s="215"/>
      <c r="E278" s="23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>
      <c r="A279" s="215"/>
      <c r="B279" s="237"/>
      <c r="C279" s="236"/>
      <c r="D279" s="215"/>
      <c r="E279" s="23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>
      <c r="A280" s="215"/>
      <c r="B280" s="237"/>
      <c r="C280" s="236"/>
      <c r="D280" s="215"/>
      <c r="E280" s="23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>
      <c r="A281" s="215"/>
      <c r="B281" s="237"/>
      <c r="C281" s="236"/>
      <c r="D281" s="215"/>
      <c r="E281" s="23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>
      <c r="A282" s="215"/>
      <c r="B282" s="237"/>
      <c r="C282" s="236"/>
      <c r="D282" s="215"/>
      <c r="E282" s="23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>
      <c r="A283" s="215"/>
      <c r="B283" s="237"/>
      <c r="C283" s="236"/>
      <c r="D283" s="215"/>
      <c r="E283" s="23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>
      <c r="A284" s="215"/>
      <c r="B284" s="237"/>
      <c r="C284" s="236"/>
      <c r="D284" s="215"/>
      <c r="E284" s="23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>
      <c r="A285" s="215"/>
      <c r="B285" s="237"/>
      <c r="C285" s="236"/>
      <c r="D285" s="215"/>
      <c r="E285" s="23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>
      <c r="A286" s="215"/>
      <c r="B286" s="237"/>
      <c r="C286" s="236"/>
      <c r="D286" s="215"/>
      <c r="E286" s="23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>
      <c r="A287" s="215"/>
      <c r="B287" s="237"/>
      <c r="C287" s="236"/>
      <c r="D287" s="215"/>
      <c r="E287" s="23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>
      <c r="A288" s="215"/>
      <c r="B288" s="237"/>
      <c r="C288" s="236"/>
      <c r="D288" s="215"/>
      <c r="E288" s="23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>
      <c r="A289" s="215"/>
      <c r="B289" s="237"/>
      <c r="C289" s="236"/>
      <c r="D289" s="215"/>
      <c r="E289" s="23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>
      <c r="A290" s="215"/>
      <c r="B290" s="237"/>
      <c r="C290" s="236"/>
      <c r="D290" s="215"/>
      <c r="E290" s="23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>
      <c r="A291" s="215"/>
      <c r="B291" s="237"/>
      <c r="C291" s="236"/>
      <c r="D291" s="215"/>
      <c r="E291" s="23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>
      <c r="A292" s="215"/>
      <c r="B292" s="237"/>
      <c r="C292" s="236"/>
      <c r="D292" s="215"/>
      <c r="E292" s="23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>
      <c r="A293" s="215"/>
      <c r="B293" s="237"/>
      <c r="C293" s="236"/>
      <c r="D293" s="215"/>
      <c r="E293" s="23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>
      <c r="A294" s="215"/>
      <c r="B294" s="237"/>
      <c r="C294" s="236"/>
      <c r="D294" s="215"/>
      <c r="E294" s="23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>
      <c r="A295" s="215"/>
      <c r="B295" s="237"/>
      <c r="C295" s="236"/>
      <c r="D295" s="215"/>
      <c r="E295" s="23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>
      <c r="A296" s="215"/>
      <c r="B296" s="237"/>
      <c r="C296" s="236"/>
      <c r="D296" s="215"/>
      <c r="E296" s="23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>
      <c r="A297" s="215"/>
      <c r="B297" s="237"/>
      <c r="C297" s="236"/>
      <c r="D297" s="215"/>
      <c r="E297" s="23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>
      <c r="A298" s="215"/>
      <c r="B298" s="237"/>
      <c r="C298" s="236"/>
      <c r="D298" s="215"/>
      <c r="E298" s="23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>
      <c r="A299" s="215"/>
      <c r="B299" s="237"/>
      <c r="C299" s="236"/>
      <c r="D299" s="215"/>
      <c r="E299" s="23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>
      <c r="A300" s="215"/>
      <c r="B300" s="237"/>
      <c r="C300" s="236"/>
      <c r="D300" s="215"/>
      <c r="E300" s="23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>
      <c r="A301" s="215"/>
      <c r="B301" s="237"/>
      <c r="C301" s="236"/>
      <c r="D301" s="215"/>
      <c r="E301" s="23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>
      <c r="A302" s="215"/>
      <c r="B302" s="237"/>
      <c r="C302" s="236"/>
      <c r="D302" s="215"/>
      <c r="E302" s="23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>
      <c r="A303" s="215"/>
      <c r="B303" s="237"/>
      <c r="C303" s="236"/>
      <c r="D303" s="215"/>
      <c r="E303" s="23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>
      <c r="A304" s="215"/>
      <c r="B304" s="237"/>
      <c r="C304" s="236"/>
      <c r="D304" s="215"/>
      <c r="E304" s="23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>
      <c r="A305" s="215"/>
      <c r="B305" s="237"/>
      <c r="C305" s="236"/>
      <c r="D305" s="215"/>
      <c r="E305" s="23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>
      <c r="A306" s="215"/>
      <c r="B306" s="237"/>
      <c r="C306" s="236"/>
      <c r="D306" s="215"/>
      <c r="E306" s="23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>
      <c r="A307" s="215"/>
      <c r="B307" s="237"/>
      <c r="C307" s="236"/>
      <c r="D307" s="215"/>
      <c r="E307" s="23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>
      <c r="A308" s="215"/>
      <c r="B308" s="237"/>
      <c r="C308" s="236"/>
      <c r="D308" s="215"/>
      <c r="E308" s="23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>
      <c r="A309" s="215"/>
      <c r="B309" s="237"/>
      <c r="C309" s="236"/>
      <c r="D309" s="215"/>
      <c r="E309" s="23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>
      <c r="A310" s="215"/>
      <c r="B310" s="237"/>
      <c r="C310" s="236"/>
      <c r="D310" s="215"/>
      <c r="E310" s="23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>
      <c r="A311" s="215"/>
      <c r="B311" s="237"/>
      <c r="C311" s="236"/>
      <c r="D311" s="215"/>
      <c r="E311" s="23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>
      <c r="A312" s="215"/>
      <c r="B312" s="237"/>
      <c r="C312" s="236"/>
      <c r="D312" s="215"/>
      <c r="E312" s="23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>
      <c r="A313" s="215"/>
      <c r="B313" s="237"/>
      <c r="C313" s="236"/>
      <c r="D313" s="215"/>
      <c r="E313" s="23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>
      <c r="A314" s="215"/>
      <c r="B314" s="237"/>
      <c r="C314" s="236"/>
      <c r="D314" s="215"/>
      <c r="E314" s="23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>
      <c r="A315" s="215"/>
      <c r="B315" s="237"/>
      <c r="C315" s="236"/>
      <c r="D315" s="215"/>
      <c r="E315" s="23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>
      <c r="A316" s="215"/>
      <c r="B316" s="237"/>
      <c r="C316" s="236"/>
      <c r="D316" s="215"/>
      <c r="E316" s="23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>
      <c r="A317" s="215"/>
      <c r="B317" s="237"/>
      <c r="C317" s="236"/>
      <c r="D317" s="215"/>
      <c r="E317" s="23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>
      <c r="A318" s="215"/>
      <c r="B318" s="237"/>
      <c r="C318" s="236"/>
      <c r="D318" s="215"/>
      <c r="E318" s="23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>
      <c r="A319" s="215"/>
      <c r="B319" s="237"/>
      <c r="C319" s="236"/>
      <c r="D319" s="215"/>
      <c r="E319" s="23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>
      <c r="A320" s="215"/>
      <c r="B320" s="237"/>
      <c r="C320" s="236"/>
      <c r="D320" s="215"/>
      <c r="E320" s="23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>
      <c r="A321" s="215"/>
      <c r="B321" s="237"/>
      <c r="C321" s="236"/>
      <c r="D321" s="215"/>
      <c r="E321" s="23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>
      <c r="A322" s="215"/>
      <c r="B322" s="237"/>
      <c r="C322" s="236"/>
      <c r="D322" s="215"/>
      <c r="E322" s="23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>
      <c r="A323" s="215"/>
      <c r="B323" s="237"/>
      <c r="C323" s="236"/>
      <c r="D323" s="215"/>
      <c r="E323" s="23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>
      <c r="A324" s="215"/>
      <c r="B324" s="237"/>
      <c r="C324" s="236"/>
      <c r="D324" s="215"/>
      <c r="E324" s="23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>
      <c r="A325" s="215"/>
      <c r="B325" s="237"/>
      <c r="C325" s="236"/>
      <c r="D325" s="215"/>
      <c r="E325" s="23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>
      <c r="A326" s="215"/>
      <c r="B326" s="237"/>
      <c r="C326" s="236"/>
      <c r="D326" s="215"/>
      <c r="E326" s="23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>
      <c r="A327" s="215"/>
      <c r="B327" s="237"/>
      <c r="C327" s="236"/>
      <c r="D327" s="215"/>
      <c r="E327" s="23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>
      <c r="A328" s="215"/>
      <c r="B328" s="237"/>
      <c r="C328" s="236"/>
      <c r="D328" s="215"/>
      <c r="E328" s="23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>
      <c r="A329" s="215"/>
      <c r="B329" s="237"/>
      <c r="C329" s="236"/>
      <c r="D329" s="215"/>
      <c r="E329" s="23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>
      <c r="A330" s="215"/>
      <c r="B330" s="237"/>
      <c r="C330" s="236"/>
      <c r="D330" s="215"/>
      <c r="E330" s="23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>
      <c r="A331" s="215"/>
      <c r="B331" s="237"/>
      <c r="C331" s="236"/>
      <c r="D331" s="215"/>
      <c r="E331" s="23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>
      <c r="A332" s="215"/>
      <c r="B332" s="237"/>
      <c r="C332" s="236"/>
      <c r="D332" s="215"/>
      <c r="E332" s="23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>
      <c r="A333" s="215"/>
      <c r="B333" s="237"/>
      <c r="C333" s="236"/>
      <c r="D333" s="215"/>
      <c r="E333" s="23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>
      <c r="A334" s="215"/>
      <c r="B334" s="237"/>
      <c r="C334" s="236"/>
      <c r="D334" s="215"/>
      <c r="E334" s="23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>
      <c r="A335" s="215"/>
      <c r="B335" s="237"/>
      <c r="C335" s="236"/>
      <c r="D335" s="215"/>
      <c r="E335" s="23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>
      <c r="A336" s="215"/>
      <c r="B336" s="237"/>
      <c r="C336" s="236"/>
      <c r="D336" s="215"/>
      <c r="E336" s="23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>
      <c r="A337" s="215"/>
      <c r="B337" s="237"/>
      <c r="C337" s="236"/>
      <c r="D337" s="215"/>
      <c r="E337" s="23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>
      <c r="A338" s="215"/>
      <c r="B338" s="237"/>
      <c r="C338" s="236"/>
      <c r="D338" s="215"/>
      <c r="E338" s="23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>
      <c r="A339" s="215"/>
      <c r="B339" s="237"/>
      <c r="C339" s="236"/>
      <c r="D339" s="215"/>
      <c r="E339" s="23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>
      <c r="A340" s="215"/>
      <c r="B340" s="237"/>
      <c r="C340" s="236"/>
      <c r="D340" s="215"/>
      <c r="E340" s="23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>
      <c r="A341" s="215"/>
      <c r="B341" s="237"/>
      <c r="C341" s="236"/>
      <c r="D341" s="215"/>
      <c r="E341" s="23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>
      <c r="A342" s="215"/>
      <c r="B342" s="237"/>
      <c r="C342" s="236"/>
      <c r="D342" s="215"/>
      <c r="E342" s="23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>
      <c r="A343" s="215"/>
      <c r="B343" s="237"/>
      <c r="C343" s="236"/>
      <c r="D343" s="215"/>
      <c r="E343" s="23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>
      <c r="A344" s="215"/>
      <c r="B344" s="237"/>
      <c r="C344" s="236"/>
      <c r="D344" s="215"/>
      <c r="E344" s="23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>
      <c r="A345" s="215"/>
      <c r="B345" s="237"/>
      <c r="C345" s="236"/>
      <c r="D345" s="215"/>
      <c r="E345" s="23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>
      <c r="A346" s="215"/>
      <c r="B346" s="237"/>
      <c r="C346" s="236"/>
      <c r="D346" s="215"/>
      <c r="E346" s="23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>
      <c r="A347" s="215"/>
      <c r="B347" s="237"/>
      <c r="C347" s="236"/>
      <c r="D347" s="215"/>
      <c r="E347" s="23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>
      <c r="A348" s="215"/>
      <c r="B348" s="237"/>
      <c r="C348" s="236"/>
      <c r="D348" s="215"/>
      <c r="E348" s="23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>
      <c r="A349" s="215"/>
      <c r="B349" s="237"/>
      <c r="C349" s="236"/>
      <c r="D349" s="215"/>
      <c r="E349" s="23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>
      <c r="A350" s="215"/>
      <c r="B350" s="237"/>
      <c r="C350" s="236"/>
      <c r="D350" s="215"/>
      <c r="E350" s="23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>
      <c r="A351" s="215"/>
      <c r="B351" s="237"/>
      <c r="C351" s="236"/>
      <c r="D351" s="215"/>
      <c r="E351" s="23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>
      <c r="A352" s="215"/>
      <c r="B352" s="237"/>
      <c r="C352" s="236"/>
      <c r="D352" s="215"/>
      <c r="E352" s="23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>
      <c r="A353" s="215"/>
      <c r="B353" s="237"/>
      <c r="C353" s="236"/>
      <c r="D353" s="215"/>
      <c r="E353" s="23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>
      <c r="A354" s="215"/>
      <c r="B354" s="237"/>
      <c r="C354" s="236"/>
      <c r="D354" s="215"/>
      <c r="E354" s="23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>
      <c r="A355" s="215"/>
      <c r="B355" s="237"/>
      <c r="C355" s="236"/>
      <c r="D355" s="215"/>
      <c r="E355" s="23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>
      <c r="A356" s="215"/>
      <c r="B356" s="237"/>
      <c r="C356" s="236"/>
      <c r="D356" s="215"/>
      <c r="E356" s="23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>
      <c r="A357" s="215"/>
      <c r="B357" s="237"/>
      <c r="C357" s="236"/>
      <c r="D357" s="215"/>
      <c r="E357" s="23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>
      <c r="A358" s="215"/>
      <c r="B358" s="237"/>
      <c r="C358" s="236"/>
      <c r="D358" s="215"/>
      <c r="E358" s="23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>
      <c r="A359" s="215"/>
      <c r="B359" s="237"/>
      <c r="C359" s="236"/>
      <c r="D359" s="215"/>
      <c r="E359" s="23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>
      <c r="A360" s="215"/>
      <c r="B360" s="237"/>
      <c r="C360" s="236"/>
      <c r="D360" s="215"/>
      <c r="E360" s="23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>
      <c r="A361" s="215"/>
      <c r="B361" s="237"/>
      <c r="C361" s="236"/>
      <c r="D361" s="215"/>
      <c r="E361" s="23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>
      <c r="A362" s="215"/>
      <c r="B362" s="237"/>
      <c r="C362" s="236"/>
      <c r="D362" s="215"/>
      <c r="E362" s="23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>
      <c r="A363" s="215"/>
      <c r="B363" s="237"/>
      <c r="C363" s="236"/>
      <c r="D363" s="215"/>
      <c r="E363" s="23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>
      <c r="A364" s="215"/>
      <c r="B364" s="237"/>
      <c r="C364" s="236"/>
      <c r="D364" s="215"/>
      <c r="E364" s="23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>
      <c r="A365" s="215"/>
      <c r="B365" s="237"/>
      <c r="C365" s="236"/>
      <c r="D365" s="215"/>
      <c r="E365" s="23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>
      <c r="A366" s="215"/>
      <c r="B366" s="237"/>
      <c r="C366" s="236"/>
      <c r="D366" s="215"/>
      <c r="E366" s="23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>
      <c r="A367" s="215"/>
      <c r="B367" s="237"/>
      <c r="C367" s="236"/>
      <c r="D367" s="215"/>
      <c r="E367" s="23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>
      <c r="A368" s="215"/>
      <c r="B368" s="237"/>
      <c r="C368" s="236"/>
      <c r="D368" s="215"/>
      <c r="E368" s="23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>
      <c r="A369" s="215"/>
      <c r="B369" s="237"/>
      <c r="C369" s="236"/>
      <c r="D369" s="215"/>
      <c r="E369" s="23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>
      <c r="A370" s="215"/>
      <c r="B370" s="237"/>
      <c r="C370" s="236"/>
      <c r="D370" s="215"/>
      <c r="E370" s="23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>
      <c r="A371" s="215"/>
      <c r="B371" s="237"/>
      <c r="C371" s="236"/>
      <c r="D371" s="215"/>
      <c r="E371" s="23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>
      <c r="A372" s="215"/>
      <c r="B372" s="237"/>
      <c r="C372" s="236"/>
      <c r="D372" s="215"/>
      <c r="E372" s="23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>
      <c r="A373" s="215"/>
      <c r="B373" s="237"/>
      <c r="C373" s="236"/>
      <c r="D373" s="215"/>
      <c r="E373" s="23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>
      <c r="A374" s="215"/>
      <c r="B374" s="237"/>
      <c r="C374" s="236"/>
      <c r="D374" s="215"/>
      <c r="E374" s="23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>
      <c r="A375" s="215"/>
      <c r="B375" s="237"/>
      <c r="C375" s="236"/>
      <c r="D375" s="215"/>
      <c r="E375" s="23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>
      <c r="A376" s="215"/>
      <c r="B376" s="237"/>
      <c r="C376" s="236"/>
      <c r="D376" s="215"/>
      <c r="E376" s="23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>
      <c r="A377" s="215"/>
      <c r="B377" s="237"/>
      <c r="C377" s="236"/>
      <c r="D377" s="215"/>
      <c r="E377" s="23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>
      <c r="A378" s="215"/>
      <c r="B378" s="237"/>
      <c r="C378" s="236"/>
      <c r="D378" s="215"/>
      <c r="E378" s="23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>
      <c r="A379" s="215"/>
      <c r="B379" s="237"/>
      <c r="C379" s="236"/>
      <c r="D379" s="215"/>
      <c r="E379" s="23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>
      <c r="A380" s="215"/>
      <c r="B380" s="237"/>
      <c r="C380" s="236"/>
      <c r="D380" s="215"/>
      <c r="E380" s="23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>
      <c r="A381" s="215"/>
      <c r="B381" s="237"/>
      <c r="C381" s="236"/>
      <c r="D381" s="215"/>
      <c r="E381" s="23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>
      <c r="A382" s="215"/>
      <c r="B382" s="237"/>
      <c r="C382" s="236"/>
      <c r="D382" s="215"/>
      <c r="E382" s="23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>
      <c r="A383" s="215"/>
      <c r="B383" s="237"/>
      <c r="C383" s="236"/>
      <c r="D383" s="215"/>
      <c r="E383" s="23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>
      <c r="A384" s="215"/>
      <c r="B384" s="237"/>
      <c r="C384" s="236"/>
      <c r="D384" s="215"/>
      <c r="E384" s="23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>
      <c r="A385" s="215"/>
      <c r="B385" s="237"/>
      <c r="C385" s="236"/>
      <c r="D385" s="215"/>
      <c r="E385" s="23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>
      <c r="A386" s="215"/>
      <c r="B386" s="237"/>
      <c r="C386" s="236"/>
      <c r="D386" s="215"/>
      <c r="E386" s="23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>
      <c r="A387" s="215"/>
      <c r="B387" s="237"/>
      <c r="C387" s="236"/>
      <c r="D387" s="215"/>
      <c r="E387" s="23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>
      <c r="A388" s="215"/>
      <c r="B388" s="237"/>
      <c r="C388" s="236"/>
      <c r="D388" s="215"/>
      <c r="E388" s="23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>
      <c r="A389" s="215"/>
      <c r="B389" s="237"/>
      <c r="C389" s="236"/>
      <c r="D389" s="215"/>
      <c r="E389" s="23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>
      <c r="A390" s="215"/>
      <c r="B390" s="237"/>
      <c r="C390" s="236"/>
      <c r="D390" s="215"/>
      <c r="E390" s="23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>
      <c r="A391" s="215"/>
      <c r="B391" s="237"/>
      <c r="C391" s="236"/>
      <c r="D391" s="215"/>
      <c r="E391" s="23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>
      <c r="A392" s="215"/>
      <c r="B392" s="237"/>
      <c r="C392" s="236"/>
      <c r="D392" s="215"/>
      <c r="E392" s="23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>
      <c r="A393" s="215"/>
      <c r="B393" s="237"/>
      <c r="C393" s="236"/>
      <c r="D393" s="215"/>
      <c r="E393" s="23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>
      <c r="A394" s="215"/>
      <c r="B394" s="237"/>
      <c r="C394" s="236"/>
      <c r="D394" s="215"/>
      <c r="E394" s="23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>
      <c r="A395" s="215"/>
      <c r="B395" s="237"/>
      <c r="C395" s="236"/>
      <c r="D395" s="215"/>
      <c r="E395" s="23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>
      <c r="A396" s="215"/>
      <c r="B396" s="237"/>
      <c r="C396" s="236"/>
      <c r="D396" s="215"/>
      <c r="E396" s="23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>
      <c r="A397" s="215"/>
      <c r="B397" s="237"/>
      <c r="C397" s="236"/>
      <c r="D397" s="215"/>
      <c r="E397" s="23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>
      <c r="A398" s="215"/>
      <c r="B398" s="237"/>
      <c r="C398" s="236"/>
      <c r="D398" s="215"/>
      <c r="E398" s="23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>
      <c r="A399" s="215"/>
      <c r="B399" s="237"/>
      <c r="C399" s="236"/>
      <c r="D399" s="215"/>
      <c r="E399" s="23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>
      <c r="A400" s="215"/>
      <c r="B400" s="237"/>
      <c r="C400" s="236"/>
      <c r="D400" s="215"/>
      <c r="E400" s="23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>
      <c r="A401" s="215"/>
      <c r="B401" s="237"/>
      <c r="C401" s="236"/>
      <c r="D401" s="215"/>
      <c r="E401" s="23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>
      <c r="A402" s="215"/>
      <c r="B402" s="237"/>
      <c r="C402" s="236"/>
      <c r="D402" s="215"/>
      <c r="E402" s="23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>
      <c r="A403" s="215"/>
      <c r="B403" s="237"/>
      <c r="C403" s="236"/>
      <c r="D403" s="215"/>
      <c r="E403" s="23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>
      <c r="A404" s="215"/>
      <c r="B404" s="237"/>
      <c r="C404" s="236"/>
      <c r="D404" s="215"/>
      <c r="E404" s="23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>
      <c r="A405" s="215"/>
      <c r="B405" s="237"/>
      <c r="C405" s="236"/>
      <c r="D405" s="215"/>
      <c r="E405" s="23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>
      <c r="A406" s="215"/>
      <c r="B406" s="237"/>
      <c r="C406" s="236"/>
      <c r="D406" s="215"/>
      <c r="E406" s="23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>
      <c r="A407" s="215"/>
      <c r="B407" s="237"/>
      <c r="C407" s="236"/>
      <c r="D407" s="215"/>
      <c r="E407" s="23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>
      <c r="A408" s="215"/>
      <c r="B408" s="237"/>
      <c r="C408" s="236"/>
      <c r="D408" s="215"/>
      <c r="E408" s="23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>
      <c r="A409" s="215"/>
      <c r="B409" s="237"/>
      <c r="C409" s="236"/>
      <c r="D409" s="215"/>
      <c r="E409" s="23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>
      <c r="A410" s="215"/>
      <c r="B410" s="237"/>
      <c r="C410" s="236"/>
      <c r="D410" s="215"/>
      <c r="E410" s="23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>
      <c r="A411" s="215"/>
      <c r="B411" s="237"/>
      <c r="C411" s="236"/>
      <c r="D411" s="215"/>
      <c r="E411" s="23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>
      <c r="A412" s="215"/>
      <c r="B412" s="237"/>
      <c r="C412" s="236"/>
      <c r="D412" s="215"/>
      <c r="E412" s="23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>
      <c r="A413" s="215"/>
      <c r="B413" s="237"/>
      <c r="C413" s="236"/>
      <c r="D413" s="215"/>
      <c r="E413" s="23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>
      <c r="A414" s="215"/>
      <c r="B414" s="237"/>
      <c r="C414" s="236"/>
      <c r="D414" s="215"/>
      <c r="E414" s="23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>
      <c r="A415" s="215"/>
      <c r="B415" s="237"/>
      <c r="C415" s="236"/>
      <c r="D415" s="215"/>
      <c r="E415" s="23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>
      <c r="A416" s="215"/>
      <c r="B416" s="237"/>
      <c r="C416" s="236"/>
      <c r="D416" s="215"/>
      <c r="E416" s="23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>
      <c r="A417" s="215"/>
      <c r="B417" s="237"/>
      <c r="C417" s="236"/>
      <c r="D417" s="215"/>
      <c r="E417" s="23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>
      <c r="A418" s="215"/>
      <c r="B418" s="237"/>
      <c r="C418" s="236"/>
      <c r="D418" s="215"/>
      <c r="E418" s="23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>
      <c r="A419" s="215"/>
      <c r="B419" s="237"/>
      <c r="C419" s="236"/>
      <c r="D419" s="215"/>
      <c r="E419" s="23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>
      <c r="A420" s="215"/>
      <c r="B420" s="237"/>
      <c r="C420" s="236"/>
      <c r="D420" s="215"/>
      <c r="E420" s="23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>
      <c r="A421" s="215"/>
      <c r="B421" s="237"/>
      <c r="C421" s="236"/>
      <c r="D421" s="215"/>
      <c r="E421" s="23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>
      <c r="A422" s="215"/>
      <c r="B422" s="237"/>
      <c r="C422" s="236"/>
      <c r="D422" s="215"/>
      <c r="E422" s="23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>
      <c r="A423" s="215"/>
      <c r="B423" s="237"/>
      <c r="C423" s="236"/>
      <c r="D423" s="215"/>
      <c r="E423" s="23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>
      <c r="A424" s="215"/>
      <c r="B424" s="237"/>
      <c r="C424" s="236"/>
      <c r="D424" s="215"/>
      <c r="E424" s="23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>
      <c r="A425" s="215"/>
      <c r="B425" s="237"/>
      <c r="C425" s="236"/>
      <c r="D425" s="215"/>
      <c r="E425" s="23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>
      <c r="A426" s="215"/>
      <c r="B426" s="237"/>
      <c r="C426" s="236"/>
      <c r="D426" s="215"/>
      <c r="E426" s="23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>
      <c r="A427" s="215"/>
      <c r="B427" s="237"/>
      <c r="C427" s="236"/>
      <c r="D427" s="215"/>
      <c r="E427" s="23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>
      <c r="A428" s="215"/>
      <c r="B428" s="237"/>
      <c r="C428" s="236"/>
      <c r="D428" s="215"/>
      <c r="E428" s="23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>
      <c r="A429" s="215"/>
      <c r="B429" s="237"/>
      <c r="C429" s="236"/>
      <c r="D429" s="215"/>
      <c r="E429" s="23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>
      <c r="A430" s="215"/>
      <c r="B430" s="237"/>
      <c r="C430" s="236"/>
      <c r="D430" s="215"/>
      <c r="E430" s="23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>
      <c r="A431" s="215"/>
      <c r="B431" s="237"/>
      <c r="C431" s="236"/>
      <c r="D431" s="215"/>
      <c r="E431" s="23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>
      <c r="A432" s="215"/>
      <c r="B432" s="237"/>
      <c r="C432" s="236"/>
      <c r="D432" s="215"/>
      <c r="E432" s="23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>
      <c r="A433" s="215"/>
      <c r="B433" s="237"/>
      <c r="C433" s="236"/>
      <c r="D433" s="215"/>
      <c r="E433" s="23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>
      <c r="A434" s="215"/>
      <c r="B434" s="237"/>
      <c r="C434" s="236"/>
      <c r="D434" s="215"/>
      <c r="E434" s="23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>
      <c r="A435" s="215"/>
      <c r="B435" s="237"/>
      <c r="C435" s="236"/>
      <c r="D435" s="215"/>
      <c r="E435" s="23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>
      <c r="A436" s="215"/>
      <c r="B436" s="237"/>
      <c r="C436" s="236"/>
      <c r="D436" s="215"/>
      <c r="E436" s="23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>
      <c r="A437" s="215"/>
      <c r="B437" s="237"/>
      <c r="C437" s="236"/>
      <c r="D437" s="215"/>
      <c r="E437" s="23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>
      <c r="A438" s="215"/>
      <c r="B438" s="237"/>
      <c r="C438" s="236"/>
      <c r="D438" s="215"/>
      <c r="E438" s="23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>
      <c r="A439" s="215"/>
      <c r="B439" s="237"/>
      <c r="C439" s="236"/>
      <c r="D439" s="215"/>
      <c r="E439" s="23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>
      <c r="A440" s="215"/>
      <c r="B440" s="237"/>
      <c r="C440" s="236"/>
      <c r="D440" s="215"/>
      <c r="E440" s="23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>
      <c r="A441" s="215"/>
      <c r="B441" s="237"/>
      <c r="C441" s="236"/>
      <c r="D441" s="215"/>
      <c r="E441" s="23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>
      <c r="A442" s="215"/>
      <c r="B442" s="237"/>
      <c r="C442" s="236"/>
      <c r="D442" s="215"/>
      <c r="E442" s="23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>
      <c r="A443" s="215"/>
      <c r="B443" s="237"/>
      <c r="C443" s="236"/>
      <c r="D443" s="215"/>
      <c r="E443" s="23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>
      <c r="A444" s="215"/>
      <c r="B444" s="237"/>
      <c r="C444" s="236"/>
      <c r="D444" s="215"/>
      <c r="E444" s="23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>
      <c r="A445" s="215"/>
      <c r="B445" s="237"/>
      <c r="C445" s="236"/>
      <c r="D445" s="215"/>
      <c r="E445" s="23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>
      <c r="A446" s="215"/>
      <c r="B446" s="237"/>
      <c r="C446" s="236"/>
      <c r="D446" s="215"/>
      <c r="E446" s="23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>
      <c r="A447" s="215"/>
      <c r="B447" s="237"/>
      <c r="C447" s="236"/>
      <c r="D447" s="215"/>
      <c r="E447" s="23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>
      <c r="A448" s="215"/>
      <c r="B448" s="237"/>
      <c r="C448" s="236"/>
      <c r="D448" s="215"/>
      <c r="E448" s="23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>
      <c r="A449" s="215"/>
      <c r="B449" s="237"/>
      <c r="C449" s="236"/>
      <c r="D449" s="215"/>
      <c r="E449" s="23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>
      <c r="A450" s="215"/>
      <c r="B450" s="237"/>
      <c r="C450" s="236"/>
      <c r="D450" s="215"/>
      <c r="E450" s="23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>
      <c r="A451" s="215"/>
      <c r="B451" s="237"/>
      <c r="C451" s="236"/>
      <c r="D451" s="215"/>
      <c r="E451" s="23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>
      <c r="A452" s="215"/>
      <c r="B452" s="237"/>
      <c r="C452" s="236"/>
      <c r="D452" s="215"/>
      <c r="E452" s="23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>
      <c r="A453" s="215"/>
      <c r="B453" s="237"/>
      <c r="C453" s="236"/>
      <c r="D453" s="215"/>
      <c r="E453" s="23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>
      <c r="A454" s="215"/>
      <c r="B454" s="237"/>
      <c r="C454" s="236"/>
      <c r="D454" s="215"/>
      <c r="E454" s="23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>
      <c r="A455" s="215"/>
      <c r="B455" s="237"/>
      <c r="C455" s="236"/>
      <c r="D455" s="215"/>
      <c r="E455" s="23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>
      <c r="A456" s="215"/>
      <c r="B456" s="237"/>
      <c r="C456" s="236"/>
      <c r="D456" s="215"/>
      <c r="E456" s="23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>
      <c r="A457" s="215"/>
      <c r="B457" s="237"/>
      <c r="C457" s="236"/>
      <c r="D457" s="215"/>
      <c r="E457" s="23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>
      <c r="A458" s="215"/>
      <c r="B458" s="237"/>
      <c r="C458" s="236"/>
      <c r="D458" s="215"/>
      <c r="E458" s="23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>
      <c r="A459" s="215"/>
      <c r="B459" s="237"/>
      <c r="C459" s="236"/>
      <c r="D459" s="215"/>
      <c r="E459" s="23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>
      <c r="A460" s="215"/>
      <c r="B460" s="237"/>
      <c r="C460" s="236"/>
      <c r="D460" s="215"/>
      <c r="E460" s="23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>
      <c r="A461" s="215"/>
      <c r="B461" s="237"/>
      <c r="C461" s="236"/>
      <c r="D461" s="215"/>
      <c r="E461" s="23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>
      <c r="A462" s="215"/>
      <c r="B462" s="237"/>
      <c r="C462" s="236"/>
      <c r="D462" s="215"/>
      <c r="E462" s="23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>
      <c r="A463" s="215"/>
      <c r="B463" s="237"/>
      <c r="C463" s="236"/>
      <c r="D463" s="215"/>
      <c r="E463" s="23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>
      <c r="A464" s="215"/>
      <c r="B464" s="237"/>
      <c r="C464" s="236"/>
      <c r="D464" s="215"/>
      <c r="E464" s="23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>
      <c r="A465" s="215"/>
      <c r="B465" s="237"/>
      <c r="C465" s="236"/>
      <c r="D465" s="215"/>
      <c r="E465" s="23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>
      <c r="A466" s="215"/>
      <c r="B466" s="237"/>
      <c r="C466" s="236"/>
      <c r="D466" s="215"/>
      <c r="E466" s="23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>
      <c r="A467" s="215"/>
      <c r="B467" s="237"/>
      <c r="C467" s="236"/>
      <c r="D467" s="215"/>
      <c r="E467" s="23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>
      <c r="A468" s="215"/>
      <c r="B468" s="237"/>
      <c r="C468" s="236"/>
      <c r="D468" s="215"/>
      <c r="E468" s="23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>
      <c r="A469" s="215"/>
      <c r="B469" s="237"/>
      <c r="C469" s="236"/>
      <c r="D469" s="215"/>
      <c r="E469" s="23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>
      <c r="A470" s="215"/>
      <c r="B470" s="237"/>
      <c r="C470" s="236"/>
      <c r="D470" s="215"/>
      <c r="E470" s="23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>
      <c r="A471" s="215"/>
      <c r="B471" s="237"/>
      <c r="C471" s="236"/>
      <c r="D471" s="215"/>
      <c r="E471" s="23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>
      <c r="A472" s="215"/>
      <c r="B472" s="237"/>
      <c r="C472" s="236"/>
      <c r="D472" s="215"/>
      <c r="E472" s="23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>
      <c r="A473" s="215"/>
      <c r="B473" s="237"/>
      <c r="C473" s="236"/>
      <c r="D473" s="215"/>
      <c r="E473" s="23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>
      <c r="A474" s="215"/>
      <c r="B474" s="237"/>
      <c r="C474" s="236"/>
      <c r="D474" s="215"/>
      <c r="E474" s="23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>
      <c r="A475" s="215"/>
      <c r="B475" s="237"/>
      <c r="C475" s="236"/>
      <c r="D475" s="215"/>
      <c r="E475" s="23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>
      <c r="A476" s="215"/>
      <c r="B476" s="237"/>
      <c r="C476" s="236"/>
      <c r="D476" s="215"/>
      <c r="E476" s="23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>
      <c r="A477" s="215"/>
      <c r="B477" s="237"/>
      <c r="C477" s="236"/>
      <c r="D477" s="215"/>
      <c r="E477" s="23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>
      <c r="A478" s="215"/>
      <c r="B478" s="237"/>
      <c r="C478" s="236"/>
      <c r="D478" s="215"/>
      <c r="E478" s="23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>
      <c r="A479" s="215"/>
      <c r="B479" s="237"/>
      <c r="C479" s="236"/>
      <c r="D479" s="215"/>
      <c r="E479" s="23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>
      <c r="A480" s="215"/>
      <c r="B480" s="237"/>
      <c r="C480" s="236"/>
      <c r="D480" s="215"/>
      <c r="E480" s="23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>
      <c r="A481" s="215"/>
      <c r="B481" s="237"/>
      <c r="C481" s="236"/>
      <c r="D481" s="215"/>
      <c r="E481" s="23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>
      <c r="A482" s="215"/>
      <c r="B482" s="237"/>
      <c r="C482" s="236"/>
      <c r="D482" s="215"/>
      <c r="E482" s="23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>
      <c r="A483" s="215"/>
      <c r="B483" s="237"/>
      <c r="C483" s="236"/>
      <c r="D483" s="215"/>
      <c r="E483" s="23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>
      <c r="A484" s="215"/>
      <c r="B484" s="237"/>
      <c r="C484" s="236"/>
      <c r="D484" s="215"/>
      <c r="E484" s="23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>
      <c r="A485" s="215"/>
      <c r="B485" s="237"/>
      <c r="C485" s="236"/>
      <c r="D485" s="215"/>
      <c r="E485" s="23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>
      <c r="A486" s="215"/>
      <c r="B486" s="237"/>
      <c r="C486" s="236"/>
      <c r="D486" s="215"/>
      <c r="E486" s="23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>
      <c r="A487" s="215"/>
      <c r="B487" s="237"/>
      <c r="C487" s="236"/>
      <c r="D487" s="215"/>
      <c r="E487" s="23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>
      <c r="A488" s="215"/>
      <c r="B488" s="237"/>
      <c r="C488" s="236"/>
      <c r="D488" s="215"/>
      <c r="E488" s="23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>
      <c r="A489" s="215"/>
      <c r="B489" s="237"/>
      <c r="C489" s="236"/>
      <c r="D489" s="215"/>
      <c r="E489" s="23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>
      <c r="A490" s="215"/>
      <c r="B490" s="237"/>
      <c r="C490" s="236"/>
      <c r="D490" s="215"/>
      <c r="E490" s="23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>
      <c r="A491" s="215"/>
      <c r="B491" s="237"/>
      <c r="C491" s="236"/>
      <c r="D491" s="215"/>
      <c r="E491" s="23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>
      <c r="A492" s="215"/>
      <c r="B492" s="237"/>
      <c r="C492" s="236"/>
      <c r="D492" s="215"/>
      <c r="E492" s="23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>
      <c r="A493" s="215"/>
      <c r="B493" s="237"/>
      <c r="C493" s="236"/>
      <c r="D493" s="215"/>
      <c r="E493" s="23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>
      <c r="A494" s="215"/>
      <c r="B494" s="237"/>
      <c r="C494" s="236"/>
      <c r="D494" s="215"/>
      <c r="E494" s="23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>
      <c r="A495" s="215"/>
      <c r="B495" s="237"/>
      <c r="C495" s="236"/>
      <c r="D495" s="215"/>
      <c r="E495" s="23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>
      <c r="A496" s="215"/>
      <c r="B496" s="237"/>
      <c r="C496" s="236"/>
      <c r="D496" s="215"/>
      <c r="E496" s="23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>
      <c r="A497" s="215"/>
      <c r="B497" s="237"/>
      <c r="C497" s="236"/>
      <c r="D497" s="215"/>
      <c r="E497" s="23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>
      <c r="A498" s="215"/>
      <c r="B498" s="237"/>
      <c r="C498" s="236"/>
      <c r="D498" s="215"/>
      <c r="E498" s="23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>
      <c r="A499" s="215"/>
      <c r="B499" s="237"/>
      <c r="C499" s="236"/>
      <c r="D499" s="215"/>
      <c r="E499" s="23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>
      <c r="A500" s="215"/>
      <c r="B500" s="237"/>
      <c r="C500" s="236"/>
      <c r="D500" s="215"/>
      <c r="E500" s="23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>
      <c r="A501" s="215"/>
      <c r="B501" s="237"/>
      <c r="C501" s="236"/>
      <c r="D501" s="215"/>
      <c r="E501" s="23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>
      <c r="A502" s="215"/>
      <c r="B502" s="237"/>
      <c r="C502" s="236"/>
      <c r="D502" s="215"/>
      <c r="E502" s="23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>
      <c r="A503" s="215"/>
      <c r="B503" s="237"/>
      <c r="C503" s="236"/>
      <c r="D503" s="215"/>
      <c r="E503" s="23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>
      <c r="A504" s="215"/>
      <c r="B504" s="237"/>
      <c r="C504" s="236"/>
      <c r="D504" s="215"/>
      <c r="E504" s="23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>
      <c r="A505" s="215"/>
      <c r="B505" s="237"/>
      <c r="C505" s="236"/>
      <c r="D505" s="215"/>
      <c r="E505" s="23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>
      <c r="A506" s="215"/>
      <c r="B506" s="237"/>
      <c r="C506" s="236"/>
      <c r="D506" s="215"/>
      <c r="E506" s="23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>
      <c r="A507" s="215"/>
      <c r="B507" s="237"/>
      <c r="C507" s="236"/>
      <c r="D507" s="215"/>
      <c r="E507" s="23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>
      <c r="A508" s="215"/>
      <c r="B508" s="237"/>
      <c r="C508" s="236"/>
      <c r="D508" s="215"/>
      <c r="E508" s="23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>
      <c r="A509" s="215"/>
      <c r="B509" s="237"/>
      <c r="C509" s="236"/>
      <c r="D509" s="215"/>
      <c r="E509" s="23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>
      <c r="A510" s="215"/>
      <c r="B510" s="237"/>
      <c r="C510" s="236"/>
      <c r="D510" s="215"/>
      <c r="E510" s="23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>
      <c r="A511" s="215"/>
      <c r="B511" s="237"/>
      <c r="C511" s="236"/>
      <c r="D511" s="215"/>
      <c r="E511" s="23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>
      <c r="A512" s="215"/>
      <c r="B512" s="237"/>
      <c r="C512" s="236"/>
      <c r="D512" s="215"/>
      <c r="E512" s="23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>
      <c r="A513" s="215"/>
      <c r="B513" s="237"/>
      <c r="C513" s="236"/>
      <c r="D513" s="215"/>
      <c r="E513" s="23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>
      <c r="A514" s="215"/>
      <c r="B514" s="237"/>
      <c r="C514" s="236"/>
      <c r="D514" s="215"/>
      <c r="E514" s="23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>
      <c r="A515" s="215"/>
      <c r="B515" s="237"/>
      <c r="C515" s="236"/>
      <c r="D515" s="215"/>
      <c r="E515" s="23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>
      <c r="A516" s="215"/>
      <c r="B516" s="237"/>
      <c r="C516" s="236"/>
      <c r="D516" s="215"/>
      <c r="E516" s="23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>
      <c r="A517" s="215"/>
      <c r="B517" s="237"/>
      <c r="C517" s="236"/>
      <c r="D517" s="215"/>
      <c r="E517" s="23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>
      <c r="A518" s="215"/>
      <c r="B518" s="237"/>
      <c r="C518" s="236"/>
      <c r="D518" s="215"/>
      <c r="E518" s="23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>
      <c r="A519" s="215"/>
      <c r="B519" s="237"/>
      <c r="C519" s="236"/>
      <c r="D519" s="215"/>
      <c r="E519" s="23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>
      <c r="A520" s="215"/>
      <c r="B520" s="237"/>
      <c r="C520" s="236"/>
      <c r="D520" s="215"/>
      <c r="E520" s="23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>
      <c r="A521" s="215"/>
      <c r="B521" s="237"/>
      <c r="C521" s="236"/>
      <c r="D521" s="215"/>
      <c r="E521" s="23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>
      <c r="A522" s="215"/>
      <c r="B522" s="237"/>
      <c r="C522" s="236"/>
      <c r="D522" s="215"/>
      <c r="E522" s="23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>
      <c r="A523" s="215"/>
      <c r="B523" s="237"/>
      <c r="C523" s="236"/>
      <c r="D523" s="215"/>
      <c r="E523" s="23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>
      <c r="A524" s="215"/>
      <c r="B524" s="237"/>
      <c r="C524" s="236"/>
      <c r="D524" s="215"/>
      <c r="E524" s="23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>
      <c r="A525" s="215"/>
      <c r="B525" s="237"/>
      <c r="C525" s="236"/>
      <c r="D525" s="215"/>
      <c r="E525" s="23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>
      <c r="A526" s="215"/>
      <c r="B526" s="237"/>
      <c r="C526" s="236"/>
      <c r="D526" s="215"/>
      <c r="E526" s="23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>
      <c r="A527" s="215"/>
      <c r="B527" s="237"/>
      <c r="C527" s="236"/>
      <c r="D527" s="215"/>
      <c r="E527" s="23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>
      <c r="A528" s="215"/>
      <c r="B528" s="237"/>
      <c r="C528" s="236"/>
      <c r="D528" s="215"/>
      <c r="E528" s="23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>
      <c r="A529" s="215"/>
      <c r="B529" s="237"/>
      <c r="C529" s="236"/>
      <c r="D529" s="215"/>
      <c r="E529" s="23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>
      <c r="A530" s="215"/>
      <c r="B530" s="237"/>
      <c r="C530" s="236"/>
      <c r="D530" s="215"/>
      <c r="E530" s="23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>
      <c r="A531" s="215"/>
      <c r="B531" s="237"/>
      <c r="C531" s="236"/>
      <c r="D531" s="215"/>
      <c r="E531" s="23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>
      <c r="A532" s="215"/>
      <c r="B532" s="237"/>
      <c r="C532" s="236"/>
      <c r="D532" s="215"/>
      <c r="E532" s="23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>
      <c r="A533" s="215"/>
      <c r="B533" s="237"/>
      <c r="C533" s="236"/>
      <c r="D533" s="215"/>
      <c r="E533" s="23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>
      <c r="A534" s="215"/>
      <c r="B534" s="237"/>
      <c r="C534" s="236"/>
      <c r="D534" s="215"/>
      <c r="E534" s="23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>
      <c r="A535" s="215"/>
      <c r="B535" s="237"/>
      <c r="C535" s="236"/>
      <c r="D535" s="215"/>
      <c r="E535" s="23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>
      <c r="A536" s="215"/>
      <c r="B536" s="237"/>
      <c r="C536" s="236"/>
      <c r="D536" s="215"/>
      <c r="E536" s="23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>
      <c r="A537" s="215"/>
      <c r="B537" s="237"/>
      <c r="C537" s="236"/>
      <c r="D537" s="215"/>
      <c r="E537" s="23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>
      <c r="A538" s="215"/>
      <c r="B538" s="237"/>
      <c r="C538" s="236"/>
      <c r="D538" s="215"/>
      <c r="E538" s="23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>
      <c r="A539" s="215"/>
      <c r="B539" s="237"/>
      <c r="C539" s="236"/>
      <c r="D539" s="215"/>
      <c r="E539" s="23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>
      <c r="A540" s="215"/>
      <c r="B540" s="237"/>
      <c r="C540" s="236"/>
      <c r="D540" s="215"/>
      <c r="E540" s="23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>
      <c r="A541" s="215"/>
      <c r="B541" s="237"/>
      <c r="C541" s="236"/>
      <c r="D541" s="215"/>
      <c r="E541" s="23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>
      <c r="A542" s="215"/>
      <c r="B542" s="237"/>
      <c r="C542" s="236"/>
      <c r="D542" s="215"/>
      <c r="E542" s="23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>
      <c r="A543" s="215"/>
      <c r="B543" s="237"/>
      <c r="C543" s="236"/>
      <c r="D543" s="215"/>
      <c r="E543" s="23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>
      <c r="A544" s="215"/>
      <c r="B544" s="237"/>
      <c r="C544" s="236"/>
      <c r="D544" s="215"/>
      <c r="E544" s="23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>
      <c r="A545" s="215"/>
      <c r="B545" s="237"/>
      <c r="C545" s="236"/>
      <c r="D545" s="215"/>
      <c r="E545" s="23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>
      <c r="A546" s="215"/>
      <c r="B546" s="237"/>
      <c r="C546" s="236"/>
      <c r="D546" s="215"/>
      <c r="E546" s="23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>
      <c r="A547" s="215"/>
      <c r="B547" s="237"/>
      <c r="C547" s="236"/>
      <c r="D547" s="215"/>
      <c r="E547" s="23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>
      <c r="A548" s="215"/>
      <c r="B548" s="237"/>
      <c r="C548" s="236"/>
      <c r="D548" s="215"/>
      <c r="E548" s="23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>
      <c r="A549" s="215"/>
      <c r="B549" s="237"/>
      <c r="C549" s="236"/>
      <c r="D549" s="215"/>
      <c r="E549" s="23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>
      <c r="A550" s="215"/>
      <c r="B550" s="237"/>
      <c r="C550" s="236"/>
      <c r="D550" s="215"/>
      <c r="E550" s="23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>
      <c r="A551" s="215"/>
      <c r="B551" s="237"/>
      <c r="C551" s="236"/>
      <c r="D551" s="215"/>
      <c r="E551" s="23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>
      <c r="A552" s="215"/>
      <c r="B552" s="237"/>
      <c r="C552" s="236"/>
      <c r="D552" s="215"/>
      <c r="E552" s="23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>
      <c r="A553" s="215"/>
      <c r="B553" s="237"/>
      <c r="C553" s="236"/>
      <c r="D553" s="215"/>
      <c r="E553" s="23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>
      <c r="A554" s="215"/>
      <c r="B554" s="237"/>
      <c r="C554" s="236"/>
      <c r="D554" s="215"/>
      <c r="E554" s="23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>
      <c r="A555" s="215"/>
      <c r="B555" s="237"/>
      <c r="C555" s="236"/>
      <c r="D555" s="215"/>
      <c r="E555" s="23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>
      <c r="A556" s="215"/>
      <c r="B556" s="237"/>
      <c r="C556" s="236"/>
      <c r="D556" s="215"/>
      <c r="E556" s="23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>
      <c r="A557" s="215"/>
      <c r="B557" s="237"/>
      <c r="C557" s="236"/>
      <c r="D557" s="215"/>
      <c r="E557" s="23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>
      <c r="A558" s="215"/>
      <c r="B558" s="237"/>
      <c r="C558" s="236"/>
      <c r="D558" s="215"/>
      <c r="E558" s="23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>
      <c r="A559" s="215"/>
      <c r="B559" s="237"/>
      <c r="C559" s="236"/>
      <c r="D559" s="215"/>
      <c r="E559" s="23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>
      <c r="A560" s="215"/>
      <c r="B560" s="237"/>
      <c r="C560" s="236"/>
      <c r="D560" s="215"/>
      <c r="E560" s="23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>
      <c r="A561" s="215"/>
      <c r="B561" s="237"/>
      <c r="C561" s="236"/>
      <c r="D561" s="215"/>
      <c r="E561" s="23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>
      <c r="A562" s="215"/>
      <c r="B562" s="237"/>
      <c r="C562" s="236"/>
      <c r="D562" s="215"/>
      <c r="E562" s="23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>
      <c r="A563" s="215"/>
      <c r="B563" s="237"/>
      <c r="C563" s="236"/>
      <c r="D563" s="215"/>
      <c r="E563" s="23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>
      <c r="A564" s="215"/>
      <c r="B564" s="237"/>
      <c r="C564" s="236"/>
      <c r="D564" s="215"/>
      <c r="E564" s="23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>
      <c r="A565" s="215"/>
      <c r="B565" s="237"/>
      <c r="C565" s="236"/>
      <c r="D565" s="215"/>
      <c r="E565" s="23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>
      <c r="A566" s="215"/>
      <c r="B566" s="237"/>
      <c r="C566" s="236"/>
      <c r="D566" s="215"/>
      <c r="E566" s="23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>
      <c r="A567" s="215"/>
      <c r="B567" s="237"/>
      <c r="C567" s="236"/>
      <c r="D567" s="215"/>
      <c r="E567" s="23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>
      <c r="A568" s="215"/>
      <c r="B568" s="237"/>
      <c r="C568" s="236"/>
      <c r="D568" s="215"/>
      <c r="E568" s="23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>
      <c r="A569" s="215"/>
      <c r="B569" s="237"/>
      <c r="C569" s="236"/>
      <c r="D569" s="215"/>
      <c r="E569" s="23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>
      <c r="A570" s="215"/>
      <c r="B570" s="237"/>
      <c r="C570" s="236"/>
      <c r="D570" s="215"/>
      <c r="E570" s="23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>
      <c r="A571" s="215"/>
      <c r="B571" s="237"/>
      <c r="C571" s="236"/>
      <c r="D571" s="215"/>
      <c r="E571" s="23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>
      <c r="A572" s="215"/>
      <c r="B572" s="237"/>
      <c r="C572" s="236"/>
      <c r="D572" s="215"/>
      <c r="E572" s="23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>
      <c r="A573" s="215"/>
      <c r="B573" s="237"/>
      <c r="C573" s="236"/>
      <c r="D573" s="215"/>
      <c r="E573" s="23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>
      <c r="A574" s="215"/>
      <c r="B574" s="237"/>
      <c r="C574" s="236"/>
      <c r="D574" s="215"/>
      <c r="E574" s="23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>
      <c r="A575" s="215"/>
      <c r="B575" s="237"/>
      <c r="C575" s="236"/>
      <c r="D575" s="215"/>
      <c r="E575" s="23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>
      <c r="A576" s="215"/>
      <c r="B576" s="237"/>
      <c r="C576" s="236"/>
      <c r="D576" s="215"/>
      <c r="E576" s="23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>
      <c r="A577" s="215"/>
      <c r="B577" s="237"/>
      <c r="C577" s="236"/>
      <c r="D577" s="215"/>
      <c r="E577" s="23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>
      <c r="A578" s="215"/>
      <c r="B578" s="237"/>
      <c r="C578" s="236"/>
      <c r="D578" s="215"/>
      <c r="E578" s="23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>
      <c r="A579" s="215"/>
      <c r="B579" s="237"/>
      <c r="C579" s="236"/>
      <c r="D579" s="215"/>
      <c r="E579" s="23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>
      <c r="A580" s="215"/>
      <c r="B580" s="237"/>
      <c r="C580" s="236"/>
      <c r="D580" s="215"/>
      <c r="E580" s="23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>
      <c r="A581" s="215"/>
      <c r="B581" s="237"/>
      <c r="C581" s="236"/>
      <c r="D581" s="215"/>
      <c r="E581" s="23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>
      <c r="A582" s="215"/>
      <c r="B582" s="237"/>
      <c r="C582" s="236"/>
      <c r="D582" s="215"/>
      <c r="E582" s="23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>
      <c r="A583" s="215"/>
      <c r="B583" s="237"/>
      <c r="C583" s="236"/>
      <c r="D583" s="215"/>
      <c r="E583" s="23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>
      <c r="A584" s="215"/>
      <c r="B584" s="237"/>
      <c r="C584" s="236"/>
      <c r="D584" s="215"/>
      <c r="E584" s="23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>
      <c r="A585" s="215"/>
      <c r="B585" s="237"/>
      <c r="C585" s="236"/>
      <c r="D585" s="215"/>
      <c r="E585" s="23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>
      <c r="A586" s="215"/>
      <c r="B586" s="237"/>
      <c r="C586" s="236"/>
      <c r="D586" s="215"/>
      <c r="E586" s="23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>
      <c r="A587" s="215"/>
      <c r="B587" s="237"/>
      <c r="C587" s="236"/>
      <c r="D587" s="215"/>
      <c r="E587" s="23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>
      <c r="A588" s="215"/>
      <c r="B588" s="237"/>
      <c r="C588" s="236"/>
      <c r="D588" s="215"/>
      <c r="E588" s="23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>
      <c r="A589" s="215"/>
      <c r="B589" s="237"/>
      <c r="C589" s="236"/>
      <c r="D589" s="215"/>
      <c r="E589" s="23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>
      <c r="A590" s="215"/>
      <c r="B590" s="237"/>
      <c r="C590" s="236"/>
      <c r="D590" s="215"/>
      <c r="E590" s="23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>
      <c r="A591" s="215"/>
      <c r="B591" s="237"/>
      <c r="C591" s="236"/>
      <c r="D591" s="215"/>
      <c r="E591" s="23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>
      <c r="A592" s="215"/>
      <c r="B592" s="237"/>
      <c r="C592" s="236"/>
      <c r="D592" s="215"/>
      <c r="E592" s="23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>
      <c r="A593" s="215"/>
      <c r="B593" s="237"/>
      <c r="C593" s="236"/>
      <c r="D593" s="215"/>
      <c r="E593" s="23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>
      <c r="A594" s="215"/>
      <c r="B594" s="237"/>
      <c r="C594" s="236"/>
      <c r="D594" s="215"/>
      <c r="E594" s="23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>
      <c r="A595" s="215"/>
      <c r="B595" s="237"/>
      <c r="C595" s="236"/>
      <c r="D595" s="215"/>
      <c r="E595" s="23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>
      <c r="A596" s="215"/>
      <c r="B596" s="237"/>
      <c r="C596" s="236"/>
      <c r="D596" s="215"/>
      <c r="E596" s="23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>
      <c r="A597" s="215"/>
      <c r="B597" s="237"/>
      <c r="C597" s="236"/>
      <c r="D597" s="215"/>
      <c r="E597" s="23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>
      <c r="A598" s="215"/>
      <c r="B598" s="237"/>
      <c r="C598" s="236"/>
      <c r="D598" s="215"/>
      <c r="E598" s="23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>
      <c r="A599" s="215"/>
      <c r="B599" s="237"/>
      <c r="C599" s="236"/>
      <c r="D599" s="215"/>
      <c r="E599" s="23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>
      <c r="A600" s="215"/>
      <c r="B600" s="237"/>
      <c r="C600" s="236"/>
      <c r="D600" s="215"/>
      <c r="E600" s="23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>
      <c r="A601" s="215"/>
      <c r="B601" s="237"/>
      <c r="C601" s="236"/>
      <c r="D601" s="215"/>
      <c r="E601" s="23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>
      <c r="A602" s="215"/>
      <c r="B602" s="237"/>
      <c r="C602" s="236"/>
      <c r="D602" s="215"/>
      <c r="E602" s="23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>
      <c r="A603" s="215"/>
      <c r="B603" s="237"/>
      <c r="C603" s="236"/>
      <c r="D603" s="215"/>
      <c r="E603" s="23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>
      <c r="A604" s="215"/>
      <c r="B604" s="237"/>
      <c r="C604" s="236"/>
      <c r="D604" s="215"/>
      <c r="E604" s="23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>
      <c r="A605" s="215"/>
      <c r="B605" s="237"/>
      <c r="C605" s="236"/>
      <c r="D605" s="215"/>
      <c r="E605" s="23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>
      <c r="A606" s="215"/>
      <c r="B606" s="237"/>
      <c r="C606" s="236"/>
      <c r="D606" s="215"/>
      <c r="E606" s="23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>
      <c r="A607" s="215"/>
      <c r="B607" s="237"/>
      <c r="C607" s="236"/>
      <c r="D607" s="215"/>
      <c r="E607" s="23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>
      <c r="A608" s="215"/>
      <c r="B608" s="237"/>
      <c r="C608" s="236"/>
      <c r="D608" s="215"/>
      <c r="E608" s="23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>
      <c r="A609" s="215"/>
      <c r="B609" s="237"/>
      <c r="C609" s="236"/>
      <c r="D609" s="215"/>
      <c r="E609" s="23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>
      <c r="A610" s="215"/>
      <c r="B610" s="237"/>
      <c r="C610" s="236"/>
      <c r="D610" s="215"/>
      <c r="E610" s="23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>
      <c r="A611" s="215"/>
      <c r="B611" s="237"/>
      <c r="C611" s="236"/>
      <c r="D611" s="215"/>
      <c r="E611" s="23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>
      <c r="A612" s="215"/>
      <c r="B612" s="237"/>
      <c r="C612" s="236"/>
      <c r="D612" s="215"/>
      <c r="E612" s="23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>
      <c r="A613" s="215"/>
      <c r="B613" s="237"/>
      <c r="C613" s="236"/>
      <c r="D613" s="215"/>
      <c r="E613" s="23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>
      <c r="A614" s="215"/>
      <c r="B614" s="237"/>
      <c r="C614" s="236"/>
      <c r="D614" s="215"/>
      <c r="E614" s="23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>
      <c r="A615" s="215"/>
      <c r="B615" s="237"/>
      <c r="C615" s="236"/>
      <c r="D615" s="215"/>
      <c r="E615" s="23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>
      <c r="A616" s="215"/>
      <c r="B616" s="237"/>
      <c r="C616" s="236"/>
      <c r="D616" s="215"/>
      <c r="E616" s="23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>
      <c r="A617" s="215"/>
      <c r="B617" s="237"/>
      <c r="C617" s="236"/>
      <c r="D617" s="215"/>
      <c r="E617" s="23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>
      <c r="A618" s="215"/>
      <c r="B618" s="237"/>
      <c r="C618" s="236"/>
      <c r="D618" s="215"/>
      <c r="E618" s="23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>
      <c r="A619" s="215"/>
      <c r="B619" s="237"/>
      <c r="C619" s="236"/>
      <c r="D619" s="215"/>
      <c r="E619" s="23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>
      <c r="A620" s="215"/>
      <c r="B620" s="237"/>
      <c r="C620" s="236"/>
      <c r="D620" s="215"/>
      <c r="E620" s="23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>
      <c r="A621" s="215"/>
      <c r="B621" s="237"/>
      <c r="C621" s="236"/>
      <c r="D621" s="215"/>
      <c r="E621" s="23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>
      <c r="A622" s="215"/>
      <c r="B622" s="237"/>
      <c r="C622" s="236"/>
      <c r="D622" s="215"/>
      <c r="E622" s="23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>
      <c r="A623" s="215"/>
      <c r="B623" s="237"/>
      <c r="C623" s="236"/>
      <c r="D623" s="215"/>
      <c r="E623" s="23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>
      <c r="A624" s="215"/>
      <c r="B624" s="237"/>
      <c r="C624" s="236"/>
      <c r="D624" s="215"/>
      <c r="E624" s="23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>
      <c r="A625" s="215"/>
      <c r="B625" s="237"/>
      <c r="C625" s="236"/>
      <c r="D625" s="215"/>
      <c r="E625" s="23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>
      <c r="A626" s="215"/>
      <c r="B626" s="237"/>
      <c r="C626" s="236"/>
      <c r="D626" s="215"/>
      <c r="E626" s="23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>
      <c r="A627" s="215"/>
      <c r="B627" s="237"/>
      <c r="C627" s="236"/>
      <c r="D627" s="215"/>
      <c r="E627" s="23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>
      <c r="A628" s="215"/>
      <c r="B628" s="237"/>
      <c r="C628" s="236"/>
      <c r="D628" s="215"/>
      <c r="E628" s="23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>
      <c r="A629" s="215"/>
      <c r="B629" s="237"/>
      <c r="C629" s="236"/>
      <c r="D629" s="215"/>
      <c r="E629" s="23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>
      <c r="A630" s="215"/>
      <c r="B630" s="237"/>
      <c r="C630" s="236"/>
      <c r="D630" s="215"/>
      <c r="E630" s="23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>
      <c r="A631" s="215"/>
      <c r="B631" s="237"/>
      <c r="C631" s="236"/>
      <c r="D631" s="215"/>
      <c r="E631" s="23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>
      <c r="A632" s="215"/>
      <c r="B632" s="237"/>
      <c r="C632" s="236"/>
      <c r="D632" s="215"/>
      <c r="E632" s="23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>
      <c r="A633" s="215"/>
      <c r="B633" s="237"/>
      <c r="C633" s="236"/>
      <c r="D633" s="215"/>
      <c r="E633" s="23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>
      <c r="A634" s="215"/>
      <c r="B634" s="237"/>
      <c r="C634" s="236"/>
      <c r="D634" s="215"/>
      <c r="E634" s="23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>
      <c r="A635" s="215"/>
      <c r="B635" s="237"/>
      <c r="C635" s="236"/>
      <c r="D635" s="215"/>
      <c r="E635" s="23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>
      <c r="A636" s="215"/>
      <c r="B636" s="237"/>
      <c r="C636" s="236"/>
      <c r="D636" s="215"/>
      <c r="E636" s="23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>
      <c r="A637" s="215"/>
      <c r="B637" s="237"/>
      <c r="C637" s="236"/>
      <c r="D637" s="215"/>
      <c r="E637" s="23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>
      <c r="A638" s="215"/>
      <c r="B638" s="237"/>
      <c r="C638" s="236"/>
      <c r="D638" s="215"/>
      <c r="E638" s="23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>
      <c r="A639" s="215"/>
      <c r="B639" s="237"/>
      <c r="C639" s="236"/>
      <c r="D639" s="215"/>
      <c r="E639" s="23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>
      <c r="A640" s="215"/>
      <c r="B640" s="237"/>
      <c r="C640" s="236"/>
      <c r="D640" s="215"/>
      <c r="E640" s="23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>
      <c r="A641" s="215"/>
      <c r="B641" s="237"/>
      <c r="C641" s="236"/>
      <c r="D641" s="215"/>
      <c r="E641" s="23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>
      <c r="A642" s="215"/>
      <c r="B642" s="237"/>
      <c r="C642" s="236"/>
      <c r="D642" s="215"/>
      <c r="E642" s="23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>
      <c r="A643" s="215"/>
      <c r="B643" s="237"/>
      <c r="C643" s="236"/>
      <c r="D643" s="215"/>
      <c r="E643" s="23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>
      <c r="A644" s="215"/>
      <c r="B644" s="237"/>
      <c r="C644" s="236"/>
      <c r="D644" s="215"/>
      <c r="E644" s="23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>
      <c r="A645" s="215"/>
      <c r="B645" s="237"/>
      <c r="C645" s="236"/>
      <c r="D645" s="215"/>
      <c r="E645" s="23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>
      <c r="A646" s="215"/>
      <c r="B646" s="237"/>
      <c r="C646" s="236"/>
      <c r="D646" s="215"/>
      <c r="E646" s="23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>
      <c r="A647" s="215"/>
      <c r="B647" s="237"/>
      <c r="C647" s="236"/>
      <c r="D647" s="215"/>
      <c r="E647" s="23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>
      <c r="A648" s="215"/>
      <c r="B648" s="237"/>
      <c r="C648" s="236"/>
      <c r="D648" s="215"/>
      <c r="E648" s="23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>
      <c r="A649" s="215"/>
      <c r="B649" s="237"/>
      <c r="C649" s="236"/>
      <c r="D649" s="215"/>
      <c r="E649" s="23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>
      <c r="A650" s="215"/>
      <c r="B650" s="237"/>
      <c r="C650" s="236"/>
      <c r="D650" s="215"/>
      <c r="E650" s="23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>
      <c r="A651" s="215"/>
      <c r="B651" s="237"/>
      <c r="C651" s="236"/>
      <c r="D651" s="215"/>
      <c r="E651" s="23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>
      <c r="A652" s="215"/>
      <c r="B652" s="237"/>
      <c r="C652" s="236"/>
      <c r="D652" s="215"/>
      <c r="E652" s="23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>
      <c r="A653" s="215"/>
      <c r="B653" s="237"/>
      <c r="C653" s="236"/>
      <c r="D653" s="215"/>
      <c r="E653" s="23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>
      <c r="A654" s="215"/>
      <c r="B654" s="237"/>
      <c r="C654" s="236"/>
      <c r="D654" s="215"/>
      <c r="E654" s="23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>
      <c r="A655" s="215"/>
      <c r="B655" s="237"/>
      <c r="C655" s="236"/>
      <c r="D655" s="215"/>
      <c r="E655" s="23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>
      <c r="A656" s="215"/>
      <c r="B656" s="237"/>
      <c r="C656" s="236"/>
      <c r="D656" s="215"/>
      <c r="E656" s="23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>
      <c r="A657" s="215"/>
      <c r="B657" s="237"/>
      <c r="C657" s="236"/>
      <c r="D657" s="215"/>
      <c r="E657" s="23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>
      <c r="A658" s="215"/>
      <c r="B658" s="237"/>
      <c r="C658" s="236"/>
      <c r="D658" s="215"/>
      <c r="E658" s="23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>
      <c r="A659" s="215"/>
      <c r="B659" s="237"/>
      <c r="C659" s="236"/>
      <c r="D659" s="215"/>
      <c r="E659" s="23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>
      <c r="A660" s="215"/>
      <c r="B660" s="237"/>
      <c r="C660" s="236"/>
      <c r="D660" s="215"/>
      <c r="E660" s="23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>
      <c r="A661" s="215"/>
      <c r="B661" s="237"/>
      <c r="C661" s="236"/>
      <c r="D661" s="215"/>
      <c r="E661" s="23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>
      <c r="A662" s="215"/>
      <c r="B662" s="237"/>
      <c r="C662" s="236"/>
      <c r="D662" s="215"/>
      <c r="E662" s="23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>
      <c r="A663" s="215"/>
      <c r="B663" s="237"/>
      <c r="C663" s="236"/>
      <c r="D663" s="215"/>
      <c r="E663" s="23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>
      <c r="A664" s="215"/>
      <c r="B664" s="237"/>
      <c r="C664" s="236"/>
      <c r="D664" s="215"/>
      <c r="E664" s="23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>
      <c r="A665" s="215"/>
      <c r="B665" s="237"/>
      <c r="C665" s="236"/>
      <c r="D665" s="215"/>
      <c r="E665" s="23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</row>
    <row r="666">
      <c r="A666" s="215"/>
      <c r="B666" s="237"/>
      <c r="C666" s="236"/>
      <c r="D666" s="215"/>
      <c r="E666" s="23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</row>
    <row r="667">
      <c r="A667" s="215"/>
      <c r="B667" s="237"/>
      <c r="C667" s="236"/>
      <c r="D667" s="215"/>
      <c r="E667" s="23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</row>
    <row r="668">
      <c r="A668" s="215"/>
      <c r="B668" s="237"/>
      <c r="C668" s="236"/>
      <c r="D668" s="215"/>
      <c r="E668" s="23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</row>
    <row r="669">
      <c r="A669" s="215"/>
      <c r="B669" s="237"/>
      <c r="C669" s="236"/>
      <c r="D669" s="215"/>
      <c r="E669" s="23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</row>
    <row r="670">
      <c r="A670" s="215"/>
      <c r="B670" s="237"/>
      <c r="C670" s="236"/>
      <c r="D670" s="215"/>
      <c r="E670" s="23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</row>
    <row r="671">
      <c r="A671" s="215"/>
      <c r="B671" s="237"/>
      <c r="C671" s="236"/>
      <c r="D671" s="215"/>
      <c r="E671" s="23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</row>
    <row r="672">
      <c r="A672" s="215"/>
      <c r="B672" s="237"/>
      <c r="C672" s="236"/>
      <c r="D672" s="215"/>
      <c r="E672" s="23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</row>
    <row r="673">
      <c r="A673" s="215"/>
      <c r="B673" s="237"/>
      <c r="C673" s="236"/>
      <c r="D673" s="215"/>
      <c r="E673" s="23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</row>
    <row r="674">
      <c r="A674" s="215"/>
      <c r="B674" s="237"/>
      <c r="C674" s="236"/>
      <c r="D674" s="215"/>
      <c r="E674" s="23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</row>
    <row r="675">
      <c r="A675" s="215"/>
      <c r="B675" s="237"/>
      <c r="C675" s="236"/>
      <c r="D675" s="215"/>
      <c r="E675" s="23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</row>
    <row r="676">
      <c r="A676" s="215"/>
      <c r="B676" s="237"/>
      <c r="C676" s="236"/>
      <c r="D676" s="215"/>
      <c r="E676" s="23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</row>
    <row r="677">
      <c r="A677" s="215"/>
      <c r="B677" s="237"/>
      <c r="C677" s="236"/>
      <c r="D677" s="215"/>
      <c r="E677" s="23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</row>
    <row r="678">
      <c r="A678" s="215"/>
      <c r="B678" s="237"/>
      <c r="C678" s="236"/>
      <c r="D678" s="215"/>
      <c r="E678" s="23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</row>
    <row r="679">
      <c r="A679" s="215"/>
      <c r="B679" s="237"/>
      <c r="C679" s="236"/>
      <c r="D679" s="215"/>
      <c r="E679" s="23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</row>
    <row r="680">
      <c r="A680" s="215"/>
      <c r="B680" s="237"/>
      <c r="C680" s="236"/>
      <c r="D680" s="215"/>
      <c r="E680" s="23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</row>
    <row r="681">
      <c r="A681" s="215"/>
      <c r="B681" s="237"/>
      <c r="C681" s="236"/>
      <c r="D681" s="215"/>
      <c r="E681" s="23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</row>
    <row r="682">
      <c r="A682" s="215"/>
      <c r="B682" s="237"/>
      <c r="C682" s="236"/>
      <c r="D682" s="215"/>
      <c r="E682" s="23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</row>
    <row r="683">
      <c r="A683" s="215"/>
      <c r="B683" s="237"/>
      <c r="C683" s="236"/>
      <c r="D683" s="215"/>
      <c r="E683" s="23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</row>
    <row r="684">
      <c r="A684" s="215"/>
      <c r="B684" s="237"/>
      <c r="C684" s="236"/>
      <c r="D684" s="215"/>
      <c r="E684" s="23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</row>
    <row r="685">
      <c r="A685" s="215"/>
      <c r="B685" s="237"/>
      <c r="C685" s="236"/>
      <c r="D685" s="215"/>
      <c r="E685" s="23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</row>
    <row r="686">
      <c r="A686" s="215"/>
      <c r="B686" s="237"/>
      <c r="C686" s="236"/>
      <c r="D686" s="215"/>
      <c r="E686" s="23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</row>
    <row r="687">
      <c r="A687" s="215"/>
      <c r="B687" s="237"/>
      <c r="C687" s="236"/>
      <c r="D687" s="215"/>
      <c r="E687" s="23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</row>
    <row r="688">
      <c r="A688" s="215"/>
      <c r="B688" s="237"/>
      <c r="C688" s="236"/>
      <c r="D688" s="215"/>
      <c r="E688" s="23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</row>
    <row r="689">
      <c r="A689" s="215"/>
      <c r="B689" s="237"/>
      <c r="C689" s="236"/>
      <c r="D689" s="215"/>
      <c r="E689" s="23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</row>
    <row r="690">
      <c r="A690" s="215"/>
      <c r="B690" s="237"/>
      <c r="C690" s="236"/>
      <c r="D690" s="215"/>
      <c r="E690" s="23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</row>
    <row r="691">
      <c r="A691" s="215"/>
      <c r="B691" s="237"/>
      <c r="C691" s="236"/>
      <c r="D691" s="215"/>
      <c r="E691" s="23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</row>
    <row r="692">
      <c r="A692" s="215"/>
      <c r="B692" s="237"/>
      <c r="C692" s="236"/>
      <c r="D692" s="215"/>
      <c r="E692" s="23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</row>
    <row r="693">
      <c r="A693" s="215"/>
      <c r="B693" s="237"/>
      <c r="C693" s="236"/>
      <c r="D693" s="215"/>
      <c r="E693" s="23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</row>
    <row r="694">
      <c r="A694" s="215"/>
      <c r="B694" s="237"/>
      <c r="C694" s="236"/>
      <c r="D694" s="215"/>
      <c r="E694" s="23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</row>
    <row r="695">
      <c r="A695" s="215"/>
      <c r="B695" s="237"/>
      <c r="C695" s="236"/>
      <c r="D695" s="215"/>
      <c r="E695" s="23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</row>
    <row r="696">
      <c r="A696" s="215"/>
      <c r="B696" s="237"/>
      <c r="C696" s="236"/>
      <c r="D696" s="215"/>
      <c r="E696" s="23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</row>
    <row r="697">
      <c r="A697" s="215"/>
      <c r="B697" s="237"/>
      <c r="C697" s="236"/>
      <c r="D697" s="215"/>
      <c r="E697" s="23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</row>
    <row r="698">
      <c r="A698" s="215"/>
      <c r="B698" s="237"/>
      <c r="C698" s="236"/>
      <c r="D698" s="215"/>
      <c r="E698" s="23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</row>
    <row r="699">
      <c r="A699" s="215"/>
      <c r="B699" s="237"/>
      <c r="C699" s="236"/>
      <c r="D699" s="215"/>
      <c r="E699" s="23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</row>
    <row r="700">
      <c r="A700" s="215"/>
      <c r="B700" s="237"/>
      <c r="C700" s="236"/>
      <c r="D700" s="215"/>
      <c r="E700" s="23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</row>
    <row r="701">
      <c r="A701" s="215"/>
      <c r="B701" s="237"/>
      <c r="C701" s="236"/>
      <c r="D701" s="215"/>
      <c r="E701" s="23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</row>
    <row r="702">
      <c r="A702" s="215"/>
      <c r="B702" s="237"/>
      <c r="C702" s="236"/>
      <c r="D702" s="215"/>
      <c r="E702" s="23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</row>
    <row r="703">
      <c r="A703" s="215"/>
      <c r="B703" s="237"/>
      <c r="C703" s="236"/>
      <c r="D703" s="215"/>
      <c r="E703" s="23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</row>
    <row r="704">
      <c r="A704" s="215"/>
      <c r="B704" s="237"/>
      <c r="C704" s="236"/>
      <c r="D704" s="215"/>
      <c r="E704" s="23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</row>
    <row r="705">
      <c r="A705" s="215"/>
      <c r="B705" s="237"/>
      <c r="C705" s="236"/>
      <c r="D705" s="215"/>
      <c r="E705" s="23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</row>
    <row r="706">
      <c r="A706" s="215"/>
      <c r="B706" s="237"/>
      <c r="C706" s="236"/>
      <c r="D706" s="215"/>
      <c r="E706" s="23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</row>
    <row r="707">
      <c r="A707" s="215"/>
      <c r="B707" s="237"/>
      <c r="C707" s="236"/>
      <c r="D707" s="215"/>
      <c r="E707" s="23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</row>
    <row r="708">
      <c r="A708" s="215"/>
      <c r="B708" s="237"/>
      <c r="C708" s="236"/>
      <c r="D708" s="215"/>
      <c r="E708" s="23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</row>
    <row r="709">
      <c r="A709" s="215"/>
      <c r="B709" s="237"/>
      <c r="C709" s="236"/>
      <c r="D709" s="215"/>
      <c r="E709" s="23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</row>
    <row r="710">
      <c r="A710" s="215"/>
      <c r="B710" s="237"/>
      <c r="C710" s="236"/>
      <c r="D710" s="215"/>
      <c r="E710" s="23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</row>
    <row r="711">
      <c r="A711" s="215"/>
      <c r="B711" s="237"/>
      <c r="C711" s="236"/>
      <c r="D711" s="215"/>
      <c r="E711" s="23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</row>
    <row r="712">
      <c r="A712" s="215"/>
      <c r="B712" s="237"/>
      <c r="C712" s="236"/>
      <c r="D712" s="215"/>
      <c r="E712" s="23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</row>
    <row r="713">
      <c r="A713" s="215"/>
      <c r="B713" s="237"/>
      <c r="C713" s="236"/>
      <c r="D713" s="215"/>
      <c r="E713" s="23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</row>
    <row r="714">
      <c r="A714" s="215"/>
      <c r="B714" s="237"/>
      <c r="C714" s="236"/>
      <c r="D714" s="215"/>
      <c r="E714" s="23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</row>
    <row r="715">
      <c r="A715" s="215"/>
      <c r="B715" s="237"/>
      <c r="C715" s="236"/>
      <c r="D715" s="215"/>
      <c r="E715" s="23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</row>
    <row r="716">
      <c r="A716" s="215"/>
      <c r="B716" s="237"/>
      <c r="C716" s="236"/>
      <c r="D716" s="215"/>
      <c r="E716" s="23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</row>
    <row r="717">
      <c r="A717" s="215"/>
      <c r="B717" s="237"/>
      <c r="C717" s="236"/>
      <c r="D717" s="215"/>
      <c r="E717" s="23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</row>
    <row r="718">
      <c r="A718" s="215"/>
      <c r="B718" s="237"/>
      <c r="C718" s="236"/>
      <c r="D718" s="215"/>
      <c r="E718" s="23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</row>
    <row r="719">
      <c r="A719" s="215"/>
      <c r="B719" s="237"/>
      <c r="C719" s="236"/>
      <c r="D719" s="215"/>
      <c r="E719" s="23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</row>
    <row r="720">
      <c r="A720" s="215"/>
      <c r="B720" s="237"/>
      <c r="C720" s="236"/>
      <c r="D720" s="215"/>
      <c r="E720" s="23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</row>
    <row r="721">
      <c r="A721" s="215"/>
      <c r="B721" s="237"/>
      <c r="C721" s="236"/>
      <c r="D721" s="215"/>
      <c r="E721" s="23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</row>
    <row r="722">
      <c r="A722" s="215"/>
      <c r="B722" s="237"/>
      <c r="C722" s="236"/>
      <c r="D722" s="215"/>
      <c r="E722" s="23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</row>
    <row r="723">
      <c r="A723" s="215"/>
      <c r="B723" s="237"/>
      <c r="C723" s="236"/>
      <c r="D723" s="215"/>
      <c r="E723" s="23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</row>
    <row r="724">
      <c r="A724" s="215"/>
      <c r="B724" s="237"/>
      <c r="C724" s="236"/>
      <c r="D724" s="215"/>
      <c r="E724" s="23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</row>
    <row r="725">
      <c r="A725" s="215"/>
      <c r="B725" s="237"/>
      <c r="C725" s="236"/>
      <c r="D725" s="215"/>
      <c r="E725" s="23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</row>
    <row r="726">
      <c r="A726" s="215"/>
      <c r="B726" s="237"/>
      <c r="C726" s="236"/>
      <c r="D726" s="215"/>
      <c r="E726" s="23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</row>
    <row r="727">
      <c r="A727" s="215"/>
      <c r="B727" s="237"/>
      <c r="C727" s="236"/>
      <c r="D727" s="215"/>
      <c r="E727" s="23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</row>
    <row r="728">
      <c r="A728" s="215"/>
      <c r="B728" s="237"/>
      <c r="C728" s="236"/>
      <c r="D728" s="215"/>
      <c r="E728" s="23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</row>
    <row r="729">
      <c r="A729" s="215"/>
      <c r="B729" s="237"/>
      <c r="C729" s="236"/>
      <c r="D729" s="215"/>
      <c r="E729" s="23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</row>
    <row r="730">
      <c r="A730" s="215"/>
      <c r="B730" s="237"/>
      <c r="C730" s="236"/>
      <c r="D730" s="215"/>
      <c r="E730" s="23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</row>
    <row r="731">
      <c r="A731" s="215"/>
      <c r="B731" s="237"/>
      <c r="C731" s="236"/>
      <c r="D731" s="215"/>
      <c r="E731" s="23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</row>
    <row r="732">
      <c r="A732" s="215"/>
      <c r="B732" s="237"/>
      <c r="C732" s="236"/>
      <c r="D732" s="215"/>
      <c r="E732" s="23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</row>
    <row r="733">
      <c r="A733" s="215"/>
      <c r="B733" s="237"/>
      <c r="C733" s="236"/>
      <c r="D733" s="215"/>
      <c r="E733" s="23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</row>
    <row r="734">
      <c r="A734" s="215"/>
      <c r="B734" s="237"/>
      <c r="C734" s="236"/>
      <c r="D734" s="215"/>
      <c r="E734" s="23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</row>
    <row r="735">
      <c r="A735" s="215"/>
      <c r="B735" s="237"/>
      <c r="C735" s="236"/>
      <c r="D735" s="215"/>
      <c r="E735" s="23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</row>
    <row r="736">
      <c r="A736" s="215"/>
      <c r="B736" s="237"/>
      <c r="C736" s="236"/>
      <c r="D736" s="215"/>
      <c r="E736" s="23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</row>
    <row r="737">
      <c r="A737" s="215"/>
      <c r="B737" s="237"/>
      <c r="C737" s="236"/>
      <c r="D737" s="215"/>
      <c r="E737" s="23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</row>
    <row r="738">
      <c r="A738" s="215"/>
      <c r="B738" s="237"/>
      <c r="C738" s="236"/>
      <c r="D738" s="215"/>
      <c r="E738" s="23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</row>
    <row r="739">
      <c r="A739" s="215"/>
      <c r="B739" s="237"/>
      <c r="C739" s="236"/>
      <c r="D739" s="215"/>
      <c r="E739" s="23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</row>
    <row r="740">
      <c r="A740" s="215"/>
      <c r="B740" s="237"/>
      <c r="C740" s="236"/>
      <c r="D740" s="215"/>
      <c r="E740" s="23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>
      <c r="A741" s="215"/>
      <c r="B741" s="237"/>
      <c r="C741" s="236"/>
      <c r="D741" s="215"/>
      <c r="E741" s="23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>
      <c r="A742" s="215"/>
      <c r="B742" s="237"/>
      <c r="C742" s="236"/>
      <c r="D742" s="215"/>
      <c r="E742" s="23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>
      <c r="A743" s="215"/>
      <c r="B743" s="237"/>
      <c r="C743" s="236"/>
      <c r="D743" s="215"/>
      <c r="E743" s="23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>
      <c r="A744" s="215"/>
      <c r="B744" s="237"/>
      <c r="C744" s="236"/>
      <c r="D744" s="215"/>
      <c r="E744" s="23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>
      <c r="A745" s="215"/>
      <c r="B745" s="237"/>
      <c r="C745" s="236"/>
      <c r="D745" s="215"/>
      <c r="E745" s="23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>
      <c r="A746" s="215"/>
      <c r="B746" s="237"/>
      <c r="C746" s="236"/>
      <c r="D746" s="215"/>
      <c r="E746" s="23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>
      <c r="A747" s="215"/>
      <c r="B747" s="237"/>
      <c r="C747" s="236"/>
      <c r="D747" s="215"/>
      <c r="E747" s="23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>
      <c r="A748" s="215"/>
      <c r="B748" s="237"/>
      <c r="C748" s="236"/>
      <c r="D748" s="215"/>
      <c r="E748" s="23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>
      <c r="A749" s="215"/>
      <c r="B749" s="237"/>
      <c r="C749" s="236"/>
      <c r="D749" s="215"/>
      <c r="E749" s="23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>
      <c r="A750" s="215"/>
      <c r="B750" s="237"/>
      <c r="C750" s="236"/>
      <c r="D750" s="215"/>
      <c r="E750" s="23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>
      <c r="A751" s="215"/>
      <c r="B751" s="237"/>
      <c r="C751" s="236"/>
      <c r="D751" s="215"/>
      <c r="E751" s="23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>
      <c r="A752" s="215"/>
      <c r="B752" s="237"/>
      <c r="C752" s="236"/>
      <c r="D752" s="215"/>
      <c r="E752" s="23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>
      <c r="A753" s="215"/>
      <c r="B753" s="237"/>
      <c r="C753" s="236"/>
      <c r="D753" s="215"/>
      <c r="E753" s="23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>
      <c r="A754" s="215"/>
      <c r="B754" s="237"/>
      <c r="C754" s="236"/>
      <c r="D754" s="215"/>
      <c r="E754" s="23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>
      <c r="A755" s="215"/>
      <c r="B755" s="237"/>
      <c r="C755" s="236"/>
      <c r="D755" s="215"/>
      <c r="E755" s="23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>
      <c r="A756" s="215"/>
      <c r="B756" s="237"/>
      <c r="C756" s="236"/>
      <c r="D756" s="215"/>
      <c r="E756" s="23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>
      <c r="A757" s="215"/>
      <c r="B757" s="237"/>
      <c r="C757" s="236"/>
      <c r="D757" s="215"/>
      <c r="E757" s="23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>
      <c r="A758" s="215"/>
      <c r="B758" s="237"/>
      <c r="C758" s="236"/>
      <c r="D758" s="215"/>
      <c r="E758" s="23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>
      <c r="A759" s="215"/>
      <c r="B759" s="237"/>
      <c r="C759" s="236"/>
      <c r="D759" s="215"/>
      <c r="E759" s="23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>
      <c r="A760" s="215"/>
      <c r="B760" s="237"/>
      <c r="C760" s="236"/>
      <c r="D760" s="215"/>
      <c r="E760" s="23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>
      <c r="A761" s="215"/>
      <c r="B761" s="237"/>
      <c r="C761" s="236"/>
      <c r="D761" s="215"/>
      <c r="E761" s="23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>
      <c r="A762" s="215"/>
      <c r="B762" s="237"/>
      <c r="C762" s="236"/>
      <c r="D762" s="215"/>
      <c r="E762" s="23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>
      <c r="A763" s="215"/>
      <c r="B763" s="237"/>
      <c r="C763" s="236"/>
      <c r="D763" s="215"/>
      <c r="E763" s="23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>
      <c r="A764" s="215"/>
      <c r="B764" s="237"/>
      <c r="C764" s="236"/>
      <c r="D764" s="215"/>
      <c r="E764" s="23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>
      <c r="A765" s="215"/>
      <c r="B765" s="237"/>
      <c r="C765" s="236"/>
      <c r="D765" s="215"/>
      <c r="E765" s="23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>
      <c r="A766" s="215"/>
      <c r="B766" s="237"/>
      <c r="C766" s="236"/>
      <c r="D766" s="215"/>
      <c r="E766" s="23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>
      <c r="A767" s="215"/>
      <c r="B767" s="237"/>
      <c r="C767" s="236"/>
      <c r="D767" s="215"/>
      <c r="E767" s="23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>
      <c r="A768" s="215"/>
      <c r="B768" s="237"/>
      <c r="C768" s="236"/>
      <c r="D768" s="215"/>
      <c r="E768" s="23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>
      <c r="A769" s="215"/>
      <c r="B769" s="237"/>
      <c r="C769" s="236"/>
      <c r="D769" s="215"/>
      <c r="E769" s="23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>
      <c r="A770" s="215"/>
      <c r="B770" s="237"/>
      <c r="C770" s="236"/>
      <c r="D770" s="215"/>
      <c r="E770" s="23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>
      <c r="A771" s="215"/>
      <c r="B771" s="237"/>
      <c r="C771" s="236"/>
      <c r="D771" s="215"/>
      <c r="E771" s="23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>
      <c r="A772" s="215"/>
      <c r="B772" s="237"/>
      <c r="C772" s="236"/>
      <c r="D772" s="215"/>
      <c r="E772" s="23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>
      <c r="A773" s="215"/>
      <c r="B773" s="237"/>
      <c r="C773" s="236"/>
      <c r="D773" s="215"/>
      <c r="E773" s="23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>
      <c r="A774" s="215"/>
      <c r="B774" s="237"/>
      <c r="C774" s="236"/>
      <c r="D774" s="215"/>
      <c r="E774" s="23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>
      <c r="A775" s="215"/>
      <c r="B775" s="237"/>
      <c r="C775" s="236"/>
      <c r="D775" s="215"/>
      <c r="E775" s="23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>
      <c r="A776" s="215"/>
      <c r="B776" s="237"/>
      <c r="C776" s="236"/>
      <c r="D776" s="215"/>
      <c r="E776" s="23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>
      <c r="A777" s="215"/>
      <c r="B777" s="237"/>
      <c r="C777" s="236"/>
      <c r="D777" s="215"/>
      <c r="E777" s="23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>
      <c r="A778" s="215"/>
      <c r="B778" s="237"/>
      <c r="C778" s="236"/>
      <c r="D778" s="215"/>
      <c r="E778" s="23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>
      <c r="A779" s="215"/>
      <c r="B779" s="237"/>
      <c r="C779" s="236"/>
      <c r="D779" s="215"/>
      <c r="E779" s="23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>
      <c r="A780" s="215"/>
      <c r="B780" s="237"/>
      <c r="C780" s="236"/>
      <c r="D780" s="215"/>
      <c r="E780" s="23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>
      <c r="A781" s="215"/>
      <c r="B781" s="237"/>
      <c r="C781" s="236"/>
      <c r="D781" s="215"/>
      <c r="E781" s="23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>
      <c r="A782" s="215"/>
      <c r="B782" s="237"/>
      <c r="C782" s="236"/>
      <c r="D782" s="215"/>
      <c r="E782" s="23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>
      <c r="A783" s="215"/>
      <c r="B783" s="237"/>
      <c r="C783" s="236"/>
      <c r="D783" s="215"/>
      <c r="E783" s="23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>
      <c r="A784" s="215"/>
      <c r="B784" s="237"/>
      <c r="C784" s="236"/>
      <c r="D784" s="215"/>
      <c r="E784" s="23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>
      <c r="A785" s="215"/>
      <c r="B785" s="237"/>
      <c r="C785" s="236"/>
      <c r="D785" s="215"/>
      <c r="E785" s="23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>
      <c r="A786" s="215"/>
      <c r="B786" s="237"/>
      <c r="C786" s="236"/>
      <c r="D786" s="215"/>
      <c r="E786" s="23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>
      <c r="A787" s="215"/>
      <c r="B787" s="237"/>
      <c r="C787" s="236"/>
      <c r="D787" s="215"/>
      <c r="E787" s="23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>
      <c r="A788" s="215"/>
      <c r="B788" s="237"/>
      <c r="C788" s="236"/>
      <c r="D788" s="215"/>
      <c r="E788" s="23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>
      <c r="A789" s="215"/>
      <c r="B789" s="237"/>
      <c r="C789" s="236"/>
      <c r="D789" s="215"/>
      <c r="E789" s="23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>
      <c r="A790" s="215"/>
      <c r="B790" s="237"/>
      <c r="C790" s="236"/>
      <c r="D790" s="215"/>
      <c r="E790" s="23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>
      <c r="A791" s="215"/>
      <c r="B791" s="237"/>
      <c r="C791" s="236"/>
      <c r="D791" s="215"/>
      <c r="E791" s="23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>
      <c r="A792" s="215"/>
      <c r="B792" s="237"/>
      <c r="C792" s="236"/>
      <c r="D792" s="215"/>
      <c r="E792" s="23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>
      <c r="A793" s="215"/>
      <c r="B793" s="237"/>
      <c r="C793" s="236"/>
      <c r="D793" s="215"/>
      <c r="E793" s="23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>
      <c r="A794" s="215"/>
      <c r="B794" s="237"/>
      <c r="C794" s="236"/>
      <c r="D794" s="215"/>
      <c r="E794" s="23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>
      <c r="A795" s="215"/>
      <c r="B795" s="237"/>
      <c r="C795" s="236"/>
      <c r="D795" s="215"/>
      <c r="E795" s="23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>
      <c r="A796" s="215"/>
      <c r="B796" s="237"/>
      <c r="C796" s="236"/>
      <c r="D796" s="215"/>
      <c r="E796" s="23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>
      <c r="A797" s="215"/>
      <c r="B797" s="237"/>
      <c r="C797" s="236"/>
      <c r="D797" s="215"/>
      <c r="E797" s="23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>
      <c r="A798" s="215"/>
      <c r="B798" s="237"/>
      <c r="C798" s="236"/>
      <c r="D798" s="215"/>
      <c r="E798" s="23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>
      <c r="A799" s="215"/>
      <c r="B799" s="237"/>
      <c r="C799" s="236"/>
      <c r="D799" s="215"/>
      <c r="E799" s="23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>
      <c r="A800" s="215"/>
      <c r="B800" s="237"/>
      <c r="C800" s="236"/>
      <c r="D800" s="215"/>
      <c r="E800" s="23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>
      <c r="A801" s="215"/>
      <c r="B801" s="237"/>
      <c r="C801" s="236"/>
      <c r="D801" s="215"/>
      <c r="E801" s="23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>
      <c r="A802" s="215"/>
      <c r="B802" s="237"/>
      <c r="C802" s="236"/>
      <c r="D802" s="215"/>
      <c r="E802" s="23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>
      <c r="A803" s="215"/>
      <c r="B803" s="237"/>
      <c r="C803" s="236"/>
      <c r="D803" s="215"/>
      <c r="E803" s="23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>
      <c r="A804" s="215"/>
      <c r="B804" s="237"/>
      <c r="C804" s="236"/>
      <c r="D804" s="215"/>
      <c r="E804" s="23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>
      <c r="A805" s="215"/>
      <c r="B805" s="237"/>
      <c r="C805" s="236"/>
      <c r="D805" s="215"/>
      <c r="E805" s="23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>
      <c r="A806" s="215"/>
      <c r="B806" s="237"/>
      <c r="C806" s="236"/>
      <c r="D806" s="215"/>
      <c r="E806" s="23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>
      <c r="A807" s="215"/>
      <c r="B807" s="237"/>
      <c r="C807" s="236"/>
      <c r="D807" s="215"/>
      <c r="E807" s="23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>
      <c r="A808" s="215"/>
      <c r="B808" s="237"/>
      <c r="C808" s="236"/>
      <c r="D808" s="215"/>
      <c r="E808" s="23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>
      <c r="A809" s="215"/>
      <c r="B809" s="237"/>
      <c r="C809" s="236"/>
      <c r="D809" s="215"/>
      <c r="E809" s="23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>
      <c r="A810" s="215"/>
      <c r="B810" s="237"/>
      <c r="C810" s="236"/>
      <c r="D810" s="215"/>
      <c r="E810" s="23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>
      <c r="A811" s="215"/>
      <c r="B811" s="237"/>
      <c r="C811" s="236"/>
      <c r="D811" s="215"/>
      <c r="E811" s="23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>
      <c r="A812" s="215"/>
      <c r="B812" s="237"/>
      <c r="C812" s="236"/>
      <c r="D812" s="215"/>
      <c r="E812" s="23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>
      <c r="A813" s="215"/>
      <c r="B813" s="237"/>
      <c r="C813" s="236"/>
      <c r="D813" s="215"/>
      <c r="E813" s="23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>
      <c r="A814" s="215"/>
      <c r="B814" s="237"/>
      <c r="C814" s="236"/>
      <c r="D814" s="215"/>
      <c r="E814" s="23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>
      <c r="A815" s="215"/>
      <c r="B815" s="237"/>
      <c r="C815" s="236"/>
      <c r="D815" s="215"/>
      <c r="E815" s="23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>
      <c r="A816" s="215"/>
      <c r="B816" s="237"/>
      <c r="C816" s="236"/>
      <c r="D816" s="215"/>
      <c r="E816" s="23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>
      <c r="A817" s="215"/>
      <c r="B817" s="237"/>
      <c r="C817" s="236"/>
      <c r="D817" s="215"/>
      <c r="E817" s="23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>
      <c r="A818" s="215"/>
      <c r="B818" s="237"/>
      <c r="C818" s="236"/>
      <c r="D818" s="215"/>
      <c r="E818" s="23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>
      <c r="A819" s="215"/>
      <c r="B819" s="237"/>
      <c r="C819" s="236"/>
      <c r="D819" s="215"/>
      <c r="E819" s="23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>
      <c r="A820" s="215"/>
      <c r="B820" s="237"/>
      <c r="C820" s="236"/>
      <c r="D820" s="215"/>
      <c r="E820" s="23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>
      <c r="A821" s="215"/>
      <c r="B821" s="237"/>
      <c r="C821" s="236"/>
      <c r="D821" s="215"/>
      <c r="E821" s="23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>
      <c r="A822" s="215"/>
      <c r="B822" s="237"/>
      <c r="C822" s="236"/>
      <c r="D822" s="215"/>
      <c r="E822" s="23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>
      <c r="A823" s="215"/>
      <c r="B823" s="237"/>
      <c r="C823" s="236"/>
      <c r="D823" s="215"/>
      <c r="E823" s="23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>
      <c r="A824" s="215"/>
      <c r="B824" s="237"/>
      <c r="C824" s="236"/>
      <c r="D824" s="215"/>
      <c r="E824" s="23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>
      <c r="A825" s="215"/>
      <c r="B825" s="237"/>
      <c r="C825" s="236"/>
      <c r="D825" s="215"/>
      <c r="E825" s="23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>
      <c r="A826" s="215"/>
      <c r="B826" s="237"/>
      <c r="C826" s="236"/>
      <c r="D826" s="215"/>
      <c r="E826" s="23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>
      <c r="A827" s="215"/>
      <c r="B827" s="237"/>
      <c r="C827" s="236"/>
      <c r="D827" s="215"/>
      <c r="E827" s="23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>
      <c r="A828" s="215"/>
      <c r="B828" s="237"/>
      <c r="C828" s="236"/>
      <c r="D828" s="215"/>
      <c r="E828" s="23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>
      <c r="A829" s="215"/>
      <c r="B829" s="237"/>
      <c r="C829" s="236"/>
      <c r="D829" s="215"/>
      <c r="E829" s="23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>
      <c r="A830" s="215"/>
      <c r="B830" s="237"/>
      <c r="C830" s="236"/>
      <c r="D830" s="215"/>
      <c r="E830" s="23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>
      <c r="A831" s="215"/>
      <c r="B831" s="237"/>
      <c r="C831" s="236"/>
      <c r="D831" s="215"/>
      <c r="E831" s="23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>
      <c r="A832" s="215"/>
      <c r="B832" s="237"/>
      <c r="C832" s="236"/>
      <c r="D832" s="215"/>
      <c r="E832" s="23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>
      <c r="A833" s="215"/>
      <c r="B833" s="237"/>
      <c r="C833" s="236"/>
      <c r="D833" s="215"/>
      <c r="E833" s="23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>
      <c r="A834" s="215"/>
      <c r="B834" s="237"/>
      <c r="C834" s="236"/>
      <c r="D834" s="215"/>
      <c r="E834" s="23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>
      <c r="A835" s="215"/>
      <c r="B835" s="237"/>
      <c r="C835" s="236"/>
      <c r="D835" s="215"/>
      <c r="E835" s="23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>
      <c r="A836" s="215"/>
      <c r="B836" s="237"/>
      <c r="C836" s="236"/>
      <c r="D836" s="215"/>
      <c r="E836" s="23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>
      <c r="A837" s="215"/>
      <c r="B837" s="237"/>
      <c r="C837" s="236"/>
      <c r="D837" s="215"/>
      <c r="E837" s="23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>
      <c r="A838" s="215"/>
      <c r="B838" s="237"/>
      <c r="C838" s="236"/>
      <c r="D838" s="215"/>
      <c r="E838" s="23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>
      <c r="A839" s="215"/>
      <c r="B839" s="237"/>
      <c r="C839" s="236"/>
      <c r="D839" s="215"/>
      <c r="E839" s="23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>
      <c r="A840" s="215"/>
      <c r="B840" s="237"/>
      <c r="C840" s="236"/>
      <c r="D840" s="215"/>
      <c r="E840" s="23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>
      <c r="A841" s="215"/>
      <c r="B841" s="237"/>
      <c r="C841" s="236"/>
      <c r="D841" s="215"/>
      <c r="E841" s="23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>
      <c r="A842" s="215"/>
      <c r="B842" s="237"/>
      <c r="C842" s="236"/>
      <c r="D842" s="215"/>
      <c r="E842" s="23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>
      <c r="A843" s="215"/>
      <c r="B843" s="237"/>
      <c r="C843" s="236"/>
      <c r="D843" s="215"/>
      <c r="E843" s="23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>
      <c r="A844" s="215"/>
      <c r="B844" s="237"/>
      <c r="C844" s="236"/>
      <c r="D844" s="215"/>
      <c r="E844" s="23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>
      <c r="A845" s="215"/>
      <c r="B845" s="237"/>
      <c r="C845" s="236"/>
      <c r="D845" s="215"/>
      <c r="E845" s="23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>
      <c r="A846" s="215"/>
      <c r="B846" s="237"/>
      <c r="C846" s="236"/>
      <c r="D846" s="215"/>
      <c r="E846" s="23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>
      <c r="A847" s="215"/>
      <c r="B847" s="237"/>
      <c r="C847" s="236"/>
      <c r="D847" s="215"/>
      <c r="E847" s="23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>
      <c r="A848" s="215"/>
      <c r="B848" s="237"/>
      <c r="C848" s="236"/>
      <c r="D848" s="215"/>
      <c r="E848" s="23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>
      <c r="A849" s="215"/>
      <c r="B849" s="237"/>
      <c r="C849" s="236"/>
      <c r="D849" s="215"/>
      <c r="E849" s="23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>
      <c r="A850" s="215"/>
      <c r="B850" s="237"/>
      <c r="C850" s="236"/>
      <c r="D850" s="215"/>
      <c r="E850" s="23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>
      <c r="A851" s="215"/>
      <c r="B851" s="237"/>
      <c r="C851" s="236"/>
      <c r="D851" s="215"/>
      <c r="E851" s="23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>
      <c r="A852" s="215"/>
      <c r="B852" s="237"/>
      <c r="C852" s="236"/>
      <c r="D852" s="215"/>
      <c r="E852" s="23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>
      <c r="A853" s="215"/>
      <c r="B853" s="237"/>
      <c r="C853" s="236"/>
      <c r="D853" s="215"/>
      <c r="E853" s="23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>
      <c r="A854" s="215"/>
      <c r="B854" s="237"/>
      <c r="C854" s="236"/>
      <c r="D854" s="215"/>
      <c r="E854" s="23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>
      <c r="A855" s="215"/>
      <c r="B855" s="237"/>
      <c r="C855" s="236"/>
      <c r="D855" s="215"/>
      <c r="E855" s="23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>
      <c r="A856" s="215"/>
      <c r="B856" s="237"/>
      <c r="C856" s="236"/>
      <c r="D856" s="215"/>
      <c r="E856" s="23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>
      <c r="A857" s="215"/>
      <c r="B857" s="237"/>
      <c r="C857" s="236"/>
      <c r="D857" s="215"/>
      <c r="E857" s="23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>
      <c r="A858" s="215"/>
      <c r="B858" s="237"/>
      <c r="C858" s="236"/>
      <c r="D858" s="215"/>
      <c r="E858" s="23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>
      <c r="A859" s="215"/>
      <c r="B859" s="237"/>
      <c r="C859" s="236"/>
      <c r="D859" s="215"/>
      <c r="E859" s="23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>
      <c r="A860" s="215"/>
      <c r="B860" s="237"/>
      <c r="C860" s="236"/>
      <c r="D860" s="215"/>
      <c r="E860" s="23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>
      <c r="A861" s="215"/>
      <c r="B861" s="237"/>
      <c r="C861" s="236"/>
      <c r="D861" s="215"/>
      <c r="E861" s="23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>
      <c r="A862" s="215"/>
      <c r="B862" s="237"/>
      <c r="C862" s="236"/>
      <c r="D862" s="215"/>
      <c r="E862" s="23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>
      <c r="A863" s="215"/>
      <c r="B863" s="237"/>
      <c r="C863" s="236"/>
      <c r="D863" s="215"/>
      <c r="E863" s="23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>
      <c r="A864" s="215"/>
      <c r="B864" s="237"/>
      <c r="C864" s="236"/>
      <c r="D864" s="215"/>
      <c r="E864" s="23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>
      <c r="A865" s="215"/>
      <c r="B865" s="237"/>
      <c r="C865" s="236"/>
      <c r="D865" s="215"/>
      <c r="E865" s="23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>
      <c r="A866" s="215"/>
      <c r="B866" s="237"/>
      <c r="C866" s="236"/>
      <c r="D866" s="215"/>
      <c r="E866" s="23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>
      <c r="A867" s="215"/>
      <c r="B867" s="237"/>
      <c r="C867" s="236"/>
      <c r="D867" s="215"/>
      <c r="E867" s="23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>
      <c r="A868" s="215"/>
      <c r="B868" s="237"/>
      <c r="C868" s="236"/>
      <c r="D868" s="215"/>
      <c r="E868" s="23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>
      <c r="A869" s="215"/>
      <c r="B869" s="237"/>
      <c r="C869" s="236"/>
      <c r="D869" s="215"/>
      <c r="E869" s="23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>
      <c r="A870" s="215"/>
      <c r="B870" s="237"/>
      <c r="C870" s="236"/>
      <c r="D870" s="215"/>
      <c r="E870" s="23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>
      <c r="A871" s="215"/>
      <c r="B871" s="237"/>
      <c r="C871" s="236"/>
      <c r="D871" s="215"/>
      <c r="E871" s="23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>
      <c r="A872" s="215"/>
      <c r="B872" s="237"/>
      <c r="C872" s="236"/>
      <c r="D872" s="215"/>
      <c r="E872" s="23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>
      <c r="A873" s="215"/>
      <c r="B873" s="237"/>
      <c r="C873" s="236"/>
      <c r="D873" s="215"/>
      <c r="E873" s="23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>
      <c r="A874" s="215"/>
      <c r="B874" s="237"/>
      <c r="C874" s="236"/>
      <c r="D874" s="215"/>
      <c r="E874" s="23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>
      <c r="A875" s="215"/>
      <c r="B875" s="237"/>
      <c r="C875" s="236"/>
      <c r="D875" s="215"/>
      <c r="E875" s="23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>
      <c r="A876" s="215"/>
      <c r="B876" s="237"/>
      <c r="C876" s="236"/>
      <c r="D876" s="215"/>
      <c r="E876" s="23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>
      <c r="A877" s="215"/>
      <c r="B877" s="237"/>
      <c r="C877" s="236"/>
      <c r="D877" s="215"/>
      <c r="E877" s="23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>
      <c r="A878" s="215"/>
      <c r="B878" s="237"/>
      <c r="C878" s="236"/>
      <c r="D878" s="215"/>
      <c r="E878" s="23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>
      <c r="A879" s="215"/>
      <c r="B879" s="237"/>
      <c r="C879" s="236"/>
      <c r="D879" s="215"/>
      <c r="E879" s="23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>
      <c r="A880" s="215"/>
      <c r="B880" s="237"/>
      <c r="C880" s="236"/>
      <c r="D880" s="215"/>
      <c r="E880" s="23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>
      <c r="A881" s="215"/>
      <c r="B881" s="237"/>
      <c r="C881" s="236"/>
      <c r="D881" s="215"/>
      <c r="E881" s="23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>
      <c r="A882" s="215"/>
      <c r="B882" s="237"/>
      <c r="C882" s="236"/>
      <c r="D882" s="215"/>
      <c r="E882" s="23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>
      <c r="A883" s="215"/>
      <c r="B883" s="237"/>
      <c r="C883" s="236"/>
      <c r="D883" s="215"/>
      <c r="E883" s="23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>
      <c r="A884" s="215"/>
      <c r="B884" s="237"/>
      <c r="C884" s="236"/>
      <c r="D884" s="215"/>
      <c r="E884" s="23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>
      <c r="A885" s="215"/>
      <c r="B885" s="237"/>
      <c r="C885" s="236"/>
      <c r="D885" s="215"/>
      <c r="E885" s="23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>
      <c r="A886" s="215"/>
      <c r="B886" s="237"/>
      <c r="C886" s="236"/>
      <c r="D886" s="215"/>
      <c r="E886" s="23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>
      <c r="A887" s="215"/>
      <c r="B887" s="237"/>
      <c r="C887" s="236"/>
      <c r="D887" s="215"/>
      <c r="E887" s="23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>
      <c r="A888" s="215"/>
      <c r="B888" s="237"/>
      <c r="C888" s="236"/>
      <c r="D888" s="215"/>
      <c r="E888" s="23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>
      <c r="A889" s="215"/>
      <c r="B889" s="237"/>
      <c r="C889" s="236"/>
      <c r="D889" s="215"/>
      <c r="E889" s="23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>
      <c r="A890" s="215"/>
      <c r="B890" s="237"/>
      <c r="C890" s="236"/>
      <c r="D890" s="215"/>
      <c r="E890" s="23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>
      <c r="A891" s="215"/>
      <c r="B891" s="237"/>
      <c r="C891" s="236"/>
      <c r="D891" s="215"/>
      <c r="E891" s="23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>
      <c r="A892" s="215"/>
      <c r="B892" s="237"/>
      <c r="C892" s="236"/>
      <c r="D892" s="215"/>
      <c r="E892" s="23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>
      <c r="A893" s="215"/>
      <c r="B893" s="237"/>
      <c r="C893" s="236"/>
      <c r="D893" s="215"/>
      <c r="E893" s="23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>
      <c r="A894" s="215"/>
      <c r="B894" s="237"/>
      <c r="C894" s="236"/>
      <c r="D894" s="215"/>
      <c r="E894" s="23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>
      <c r="A895" s="215"/>
      <c r="B895" s="237"/>
      <c r="C895" s="236"/>
      <c r="D895" s="215"/>
      <c r="E895" s="23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>
      <c r="A896" s="215"/>
      <c r="B896" s="237"/>
      <c r="C896" s="236"/>
      <c r="D896" s="215"/>
      <c r="E896" s="23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>
      <c r="A897" s="215"/>
      <c r="B897" s="237"/>
      <c r="C897" s="236"/>
      <c r="D897" s="215"/>
      <c r="E897" s="23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>
      <c r="A898" s="215"/>
      <c r="B898" s="237"/>
      <c r="C898" s="236"/>
      <c r="D898" s="215"/>
      <c r="E898" s="23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>
      <c r="A899" s="215"/>
      <c r="B899" s="237"/>
      <c r="C899" s="236"/>
      <c r="D899" s="215"/>
      <c r="E899" s="23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>
      <c r="A900" s="215"/>
      <c r="B900" s="237"/>
      <c r="C900" s="236"/>
      <c r="D900" s="215"/>
      <c r="E900" s="23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>
      <c r="A901" s="215"/>
      <c r="B901" s="237"/>
      <c r="C901" s="236"/>
      <c r="D901" s="215"/>
      <c r="E901" s="23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>
      <c r="A902" s="215"/>
      <c r="B902" s="237"/>
      <c r="C902" s="236"/>
      <c r="D902" s="215"/>
      <c r="E902" s="23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>
      <c r="A903" s="215"/>
      <c r="B903" s="237"/>
      <c r="C903" s="236"/>
      <c r="D903" s="215"/>
      <c r="E903" s="23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>
      <c r="A904" s="215"/>
      <c r="B904" s="237"/>
      <c r="C904" s="236"/>
      <c r="D904" s="215"/>
      <c r="E904" s="23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>
      <c r="A905" s="215"/>
      <c r="B905" s="237"/>
      <c r="C905" s="236"/>
      <c r="D905" s="215"/>
      <c r="E905" s="23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>
      <c r="A906" s="215"/>
      <c r="B906" s="237"/>
      <c r="C906" s="236"/>
      <c r="D906" s="215"/>
      <c r="E906" s="23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>
      <c r="A907" s="215"/>
      <c r="B907" s="237"/>
      <c r="C907" s="236"/>
      <c r="D907" s="215"/>
      <c r="E907" s="23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>
      <c r="A908" s="215"/>
      <c r="B908" s="237"/>
      <c r="C908" s="236"/>
      <c r="D908" s="215"/>
      <c r="E908" s="23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>
      <c r="A909" s="215"/>
      <c r="B909" s="237"/>
      <c r="C909" s="236"/>
      <c r="D909" s="215"/>
      <c r="E909" s="23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>
      <c r="A910" s="215"/>
      <c r="B910" s="237"/>
      <c r="C910" s="236"/>
      <c r="D910" s="215"/>
      <c r="E910" s="23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>
      <c r="A911" s="215"/>
      <c r="B911" s="237"/>
      <c r="C911" s="236"/>
      <c r="D911" s="215"/>
      <c r="E911" s="23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>
      <c r="A912" s="215"/>
      <c r="B912" s="237"/>
      <c r="C912" s="236"/>
      <c r="D912" s="215"/>
      <c r="E912" s="23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>
      <c r="A913" s="215"/>
      <c r="B913" s="237"/>
      <c r="C913" s="236"/>
      <c r="D913" s="215"/>
      <c r="E913" s="23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>
      <c r="A914" s="215"/>
      <c r="B914" s="237"/>
      <c r="C914" s="236"/>
      <c r="D914" s="215"/>
      <c r="E914" s="23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>
      <c r="A915" s="215"/>
      <c r="B915" s="237"/>
      <c r="C915" s="236"/>
      <c r="D915" s="215"/>
      <c r="E915" s="23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>
      <c r="A916" s="215"/>
      <c r="B916" s="237"/>
      <c r="C916" s="236"/>
      <c r="D916" s="215"/>
      <c r="E916" s="23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>
      <c r="A917" s="215"/>
      <c r="B917" s="237"/>
      <c r="C917" s="236"/>
      <c r="D917" s="215"/>
      <c r="E917" s="23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>
      <c r="A918" s="215"/>
      <c r="B918" s="237"/>
      <c r="C918" s="236"/>
      <c r="D918" s="215"/>
      <c r="E918" s="23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>
      <c r="A919" s="215"/>
      <c r="B919" s="237"/>
      <c r="C919" s="236"/>
      <c r="D919" s="215"/>
      <c r="E919" s="23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>
      <c r="A920" s="215"/>
      <c r="B920" s="237"/>
      <c r="C920" s="236"/>
      <c r="D920" s="215"/>
      <c r="E920" s="23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>
      <c r="A921" s="215"/>
      <c r="B921" s="237"/>
      <c r="C921" s="236"/>
      <c r="D921" s="215"/>
      <c r="E921" s="23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>
      <c r="A922" s="215"/>
      <c r="B922" s="237"/>
      <c r="C922" s="236"/>
      <c r="D922" s="215"/>
      <c r="E922" s="23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>
      <c r="A923" s="215"/>
      <c r="B923" s="237"/>
      <c r="C923" s="236"/>
      <c r="D923" s="215"/>
      <c r="E923" s="23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>
      <c r="A924" s="215"/>
      <c r="B924" s="237"/>
      <c r="C924" s="236"/>
      <c r="D924" s="215"/>
      <c r="E924" s="23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>
      <c r="A925" s="215"/>
      <c r="B925" s="237"/>
      <c r="C925" s="236"/>
      <c r="D925" s="215"/>
      <c r="E925" s="23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>
      <c r="A926" s="215"/>
      <c r="B926" s="237"/>
      <c r="C926" s="236"/>
      <c r="D926" s="215"/>
      <c r="E926" s="23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>
      <c r="A927" s="215"/>
      <c r="B927" s="237"/>
      <c r="C927" s="236"/>
      <c r="D927" s="215"/>
      <c r="E927" s="23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>
      <c r="A928" s="215"/>
      <c r="B928" s="237"/>
      <c r="C928" s="236"/>
      <c r="D928" s="215"/>
      <c r="E928" s="23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>
      <c r="A929" s="215"/>
      <c r="B929" s="237"/>
      <c r="C929" s="236"/>
      <c r="D929" s="215"/>
      <c r="E929" s="23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>
      <c r="A930" s="215"/>
      <c r="B930" s="237"/>
      <c r="C930" s="236"/>
      <c r="D930" s="215"/>
      <c r="E930" s="23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>
      <c r="A931" s="215"/>
      <c r="B931" s="237"/>
      <c r="C931" s="236"/>
      <c r="D931" s="215"/>
      <c r="E931" s="23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>
      <c r="A932" s="215"/>
      <c r="B932" s="237"/>
      <c r="C932" s="236"/>
      <c r="D932" s="215"/>
      <c r="E932" s="23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>
      <c r="A933" s="215"/>
      <c r="B933" s="237"/>
      <c r="C933" s="236"/>
      <c r="D933" s="215"/>
      <c r="E933" s="23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>
      <c r="A934" s="215"/>
      <c r="B934" s="237"/>
      <c r="C934" s="236"/>
      <c r="D934" s="215"/>
      <c r="E934" s="23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>
      <c r="A935" s="215"/>
      <c r="B935" s="237"/>
      <c r="C935" s="236"/>
      <c r="D935" s="215"/>
      <c r="E935" s="23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>
      <c r="A936" s="215"/>
      <c r="B936" s="237"/>
      <c r="C936" s="236"/>
      <c r="D936" s="215"/>
      <c r="E936" s="23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>
      <c r="A937" s="215"/>
      <c r="B937" s="237"/>
      <c r="C937" s="236"/>
      <c r="D937" s="215"/>
      <c r="E937" s="23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>
      <c r="A938" s="215"/>
      <c r="B938" s="237"/>
      <c r="C938" s="236"/>
      <c r="D938" s="215"/>
      <c r="E938" s="23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>
      <c r="A939" s="215"/>
      <c r="B939" s="237"/>
      <c r="C939" s="236"/>
      <c r="D939" s="215"/>
      <c r="E939" s="23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>
      <c r="A940" s="215"/>
      <c r="B940" s="237"/>
      <c r="C940" s="236"/>
      <c r="D940" s="215"/>
      <c r="E940" s="23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>
      <c r="A941" s="215"/>
      <c r="B941" s="237"/>
      <c r="C941" s="236"/>
      <c r="D941" s="215"/>
      <c r="E941" s="23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>
      <c r="A942" s="215"/>
      <c r="B942" s="237"/>
      <c r="C942" s="236"/>
      <c r="D942" s="215"/>
      <c r="E942" s="23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>
      <c r="A943" s="215"/>
      <c r="B943" s="237"/>
      <c r="C943" s="236"/>
      <c r="D943" s="215"/>
      <c r="E943" s="23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>
      <c r="A944" s="215"/>
      <c r="B944" s="237"/>
      <c r="C944" s="236"/>
      <c r="D944" s="215"/>
      <c r="E944" s="23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>
      <c r="A945" s="215"/>
      <c r="B945" s="237"/>
      <c r="C945" s="236"/>
      <c r="D945" s="215"/>
      <c r="E945" s="23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>
      <c r="A946" s="215"/>
      <c r="B946" s="237"/>
      <c r="C946" s="236"/>
      <c r="D946" s="215"/>
      <c r="E946" s="23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>
      <c r="A947" s="215"/>
      <c r="B947" s="237"/>
      <c r="C947" s="236"/>
      <c r="D947" s="215"/>
      <c r="E947" s="23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>
      <c r="A948" s="215"/>
      <c r="B948" s="237"/>
      <c r="C948" s="236"/>
      <c r="D948" s="215"/>
      <c r="E948" s="23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>
      <c r="A949" s="215"/>
      <c r="B949" s="237"/>
      <c r="C949" s="236"/>
      <c r="D949" s="215"/>
      <c r="E949" s="23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>
      <c r="A950" s="215"/>
      <c r="B950" s="237"/>
      <c r="C950" s="236"/>
      <c r="D950" s="215"/>
      <c r="E950" s="23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>
      <c r="A951" s="215"/>
      <c r="B951" s="237"/>
      <c r="C951" s="236"/>
      <c r="D951" s="215"/>
      <c r="E951" s="23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>
      <c r="A952" s="215"/>
      <c r="B952" s="237"/>
      <c r="C952" s="236"/>
      <c r="D952" s="215"/>
      <c r="E952" s="23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>
      <c r="A953" s="215"/>
      <c r="B953" s="237"/>
      <c r="C953" s="236"/>
      <c r="D953" s="215"/>
      <c r="E953" s="23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>
      <c r="A954" s="215"/>
      <c r="B954" s="237"/>
      <c r="C954" s="236"/>
      <c r="D954" s="215"/>
      <c r="E954" s="23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>
      <c r="A955" s="215"/>
      <c r="B955" s="237"/>
      <c r="C955" s="236"/>
      <c r="D955" s="215"/>
      <c r="E955" s="23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>
      <c r="A956" s="215"/>
      <c r="B956" s="237"/>
      <c r="C956" s="236"/>
      <c r="D956" s="215"/>
      <c r="E956" s="23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>
      <c r="A957" s="215"/>
      <c r="B957" s="237"/>
      <c r="C957" s="236"/>
      <c r="D957" s="215"/>
      <c r="E957" s="23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>
      <c r="A958" s="215"/>
      <c r="B958" s="237"/>
      <c r="C958" s="236"/>
      <c r="D958" s="215"/>
      <c r="E958" s="23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>
      <c r="A959" s="215"/>
      <c r="B959" s="237"/>
      <c r="C959" s="236"/>
      <c r="D959" s="215"/>
      <c r="E959" s="23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>
      <c r="A960" s="215"/>
      <c r="B960" s="237"/>
      <c r="C960" s="236"/>
      <c r="D960" s="215"/>
      <c r="E960" s="23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>
      <c r="A961" s="215"/>
      <c r="B961" s="237"/>
      <c r="C961" s="236"/>
      <c r="D961" s="215"/>
      <c r="E961" s="23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>
      <c r="A962" s="215"/>
      <c r="B962" s="237"/>
      <c r="C962" s="236"/>
      <c r="D962" s="215"/>
      <c r="E962" s="23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>
      <c r="A963" s="215"/>
      <c r="B963" s="237"/>
      <c r="C963" s="236"/>
      <c r="D963" s="215"/>
      <c r="E963" s="23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>
      <c r="A964" s="215"/>
      <c r="B964" s="237"/>
      <c r="C964" s="236"/>
      <c r="D964" s="215"/>
      <c r="E964" s="23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>
      <c r="A965" s="215"/>
      <c r="B965" s="237"/>
      <c r="C965" s="236"/>
      <c r="D965" s="215"/>
      <c r="E965" s="23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>
      <c r="A966" s="215"/>
      <c r="B966" s="237"/>
      <c r="C966" s="236"/>
      <c r="D966" s="215"/>
      <c r="E966" s="23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>
      <c r="A967" s="215"/>
      <c r="B967" s="237"/>
      <c r="C967" s="236"/>
      <c r="D967" s="215"/>
      <c r="E967" s="23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>
      <c r="A968" s="215"/>
      <c r="B968" s="237"/>
      <c r="C968" s="236"/>
      <c r="D968" s="215"/>
      <c r="E968" s="23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>
      <c r="A969" s="215"/>
      <c r="B969" s="237"/>
      <c r="C969" s="236"/>
      <c r="D969" s="215"/>
      <c r="E969" s="23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>
      <c r="A970" s="215"/>
      <c r="B970" s="237"/>
      <c r="C970" s="236"/>
      <c r="D970" s="215"/>
      <c r="E970" s="23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>
      <c r="A971" s="215"/>
      <c r="B971" s="237"/>
      <c r="C971" s="236"/>
      <c r="D971" s="215"/>
      <c r="E971" s="23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>
      <c r="A972" s="215"/>
      <c r="B972" s="237"/>
      <c r="C972" s="236"/>
      <c r="D972" s="215"/>
      <c r="E972" s="23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>
      <c r="A973" s="215"/>
      <c r="B973" s="237"/>
      <c r="C973" s="236"/>
      <c r="D973" s="215"/>
      <c r="E973" s="23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>
      <c r="A974" s="215"/>
      <c r="B974" s="237"/>
      <c r="C974" s="236"/>
      <c r="D974" s="215"/>
      <c r="E974" s="23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>
      <c r="A975" s="215"/>
      <c r="B975" s="237"/>
      <c r="C975" s="236"/>
      <c r="D975" s="215"/>
      <c r="E975" s="23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>
      <c r="A976" s="215"/>
      <c r="B976" s="237"/>
      <c r="C976" s="236"/>
      <c r="D976" s="215"/>
      <c r="E976" s="23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>
      <c r="A977" s="215"/>
      <c r="B977" s="237"/>
      <c r="C977" s="236"/>
      <c r="D977" s="215"/>
      <c r="E977" s="23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>
      <c r="A978" s="215"/>
      <c r="B978" s="237"/>
      <c r="C978" s="236"/>
      <c r="D978" s="215"/>
      <c r="E978" s="23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>
      <c r="A979" s="215"/>
      <c r="B979" s="237"/>
      <c r="C979" s="236"/>
      <c r="D979" s="215"/>
      <c r="E979" s="23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>
      <c r="A980" s="215"/>
      <c r="B980" s="237"/>
      <c r="C980" s="236"/>
      <c r="D980" s="215"/>
      <c r="E980" s="23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>
      <c r="A981" s="215"/>
      <c r="B981" s="237"/>
      <c r="C981" s="236"/>
      <c r="D981" s="215"/>
      <c r="E981" s="23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>
      <c r="A982" s="215"/>
      <c r="B982" s="237"/>
      <c r="C982" s="236"/>
      <c r="D982" s="215"/>
      <c r="E982" s="23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>
      <c r="A983" s="215"/>
      <c r="B983" s="237"/>
      <c r="C983" s="236"/>
      <c r="D983" s="215"/>
      <c r="E983" s="23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>
      <c r="A984" s="215"/>
      <c r="B984" s="237"/>
      <c r="C984" s="236"/>
      <c r="D984" s="215"/>
      <c r="E984" s="23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>
      <c r="A985" s="215"/>
      <c r="B985" s="237"/>
      <c r="C985" s="236"/>
      <c r="D985" s="215"/>
      <c r="E985" s="23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>
      <c r="A986" s="215"/>
      <c r="B986" s="237"/>
      <c r="C986" s="236"/>
      <c r="D986" s="215"/>
      <c r="E986" s="23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>
      <c r="A987" s="215"/>
      <c r="B987" s="237"/>
      <c r="C987" s="236"/>
      <c r="D987" s="215"/>
      <c r="E987" s="23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>
      <c r="A988" s="215"/>
      <c r="B988" s="237"/>
      <c r="C988" s="236"/>
      <c r="D988" s="215"/>
      <c r="E988" s="23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>
      <c r="A989" s="215"/>
      <c r="B989" s="237"/>
      <c r="C989" s="236"/>
      <c r="D989" s="215"/>
      <c r="E989" s="23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>
      <c r="A990" s="215"/>
      <c r="B990" s="237"/>
      <c r="C990" s="236"/>
      <c r="D990" s="215"/>
      <c r="E990" s="23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>
      <c r="A991" s="215"/>
      <c r="B991" s="237"/>
      <c r="C991" s="236"/>
      <c r="D991" s="215"/>
      <c r="E991" s="23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>
      <c r="A992" s="215"/>
      <c r="B992" s="237"/>
      <c r="C992" s="236"/>
      <c r="D992" s="215"/>
      <c r="E992" s="23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>
      <c r="A993" s="215"/>
      <c r="B993" s="237"/>
      <c r="C993" s="236"/>
      <c r="D993" s="215"/>
      <c r="E993" s="23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>
      <c r="A994" s="215"/>
      <c r="B994" s="237"/>
      <c r="C994" s="236"/>
      <c r="D994" s="215"/>
      <c r="E994" s="23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>
      <c r="A995" s="215"/>
      <c r="B995" s="237"/>
      <c r="C995" s="236"/>
      <c r="D995" s="215"/>
      <c r="E995" s="23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>
      <c r="A996" s="215"/>
      <c r="B996" s="237"/>
      <c r="C996" s="236"/>
      <c r="D996" s="215"/>
      <c r="E996" s="23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>
      <c r="A997" s="215"/>
      <c r="B997" s="237"/>
      <c r="C997" s="236"/>
      <c r="D997" s="215"/>
      <c r="E997" s="23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>
      <c r="A998" s="215"/>
      <c r="B998" s="237"/>
      <c r="C998" s="236"/>
      <c r="D998" s="215"/>
      <c r="E998" s="23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>
      <c r="A999" s="215"/>
      <c r="B999" s="237"/>
      <c r="C999" s="236"/>
      <c r="D999" s="215"/>
      <c r="E999" s="23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>
      <c r="A1000" s="215"/>
      <c r="B1000" s="237"/>
      <c r="C1000" s="236"/>
      <c r="D1000" s="215"/>
      <c r="E1000" s="23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  <row r="1001">
      <c r="A1001" s="215"/>
      <c r="B1001" s="237"/>
      <c r="C1001" s="236"/>
      <c r="D1001" s="215"/>
      <c r="E1001" s="235"/>
      <c r="F1001" s="215"/>
      <c r="G1001" s="215"/>
      <c r="H1001" s="215"/>
      <c r="I1001" s="215"/>
      <c r="J1001" s="215"/>
      <c r="K1001" s="215"/>
      <c r="L1001" s="215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</row>
    <row r="1002">
      <c r="A1002" s="215"/>
      <c r="B1002" s="237"/>
      <c r="C1002" s="236"/>
      <c r="D1002" s="215"/>
      <c r="E1002" s="235"/>
      <c r="F1002" s="215"/>
      <c r="G1002" s="215"/>
      <c r="H1002" s="215"/>
      <c r="I1002" s="215"/>
      <c r="J1002" s="215"/>
      <c r="K1002" s="215"/>
      <c r="L1002" s="215"/>
      <c r="M1002" s="215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215"/>
      <c r="Z1002" s="215"/>
    </row>
    <row r="1003">
      <c r="A1003" s="215"/>
      <c r="B1003" s="237"/>
      <c r="C1003" s="236"/>
      <c r="D1003" s="215"/>
      <c r="E1003" s="235"/>
      <c r="F1003" s="215"/>
      <c r="G1003" s="215"/>
      <c r="H1003" s="215"/>
      <c r="I1003" s="215"/>
      <c r="J1003" s="215"/>
      <c r="K1003" s="215"/>
      <c r="L1003" s="215"/>
      <c r="M1003" s="215"/>
      <c r="N1003" s="215"/>
      <c r="O1003" s="215"/>
      <c r="P1003" s="215"/>
      <c r="Q1003" s="215"/>
      <c r="R1003" s="215"/>
      <c r="S1003" s="215"/>
      <c r="T1003" s="215"/>
      <c r="U1003" s="215"/>
      <c r="V1003" s="215"/>
      <c r="W1003" s="215"/>
      <c r="X1003" s="215"/>
      <c r="Y1003" s="215"/>
      <c r="Z1003" s="215"/>
    </row>
  </sheetData>
  <mergeCells count="31">
    <mergeCell ref="G1:Q1"/>
    <mergeCell ref="A2:E2"/>
    <mergeCell ref="G2:J2"/>
    <mergeCell ref="I4:I5"/>
    <mergeCell ref="G27:Q27"/>
    <mergeCell ref="G28:J28"/>
    <mergeCell ref="I30:I31"/>
    <mergeCell ref="G53:Q53"/>
    <mergeCell ref="G54:J54"/>
    <mergeCell ref="I56:I57"/>
    <mergeCell ref="G79:Q79"/>
    <mergeCell ref="G80:J80"/>
    <mergeCell ref="I82:I83"/>
    <mergeCell ref="G104:Q104"/>
    <mergeCell ref="G105:J105"/>
    <mergeCell ref="I107:I108"/>
    <mergeCell ref="G129:Q129"/>
    <mergeCell ref="G130:J130"/>
    <mergeCell ref="I132:I133"/>
    <mergeCell ref="G154:Q154"/>
    <mergeCell ref="G155:J155"/>
    <mergeCell ref="G229:Q229"/>
    <mergeCell ref="G230:J230"/>
    <mergeCell ref="I232:I233"/>
    <mergeCell ref="I157:I158"/>
    <mergeCell ref="G179:Q179"/>
    <mergeCell ref="G180:J180"/>
    <mergeCell ref="I182:I183"/>
    <mergeCell ref="G204:Q204"/>
    <mergeCell ref="G205:J205"/>
    <mergeCell ref="I207:I20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2" t="str">
        <f>IFERROR(__xludf.DUMMYFUNCTION("IMPORTRANGE(""https://docs.google.com/spreadsheets/d/1rSRRK1VaWs-yNXj8xUy_yM8RUzlUDehsKxPlHX1Bls0/edit?usp=sharing"", ""TARGET OKTOBER!A:Z"")
"),"#REF!")</f>
        <v>#REF!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5.0"/>
  </cols>
  <sheetData>
    <row r="1">
      <c r="A1" s="283" t="s">
        <v>490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5"/>
    </row>
    <row r="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>
      <c r="A4" s="286"/>
      <c r="B4" s="287" t="s">
        <v>491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>
      <c r="A5" s="289">
        <v>0.0</v>
      </c>
      <c r="B5" s="290"/>
      <c r="C5" s="291">
        <v>9.0</v>
      </c>
      <c r="D5" s="291">
        <v>10.0</v>
      </c>
      <c r="E5" s="291">
        <v>11.0</v>
      </c>
      <c r="F5" s="291">
        <v>12.0</v>
      </c>
      <c r="G5" s="291">
        <v>1.0</v>
      </c>
      <c r="H5" s="291">
        <v>2.0</v>
      </c>
      <c r="I5" s="291">
        <v>3.0</v>
      </c>
      <c r="J5" s="291">
        <v>4.0</v>
      </c>
      <c r="K5" s="291">
        <v>5.0</v>
      </c>
      <c r="L5" s="291">
        <v>6.0</v>
      </c>
      <c r="M5" s="291">
        <v>7.0</v>
      </c>
      <c r="N5" s="291">
        <v>8.0</v>
      </c>
    </row>
    <row r="6">
      <c r="A6" s="292" t="s">
        <v>492</v>
      </c>
      <c r="B6" s="293" t="s">
        <v>493</v>
      </c>
      <c r="C6" s="294" t="s">
        <v>494</v>
      </c>
      <c r="D6" s="295" t="s">
        <v>495</v>
      </c>
      <c r="E6" s="294" t="s">
        <v>496</v>
      </c>
      <c r="F6" s="294" t="s">
        <v>497</v>
      </c>
      <c r="G6" s="294" t="s">
        <v>381</v>
      </c>
      <c r="H6" s="294" t="s">
        <v>498</v>
      </c>
      <c r="I6" s="294" t="s">
        <v>499</v>
      </c>
      <c r="J6" s="294" t="s">
        <v>500</v>
      </c>
      <c r="K6" s="294" t="s">
        <v>501</v>
      </c>
      <c r="L6" s="294" t="s">
        <v>502</v>
      </c>
      <c r="M6" s="294" t="s">
        <v>503</v>
      </c>
      <c r="N6" s="294" t="s">
        <v>504</v>
      </c>
    </row>
    <row r="7">
      <c r="A7" s="296">
        <v>1.0</v>
      </c>
      <c r="B7" s="296" t="s">
        <v>505</v>
      </c>
      <c r="C7" s="297">
        <v>6.8E7</v>
      </c>
      <c r="D7" s="297">
        <v>6.8E7</v>
      </c>
      <c r="E7" s="298">
        <v>7.0E7</v>
      </c>
      <c r="F7" s="297">
        <f t="shared" ref="F7:N7" si="1">F2*F4</f>
        <v>0</v>
      </c>
      <c r="G7" s="297">
        <f t="shared" si="1"/>
        <v>0</v>
      </c>
      <c r="H7" s="297">
        <f t="shared" si="1"/>
        <v>0</v>
      </c>
      <c r="I7" s="297">
        <f t="shared" si="1"/>
        <v>0</v>
      </c>
      <c r="J7" s="297">
        <f t="shared" si="1"/>
        <v>0</v>
      </c>
      <c r="K7" s="297">
        <f t="shared" si="1"/>
        <v>0</v>
      </c>
      <c r="L7" s="297">
        <f t="shared" si="1"/>
        <v>0</v>
      </c>
      <c r="M7" s="297">
        <f t="shared" si="1"/>
        <v>0</v>
      </c>
      <c r="N7" s="297">
        <f t="shared" si="1"/>
        <v>0</v>
      </c>
    </row>
    <row r="8">
      <c r="A8" s="296">
        <v>2.0</v>
      </c>
      <c r="B8" s="241"/>
      <c r="C8" s="297">
        <f t="shared" ref="C8:N8" si="2">C4*C2</f>
        <v>0</v>
      </c>
      <c r="D8" s="297">
        <f t="shared" si="2"/>
        <v>0</v>
      </c>
      <c r="E8" s="297">
        <f t="shared" si="2"/>
        <v>0</v>
      </c>
      <c r="F8" s="297">
        <f t="shared" si="2"/>
        <v>0</v>
      </c>
      <c r="G8" s="297">
        <f t="shared" si="2"/>
        <v>0</v>
      </c>
      <c r="H8" s="297">
        <f t="shared" si="2"/>
        <v>0</v>
      </c>
      <c r="I8" s="297">
        <f t="shared" si="2"/>
        <v>0</v>
      </c>
      <c r="J8" s="297">
        <f t="shared" si="2"/>
        <v>0</v>
      </c>
      <c r="K8" s="297">
        <f t="shared" si="2"/>
        <v>0</v>
      </c>
      <c r="L8" s="297">
        <f t="shared" si="2"/>
        <v>0</v>
      </c>
      <c r="M8" s="297">
        <f t="shared" si="2"/>
        <v>0</v>
      </c>
      <c r="N8" s="297">
        <f t="shared" si="2"/>
        <v>0</v>
      </c>
    </row>
    <row r="9">
      <c r="A9" s="296">
        <v>3.0</v>
      </c>
      <c r="B9" s="241"/>
      <c r="C9" s="297">
        <f t="shared" ref="C9:N9" si="3">C4*C2</f>
        <v>0</v>
      </c>
      <c r="D9" s="297">
        <f t="shared" si="3"/>
        <v>0</v>
      </c>
      <c r="E9" s="297">
        <f t="shared" si="3"/>
        <v>0</v>
      </c>
      <c r="F9" s="297">
        <f t="shared" si="3"/>
        <v>0</v>
      </c>
      <c r="G9" s="297">
        <f t="shared" si="3"/>
        <v>0</v>
      </c>
      <c r="H9" s="297">
        <f t="shared" si="3"/>
        <v>0</v>
      </c>
      <c r="I9" s="297">
        <f t="shared" si="3"/>
        <v>0</v>
      </c>
      <c r="J9" s="297">
        <f t="shared" si="3"/>
        <v>0</v>
      </c>
      <c r="K9" s="297">
        <f t="shared" si="3"/>
        <v>0</v>
      </c>
      <c r="L9" s="297">
        <f t="shared" si="3"/>
        <v>0</v>
      </c>
      <c r="M9" s="297">
        <f t="shared" si="3"/>
        <v>0</v>
      </c>
      <c r="N9" s="297">
        <f t="shared" si="3"/>
        <v>0</v>
      </c>
    </row>
    <row r="10">
      <c r="A10" s="296">
        <v>4.0</v>
      </c>
      <c r="B10" s="241"/>
      <c r="C10" s="297">
        <f t="shared" ref="C10:N10" si="4">C4*C2/2</f>
        <v>0</v>
      </c>
      <c r="D10" s="297">
        <f t="shared" si="4"/>
        <v>0</v>
      </c>
      <c r="E10" s="297">
        <f t="shared" si="4"/>
        <v>0</v>
      </c>
      <c r="F10" s="297">
        <f t="shared" si="4"/>
        <v>0</v>
      </c>
      <c r="G10" s="297">
        <f t="shared" si="4"/>
        <v>0</v>
      </c>
      <c r="H10" s="297">
        <f t="shared" si="4"/>
        <v>0</v>
      </c>
      <c r="I10" s="297">
        <f t="shared" si="4"/>
        <v>0</v>
      </c>
      <c r="J10" s="297">
        <f t="shared" si="4"/>
        <v>0</v>
      </c>
      <c r="K10" s="297">
        <f t="shared" si="4"/>
        <v>0</v>
      </c>
      <c r="L10" s="297">
        <f t="shared" si="4"/>
        <v>0</v>
      </c>
      <c r="M10" s="297">
        <f t="shared" si="4"/>
        <v>0</v>
      </c>
      <c r="N10" s="297">
        <f t="shared" si="4"/>
        <v>0</v>
      </c>
    </row>
    <row r="11">
      <c r="A11" s="299" t="s">
        <v>5</v>
      </c>
      <c r="B11" s="4"/>
      <c r="C11" s="300">
        <f t="shared" ref="C11:N11" si="5">SUM(C7:C10)</f>
        <v>68000000</v>
      </c>
      <c r="D11" s="300">
        <f t="shared" si="5"/>
        <v>68000000</v>
      </c>
      <c r="E11" s="300">
        <f t="shared" si="5"/>
        <v>70000000</v>
      </c>
      <c r="F11" s="300">
        <f t="shared" si="5"/>
        <v>0</v>
      </c>
      <c r="G11" s="300">
        <f t="shared" si="5"/>
        <v>0</v>
      </c>
      <c r="H11" s="300">
        <f t="shared" si="5"/>
        <v>0</v>
      </c>
      <c r="I11" s="300">
        <f t="shared" si="5"/>
        <v>0</v>
      </c>
      <c r="J11" s="300">
        <f t="shared" si="5"/>
        <v>0</v>
      </c>
      <c r="K11" s="300">
        <f t="shared" si="5"/>
        <v>0</v>
      </c>
      <c r="L11" s="300">
        <f t="shared" si="5"/>
        <v>0</v>
      </c>
      <c r="M11" s="300">
        <f t="shared" si="5"/>
        <v>0</v>
      </c>
      <c r="N11" s="300">
        <f t="shared" si="5"/>
        <v>0</v>
      </c>
    </row>
    <row r="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</row>
    <row r="13">
      <c r="A13" s="301" t="s">
        <v>384</v>
      </c>
      <c r="B13" s="302">
        <v>45962.0</v>
      </c>
      <c r="C13" s="303" t="s">
        <v>505</v>
      </c>
      <c r="D13" s="4"/>
      <c r="E13" s="215"/>
      <c r="F13" s="215"/>
      <c r="G13" s="215"/>
      <c r="H13" s="215"/>
      <c r="I13" s="215"/>
      <c r="J13" s="215"/>
      <c r="K13" s="215"/>
      <c r="L13" s="215"/>
      <c r="M13" s="215"/>
      <c r="N13" s="215"/>
    </row>
    <row r="14">
      <c r="A14" s="112"/>
      <c r="B14" s="112"/>
      <c r="C14" s="304" t="s">
        <v>506</v>
      </c>
      <c r="D14" s="4"/>
      <c r="E14" s="215"/>
      <c r="F14" s="215"/>
      <c r="G14" s="215"/>
      <c r="H14" s="215"/>
      <c r="I14" s="215"/>
      <c r="J14" s="215"/>
      <c r="K14" s="215"/>
      <c r="L14" s="215"/>
      <c r="M14" s="215"/>
      <c r="N14" s="215"/>
    </row>
    <row r="15">
      <c r="A15" s="7"/>
      <c r="B15" s="7"/>
      <c r="C15" s="305" t="s">
        <v>507</v>
      </c>
      <c r="D15" s="305" t="s">
        <v>390</v>
      </c>
      <c r="E15" s="215"/>
      <c r="F15" s="215"/>
      <c r="G15" s="215"/>
      <c r="H15" s="215"/>
      <c r="I15" s="215"/>
      <c r="J15" s="215"/>
      <c r="K15" s="215"/>
      <c r="L15" s="215"/>
      <c r="M15" s="215"/>
      <c r="N15" s="215"/>
    </row>
    <row r="16">
      <c r="A16" s="306">
        <v>1.0</v>
      </c>
      <c r="B16" s="307" t="s">
        <v>508</v>
      </c>
      <c r="C16" s="308">
        <v>4000000.0</v>
      </c>
      <c r="D16" s="309">
        <v>130000.0</v>
      </c>
      <c r="E16" s="238" t="s">
        <v>244</v>
      </c>
      <c r="F16" s="215"/>
      <c r="G16" s="215"/>
      <c r="H16" s="215"/>
      <c r="I16" s="215"/>
      <c r="J16" s="215"/>
      <c r="K16" s="215"/>
      <c r="L16" s="215"/>
      <c r="M16" s="215"/>
      <c r="N16" s="215"/>
    </row>
    <row r="17">
      <c r="A17" s="310">
        <v>2.0</v>
      </c>
      <c r="B17" s="311" t="s">
        <v>509</v>
      </c>
      <c r="C17" s="312"/>
      <c r="D17" s="313"/>
      <c r="E17" s="215"/>
      <c r="F17" s="215"/>
      <c r="G17" s="215"/>
      <c r="H17" s="215"/>
      <c r="I17" s="215"/>
      <c r="J17" s="215"/>
      <c r="K17" s="215"/>
      <c r="L17" s="215"/>
      <c r="M17" s="215"/>
      <c r="N17" s="215"/>
    </row>
    <row r="18">
      <c r="A18" s="306">
        <v>3.0</v>
      </c>
      <c r="B18" s="314" t="s">
        <v>510</v>
      </c>
      <c r="C18" s="308">
        <v>4000000.0</v>
      </c>
      <c r="D18" s="3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</row>
    <row r="19">
      <c r="A19" s="306">
        <v>4.0</v>
      </c>
      <c r="B19" s="314" t="s">
        <v>511</v>
      </c>
      <c r="C19" s="308">
        <v>4000000.0</v>
      </c>
      <c r="D19" s="316">
        <v>200000.0</v>
      </c>
      <c r="E19" s="238" t="s">
        <v>247</v>
      </c>
      <c r="F19" s="215"/>
      <c r="G19" s="215"/>
      <c r="H19" s="215"/>
      <c r="I19" s="215"/>
      <c r="J19" s="215"/>
      <c r="K19" s="215"/>
      <c r="L19" s="215"/>
      <c r="M19" s="215"/>
      <c r="N19" s="215"/>
    </row>
    <row r="20">
      <c r="A20" s="306">
        <v>5.0</v>
      </c>
      <c r="B20" s="314" t="s">
        <v>512</v>
      </c>
      <c r="C20" s="308">
        <v>4000000.0</v>
      </c>
      <c r="D20" s="317"/>
      <c r="E20" s="215" t="s">
        <v>47</v>
      </c>
      <c r="F20" s="215"/>
      <c r="G20" s="215"/>
      <c r="H20" s="215"/>
      <c r="I20" s="215"/>
      <c r="J20" s="215"/>
      <c r="K20" s="215"/>
      <c r="L20" s="215"/>
      <c r="M20" s="215"/>
      <c r="N20" s="215"/>
    </row>
    <row r="21">
      <c r="A21" s="306">
        <v>6.0</v>
      </c>
      <c r="B21" s="314" t="s">
        <v>513</v>
      </c>
      <c r="C21" s="308">
        <v>4000000.0</v>
      </c>
      <c r="D21" s="315"/>
      <c r="E21" s="234"/>
      <c r="F21" s="234"/>
      <c r="G21" s="234"/>
      <c r="H21" s="234"/>
      <c r="I21" s="234"/>
      <c r="J21" s="234"/>
      <c r="K21" s="234"/>
      <c r="L21" s="234"/>
      <c r="M21" s="234"/>
      <c r="N21" s="234"/>
    </row>
    <row r="22">
      <c r="A22" s="306">
        <v>7.0</v>
      </c>
      <c r="B22" s="314" t="s">
        <v>514</v>
      </c>
      <c r="C22" s="308">
        <v>4000000.0</v>
      </c>
      <c r="D22" s="318"/>
      <c r="E22" s="234"/>
      <c r="F22" s="234"/>
      <c r="G22" s="234"/>
      <c r="H22" s="234"/>
      <c r="I22" s="234"/>
      <c r="J22" s="234"/>
      <c r="K22" s="234"/>
      <c r="L22" s="234"/>
      <c r="M22" s="234"/>
      <c r="N22" s="234"/>
    </row>
    <row r="23">
      <c r="A23" s="306">
        <v>8.0</v>
      </c>
      <c r="B23" s="314" t="s">
        <v>508</v>
      </c>
      <c r="C23" s="308">
        <v>4000000.0</v>
      </c>
      <c r="D23" s="315"/>
      <c r="E23" s="234"/>
      <c r="F23" s="234"/>
      <c r="G23" s="234"/>
      <c r="H23" s="234"/>
      <c r="I23" s="234"/>
      <c r="J23" s="234"/>
      <c r="K23" s="234"/>
      <c r="L23" s="234"/>
      <c r="M23" s="234"/>
      <c r="N23" s="234"/>
    </row>
    <row r="24">
      <c r="A24" s="310">
        <v>9.0</v>
      </c>
      <c r="B24" s="311" t="s">
        <v>509</v>
      </c>
      <c r="C24" s="312"/>
      <c r="D24" s="319"/>
      <c r="E24" s="234"/>
      <c r="F24" s="234"/>
      <c r="G24" s="234"/>
      <c r="H24" s="234"/>
      <c r="I24" s="234"/>
      <c r="J24" s="234"/>
      <c r="K24" s="234"/>
      <c r="L24" s="234"/>
      <c r="M24" s="234"/>
      <c r="N24" s="234"/>
    </row>
    <row r="25">
      <c r="A25" s="306">
        <v>10.0</v>
      </c>
      <c r="B25" s="314" t="s">
        <v>510</v>
      </c>
      <c r="C25" s="308">
        <v>4000000.0</v>
      </c>
      <c r="D25" s="315"/>
      <c r="E25" s="234"/>
      <c r="F25" s="234"/>
      <c r="G25" s="234"/>
      <c r="H25" s="234"/>
      <c r="I25" s="234"/>
      <c r="J25" s="234"/>
      <c r="K25" s="234"/>
      <c r="L25" s="234"/>
      <c r="M25" s="234"/>
      <c r="N25" s="234"/>
    </row>
    <row r="26">
      <c r="A26" s="306">
        <v>11.0</v>
      </c>
      <c r="B26" s="314" t="s">
        <v>511</v>
      </c>
      <c r="C26" s="308">
        <v>4000000.0</v>
      </c>
      <c r="D26" s="320">
        <v>3215000.0</v>
      </c>
      <c r="E26" s="256" t="s">
        <v>515</v>
      </c>
      <c r="F26" s="234"/>
      <c r="G26" s="234"/>
      <c r="H26" s="234"/>
      <c r="I26" s="234"/>
      <c r="J26" s="234"/>
      <c r="K26" s="234"/>
      <c r="L26" s="234"/>
      <c r="M26" s="234"/>
      <c r="N26" s="234"/>
    </row>
    <row r="27">
      <c r="A27" s="306">
        <v>12.0</v>
      </c>
      <c r="B27" s="314" t="s">
        <v>512</v>
      </c>
      <c r="C27" s="308">
        <v>4000000.0</v>
      </c>
      <c r="D27" s="320">
        <v>1.1535E7</v>
      </c>
      <c r="E27" s="256" t="s">
        <v>516</v>
      </c>
      <c r="F27" s="234"/>
      <c r="G27" s="234"/>
      <c r="H27" s="234"/>
      <c r="I27" s="234"/>
      <c r="J27" s="234"/>
      <c r="K27" s="234"/>
      <c r="L27" s="234"/>
      <c r="M27" s="234"/>
      <c r="N27" s="234"/>
    </row>
    <row r="28">
      <c r="A28" s="306">
        <v>13.0</v>
      </c>
      <c r="B28" s="314" t="s">
        <v>513</v>
      </c>
      <c r="C28" s="308">
        <v>4000000.0</v>
      </c>
      <c r="D28" s="317"/>
      <c r="E28" s="234"/>
      <c r="F28" s="234"/>
      <c r="G28" s="234"/>
      <c r="H28" s="234"/>
      <c r="I28" s="256"/>
      <c r="J28" s="234"/>
      <c r="K28" s="234"/>
      <c r="L28" s="234"/>
      <c r="M28" s="234"/>
      <c r="N28" s="234"/>
    </row>
    <row r="29">
      <c r="A29" s="306">
        <v>14.0</v>
      </c>
      <c r="B29" s="314" t="s">
        <v>514</v>
      </c>
      <c r="C29" s="308">
        <v>4000000.0</v>
      </c>
      <c r="D29" s="320">
        <v>250000.0</v>
      </c>
      <c r="E29" s="234"/>
      <c r="F29" s="234"/>
      <c r="G29" s="234"/>
      <c r="H29" s="234"/>
      <c r="I29" s="256"/>
      <c r="J29" s="234"/>
      <c r="K29" s="234"/>
      <c r="L29" s="234"/>
      <c r="M29" s="234"/>
      <c r="N29" s="234"/>
    </row>
    <row r="30">
      <c r="A30" s="306">
        <v>15.0</v>
      </c>
      <c r="B30" s="314" t="s">
        <v>508</v>
      </c>
      <c r="C30" s="308">
        <v>4000000.0</v>
      </c>
      <c r="D30" s="321"/>
      <c r="E30" s="234"/>
      <c r="F30" s="234"/>
      <c r="G30" s="234"/>
      <c r="H30" s="234"/>
      <c r="I30" s="234"/>
      <c r="J30" s="234"/>
      <c r="K30" s="234"/>
      <c r="L30" s="234"/>
      <c r="M30" s="234"/>
      <c r="N30" s="234"/>
    </row>
    <row r="31">
      <c r="A31" s="310">
        <v>16.0</v>
      </c>
      <c r="B31" s="311" t="s">
        <v>509</v>
      </c>
      <c r="C31" s="312"/>
      <c r="D31" s="313"/>
      <c r="E31" s="234"/>
      <c r="F31" s="234"/>
      <c r="G31" s="234"/>
      <c r="H31" s="234"/>
      <c r="I31" s="234"/>
      <c r="J31" s="234"/>
      <c r="K31" s="234"/>
      <c r="L31" s="234"/>
      <c r="M31" s="234"/>
      <c r="N31" s="234"/>
    </row>
    <row r="32">
      <c r="A32" s="306">
        <v>17.0</v>
      </c>
      <c r="B32" s="314" t="s">
        <v>510</v>
      </c>
      <c r="C32" s="308">
        <v>4000000.0</v>
      </c>
      <c r="D32" s="315"/>
      <c r="E32" s="234"/>
      <c r="F32" s="234"/>
      <c r="G32" s="234"/>
      <c r="H32" s="234"/>
      <c r="I32" s="234"/>
      <c r="J32" s="234"/>
      <c r="K32" s="234"/>
      <c r="L32" s="234"/>
      <c r="M32" s="234"/>
      <c r="N32" s="234"/>
    </row>
    <row r="33">
      <c r="A33" s="306">
        <v>18.0</v>
      </c>
      <c r="B33" s="314" t="s">
        <v>511</v>
      </c>
      <c r="C33" s="308">
        <v>4000000.0</v>
      </c>
      <c r="D33" s="317"/>
      <c r="E33" s="234"/>
      <c r="F33" s="234"/>
      <c r="G33" s="234"/>
      <c r="H33" s="234"/>
      <c r="I33" s="234"/>
      <c r="J33" s="234"/>
      <c r="K33" s="234"/>
      <c r="L33" s="234"/>
      <c r="M33" s="234"/>
      <c r="N33" s="234"/>
    </row>
    <row r="34">
      <c r="A34" s="306">
        <v>19.0</v>
      </c>
      <c r="B34" s="314" t="s">
        <v>512</v>
      </c>
      <c r="C34" s="308">
        <v>4000000.0</v>
      </c>
      <c r="D34" s="315"/>
      <c r="E34" s="234"/>
      <c r="F34" s="234"/>
      <c r="G34" s="234"/>
      <c r="H34" s="234"/>
      <c r="I34" s="234"/>
      <c r="J34" s="234"/>
      <c r="K34" s="234"/>
      <c r="L34" s="234"/>
      <c r="M34" s="234"/>
      <c r="N34" s="234"/>
    </row>
    <row r="35">
      <c r="A35" s="306">
        <v>20.0</v>
      </c>
      <c r="B35" s="314" t="s">
        <v>513</v>
      </c>
      <c r="C35" s="308">
        <v>4000000.0</v>
      </c>
      <c r="D35" s="320">
        <v>7350000.0</v>
      </c>
      <c r="E35" s="256" t="s">
        <v>259</v>
      </c>
      <c r="F35" s="234"/>
      <c r="G35" s="234"/>
      <c r="H35" s="234"/>
      <c r="I35" s="234"/>
      <c r="J35" s="234"/>
      <c r="K35" s="234"/>
      <c r="L35" s="234"/>
      <c r="M35" s="234"/>
      <c r="N35" s="234"/>
    </row>
    <row r="36">
      <c r="A36" s="306">
        <v>21.0</v>
      </c>
      <c r="B36" s="314" t="s">
        <v>514</v>
      </c>
      <c r="C36" s="308">
        <v>4000000.0</v>
      </c>
      <c r="D36" s="317"/>
      <c r="E36" s="234"/>
      <c r="F36" s="234"/>
      <c r="G36" s="234"/>
      <c r="H36" s="234"/>
      <c r="I36" s="234"/>
      <c r="J36" s="234"/>
      <c r="K36" s="234"/>
      <c r="L36" s="234"/>
      <c r="M36" s="234"/>
      <c r="N36" s="234"/>
    </row>
    <row r="37">
      <c r="A37" s="306">
        <v>22.0</v>
      </c>
      <c r="B37" s="314" t="s">
        <v>508</v>
      </c>
      <c r="C37" s="308">
        <v>4000000.0</v>
      </c>
      <c r="D37" s="316">
        <v>1790000.0</v>
      </c>
      <c r="E37" s="256" t="s">
        <v>260</v>
      </c>
      <c r="F37" s="234"/>
      <c r="G37" s="234"/>
      <c r="H37" s="234"/>
      <c r="I37" s="234"/>
      <c r="J37" s="234"/>
      <c r="K37" s="234"/>
      <c r="L37" s="234"/>
      <c r="M37" s="234"/>
      <c r="N37" s="234"/>
    </row>
    <row r="38">
      <c r="A38" s="310">
        <v>23.0</v>
      </c>
      <c r="B38" s="311" t="s">
        <v>509</v>
      </c>
      <c r="C38" s="312"/>
      <c r="D38" s="319"/>
      <c r="E38" s="234"/>
      <c r="F38" s="234"/>
      <c r="G38" s="234"/>
      <c r="H38" s="234"/>
      <c r="I38" s="234"/>
      <c r="J38" s="234"/>
      <c r="K38" s="234"/>
      <c r="L38" s="234"/>
      <c r="M38" s="234"/>
      <c r="N38" s="234"/>
    </row>
    <row r="39">
      <c r="A39" s="306">
        <v>24.0</v>
      </c>
      <c r="B39" s="314" t="s">
        <v>510</v>
      </c>
      <c r="C39" s="308">
        <v>4000000.0</v>
      </c>
      <c r="D39" s="315"/>
      <c r="E39" s="234"/>
      <c r="F39" s="234"/>
      <c r="G39" s="234"/>
      <c r="H39" s="234"/>
      <c r="I39" s="234"/>
      <c r="J39" s="234"/>
      <c r="K39" s="234"/>
      <c r="L39" s="234"/>
      <c r="M39" s="234"/>
      <c r="N39" s="234"/>
    </row>
    <row r="40">
      <c r="A40" s="306">
        <v>25.0</v>
      </c>
      <c r="B40" s="314" t="s">
        <v>511</v>
      </c>
      <c r="C40" s="308">
        <v>4000000.0</v>
      </c>
      <c r="D40" s="317"/>
      <c r="E40" s="234"/>
      <c r="F40" s="234"/>
      <c r="G40" s="234"/>
      <c r="H40" s="234"/>
      <c r="I40" s="234"/>
      <c r="J40" s="234"/>
      <c r="K40" s="234"/>
      <c r="L40" s="234"/>
      <c r="M40" s="234"/>
      <c r="N40" s="234"/>
    </row>
    <row r="41">
      <c r="A41" s="306">
        <v>26.0</v>
      </c>
      <c r="B41" s="314" t="s">
        <v>512</v>
      </c>
      <c r="C41" s="308">
        <v>4000000.0</v>
      </c>
      <c r="D41" s="317"/>
      <c r="E41" s="234"/>
      <c r="F41" s="234"/>
      <c r="G41" s="234"/>
      <c r="H41" s="234"/>
      <c r="I41" s="234"/>
      <c r="J41" s="234"/>
      <c r="K41" s="234"/>
      <c r="L41" s="234"/>
      <c r="M41" s="234"/>
      <c r="N41" s="234"/>
    </row>
    <row r="42">
      <c r="A42" s="306">
        <v>27.0</v>
      </c>
      <c r="B42" s="314" t="s">
        <v>513</v>
      </c>
      <c r="C42" s="308">
        <v>4000000.0</v>
      </c>
      <c r="D42" s="315"/>
      <c r="E42" s="234"/>
      <c r="F42" s="234"/>
      <c r="G42" s="234"/>
      <c r="H42" s="234"/>
      <c r="I42" s="234"/>
      <c r="J42" s="234"/>
      <c r="K42" s="234"/>
      <c r="L42" s="234"/>
      <c r="M42" s="234"/>
      <c r="N42" s="234"/>
    </row>
    <row r="43">
      <c r="A43" s="306">
        <v>28.0</v>
      </c>
      <c r="B43" s="314" t="s">
        <v>514</v>
      </c>
      <c r="C43" s="308">
        <v>4000000.0</v>
      </c>
      <c r="D43" s="315"/>
      <c r="E43" s="234"/>
      <c r="F43" s="234"/>
      <c r="G43" s="234"/>
      <c r="H43" s="234"/>
      <c r="I43" s="234"/>
      <c r="J43" s="234"/>
      <c r="K43" s="234"/>
      <c r="L43" s="234"/>
      <c r="M43" s="234"/>
      <c r="N43" s="234"/>
    </row>
    <row r="44">
      <c r="A44" s="306">
        <v>29.0</v>
      </c>
      <c r="B44" s="314" t="s">
        <v>508</v>
      </c>
      <c r="C44" s="308">
        <v>4000000.0</v>
      </c>
      <c r="D44" s="315"/>
      <c r="E44" s="234"/>
      <c r="F44" s="234"/>
      <c r="G44" s="234"/>
      <c r="H44" s="234"/>
      <c r="I44" s="234"/>
      <c r="J44" s="234"/>
      <c r="K44" s="234"/>
      <c r="L44" s="234"/>
      <c r="M44" s="234"/>
      <c r="N44" s="234"/>
    </row>
    <row r="45">
      <c r="A45" s="310">
        <v>30.0</v>
      </c>
      <c r="B45" s="311" t="s">
        <v>509</v>
      </c>
      <c r="C45" s="312"/>
      <c r="D45" s="319"/>
      <c r="E45" s="234"/>
      <c r="F45" s="234"/>
      <c r="G45" s="234"/>
      <c r="H45" s="234"/>
      <c r="I45" s="234"/>
      <c r="J45" s="234"/>
      <c r="K45" s="234"/>
      <c r="L45" s="234"/>
      <c r="M45" s="234"/>
      <c r="N45" s="234"/>
    </row>
    <row r="46">
      <c r="A46" s="306">
        <v>31.0</v>
      </c>
      <c r="B46" s="307" t="s">
        <v>510</v>
      </c>
      <c r="C46" s="308">
        <v>4000000.0</v>
      </c>
      <c r="D46" s="3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</row>
    <row r="47">
      <c r="A47" s="318"/>
      <c r="B47" s="322"/>
      <c r="C47" s="315"/>
      <c r="D47" s="3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</row>
    <row r="48">
      <c r="A48" s="318"/>
      <c r="B48" s="323"/>
      <c r="C48" s="324"/>
      <c r="D48" s="324"/>
      <c r="E48" s="215"/>
      <c r="F48" s="215"/>
      <c r="G48" s="215"/>
      <c r="H48" s="215"/>
      <c r="I48" s="215"/>
      <c r="J48" s="215"/>
      <c r="K48" s="215"/>
      <c r="L48" s="215"/>
      <c r="M48" s="215"/>
      <c r="N48" s="215"/>
    </row>
    <row r="49">
      <c r="A49" s="318"/>
      <c r="B49" s="325" t="s">
        <v>5</v>
      </c>
      <c r="C49" s="326">
        <f>SUM(C16:C46)</f>
        <v>104000000</v>
      </c>
      <c r="D49" s="327">
        <f>SUM(D16:D48)</f>
        <v>24470000</v>
      </c>
      <c r="E49" s="215"/>
      <c r="F49" s="215"/>
      <c r="G49" s="215"/>
      <c r="H49" s="215"/>
      <c r="I49" s="215"/>
      <c r="J49" s="215"/>
      <c r="K49" s="215"/>
      <c r="L49" s="215"/>
      <c r="M49" s="215"/>
      <c r="N49" s="215"/>
    </row>
    <row r="50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</row>
    <row r="51">
      <c r="A51" s="328"/>
      <c r="B51" s="329" t="s">
        <v>517</v>
      </c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</row>
    <row r="52">
      <c r="A52" s="291" t="s">
        <v>492</v>
      </c>
      <c r="B52" s="291" t="s">
        <v>518</v>
      </c>
      <c r="C52" s="291" t="s">
        <v>519</v>
      </c>
      <c r="D52" s="291" t="s">
        <v>520</v>
      </c>
      <c r="E52" s="215"/>
      <c r="F52" s="215"/>
      <c r="G52" s="215"/>
      <c r="H52" s="215"/>
      <c r="I52" s="215"/>
      <c r="J52" s="215"/>
      <c r="K52" s="215"/>
      <c r="L52" s="215"/>
      <c r="M52" s="215"/>
      <c r="N52" s="215"/>
    </row>
    <row r="53">
      <c r="A53" s="223">
        <v>1.0</v>
      </c>
      <c r="B53" s="330" t="s">
        <v>521</v>
      </c>
      <c r="C53" s="227" t="s">
        <v>522</v>
      </c>
      <c r="D53" s="331">
        <v>130000.0</v>
      </c>
      <c r="E53" s="215"/>
      <c r="F53" s="215"/>
      <c r="G53" s="215"/>
      <c r="H53" s="215"/>
      <c r="I53" s="215"/>
      <c r="J53" s="215"/>
      <c r="K53" s="215"/>
      <c r="L53" s="215"/>
      <c r="M53" s="215"/>
      <c r="N53" s="215"/>
    </row>
    <row r="54">
      <c r="A54" s="223">
        <v>2.0</v>
      </c>
      <c r="B54" s="330" t="s">
        <v>523</v>
      </c>
      <c r="C54" s="227" t="s">
        <v>524</v>
      </c>
      <c r="D54" s="331">
        <v>1.023E7</v>
      </c>
      <c r="E54" s="215"/>
      <c r="F54" s="215"/>
      <c r="G54" s="215"/>
      <c r="H54" s="215"/>
      <c r="I54" s="215"/>
      <c r="J54" s="215"/>
      <c r="K54" s="215"/>
      <c r="L54" s="215"/>
      <c r="M54" s="215"/>
      <c r="N54" s="215"/>
    </row>
    <row r="55">
      <c r="A55" s="223">
        <v>3.0</v>
      </c>
      <c r="B55" s="330" t="s">
        <v>525</v>
      </c>
      <c r="C55" s="227" t="s">
        <v>526</v>
      </c>
      <c r="D55" s="332">
        <v>1.7E7</v>
      </c>
      <c r="E55" s="215"/>
      <c r="F55" s="238" t="s">
        <v>527</v>
      </c>
      <c r="G55" s="215"/>
      <c r="H55" s="215"/>
      <c r="I55" s="215"/>
      <c r="J55" s="215"/>
      <c r="K55" s="215"/>
      <c r="L55" s="215"/>
      <c r="M55" s="215"/>
      <c r="N55" s="215"/>
    </row>
    <row r="56">
      <c r="A56" s="223">
        <v>4.0</v>
      </c>
      <c r="B56" s="227" t="s">
        <v>259</v>
      </c>
      <c r="C56" s="241" t="s">
        <v>145</v>
      </c>
      <c r="D56" s="331">
        <v>7350000.0</v>
      </c>
      <c r="E56" s="215"/>
      <c r="F56" s="238" t="s">
        <v>528</v>
      </c>
      <c r="G56" s="215"/>
      <c r="H56" s="215"/>
      <c r="I56" s="215"/>
      <c r="J56" s="215"/>
      <c r="K56" s="215"/>
      <c r="L56" s="215"/>
      <c r="M56" s="215"/>
      <c r="N56" s="215"/>
    </row>
    <row r="57">
      <c r="A57" s="223">
        <v>5.0</v>
      </c>
      <c r="B57" s="330" t="s">
        <v>529</v>
      </c>
      <c r="C57" s="227" t="s">
        <v>530</v>
      </c>
      <c r="D57" s="332">
        <v>1.2E7</v>
      </c>
      <c r="E57" s="215"/>
      <c r="F57" s="238" t="s">
        <v>531</v>
      </c>
      <c r="G57" s="215"/>
      <c r="H57" s="215"/>
      <c r="I57" s="215"/>
      <c r="J57" s="215"/>
      <c r="K57" s="215"/>
      <c r="L57" s="215"/>
      <c r="M57" s="215"/>
      <c r="N57" s="215"/>
    </row>
    <row r="58">
      <c r="A58" s="223">
        <v>6.0</v>
      </c>
      <c r="B58" s="227" t="s">
        <v>532</v>
      </c>
      <c r="C58" s="227" t="s">
        <v>208</v>
      </c>
      <c r="D58" s="333">
        <v>4000000.0</v>
      </c>
      <c r="E58" s="215"/>
      <c r="F58" s="215"/>
      <c r="G58" s="215"/>
      <c r="H58" s="215"/>
      <c r="I58" s="215"/>
      <c r="J58" s="215"/>
      <c r="K58" s="215"/>
      <c r="L58" s="215"/>
      <c r="M58" s="215"/>
      <c r="N58" s="215"/>
    </row>
    <row r="59">
      <c r="A59" s="223">
        <v>7.0</v>
      </c>
      <c r="B59" s="241" t="s">
        <v>533</v>
      </c>
      <c r="C59" s="241" t="s">
        <v>208</v>
      </c>
      <c r="D59" s="333">
        <v>4000000.0</v>
      </c>
      <c r="E59" s="215"/>
      <c r="F59" s="215"/>
      <c r="G59" s="215"/>
      <c r="H59" s="215"/>
      <c r="I59" s="215"/>
      <c r="J59" s="215"/>
      <c r="K59" s="215"/>
      <c r="L59" s="215"/>
      <c r="M59" s="215"/>
      <c r="N59" s="215"/>
    </row>
    <row r="60">
      <c r="A60" s="223">
        <v>8.0</v>
      </c>
      <c r="B60" s="227" t="s">
        <v>534</v>
      </c>
      <c r="C60" s="241" t="s">
        <v>208</v>
      </c>
      <c r="D60" s="333">
        <v>4000000.0</v>
      </c>
      <c r="E60" s="215"/>
      <c r="F60" s="215"/>
      <c r="G60" s="215"/>
      <c r="H60" s="215"/>
      <c r="I60" s="215"/>
      <c r="J60" s="215"/>
      <c r="K60" s="215"/>
      <c r="L60" s="215"/>
      <c r="M60" s="215"/>
      <c r="N60" s="215"/>
    </row>
    <row r="61">
      <c r="A61" s="223">
        <v>9.0</v>
      </c>
      <c r="B61" s="241" t="s">
        <v>535</v>
      </c>
      <c r="C61" s="241" t="s">
        <v>208</v>
      </c>
      <c r="D61" s="333">
        <v>3000000.0</v>
      </c>
      <c r="E61" s="215"/>
      <c r="F61" s="215"/>
      <c r="G61" s="215"/>
      <c r="H61" s="215"/>
      <c r="I61" s="215"/>
      <c r="J61" s="215"/>
      <c r="K61" s="215"/>
      <c r="L61" s="215"/>
      <c r="M61" s="215"/>
      <c r="N61" s="215"/>
    </row>
    <row r="62">
      <c r="A62" s="223">
        <v>10.0</v>
      </c>
      <c r="B62" s="241" t="s">
        <v>536</v>
      </c>
      <c r="C62" s="241" t="s">
        <v>208</v>
      </c>
      <c r="D62" s="333">
        <v>3500000.0</v>
      </c>
      <c r="E62" s="215"/>
      <c r="F62" s="215"/>
      <c r="G62" s="215"/>
      <c r="H62" s="215"/>
      <c r="I62" s="215"/>
      <c r="J62" s="215"/>
      <c r="K62" s="215"/>
      <c r="L62" s="215"/>
      <c r="M62" s="215"/>
      <c r="N62" s="215"/>
    </row>
    <row r="63">
      <c r="A63" s="223">
        <v>11.0</v>
      </c>
      <c r="B63" s="241" t="s">
        <v>537</v>
      </c>
      <c r="C63" s="241" t="s">
        <v>208</v>
      </c>
      <c r="D63" s="333">
        <v>4000000.0</v>
      </c>
      <c r="E63" s="215"/>
      <c r="F63" s="215"/>
      <c r="G63" s="215"/>
      <c r="H63" s="215"/>
      <c r="I63" s="215"/>
      <c r="J63" s="215"/>
      <c r="K63" s="215"/>
      <c r="L63" s="215"/>
      <c r="M63" s="215"/>
      <c r="N63" s="215"/>
    </row>
    <row r="64">
      <c r="A64" s="223">
        <v>12.0</v>
      </c>
      <c r="B64" s="241" t="s">
        <v>538</v>
      </c>
      <c r="C64" s="241" t="s">
        <v>208</v>
      </c>
      <c r="D64" s="333">
        <v>4000000.0</v>
      </c>
      <c r="E64" s="215"/>
      <c r="F64" s="215"/>
      <c r="G64" s="215"/>
      <c r="H64" s="215"/>
      <c r="I64" s="215"/>
      <c r="J64" s="215"/>
      <c r="K64" s="215"/>
      <c r="L64" s="215"/>
      <c r="M64" s="215"/>
      <c r="N64" s="215"/>
    </row>
    <row r="65">
      <c r="A65" s="223">
        <v>13.0</v>
      </c>
      <c r="B65" s="241" t="s">
        <v>539</v>
      </c>
      <c r="C65" s="241" t="s">
        <v>208</v>
      </c>
      <c r="D65" s="333">
        <v>4000000.0</v>
      </c>
      <c r="E65" s="215"/>
      <c r="F65" s="215"/>
      <c r="G65" s="215"/>
      <c r="H65" s="215"/>
      <c r="I65" s="215"/>
      <c r="J65" s="215"/>
      <c r="K65" s="215"/>
      <c r="L65" s="215"/>
      <c r="M65" s="215"/>
      <c r="N65" s="215"/>
    </row>
    <row r="66">
      <c r="A66" s="223">
        <v>14.0</v>
      </c>
      <c r="B66" s="241" t="s">
        <v>540</v>
      </c>
      <c r="C66" s="241" t="s">
        <v>208</v>
      </c>
      <c r="D66" s="333">
        <v>4000000.0</v>
      </c>
      <c r="E66" s="215"/>
      <c r="F66" s="215"/>
      <c r="G66" s="215"/>
      <c r="H66" s="215"/>
      <c r="I66" s="215"/>
      <c r="J66" s="215"/>
      <c r="K66" s="215"/>
      <c r="L66" s="215"/>
      <c r="M66" s="215"/>
      <c r="N66" s="215"/>
    </row>
    <row r="67">
      <c r="A67" s="223">
        <v>15.0</v>
      </c>
      <c r="B67" s="241" t="s">
        <v>541</v>
      </c>
      <c r="C67" s="241" t="s">
        <v>542</v>
      </c>
      <c r="D67" s="333">
        <v>8000000.0</v>
      </c>
      <c r="E67" s="215"/>
      <c r="F67" s="215"/>
      <c r="G67" s="215"/>
      <c r="H67" s="215"/>
      <c r="I67" s="215"/>
      <c r="J67" s="215"/>
      <c r="K67" s="215"/>
      <c r="L67" s="215"/>
      <c r="M67" s="215"/>
      <c r="N67" s="215"/>
    </row>
    <row r="68">
      <c r="A68" s="223">
        <v>16.0</v>
      </c>
      <c r="B68" s="241" t="s">
        <v>543</v>
      </c>
      <c r="C68" s="241" t="s">
        <v>208</v>
      </c>
      <c r="D68" s="333">
        <v>4000000.0</v>
      </c>
      <c r="E68" s="215"/>
      <c r="F68" s="215"/>
      <c r="G68" s="215"/>
      <c r="H68" s="215"/>
      <c r="I68" s="215"/>
      <c r="J68" s="215"/>
      <c r="K68" s="215"/>
      <c r="L68" s="215"/>
      <c r="M68" s="215"/>
      <c r="N68" s="215"/>
    </row>
    <row r="69">
      <c r="A69" s="223">
        <v>17.0</v>
      </c>
      <c r="B69" s="241" t="s">
        <v>544</v>
      </c>
      <c r="C69" s="241" t="s">
        <v>208</v>
      </c>
      <c r="D69" s="333">
        <v>3000000.0</v>
      </c>
      <c r="E69" s="215"/>
      <c r="F69" s="215"/>
      <c r="G69" s="215"/>
      <c r="H69" s="215"/>
      <c r="I69" s="215"/>
      <c r="J69" s="215"/>
      <c r="K69" s="215"/>
      <c r="L69" s="215"/>
      <c r="M69" s="215"/>
      <c r="N69" s="215"/>
    </row>
    <row r="70">
      <c r="A70" s="223">
        <v>18.0</v>
      </c>
      <c r="B70" s="241" t="s">
        <v>545</v>
      </c>
      <c r="C70" s="241" t="s">
        <v>208</v>
      </c>
      <c r="D70" s="333">
        <v>4000000.0</v>
      </c>
      <c r="E70" s="215"/>
      <c r="F70" s="215"/>
      <c r="G70" s="215"/>
      <c r="H70" s="215"/>
      <c r="I70" s="215"/>
      <c r="J70" s="215"/>
      <c r="K70" s="215"/>
      <c r="L70" s="215"/>
      <c r="M70" s="215"/>
      <c r="N70" s="215"/>
    </row>
    <row r="71">
      <c r="A71" s="223">
        <v>19.0</v>
      </c>
      <c r="B71" s="241" t="s">
        <v>546</v>
      </c>
      <c r="C71" s="241" t="s">
        <v>208</v>
      </c>
      <c r="D71" s="333">
        <v>4000000.0</v>
      </c>
      <c r="E71" s="215"/>
      <c r="F71" s="215"/>
      <c r="G71" s="215"/>
      <c r="H71" s="215"/>
      <c r="I71" s="215"/>
      <c r="J71" s="215"/>
      <c r="K71" s="215"/>
      <c r="L71" s="215"/>
      <c r="M71" s="215"/>
      <c r="N71" s="215"/>
    </row>
    <row r="72">
      <c r="A72" s="223">
        <v>20.0</v>
      </c>
      <c r="B72" s="227" t="s">
        <v>547</v>
      </c>
      <c r="C72" s="227" t="s">
        <v>548</v>
      </c>
      <c r="D72" s="331">
        <v>200000.0</v>
      </c>
      <c r="E72" s="215"/>
      <c r="F72" s="238" t="s">
        <v>549</v>
      </c>
      <c r="G72" s="215"/>
      <c r="H72" s="215"/>
      <c r="I72" s="215"/>
      <c r="J72" s="215"/>
      <c r="K72" s="215"/>
      <c r="L72" s="215"/>
      <c r="M72" s="215"/>
      <c r="N72" s="215"/>
    </row>
    <row r="73">
      <c r="A73" s="223">
        <v>21.0</v>
      </c>
      <c r="B73" s="227" t="s">
        <v>550</v>
      </c>
      <c r="C73" s="227" t="s">
        <v>83</v>
      </c>
      <c r="D73" s="331">
        <v>1305000.0</v>
      </c>
      <c r="E73" s="215"/>
      <c r="F73" s="215"/>
      <c r="G73" s="215"/>
      <c r="H73" s="215"/>
      <c r="I73" s="215"/>
      <c r="J73" s="215"/>
      <c r="K73" s="215"/>
      <c r="L73" s="215"/>
      <c r="M73" s="215"/>
      <c r="N73" s="215"/>
    </row>
    <row r="74">
      <c r="A74" s="223">
        <v>22.0</v>
      </c>
      <c r="B74" s="227" t="s">
        <v>551</v>
      </c>
      <c r="C74" s="227" t="s">
        <v>552</v>
      </c>
      <c r="D74" s="331">
        <v>1790000.0</v>
      </c>
      <c r="E74" s="215"/>
      <c r="F74" s="215"/>
      <c r="G74" s="215"/>
      <c r="H74" s="215"/>
      <c r="I74" s="215"/>
      <c r="J74" s="215"/>
      <c r="K74" s="215"/>
      <c r="L74" s="215"/>
      <c r="M74" s="215"/>
      <c r="N74" s="215"/>
    </row>
    <row r="75">
      <c r="A75" s="241"/>
      <c r="B75" s="334" t="s">
        <v>553</v>
      </c>
      <c r="C75" s="4"/>
      <c r="D75" s="326">
        <f>SUM(D53:D74)</f>
        <v>107505000</v>
      </c>
      <c r="E75" s="215"/>
      <c r="F75" s="215"/>
      <c r="G75" s="215"/>
      <c r="H75" s="215"/>
      <c r="I75" s="215"/>
      <c r="J75" s="215"/>
      <c r="K75" s="215"/>
      <c r="L75" s="215"/>
      <c r="M75" s="215"/>
      <c r="N75" s="215"/>
    </row>
  </sheetData>
  <mergeCells count="7">
    <mergeCell ref="A1:N1"/>
    <mergeCell ref="A11:B11"/>
    <mergeCell ref="A13:A15"/>
    <mergeCell ref="B13:B15"/>
    <mergeCell ref="C13:D13"/>
    <mergeCell ref="C14:D14"/>
    <mergeCell ref="B75:C7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6.25"/>
    <col customWidth="1" min="3" max="3" width="25.0"/>
  </cols>
  <sheetData>
    <row r="1">
      <c r="A1" s="283" t="s">
        <v>490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5"/>
    </row>
    <row r="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>
      <c r="A4" s="286"/>
      <c r="B4" s="287" t="s">
        <v>491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>
      <c r="A5" s="289">
        <v>0.0</v>
      </c>
      <c r="B5" s="290"/>
      <c r="C5" s="291">
        <v>9.0</v>
      </c>
      <c r="D5" s="291">
        <v>10.0</v>
      </c>
      <c r="E5" s="291">
        <v>11.0</v>
      </c>
      <c r="F5" s="291">
        <v>12.0</v>
      </c>
      <c r="G5" s="291">
        <v>1.0</v>
      </c>
      <c r="H5" s="291">
        <v>2.0</v>
      </c>
      <c r="I5" s="291">
        <v>3.0</v>
      </c>
      <c r="J5" s="291">
        <v>4.0</v>
      </c>
      <c r="K5" s="291">
        <v>5.0</v>
      </c>
      <c r="L5" s="291">
        <v>6.0</v>
      </c>
      <c r="M5" s="291">
        <v>7.0</v>
      </c>
      <c r="N5" s="291">
        <v>8.0</v>
      </c>
    </row>
    <row r="6">
      <c r="A6" s="292" t="s">
        <v>492</v>
      </c>
      <c r="B6" s="293" t="s">
        <v>493</v>
      </c>
      <c r="C6" s="294" t="s">
        <v>494</v>
      </c>
      <c r="D6" s="295" t="s">
        <v>495</v>
      </c>
      <c r="E6" s="294" t="s">
        <v>496</v>
      </c>
      <c r="F6" s="294" t="s">
        <v>497</v>
      </c>
      <c r="G6" s="294" t="s">
        <v>381</v>
      </c>
      <c r="H6" s="294" t="s">
        <v>498</v>
      </c>
      <c r="I6" s="294" t="s">
        <v>499</v>
      </c>
      <c r="J6" s="294" t="s">
        <v>500</v>
      </c>
      <c r="K6" s="294" t="s">
        <v>501</v>
      </c>
      <c r="L6" s="294" t="s">
        <v>502</v>
      </c>
      <c r="M6" s="294" t="s">
        <v>503</v>
      </c>
      <c r="N6" s="294" t="s">
        <v>504</v>
      </c>
    </row>
    <row r="7">
      <c r="A7" s="296">
        <v>1.0</v>
      </c>
      <c r="B7" s="296" t="s">
        <v>505</v>
      </c>
      <c r="C7" s="297">
        <v>6.8E7</v>
      </c>
      <c r="D7" s="297">
        <v>6.8E7</v>
      </c>
      <c r="E7" s="298">
        <v>7.0E7</v>
      </c>
      <c r="F7" s="298">
        <v>7.0E7</v>
      </c>
      <c r="G7" s="297">
        <f t="shared" ref="G7:N7" si="1">G2*G4</f>
        <v>0</v>
      </c>
      <c r="H7" s="297">
        <f t="shared" si="1"/>
        <v>0</v>
      </c>
      <c r="I7" s="297">
        <f t="shared" si="1"/>
        <v>0</v>
      </c>
      <c r="J7" s="297">
        <f t="shared" si="1"/>
        <v>0</v>
      </c>
      <c r="K7" s="297">
        <f t="shared" si="1"/>
        <v>0</v>
      </c>
      <c r="L7" s="297">
        <f t="shared" si="1"/>
        <v>0</v>
      </c>
      <c r="M7" s="297">
        <f t="shared" si="1"/>
        <v>0</v>
      </c>
      <c r="N7" s="297">
        <f t="shared" si="1"/>
        <v>0</v>
      </c>
    </row>
    <row r="8">
      <c r="A8" s="296">
        <v>2.0</v>
      </c>
      <c r="B8" s="241"/>
      <c r="C8" s="297">
        <f t="shared" ref="C8:N8" si="2">C4*C2</f>
        <v>0</v>
      </c>
      <c r="D8" s="297">
        <f t="shared" si="2"/>
        <v>0</v>
      </c>
      <c r="E8" s="297">
        <f t="shared" si="2"/>
        <v>0</v>
      </c>
      <c r="F8" s="297">
        <f t="shared" si="2"/>
        <v>0</v>
      </c>
      <c r="G8" s="297">
        <f t="shared" si="2"/>
        <v>0</v>
      </c>
      <c r="H8" s="297">
        <f t="shared" si="2"/>
        <v>0</v>
      </c>
      <c r="I8" s="297">
        <f t="shared" si="2"/>
        <v>0</v>
      </c>
      <c r="J8" s="297">
        <f t="shared" si="2"/>
        <v>0</v>
      </c>
      <c r="K8" s="297">
        <f t="shared" si="2"/>
        <v>0</v>
      </c>
      <c r="L8" s="297">
        <f t="shared" si="2"/>
        <v>0</v>
      </c>
      <c r="M8" s="297">
        <f t="shared" si="2"/>
        <v>0</v>
      </c>
      <c r="N8" s="297">
        <f t="shared" si="2"/>
        <v>0</v>
      </c>
    </row>
    <row r="9">
      <c r="A9" s="296">
        <v>3.0</v>
      </c>
      <c r="B9" s="241"/>
      <c r="C9" s="297">
        <f t="shared" ref="C9:N9" si="3">C4*C2</f>
        <v>0</v>
      </c>
      <c r="D9" s="297">
        <f t="shared" si="3"/>
        <v>0</v>
      </c>
      <c r="E9" s="297">
        <f t="shared" si="3"/>
        <v>0</v>
      </c>
      <c r="F9" s="297">
        <f t="shared" si="3"/>
        <v>0</v>
      </c>
      <c r="G9" s="297">
        <f t="shared" si="3"/>
        <v>0</v>
      </c>
      <c r="H9" s="297">
        <f t="shared" si="3"/>
        <v>0</v>
      </c>
      <c r="I9" s="297">
        <f t="shared" si="3"/>
        <v>0</v>
      </c>
      <c r="J9" s="297">
        <f t="shared" si="3"/>
        <v>0</v>
      </c>
      <c r="K9" s="297">
        <f t="shared" si="3"/>
        <v>0</v>
      </c>
      <c r="L9" s="297">
        <f t="shared" si="3"/>
        <v>0</v>
      </c>
      <c r="M9" s="297">
        <f t="shared" si="3"/>
        <v>0</v>
      </c>
      <c r="N9" s="297">
        <f t="shared" si="3"/>
        <v>0</v>
      </c>
    </row>
    <row r="10">
      <c r="A10" s="296">
        <v>4.0</v>
      </c>
      <c r="B10" s="241"/>
      <c r="C10" s="297">
        <f t="shared" ref="C10:N10" si="4">C4*C2/2</f>
        <v>0</v>
      </c>
      <c r="D10" s="297">
        <f t="shared" si="4"/>
        <v>0</v>
      </c>
      <c r="E10" s="297">
        <f t="shared" si="4"/>
        <v>0</v>
      </c>
      <c r="F10" s="297">
        <f t="shared" si="4"/>
        <v>0</v>
      </c>
      <c r="G10" s="297">
        <f t="shared" si="4"/>
        <v>0</v>
      </c>
      <c r="H10" s="297">
        <f t="shared" si="4"/>
        <v>0</v>
      </c>
      <c r="I10" s="297">
        <f t="shared" si="4"/>
        <v>0</v>
      </c>
      <c r="J10" s="297">
        <f t="shared" si="4"/>
        <v>0</v>
      </c>
      <c r="K10" s="297">
        <f t="shared" si="4"/>
        <v>0</v>
      </c>
      <c r="L10" s="297">
        <f t="shared" si="4"/>
        <v>0</v>
      </c>
      <c r="M10" s="297">
        <f t="shared" si="4"/>
        <v>0</v>
      </c>
      <c r="N10" s="297">
        <f t="shared" si="4"/>
        <v>0</v>
      </c>
    </row>
    <row r="11">
      <c r="A11" s="299" t="s">
        <v>5</v>
      </c>
      <c r="B11" s="4"/>
      <c r="C11" s="300">
        <f t="shared" ref="C11:N11" si="5">SUM(C7:C10)</f>
        <v>68000000</v>
      </c>
      <c r="D11" s="300">
        <f t="shared" si="5"/>
        <v>68000000</v>
      </c>
      <c r="E11" s="300">
        <f t="shared" si="5"/>
        <v>70000000</v>
      </c>
      <c r="F11" s="300">
        <f t="shared" si="5"/>
        <v>70000000</v>
      </c>
      <c r="G11" s="300">
        <f t="shared" si="5"/>
        <v>0</v>
      </c>
      <c r="H11" s="300">
        <f t="shared" si="5"/>
        <v>0</v>
      </c>
      <c r="I11" s="300">
        <f t="shared" si="5"/>
        <v>0</v>
      </c>
      <c r="J11" s="300">
        <f t="shared" si="5"/>
        <v>0</v>
      </c>
      <c r="K11" s="300">
        <f t="shared" si="5"/>
        <v>0</v>
      </c>
      <c r="L11" s="300">
        <f t="shared" si="5"/>
        <v>0</v>
      </c>
      <c r="M11" s="300">
        <f t="shared" si="5"/>
        <v>0</v>
      </c>
      <c r="N11" s="300">
        <f t="shared" si="5"/>
        <v>0</v>
      </c>
    </row>
    <row r="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</row>
    <row r="13">
      <c r="A13" s="301" t="s">
        <v>384</v>
      </c>
      <c r="B13" s="302">
        <v>45962.0</v>
      </c>
      <c r="C13" s="303" t="s">
        <v>505</v>
      </c>
      <c r="D13" s="4"/>
      <c r="E13" s="215"/>
      <c r="F13" s="215"/>
      <c r="G13" s="215"/>
      <c r="H13" s="215"/>
      <c r="I13" s="215"/>
      <c r="J13" s="215"/>
      <c r="K13" s="215"/>
      <c r="L13" s="215"/>
      <c r="M13" s="215"/>
      <c r="N13" s="215"/>
    </row>
    <row r="14">
      <c r="A14" s="112"/>
      <c r="B14" s="112"/>
      <c r="C14" s="304" t="s">
        <v>506</v>
      </c>
      <c r="D14" s="4"/>
      <c r="E14" s="215"/>
      <c r="F14" s="215"/>
      <c r="G14" s="215"/>
      <c r="H14" s="215"/>
      <c r="I14" s="215"/>
      <c r="J14" s="215"/>
      <c r="K14" s="215"/>
      <c r="L14" s="215"/>
      <c r="M14" s="215"/>
      <c r="N14" s="215"/>
    </row>
    <row r="15">
      <c r="A15" s="7"/>
      <c r="B15" s="7"/>
      <c r="C15" s="305" t="s">
        <v>507</v>
      </c>
      <c r="D15" s="303" t="s">
        <v>390</v>
      </c>
      <c r="E15" s="215"/>
      <c r="F15" s="215"/>
      <c r="G15" s="215"/>
      <c r="H15" s="215"/>
      <c r="I15" s="215"/>
      <c r="J15" s="215"/>
      <c r="K15" s="215"/>
      <c r="L15" s="215"/>
      <c r="M15" s="215"/>
      <c r="N15" s="215"/>
    </row>
    <row r="16">
      <c r="A16" s="306">
        <v>1.0</v>
      </c>
      <c r="B16" s="314" t="s">
        <v>510</v>
      </c>
      <c r="C16" s="308">
        <v>4000000.0</v>
      </c>
      <c r="D16" s="335">
        <v>4560000.0</v>
      </c>
      <c r="E16" s="272" t="s">
        <v>554</v>
      </c>
      <c r="F16" s="215"/>
      <c r="G16" s="215"/>
      <c r="H16" s="215"/>
      <c r="I16" s="215"/>
      <c r="J16" s="215"/>
      <c r="K16" s="215"/>
      <c r="L16" s="215"/>
      <c r="M16" s="215"/>
      <c r="N16" s="215"/>
    </row>
    <row r="17">
      <c r="A17" s="306">
        <v>2.0</v>
      </c>
      <c r="B17" s="314" t="s">
        <v>511</v>
      </c>
      <c r="C17" s="308">
        <v>4000000.0</v>
      </c>
      <c r="D17" s="335">
        <v>4760000.0</v>
      </c>
      <c r="E17" s="238" t="s">
        <v>555</v>
      </c>
      <c r="F17" s="215"/>
      <c r="G17" s="215"/>
      <c r="H17" s="215"/>
      <c r="I17" s="215"/>
      <c r="J17" s="215"/>
      <c r="K17" s="215"/>
      <c r="L17" s="215"/>
      <c r="M17" s="215"/>
      <c r="N17" s="215"/>
    </row>
    <row r="18">
      <c r="A18" s="306">
        <v>3.0</v>
      </c>
      <c r="B18" s="314" t="s">
        <v>512</v>
      </c>
      <c r="C18" s="308">
        <v>4000000.0</v>
      </c>
      <c r="D18" s="335">
        <v>1800000.0</v>
      </c>
      <c r="E18" s="238" t="s">
        <v>221</v>
      </c>
      <c r="F18" s="215"/>
      <c r="G18" s="215"/>
      <c r="H18" s="215"/>
      <c r="I18" s="215"/>
      <c r="J18" s="215"/>
      <c r="K18" s="215"/>
      <c r="L18" s="215"/>
      <c r="M18" s="215"/>
      <c r="N18" s="215"/>
    </row>
    <row r="19">
      <c r="A19" s="306">
        <v>4.0</v>
      </c>
      <c r="B19" s="314" t="s">
        <v>513</v>
      </c>
      <c r="C19" s="308">
        <v>4000000.0</v>
      </c>
      <c r="D19" s="316">
        <v>675000.0</v>
      </c>
      <c r="E19" s="238" t="s">
        <v>272</v>
      </c>
      <c r="F19" s="215"/>
      <c r="G19" s="215"/>
      <c r="H19" s="215"/>
      <c r="I19" s="215"/>
      <c r="J19" s="215"/>
      <c r="K19" s="215"/>
      <c r="L19" s="215"/>
      <c r="M19" s="215"/>
      <c r="N19" s="215"/>
    </row>
    <row r="20">
      <c r="A20" s="306">
        <v>5.0</v>
      </c>
      <c r="B20" s="314" t="s">
        <v>514</v>
      </c>
      <c r="C20" s="308">
        <v>4000000.0</v>
      </c>
      <c r="D20" s="320">
        <v>205000.0</v>
      </c>
      <c r="E20" s="238" t="s">
        <v>182</v>
      </c>
      <c r="F20" s="215"/>
      <c r="G20" s="215"/>
      <c r="H20" s="215"/>
      <c r="I20" s="215"/>
      <c r="J20" s="215"/>
      <c r="K20" s="215"/>
      <c r="L20" s="215"/>
      <c r="M20" s="215"/>
      <c r="N20" s="215"/>
    </row>
    <row r="21">
      <c r="A21" s="306">
        <v>6.0</v>
      </c>
      <c r="B21" s="314" t="s">
        <v>508</v>
      </c>
      <c r="C21" s="308">
        <v>4000000.0</v>
      </c>
      <c r="D21" s="315"/>
      <c r="E21" s="234"/>
      <c r="F21" s="234"/>
      <c r="G21" s="234"/>
      <c r="H21" s="234"/>
      <c r="I21" s="234"/>
      <c r="J21" s="234"/>
      <c r="K21" s="234"/>
      <c r="L21" s="234"/>
      <c r="M21" s="234"/>
      <c r="N21" s="234"/>
    </row>
    <row r="22">
      <c r="A22" s="310">
        <v>7.0</v>
      </c>
      <c r="B22" s="311" t="s">
        <v>509</v>
      </c>
      <c r="C22" s="312"/>
      <c r="D22" s="319"/>
      <c r="E22" s="234"/>
      <c r="F22" s="234"/>
      <c r="G22" s="234"/>
      <c r="H22" s="234"/>
      <c r="I22" s="234"/>
      <c r="J22" s="234"/>
      <c r="K22" s="234"/>
      <c r="L22" s="234"/>
      <c r="M22" s="234"/>
      <c r="N22" s="234"/>
    </row>
    <row r="23">
      <c r="A23" s="306">
        <v>8.0</v>
      </c>
      <c r="B23" s="314" t="s">
        <v>510</v>
      </c>
      <c r="C23" s="308">
        <v>4000000.0</v>
      </c>
      <c r="D23" s="315"/>
      <c r="E23" s="234"/>
      <c r="F23" s="234"/>
      <c r="G23" s="234"/>
      <c r="H23" s="234"/>
      <c r="I23" s="234"/>
      <c r="J23" s="234"/>
      <c r="K23" s="234"/>
      <c r="L23" s="234"/>
      <c r="M23" s="234"/>
      <c r="N23" s="234"/>
    </row>
    <row r="24">
      <c r="A24" s="306">
        <v>9.0</v>
      </c>
      <c r="B24" s="314" t="s">
        <v>511</v>
      </c>
      <c r="C24" s="308">
        <v>4000000.0</v>
      </c>
      <c r="D24" s="316"/>
      <c r="E24" s="234"/>
      <c r="F24" s="234"/>
      <c r="G24" s="234"/>
      <c r="H24" s="234"/>
      <c r="I24" s="234"/>
      <c r="J24" s="234"/>
      <c r="K24" s="234"/>
      <c r="L24" s="234"/>
      <c r="M24" s="234"/>
      <c r="N24" s="234"/>
    </row>
    <row r="25">
      <c r="A25" s="306">
        <v>10.0</v>
      </c>
      <c r="B25" s="314" t="s">
        <v>512</v>
      </c>
      <c r="C25" s="308">
        <v>4000000.0</v>
      </c>
      <c r="D25" s="317"/>
      <c r="E25" s="234"/>
      <c r="F25" s="234"/>
      <c r="G25" s="234"/>
      <c r="H25" s="234"/>
      <c r="I25" s="234"/>
      <c r="J25" s="234"/>
      <c r="K25" s="234"/>
      <c r="L25" s="234"/>
      <c r="M25" s="234"/>
      <c r="N25" s="234"/>
    </row>
    <row r="26">
      <c r="A26" s="306">
        <v>11.0</v>
      </c>
      <c r="B26" s="314" t="s">
        <v>513</v>
      </c>
      <c r="C26" s="308">
        <v>4000000.0</v>
      </c>
      <c r="D26" s="315"/>
      <c r="E26" s="256"/>
      <c r="F26" s="234"/>
      <c r="G26" s="234"/>
      <c r="H26" s="234"/>
      <c r="I26" s="234"/>
      <c r="J26" s="234"/>
      <c r="K26" s="234"/>
      <c r="L26" s="234"/>
      <c r="M26" s="234"/>
      <c r="N26" s="234"/>
    </row>
    <row r="27">
      <c r="A27" s="306">
        <v>12.0</v>
      </c>
      <c r="B27" s="314" t="s">
        <v>514</v>
      </c>
      <c r="C27" s="308">
        <v>4000000.0</v>
      </c>
      <c r="D27" s="318"/>
      <c r="E27" s="256"/>
      <c r="F27" s="234"/>
      <c r="G27" s="234"/>
      <c r="H27" s="234"/>
      <c r="I27" s="234"/>
      <c r="J27" s="234"/>
      <c r="K27" s="234"/>
      <c r="L27" s="234"/>
      <c r="M27" s="234"/>
      <c r="N27" s="234"/>
    </row>
    <row r="28">
      <c r="A28" s="306">
        <v>13.0</v>
      </c>
      <c r="B28" s="314" t="s">
        <v>508</v>
      </c>
      <c r="C28" s="308">
        <v>4000000.0</v>
      </c>
      <c r="D28" s="316">
        <v>170000.0</v>
      </c>
      <c r="E28" s="256" t="s">
        <v>556</v>
      </c>
      <c r="F28" s="234"/>
      <c r="G28" s="234"/>
      <c r="H28" s="234"/>
      <c r="I28" s="256"/>
      <c r="J28" s="234"/>
      <c r="K28" s="234"/>
      <c r="L28" s="234"/>
      <c r="M28" s="234"/>
      <c r="N28" s="234"/>
    </row>
    <row r="29">
      <c r="A29" s="310">
        <v>14.0</v>
      </c>
      <c r="B29" s="311" t="s">
        <v>509</v>
      </c>
      <c r="C29" s="312"/>
      <c r="D29" s="319"/>
      <c r="E29" s="234"/>
      <c r="F29" s="234"/>
      <c r="G29" s="234"/>
      <c r="H29" s="234"/>
      <c r="I29" s="256"/>
      <c r="J29" s="234"/>
      <c r="K29" s="234"/>
      <c r="L29" s="234"/>
      <c r="M29" s="234"/>
      <c r="N29" s="234"/>
    </row>
    <row r="30">
      <c r="A30" s="306">
        <v>15.0</v>
      </c>
      <c r="B30" s="314" t="s">
        <v>510</v>
      </c>
      <c r="C30" s="308">
        <v>4000000.0</v>
      </c>
      <c r="D30" s="315"/>
      <c r="E30" s="234"/>
      <c r="F30" s="234"/>
      <c r="G30" s="234"/>
      <c r="H30" s="234"/>
      <c r="I30" s="234"/>
      <c r="J30" s="234"/>
      <c r="K30" s="234"/>
      <c r="L30" s="234"/>
      <c r="M30" s="234"/>
      <c r="N30" s="234"/>
    </row>
    <row r="31">
      <c r="A31" s="306">
        <v>16.0</v>
      </c>
      <c r="B31" s="314" t="s">
        <v>511</v>
      </c>
      <c r="C31" s="308">
        <v>4000000.0</v>
      </c>
      <c r="D31" s="316"/>
      <c r="E31" s="234"/>
      <c r="F31" s="234"/>
      <c r="G31" s="234"/>
      <c r="H31" s="234"/>
      <c r="I31" s="234"/>
      <c r="J31" s="234"/>
      <c r="K31" s="234"/>
      <c r="L31" s="234"/>
      <c r="M31" s="234"/>
      <c r="N31" s="234"/>
    </row>
    <row r="32">
      <c r="A32" s="306">
        <v>17.0</v>
      </c>
      <c r="B32" s="314" t="s">
        <v>512</v>
      </c>
      <c r="C32" s="308">
        <v>4000000.0</v>
      </c>
      <c r="D32" s="317"/>
      <c r="E32" s="234"/>
      <c r="F32" s="234"/>
      <c r="G32" s="234"/>
      <c r="H32" s="234"/>
      <c r="I32" s="234"/>
      <c r="J32" s="234"/>
      <c r="K32" s="234"/>
      <c r="L32" s="234"/>
      <c r="M32" s="234"/>
      <c r="N32" s="234"/>
    </row>
    <row r="33">
      <c r="A33" s="306">
        <v>18.0</v>
      </c>
      <c r="B33" s="314" t="s">
        <v>513</v>
      </c>
      <c r="C33" s="308">
        <v>4000000.0</v>
      </c>
      <c r="D33" s="316">
        <v>1200000.0</v>
      </c>
      <c r="E33" s="256" t="s">
        <v>278</v>
      </c>
      <c r="F33" s="234"/>
      <c r="G33" s="234"/>
      <c r="H33" s="234"/>
      <c r="I33" s="234"/>
      <c r="J33" s="234"/>
      <c r="K33" s="234"/>
      <c r="L33" s="234"/>
      <c r="M33" s="234"/>
      <c r="N33" s="234"/>
    </row>
    <row r="34">
      <c r="A34" s="306">
        <v>19.0</v>
      </c>
      <c r="B34" s="314" t="s">
        <v>514</v>
      </c>
      <c r="C34" s="308">
        <v>4000000.0</v>
      </c>
      <c r="D34" s="318"/>
      <c r="E34" s="234"/>
      <c r="F34" s="234"/>
      <c r="G34" s="234"/>
      <c r="H34" s="234"/>
      <c r="I34" s="234"/>
      <c r="J34" s="234"/>
      <c r="K34" s="234"/>
      <c r="L34" s="234"/>
      <c r="M34" s="234"/>
      <c r="N34" s="234"/>
    </row>
    <row r="35">
      <c r="A35" s="306">
        <v>20.0</v>
      </c>
      <c r="B35" s="314" t="s">
        <v>508</v>
      </c>
      <c r="C35" s="308">
        <v>4000000.0</v>
      </c>
      <c r="D35" s="315"/>
      <c r="E35" s="256"/>
      <c r="F35" s="234"/>
      <c r="G35" s="234"/>
      <c r="H35" s="234"/>
      <c r="I35" s="234"/>
      <c r="J35" s="234"/>
      <c r="K35" s="234"/>
      <c r="L35" s="234"/>
      <c r="M35" s="234"/>
      <c r="N35" s="234"/>
    </row>
    <row r="36">
      <c r="A36" s="310">
        <v>21.0</v>
      </c>
      <c r="B36" s="311" t="s">
        <v>509</v>
      </c>
      <c r="C36" s="312"/>
      <c r="D36" s="319"/>
      <c r="E36" s="234"/>
      <c r="F36" s="234"/>
      <c r="G36" s="234"/>
      <c r="H36" s="234"/>
      <c r="I36" s="234"/>
      <c r="J36" s="234"/>
      <c r="K36" s="234"/>
      <c r="L36" s="234"/>
      <c r="M36" s="234"/>
      <c r="N36" s="234"/>
    </row>
    <row r="37">
      <c r="A37" s="306">
        <v>22.0</v>
      </c>
      <c r="B37" s="314" t="s">
        <v>510</v>
      </c>
      <c r="C37" s="308">
        <v>4000000.0</v>
      </c>
      <c r="D37" s="315"/>
      <c r="E37" s="256"/>
      <c r="F37" s="234"/>
      <c r="G37" s="234"/>
      <c r="H37" s="234"/>
      <c r="I37" s="234"/>
      <c r="J37" s="234"/>
      <c r="K37" s="234"/>
      <c r="L37" s="234"/>
      <c r="M37" s="234"/>
      <c r="N37" s="234"/>
    </row>
    <row r="38">
      <c r="A38" s="306">
        <v>23.0</v>
      </c>
      <c r="B38" s="314" t="s">
        <v>511</v>
      </c>
      <c r="C38" s="308">
        <v>4000000.0</v>
      </c>
      <c r="D38" s="316"/>
      <c r="E38" s="234"/>
      <c r="F38" s="234"/>
      <c r="G38" s="234"/>
      <c r="H38" s="234"/>
      <c r="I38" s="234"/>
      <c r="J38" s="234"/>
      <c r="K38" s="234"/>
      <c r="L38" s="234"/>
      <c r="M38" s="234"/>
      <c r="N38" s="234"/>
    </row>
    <row r="39">
      <c r="A39" s="306">
        <v>24.0</v>
      </c>
      <c r="B39" s="314" t="s">
        <v>512</v>
      </c>
      <c r="C39" s="308">
        <v>4000000.0</v>
      </c>
      <c r="D39" s="317"/>
      <c r="E39" s="234"/>
      <c r="F39" s="234"/>
      <c r="G39" s="234"/>
      <c r="H39" s="234"/>
      <c r="I39" s="234"/>
      <c r="J39" s="234"/>
      <c r="K39" s="234"/>
      <c r="L39" s="234"/>
      <c r="M39" s="234"/>
      <c r="N39" s="234"/>
    </row>
    <row r="40">
      <c r="A40" s="306">
        <v>25.0</v>
      </c>
      <c r="B40" s="314" t="s">
        <v>513</v>
      </c>
      <c r="C40" s="308">
        <v>4000000.0</v>
      </c>
      <c r="D40" s="315"/>
      <c r="E40" s="234"/>
      <c r="F40" s="234"/>
      <c r="G40" s="234"/>
      <c r="H40" s="234"/>
      <c r="I40" s="234"/>
      <c r="J40" s="234"/>
      <c r="K40" s="234"/>
      <c r="L40" s="234"/>
      <c r="M40" s="234"/>
      <c r="N40" s="234"/>
    </row>
    <row r="41">
      <c r="A41" s="306">
        <v>26.0</v>
      </c>
      <c r="B41" s="314" t="s">
        <v>514</v>
      </c>
      <c r="C41" s="308">
        <v>4000000.0</v>
      </c>
      <c r="D41" s="320">
        <v>1595000.0</v>
      </c>
      <c r="E41" s="256" t="s">
        <v>301</v>
      </c>
      <c r="F41" s="234"/>
      <c r="G41" s="234"/>
      <c r="H41" s="234"/>
      <c r="I41" s="234"/>
      <c r="J41" s="234"/>
      <c r="K41" s="234"/>
      <c r="L41" s="234"/>
      <c r="M41" s="234"/>
      <c r="N41" s="234"/>
    </row>
    <row r="42">
      <c r="A42" s="306">
        <v>27.0</v>
      </c>
      <c r="B42" s="314" t="s">
        <v>508</v>
      </c>
      <c r="C42" s="308">
        <v>4000000.0</v>
      </c>
      <c r="D42" s="336"/>
      <c r="E42" s="234"/>
      <c r="F42" s="234"/>
      <c r="G42" s="234"/>
      <c r="H42" s="234"/>
      <c r="I42" s="234"/>
      <c r="J42" s="234"/>
      <c r="K42" s="234"/>
      <c r="L42" s="234"/>
      <c r="M42" s="234"/>
      <c r="N42" s="234"/>
    </row>
    <row r="43">
      <c r="A43" s="310">
        <v>28.0</v>
      </c>
      <c r="B43" s="311" t="s">
        <v>509</v>
      </c>
      <c r="C43" s="312"/>
      <c r="D43" s="319"/>
      <c r="E43" s="234"/>
      <c r="F43" s="234"/>
      <c r="G43" s="234"/>
      <c r="H43" s="234"/>
      <c r="I43" s="234"/>
      <c r="J43" s="234"/>
      <c r="K43" s="234"/>
      <c r="L43" s="234"/>
      <c r="M43" s="234"/>
      <c r="N43" s="234"/>
    </row>
    <row r="44">
      <c r="A44" s="306">
        <v>29.0</v>
      </c>
      <c r="B44" s="314" t="s">
        <v>510</v>
      </c>
      <c r="C44" s="308">
        <v>4000000.0</v>
      </c>
      <c r="D44" s="316">
        <v>2.472E7</v>
      </c>
      <c r="E44" s="256" t="s">
        <v>288</v>
      </c>
      <c r="F44" s="234"/>
      <c r="G44" s="234"/>
      <c r="H44" s="234"/>
      <c r="I44" s="234"/>
      <c r="J44" s="234"/>
      <c r="K44" s="234"/>
      <c r="L44" s="234"/>
      <c r="M44" s="234"/>
      <c r="N44" s="234"/>
    </row>
    <row r="45">
      <c r="A45" s="306">
        <v>30.0</v>
      </c>
      <c r="B45" s="314" t="s">
        <v>511</v>
      </c>
      <c r="C45" s="308">
        <v>4000000.0</v>
      </c>
      <c r="D45" s="316"/>
      <c r="E45" s="234"/>
      <c r="F45" s="234"/>
      <c r="G45" s="234"/>
      <c r="H45" s="234"/>
      <c r="I45" s="234"/>
      <c r="J45" s="234"/>
      <c r="K45" s="234"/>
      <c r="L45" s="234"/>
      <c r="M45" s="234"/>
      <c r="N45" s="234"/>
    </row>
    <row r="46">
      <c r="A46" s="306">
        <v>31.0</v>
      </c>
      <c r="B46" s="314" t="s">
        <v>512</v>
      </c>
      <c r="C46" s="308">
        <v>4000000.0</v>
      </c>
      <c r="D46" s="317"/>
      <c r="E46" s="215"/>
      <c r="F46" s="215"/>
      <c r="G46" s="215"/>
      <c r="H46" s="215"/>
      <c r="I46" s="215"/>
      <c r="J46" s="215"/>
      <c r="K46" s="215"/>
      <c r="L46" s="215"/>
      <c r="M46" s="215"/>
      <c r="N46" s="215"/>
    </row>
    <row r="47">
      <c r="A47" s="318"/>
      <c r="B47" s="314"/>
      <c r="C47" s="308"/>
      <c r="D47" s="3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</row>
    <row r="48">
      <c r="A48" s="318"/>
      <c r="B48" s="323"/>
      <c r="C48" s="324"/>
      <c r="D48" s="324"/>
      <c r="E48" s="215"/>
      <c r="F48" s="215"/>
      <c r="G48" s="215"/>
      <c r="H48" s="215"/>
      <c r="I48" s="215"/>
      <c r="J48" s="215"/>
      <c r="K48" s="215"/>
      <c r="L48" s="215"/>
      <c r="M48" s="215"/>
      <c r="N48" s="215"/>
    </row>
    <row r="49">
      <c r="A49" s="318"/>
      <c r="B49" s="325" t="s">
        <v>5</v>
      </c>
      <c r="C49" s="326">
        <f>SUM(C16:C46)</f>
        <v>108000000</v>
      </c>
      <c r="D49" s="327">
        <f>SUM(D16:D48)</f>
        <v>39685000</v>
      </c>
      <c r="E49" s="215"/>
      <c r="F49" s="215"/>
      <c r="G49" s="215"/>
      <c r="H49" s="215"/>
      <c r="I49" s="215"/>
      <c r="J49" s="215"/>
      <c r="K49" s="215"/>
      <c r="L49" s="215"/>
      <c r="M49" s="215"/>
      <c r="N49" s="215"/>
    </row>
    <row r="50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</row>
    <row r="51">
      <c r="A51" s="328"/>
      <c r="B51" s="329" t="s">
        <v>517</v>
      </c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</row>
    <row r="52">
      <c r="A52" s="291" t="s">
        <v>492</v>
      </c>
      <c r="B52" s="291" t="s">
        <v>518</v>
      </c>
      <c r="C52" s="291" t="s">
        <v>519</v>
      </c>
      <c r="D52" s="291" t="s">
        <v>520</v>
      </c>
      <c r="E52" s="215"/>
      <c r="F52" s="215"/>
      <c r="G52" s="215"/>
      <c r="H52" s="215"/>
      <c r="I52" s="215"/>
      <c r="J52" s="215"/>
      <c r="K52" s="215"/>
      <c r="L52" s="215"/>
      <c r="M52" s="215"/>
      <c r="N52" s="215"/>
    </row>
    <row r="53">
      <c r="A53" s="223">
        <v>1.0</v>
      </c>
      <c r="B53" s="337" t="s">
        <v>554</v>
      </c>
      <c r="C53" s="338" t="s">
        <v>199</v>
      </c>
      <c r="D53" s="331">
        <v>4560000.0</v>
      </c>
      <c r="E53" s="215"/>
      <c r="F53" s="215"/>
      <c r="G53" s="215"/>
      <c r="H53" s="215"/>
      <c r="I53" s="215"/>
      <c r="J53" s="215"/>
      <c r="K53" s="215"/>
      <c r="L53" s="215"/>
      <c r="M53" s="215"/>
      <c r="N53" s="215"/>
    </row>
    <row r="54">
      <c r="A54" s="223">
        <v>2.0</v>
      </c>
      <c r="B54" s="337" t="s">
        <v>247</v>
      </c>
      <c r="C54" s="338" t="s">
        <v>557</v>
      </c>
      <c r="D54" s="308">
        <v>2.0E7</v>
      </c>
      <c r="E54" s="215"/>
      <c r="F54" s="215"/>
      <c r="G54" s="215"/>
      <c r="H54" s="215"/>
      <c r="I54" s="215"/>
      <c r="J54" s="215"/>
      <c r="K54" s="215"/>
      <c r="L54" s="215"/>
      <c r="M54" s="215"/>
      <c r="N54" s="215"/>
    </row>
    <row r="55">
      <c r="A55" s="223">
        <v>3.0</v>
      </c>
      <c r="B55" s="337" t="s">
        <v>558</v>
      </c>
      <c r="C55" s="338" t="s">
        <v>559</v>
      </c>
      <c r="D55" s="308">
        <v>2000000.0</v>
      </c>
      <c r="E55" s="215"/>
      <c r="F55" s="238"/>
      <c r="G55" s="215"/>
      <c r="H55" s="215"/>
      <c r="I55" s="215"/>
      <c r="J55" s="215"/>
      <c r="K55" s="215"/>
      <c r="L55" s="215"/>
      <c r="M55" s="215"/>
      <c r="N55" s="215"/>
    </row>
    <row r="56">
      <c r="A56" s="223">
        <v>4.0</v>
      </c>
      <c r="B56" s="338" t="s">
        <v>560</v>
      </c>
      <c r="C56" s="241" t="s">
        <v>559</v>
      </c>
      <c r="D56" s="308">
        <v>3000000.0</v>
      </c>
      <c r="E56" s="215"/>
      <c r="F56" s="238"/>
      <c r="G56" s="215"/>
      <c r="H56" s="215"/>
      <c r="I56" s="215"/>
      <c r="J56" s="215"/>
      <c r="K56" s="215"/>
      <c r="L56" s="215"/>
      <c r="M56" s="215"/>
      <c r="N56" s="215"/>
    </row>
    <row r="57">
      <c r="A57" s="223">
        <v>5.0</v>
      </c>
      <c r="B57" s="337" t="s">
        <v>194</v>
      </c>
      <c r="C57" s="338" t="s">
        <v>199</v>
      </c>
      <c r="D57" s="308">
        <v>2000000.0</v>
      </c>
      <c r="E57" s="215"/>
      <c r="F57" s="238"/>
      <c r="G57" s="215"/>
      <c r="H57" s="215"/>
      <c r="I57" s="215"/>
      <c r="J57" s="215"/>
      <c r="K57" s="215"/>
      <c r="L57" s="215"/>
      <c r="M57" s="215"/>
      <c r="N57" s="215"/>
    </row>
    <row r="58">
      <c r="A58" s="223">
        <v>6.0</v>
      </c>
      <c r="B58" s="338" t="s">
        <v>561</v>
      </c>
      <c r="C58" s="338" t="s">
        <v>559</v>
      </c>
      <c r="D58" s="308">
        <v>3000000.0</v>
      </c>
      <c r="E58" s="215"/>
      <c r="F58" s="215"/>
      <c r="G58" s="215"/>
      <c r="H58" s="215"/>
      <c r="I58" s="215"/>
      <c r="J58" s="215"/>
      <c r="K58" s="215"/>
      <c r="L58" s="215"/>
      <c r="M58" s="215"/>
      <c r="N58" s="215"/>
    </row>
    <row r="59">
      <c r="A59" s="223">
        <v>7.0</v>
      </c>
      <c r="B59" s="241" t="s">
        <v>562</v>
      </c>
      <c r="C59" s="241" t="s">
        <v>199</v>
      </c>
      <c r="D59" s="308">
        <v>4000000.0</v>
      </c>
      <c r="E59" s="215"/>
      <c r="F59" s="215"/>
      <c r="G59" s="215"/>
      <c r="H59" s="215"/>
      <c r="I59" s="215"/>
      <c r="J59" s="215"/>
      <c r="K59" s="215"/>
      <c r="L59" s="215"/>
      <c r="M59" s="215"/>
      <c r="N59" s="215"/>
    </row>
    <row r="60">
      <c r="A60" s="223">
        <v>8.0</v>
      </c>
      <c r="B60" s="241" t="s">
        <v>563</v>
      </c>
      <c r="C60" s="241" t="s">
        <v>564</v>
      </c>
      <c r="D60" s="308">
        <v>3000000.0</v>
      </c>
      <c r="E60" s="215"/>
      <c r="F60" s="215"/>
      <c r="G60" s="215"/>
      <c r="H60" s="215"/>
      <c r="I60" s="215"/>
      <c r="J60" s="215"/>
      <c r="K60" s="215"/>
      <c r="L60" s="215"/>
      <c r="M60" s="215"/>
      <c r="N60" s="215"/>
    </row>
    <row r="61">
      <c r="A61" s="223">
        <v>9.0</v>
      </c>
      <c r="B61" s="241" t="s">
        <v>565</v>
      </c>
      <c r="C61" s="241" t="s">
        <v>100</v>
      </c>
      <c r="D61" s="331">
        <v>1800000.0</v>
      </c>
      <c r="E61" s="215"/>
      <c r="F61" s="215"/>
      <c r="G61" s="215"/>
      <c r="H61" s="215"/>
      <c r="I61" s="215"/>
      <c r="J61" s="215"/>
      <c r="K61" s="215"/>
      <c r="L61" s="215"/>
      <c r="M61" s="215"/>
      <c r="N61" s="215"/>
    </row>
    <row r="62">
      <c r="A62" s="223">
        <v>10.0</v>
      </c>
      <c r="B62" s="241" t="s">
        <v>566</v>
      </c>
      <c r="C62" s="241" t="s">
        <v>559</v>
      </c>
      <c r="D62" s="308">
        <v>3000000.0</v>
      </c>
      <c r="E62" s="215"/>
      <c r="F62" s="215"/>
      <c r="G62" s="215"/>
      <c r="H62" s="215"/>
      <c r="I62" s="215"/>
      <c r="J62" s="215"/>
      <c r="K62" s="215"/>
      <c r="L62" s="215"/>
      <c r="M62" s="215"/>
      <c r="N62" s="215"/>
    </row>
    <row r="63">
      <c r="A63" s="223">
        <v>11.0</v>
      </c>
      <c r="B63" s="241" t="s">
        <v>567</v>
      </c>
      <c r="C63" s="241" t="s">
        <v>208</v>
      </c>
      <c r="D63" s="308">
        <v>3000000.0</v>
      </c>
      <c r="E63" s="215"/>
      <c r="F63" s="215"/>
      <c r="G63" s="215"/>
      <c r="H63" s="215"/>
      <c r="I63" s="215"/>
      <c r="J63" s="215"/>
      <c r="K63" s="215"/>
      <c r="L63" s="215"/>
      <c r="M63" s="215"/>
      <c r="N63" s="215"/>
    </row>
    <row r="64">
      <c r="A64" s="223">
        <v>12.0</v>
      </c>
      <c r="B64" s="227" t="s">
        <v>568</v>
      </c>
      <c r="C64" s="227" t="s">
        <v>265</v>
      </c>
      <c r="D64" s="331">
        <v>3780000.0</v>
      </c>
      <c r="E64" s="215"/>
      <c r="F64" s="215"/>
      <c r="G64" s="215"/>
      <c r="H64" s="215"/>
      <c r="I64" s="215"/>
      <c r="J64" s="215"/>
      <c r="K64" s="215"/>
      <c r="L64" s="215"/>
      <c r="M64" s="215"/>
      <c r="N64" s="215"/>
    </row>
    <row r="65">
      <c r="A65" s="223">
        <v>13.0</v>
      </c>
      <c r="B65" s="227" t="s">
        <v>569</v>
      </c>
      <c r="C65" s="227" t="s">
        <v>199</v>
      </c>
      <c r="D65" s="331">
        <v>980000.0</v>
      </c>
      <c r="E65" s="215"/>
      <c r="F65" s="215"/>
      <c r="G65" s="215"/>
      <c r="H65" s="215"/>
      <c r="I65" s="215"/>
      <c r="J65" s="215"/>
      <c r="K65" s="215"/>
      <c r="L65" s="215"/>
      <c r="M65" s="215"/>
      <c r="N65" s="215"/>
    </row>
    <row r="66">
      <c r="A66" s="223">
        <v>14.0</v>
      </c>
      <c r="B66" s="227" t="s">
        <v>272</v>
      </c>
      <c r="C66" s="241" t="s">
        <v>208</v>
      </c>
      <c r="D66" s="331">
        <v>675000.0</v>
      </c>
      <c r="E66" s="215"/>
      <c r="F66" s="215"/>
      <c r="G66" s="215"/>
      <c r="H66" s="215"/>
      <c r="I66" s="215"/>
      <c r="J66" s="215"/>
      <c r="K66" s="215"/>
      <c r="L66" s="215"/>
      <c r="M66" s="215"/>
      <c r="N66" s="215"/>
    </row>
    <row r="67">
      <c r="A67" s="223">
        <v>15.0</v>
      </c>
      <c r="B67" s="227" t="s">
        <v>570</v>
      </c>
      <c r="C67" s="227" t="s">
        <v>571</v>
      </c>
      <c r="D67" s="309">
        <v>2000000.0</v>
      </c>
      <c r="E67" s="215"/>
      <c r="F67" s="215"/>
      <c r="G67" s="215"/>
      <c r="H67" s="215"/>
      <c r="I67" s="215"/>
      <c r="J67" s="215"/>
      <c r="K67" s="215"/>
      <c r="L67" s="215"/>
      <c r="M67" s="215"/>
      <c r="N67" s="215"/>
    </row>
    <row r="68">
      <c r="A68" s="223">
        <v>16.0</v>
      </c>
      <c r="B68" s="227" t="s">
        <v>572</v>
      </c>
      <c r="C68" s="241" t="s">
        <v>208</v>
      </c>
      <c r="D68" s="339">
        <v>205000.0</v>
      </c>
      <c r="E68" s="215"/>
      <c r="F68" s="215"/>
      <c r="G68" s="215"/>
      <c r="H68" s="215"/>
      <c r="I68" s="215"/>
      <c r="J68" s="215"/>
      <c r="K68" s="215"/>
      <c r="L68" s="215"/>
      <c r="M68" s="215"/>
      <c r="N68" s="215"/>
    </row>
    <row r="69">
      <c r="A69" s="223">
        <v>17.0</v>
      </c>
      <c r="B69" s="227" t="s">
        <v>573</v>
      </c>
      <c r="C69" s="241" t="s">
        <v>208</v>
      </c>
      <c r="D69" s="339">
        <v>170000.0</v>
      </c>
      <c r="E69" s="215"/>
      <c r="F69" s="215"/>
      <c r="G69" s="215"/>
      <c r="H69" s="215"/>
      <c r="I69" s="215"/>
      <c r="J69" s="215"/>
      <c r="K69" s="215"/>
      <c r="L69" s="215"/>
      <c r="M69" s="215"/>
      <c r="N69" s="215"/>
    </row>
    <row r="70">
      <c r="A70" s="223">
        <v>18.0</v>
      </c>
      <c r="B70" s="227" t="s">
        <v>278</v>
      </c>
      <c r="C70" s="241" t="s">
        <v>208</v>
      </c>
      <c r="D70" s="339">
        <v>1200000.0</v>
      </c>
      <c r="E70" s="215"/>
      <c r="F70" s="215"/>
      <c r="G70" s="215"/>
      <c r="H70" s="215"/>
      <c r="I70" s="215"/>
      <c r="J70" s="215"/>
      <c r="K70" s="215"/>
      <c r="L70" s="215"/>
      <c r="M70" s="215"/>
      <c r="N70" s="215"/>
    </row>
    <row r="71">
      <c r="A71" s="223">
        <v>19.0</v>
      </c>
      <c r="B71" s="227" t="s">
        <v>574</v>
      </c>
      <c r="C71" s="241" t="s">
        <v>208</v>
      </c>
      <c r="D71" s="339">
        <v>1.024E7</v>
      </c>
      <c r="E71" s="215"/>
      <c r="F71" s="215"/>
      <c r="G71" s="215"/>
      <c r="H71" s="215"/>
      <c r="I71" s="215"/>
      <c r="J71" s="215"/>
      <c r="K71" s="215"/>
      <c r="L71" s="215"/>
      <c r="M71" s="215"/>
      <c r="N71" s="215"/>
    </row>
    <row r="72">
      <c r="A72" s="223">
        <v>20.0</v>
      </c>
      <c r="B72" s="227" t="s">
        <v>301</v>
      </c>
      <c r="C72" s="338" t="s">
        <v>208</v>
      </c>
      <c r="D72" s="339">
        <v>2850000.0</v>
      </c>
      <c r="E72" s="215"/>
      <c r="F72" s="238"/>
      <c r="G72" s="215"/>
      <c r="H72" s="215"/>
      <c r="I72" s="215"/>
      <c r="J72" s="215"/>
      <c r="K72" s="215"/>
      <c r="L72" s="215"/>
      <c r="M72" s="215"/>
      <c r="N72" s="215"/>
    </row>
    <row r="73">
      <c r="A73" s="223">
        <v>21.0</v>
      </c>
      <c r="B73" s="227" t="s">
        <v>283</v>
      </c>
      <c r="C73" s="227" t="s">
        <v>199</v>
      </c>
      <c r="D73" s="339">
        <v>1.14E7</v>
      </c>
      <c r="E73" s="215"/>
      <c r="F73" s="215"/>
      <c r="G73" s="215"/>
      <c r="H73" s="215"/>
      <c r="I73" s="215"/>
      <c r="J73" s="215"/>
      <c r="K73" s="215"/>
      <c r="L73" s="215"/>
      <c r="M73" s="215"/>
      <c r="N73" s="215"/>
    </row>
    <row r="74">
      <c r="A74" s="223">
        <v>22.0</v>
      </c>
      <c r="B74" s="338"/>
      <c r="C74" s="338" t="s">
        <v>208</v>
      </c>
      <c r="D74" s="3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</row>
    <row r="75">
      <c r="A75" s="223">
        <v>23.0</v>
      </c>
      <c r="B75" s="241"/>
      <c r="C75" s="241" t="s">
        <v>208</v>
      </c>
      <c r="D75" s="3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</row>
    <row r="76">
      <c r="A76" s="223">
        <v>24.0</v>
      </c>
      <c r="B76" s="241"/>
      <c r="C76" s="241" t="s">
        <v>208</v>
      </c>
      <c r="D76" s="315"/>
    </row>
    <row r="77">
      <c r="A77" s="223">
        <v>25.0</v>
      </c>
      <c r="B77" s="241"/>
      <c r="C77" s="241" t="s">
        <v>208</v>
      </c>
      <c r="D77" s="315"/>
    </row>
    <row r="78">
      <c r="A78" s="223">
        <v>26.0</v>
      </c>
      <c r="B78" s="241"/>
      <c r="C78" s="241" t="s">
        <v>208</v>
      </c>
      <c r="D78" s="315"/>
    </row>
    <row r="79">
      <c r="A79" s="223">
        <v>27.0</v>
      </c>
      <c r="B79" s="241"/>
      <c r="C79" s="241" t="s">
        <v>145</v>
      </c>
      <c r="D79" s="315"/>
    </row>
    <row r="80">
      <c r="B80" s="334" t="s">
        <v>553</v>
      </c>
      <c r="C80" s="4"/>
      <c r="D80" s="326">
        <f>SUM(D53:D79)</f>
        <v>82860000</v>
      </c>
    </row>
  </sheetData>
  <mergeCells count="7">
    <mergeCell ref="A1:N1"/>
    <mergeCell ref="A11:B11"/>
    <mergeCell ref="A13:A15"/>
    <mergeCell ref="B13:B15"/>
    <mergeCell ref="C13:D13"/>
    <mergeCell ref="C14:D14"/>
    <mergeCell ref="B80:C8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6.25"/>
    <col customWidth="1" min="3" max="3" width="25.0"/>
  </cols>
  <sheetData>
    <row r="1">
      <c r="A1" s="340" t="s">
        <v>575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5"/>
    </row>
    <row r="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>
      <c r="A4" s="286"/>
      <c r="B4" s="287" t="s">
        <v>491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>
      <c r="A5" s="289">
        <v>0.0</v>
      </c>
      <c r="B5" s="290"/>
      <c r="C5" s="291">
        <v>9.0</v>
      </c>
      <c r="D5" s="291">
        <v>10.0</v>
      </c>
      <c r="E5" s="291">
        <v>11.0</v>
      </c>
      <c r="F5" s="291">
        <v>12.0</v>
      </c>
      <c r="G5" s="291">
        <v>1.0</v>
      </c>
      <c r="H5" s="291">
        <v>2.0</v>
      </c>
      <c r="I5" s="291">
        <v>3.0</v>
      </c>
      <c r="J5" s="291">
        <v>4.0</v>
      </c>
      <c r="K5" s="291">
        <v>5.0</v>
      </c>
      <c r="L5" s="291">
        <v>6.0</v>
      </c>
      <c r="M5" s="291">
        <v>7.0</v>
      </c>
      <c r="N5" s="291">
        <v>8.0</v>
      </c>
    </row>
    <row r="6">
      <c r="A6" s="292" t="s">
        <v>492</v>
      </c>
      <c r="B6" s="293" t="s">
        <v>493</v>
      </c>
      <c r="C6" s="294" t="s">
        <v>494</v>
      </c>
      <c r="D6" s="295" t="s">
        <v>495</v>
      </c>
      <c r="E6" s="294" t="s">
        <v>496</v>
      </c>
      <c r="F6" s="294" t="s">
        <v>497</v>
      </c>
      <c r="G6" s="294" t="s">
        <v>381</v>
      </c>
      <c r="H6" s="294" t="s">
        <v>498</v>
      </c>
      <c r="I6" s="294" t="s">
        <v>499</v>
      </c>
      <c r="J6" s="294" t="s">
        <v>500</v>
      </c>
      <c r="K6" s="294" t="s">
        <v>501</v>
      </c>
      <c r="L6" s="294" t="s">
        <v>502</v>
      </c>
      <c r="M6" s="294" t="s">
        <v>503</v>
      </c>
      <c r="N6" s="294" t="s">
        <v>504</v>
      </c>
    </row>
    <row r="7">
      <c r="A7" s="296">
        <v>1.0</v>
      </c>
      <c r="B7" s="296" t="s">
        <v>505</v>
      </c>
      <c r="C7" s="297">
        <v>6.8E7</v>
      </c>
      <c r="D7" s="297">
        <v>6.8E7</v>
      </c>
      <c r="E7" s="298">
        <v>7.0E7</v>
      </c>
      <c r="F7" s="298">
        <v>7.0E7</v>
      </c>
      <c r="G7" s="298">
        <v>1.25E8</v>
      </c>
      <c r="H7" s="297">
        <f t="shared" ref="H7:N7" si="1">H2*H4</f>
        <v>0</v>
      </c>
      <c r="I7" s="297">
        <f t="shared" si="1"/>
        <v>0</v>
      </c>
      <c r="J7" s="297">
        <f t="shared" si="1"/>
        <v>0</v>
      </c>
      <c r="K7" s="297">
        <f t="shared" si="1"/>
        <v>0</v>
      </c>
      <c r="L7" s="297">
        <f t="shared" si="1"/>
        <v>0</v>
      </c>
      <c r="M7" s="297">
        <f t="shared" si="1"/>
        <v>0</v>
      </c>
      <c r="N7" s="297">
        <f t="shared" si="1"/>
        <v>0</v>
      </c>
    </row>
    <row r="8">
      <c r="A8" s="296">
        <v>2.0</v>
      </c>
      <c r="B8" s="241"/>
      <c r="C8" s="297">
        <f t="shared" ref="C8:N8" si="2">C4*C2</f>
        <v>0</v>
      </c>
      <c r="D8" s="297">
        <f t="shared" si="2"/>
        <v>0</v>
      </c>
      <c r="E8" s="297">
        <f t="shared" si="2"/>
        <v>0</v>
      </c>
      <c r="F8" s="297">
        <f t="shared" si="2"/>
        <v>0</v>
      </c>
      <c r="G8" s="297">
        <f t="shared" si="2"/>
        <v>0</v>
      </c>
      <c r="H8" s="297">
        <f t="shared" si="2"/>
        <v>0</v>
      </c>
      <c r="I8" s="297">
        <f t="shared" si="2"/>
        <v>0</v>
      </c>
      <c r="J8" s="297">
        <f t="shared" si="2"/>
        <v>0</v>
      </c>
      <c r="K8" s="297">
        <f t="shared" si="2"/>
        <v>0</v>
      </c>
      <c r="L8" s="297">
        <f t="shared" si="2"/>
        <v>0</v>
      </c>
      <c r="M8" s="297">
        <f t="shared" si="2"/>
        <v>0</v>
      </c>
      <c r="N8" s="297">
        <f t="shared" si="2"/>
        <v>0</v>
      </c>
    </row>
    <row r="9">
      <c r="A9" s="296">
        <v>3.0</v>
      </c>
      <c r="B9" s="241"/>
      <c r="C9" s="297">
        <f t="shared" ref="C9:N9" si="3">C4*C2</f>
        <v>0</v>
      </c>
      <c r="D9" s="297">
        <f t="shared" si="3"/>
        <v>0</v>
      </c>
      <c r="E9" s="297">
        <f t="shared" si="3"/>
        <v>0</v>
      </c>
      <c r="F9" s="297">
        <f t="shared" si="3"/>
        <v>0</v>
      </c>
      <c r="G9" s="297">
        <f t="shared" si="3"/>
        <v>0</v>
      </c>
      <c r="H9" s="297">
        <f t="shared" si="3"/>
        <v>0</v>
      </c>
      <c r="I9" s="297">
        <f t="shared" si="3"/>
        <v>0</v>
      </c>
      <c r="J9" s="297">
        <f t="shared" si="3"/>
        <v>0</v>
      </c>
      <c r="K9" s="297">
        <f t="shared" si="3"/>
        <v>0</v>
      </c>
      <c r="L9" s="297">
        <f t="shared" si="3"/>
        <v>0</v>
      </c>
      <c r="M9" s="297">
        <f t="shared" si="3"/>
        <v>0</v>
      </c>
      <c r="N9" s="297">
        <f t="shared" si="3"/>
        <v>0</v>
      </c>
    </row>
    <row r="10">
      <c r="A10" s="296">
        <v>4.0</v>
      </c>
      <c r="B10" s="241"/>
      <c r="C10" s="297">
        <f t="shared" ref="C10:N10" si="4">C4*C2/2</f>
        <v>0</v>
      </c>
      <c r="D10" s="297">
        <f t="shared" si="4"/>
        <v>0</v>
      </c>
      <c r="E10" s="297">
        <f t="shared" si="4"/>
        <v>0</v>
      </c>
      <c r="F10" s="297">
        <f t="shared" si="4"/>
        <v>0</v>
      </c>
      <c r="G10" s="297">
        <f t="shared" si="4"/>
        <v>0</v>
      </c>
      <c r="H10" s="297">
        <f t="shared" si="4"/>
        <v>0</v>
      </c>
      <c r="I10" s="297">
        <f t="shared" si="4"/>
        <v>0</v>
      </c>
      <c r="J10" s="297">
        <f t="shared" si="4"/>
        <v>0</v>
      </c>
      <c r="K10" s="297">
        <f t="shared" si="4"/>
        <v>0</v>
      </c>
      <c r="L10" s="297">
        <f t="shared" si="4"/>
        <v>0</v>
      </c>
      <c r="M10" s="297">
        <f t="shared" si="4"/>
        <v>0</v>
      </c>
      <c r="N10" s="297">
        <f t="shared" si="4"/>
        <v>0</v>
      </c>
    </row>
    <row r="11">
      <c r="A11" s="299" t="s">
        <v>5</v>
      </c>
      <c r="B11" s="4"/>
      <c r="C11" s="300">
        <f t="shared" ref="C11:N11" si="5">SUM(C7:C10)</f>
        <v>68000000</v>
      </c>
      <c r="D11" s="300">
        <f t="shared" si="5"/>
        <v>68000000</v>
      </c>
      <c r="E11" s="300">
        <f t="shared" si="5"/>
        <v>70000000</v>
      </c>
      <c r="F11" s="300">
        <f t="shared" si="5"/>
        <v>70000000</v>
      </c>
      <c r="G11" s="300">
        <f t="shared" si="5"/>
        <v>125000000</v>
      </c>
      <c r="H11" s="300">
        <f t="shared" si="5"/>
        <v>0</v>
      </c>
      <c r="I11" s="300">
        <f t="shared" si="5"/>
        <v>0</v>
      </c>
      <c r="J11" s="300">
        <f t="shared" si="5"/>
        <v>0</v>
      </c>
      <c r="K11" s="300">
        <f t="shared" si="5"/>
        <v>0</v>
      </c>
      <c r="L11" s="300">
        <f t="shared" si="5"/>
        <v>0</v>
      </c>
      <c r="M11" s="300">
        <f t="shared" si="5"/>
        <v>0</v>
      </c>
      <c r="N11" s="300">
        <f t="shared" si="5"/>
        <v>0</v>
      </c>
    </row>
    <row r="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</row>
    <row r="13">
      <c r="A13" s="301" t="s">
        <v>384</v>
      </c>
      <c r="B13" s="302">
        <v>46023.0</v>
      </c>
      <c r="C13" s="303" t="s">
        <v>505</v>
      </c>
      <c r="D13" s="4"/>
      <c r="E13" s="215"/>
      <c r="F13" s="215"/>
      <c r="G13" s="215"/>
      <c r="H13" s="215"/>
      <c r="I13" s="215"/>
      <c r="J13" s="215"/>
      <c r="K13" s="215"/>
      <c r="L13" s="215"/>
      <c r="M13" s="215"/>
      <c r="N13" s="215"/>
    </row>
    <row r="14">
      <c r="A14" s="112"/>
      <c r="B14" s="112"/>
      <c r="C14" s="304" t="s">
        <v>506</v>
      </c>
      <c r="D14" s="4"/>
      <c r="E14" s="215"/>
      <c r="F14" s="215"/>
      <c r="G14" s="215"/>
      <c r="H14" s="215"/>
      <c r="I14" s="215"/>
      <c r="J14" s="215"/>
      <c r="K14" s="215"/>
      <c r="L14" s="215"/>
      <c r="M14" s="215"/>
      <c r="N14" s="215"/>
    </row>
    <row r="15">
      <c r="A15" s="7"/>
      <c r="B15" s="7"/>
      <c r="C15" s="305" t="s">
        <v>507</v>
      </c>
      <c r="D15" s="303" t="s">
        <v>390</v>
      </c>
      <c r="E15" s="215"/>
      <c r="F15" s="215"/>
      <c r="G15" s="215"/>
      <c r="H15" s="215"/>
      <c r="I15" s="215"/>
      <c r="J15" s="215"/>
      <c r="K15" s="215"/>
      <c r="L15" s="215"/>
      <c r="M15" s="215"/>
      <c r="N15" s="215"/>
    </row>
    <row r="16">
      <c r="A16" s="341">
        <v>1.0</v>
      </c>
      <c r="B16" s="314" t="s">
        <v>513</v>
      </c>
      <c r="C16" s="309">
        <v>5000000.0</v>
      </c>
      <c r="D16" s="316"/>
      <c r="E16" s="238"/>
      <c r="F16" s="215"/>
      <c r="G16" s="215"/>
      <c r="H16" s="215"/>
      <c r="I16" s="215"/>
      <c r="J16" s="215"/>
      <c r="K16" s="215"/>
      <c r="L16" s="215"/>
      <c r="M16" s="215"/>
      <c r="N16" s="215"/>
    </row>
    <row r="17">
      <c r="A17" s="341">
        <v>2.0</v>
      </c>
      <c r="B17" s="314" t="s">
        <v>514</v>
      </c>
      <c r="C17" s="309">
        <v>5000000.0</v>
      </c>
      <c r="D17" s="320"/>
      <c r="E17" s="238"/>
      <c r="F17" s="215"/>
      <c r="G17" s="215"/>
      <c r="H17" s="215"/>
      <c r="I17" s="215"/>
      <c r="J17" s="215"/>
      <c r="K17" s="215"/>
      <c r="L17" s="215"/>
      <c r="M17" s="215"/>
      <c r="N17" s="215"/>
    </row>
    <row r="18">
      <c r="A18" s="341">
        <v>3.0</v>
      </c>
      <c r="B18" s="314" t="s">
        <v>508</v>
      </c>
      <c r="C18" s="309">
        <v>5000000.0</v>
      </c>
      <c r="D18" s="315"/>
      <c r="E18" s="234"/>
      <c r="F18" s="234"/>
      <c r="G18" s="234"/>
      <c r="H18" s="234"/>
      <c r="I18" s="234"/>
      <c r="J18" s="234"/>
      <c r="K18" s="234"/>
      <c r="L18" s="234"/>
      <c r="M18" s="234"/>
      <c r="N18" s="234"/>
    </row>
    <row r="19">
      <c r="A19" s="341">
        <v>4.0</v>
      </c>
      <c r="B19" s="311" t="s">
        <v>509</v>
      </c>
      <c r="C19" s="342"/>
      <c r="D19" s="319"/>
      <c r="E19" s="234"/>
      <c r="F19" s="234"/>
      <c r="G19" s="234"/>
      <c r="H19" s="234"/>
      <c r="I19" s="234"/>
      <c r="J19" s="234"/>
      <c r="K19" s="234"/>
      <c r="L19" s="234"/>
      <c r="M19" s="234"/>
      <c r="N19" s="234"/>
    </row>
    <row r="20">
      <c r="A20" s="341">
        <v>5.0</v>
      </c>
      <c r="B20" s="314" t="s">
        <v>510</v>
      </c>
      <c r="C20" s="309">
        <v>5000000.0</v>
      </c>
      <c r="D20" s="315"/>
      <c r="E20" s="234"/>
      <c r="F20" s="234"/>
      <c r="G20" s="234"/>
      <c r="H20" s="234"/>
      <c r="I20" s="234"/>
      <c r="J20" s="234"/>
      <c r="K20" s="234"/>
      <c r="L20" s="234"/>
      <c r="M20" s="234"/>
      <c r="N20" s="234"/>
    </row>
    <row r="21">
      <c r="A21" s="341">
        <v>6.0</v>
      </c>
      <c r="B21" s="314" t="s">
        <v>511</v>
      </c>
      <c r="C21" s="309">
        <v>5000000.0</v>
      </c>
      <c r="D21" s="316"/>
      <c r="E21" s="234"/>
      <c r="F21" s="234"/>
      <c r="G21" s="234"/>
      <c r="H21" s="234"/>
      <c r="I21" s="234"/>
      <c r="J21" s="234"/>
      <c r="K21" s="234"/>
      <c r="L21" s="234"/>
      <c r="M21" s="234"/>
      <c r="N21" s="234"/>
    </row>
    <row r="22">
      <c r="A22" s="341">
        <v>7.0</v>
      </c>
      <c r="B22" s="314" t="s">
        <v>512</v>
      </c>
      <c r="C22" s="309">
        <v>5000000.0</v>
      </c>
      <c r="D22" s="343">
        <v>2115000.0</v>
      </c>
      <c r="E22" s="256" t="s">
        <v>576</v>
      </c>
      <c r="F22" s="234"/>
      <c r="G22" s="234"/>
      <c r="H22" s="234"/>
      <c r="I22" s="234"/>
      <c r="J22" s="234"/>
      <c r="K22" s="234"/>
      <c r="L22" s="234"/>
      <c r="M22" s="234"/>
      <c r="N22" s="234"/>
    </row>
    <row r="23">
      <c r="A23" s="341">
        <v>8.0</v>
      </c>
      <c r="B23" s="314" t="s">
        <v>513</v>
      </c>
      <c r="C23" s="309">
        <v>5000000.0</v>
      </c>
      <c r="D23" s="344">
        <v>2340000.0</v>
      </c>
      <c r="E23" s="256" t="s">
        <v>577</v>
      </c>
      <c r="F23" s="234"/>
      <c r="G23" s="234"/>
      <c r="H23" s="234"/>
      <c r="I23" s="234"/>
      <c r="J23" s="234"/>
      <c r="K23" s="234"/>
      <c r="L23" s="234"/>
      <c r="M23" s="234"/>
      <c r="N23" s="234"/>
    </row>
    <row r="24">
      <c r="A24" s="341">
        <v>9.0</v>
      </c>
      <c r="B24" s="314" t="s">
        <v>514</v>
      </c>
      <c r="C24" s="309">
        <v>5000000.0</v>
      </c>
      <c r="D24" s="344">
        <v>7365000.0</v>
      </c>
      <c r="E24" s="256" t="s">
        <v>578</v>
      </c>
      <c r="F24" s="234"/>
      <c r="G24" s="234"/>
      <c r="H24" s="234"/>
      <c r="I24" s="234"/>
      <c r="J24" s="234"/>
      <c r="K24" s="234"/>
      <c r="L24" s="234"/>
      <c r="M24" s="234"/>
      <c r="N24" s="234"/>
    </row>
    <row r="25">
      <c r="A25" s="341">
        <v>10.0</v>
      </c>
      <c r="B25" s="314" t="s">
        <v>508</v>
      </c>
      <c r="C25" s="309">
        <v>5000000.0</v>
      </c>
      <c r="D25" s="316"/>
      <c r="E25" s="256"/>
      <c r="F25" s="234"/>
      <c r="G25" s="234"/>
      <c r="H25" s="234"/>
      <c r="I25" s="256"/>
      <c r="J25" s="234"/>
      <c r="K25" s="234"/>
      <c r="L25" s="234"/>
      <c r="M25" s="234"/>
      <c r="N25" s="234"/>
    </row>
    <row r="26">
      <c r="A26" s="341">
        <v>11.0</v>
      </c>
      <c r="B26" s="311" t="s">
        <v>509</v>
      </c>
      <c r="C26" s="319"/>
      <c r="D26" s="319"/>
      <c r="E26" s="234"/>
      <c r="F26" s="234"/>
      <c r="G26" s="234"/>
      <c r="H26" s="234"/>
      <c r="I26" s="256"/>
      <c r="J26" s="234"/>
      <c r="K26" s="234"/>
      <c r="L26" s="234"/>
      <c r="M26" s="234"/>
      <c r="N26" s="234"/>
    </row>
    <row r="27">
      <c r="A27" s="341">
        <v>12.0</v>
      </c>
      <c r="B27" s="314" t="s">
        <v>510</v>
      </c>
      <c r="C27" s="309">
        <v>5000000.0</v>
      </c>
      <c r="D27" s="344">
        <v>1150000.0</v>
      </c>
      <c r="E27" s="256" t="s">
        <v>579</v>
      </c>
      <c r="F27" s="234"/>
      <c r="G27" s="234"/>
      <c r="H27" s="234"/>
      <c r="I27" s="234"/>
      <c r="J27" s="234"/>
      <c r="K27" s="234"/>
      <c r="L27" s="234"/>
      <c r="M27" s="234"/>
      <c r="N27" s="234"/>
    </row>
    <row r="28">
      <c r="A28" s="341">
        <v>13.0</v>
      </c>
      <c r="B28" s="314" t="s">
        <v>511</v>
      </c>
      <c r="C28" s="309">
        <v>5000000.0</v>
      </c>
      <c r="D28" s="345">
        <v>4805000.0</v>
      </c>
      <c r="E28" s="256" t="s">
        <v>580</v>
      </c>
      <c r="F28" s="234"/>
      <c r="G28" s="234"/>
      <c r="H28" s="234"/>
      <c r="I28" s="234"/>
      <c r="J28" s="234"/>
      <c r="K28" s="234"/>
      <c r="L28" s="234"/>
      <c r="M28" s="234"/>
      <c r="N28" s="234"/>
    </row>
    <row r="29">
      <c r="A29" s="341">
        <v>14.0</v>
      </c>
      <c r="B29" s="314" t="s">
        <v>512</v>
      </c>
      <c r="C29" s="309">
        <v>5000000.0</v>
      </c>
      <c r="D29" s="343">
        <v>5040000.0</v>
      </c>
      <c r="E29" s="256" t="s">
        <v>581</v>
      </c>
      <c r="F29" s="234"/>
      <c r="G29" s="234"/>
      <c r="H29" s="234"/>
      <c r="I29" s="234"/>
      <c r="J29" s="234"/>
      <c r="K29" s="234"/>
      <c r="L29" s="234"/>
      <c r="M29" s="234"/>
      <c r="N29" s="234"/>
    </row>
    <row r="30">
      <c r="A30" s="341">
        <v>15.0</v>
      </c>
      <c r="B30" s="314" t="s">
        <v>513</v>
      </c>
      <c r="C30" s="309">
        <v>5000000.0</v>
      </c>
      <c r="D30" s="316"/>
      <c r="E30" s="256"/>
      <c r="F30" s="234"/>
      <c r="G30" s="234"/>
      <c r="H30" s="234"/>
      <c r="I30" s="234"/>
      <c r="J30" s="234"/>
      <c r="K30" s="234"/>
      <c r="L30" s="234"/>
      <c r="M30" s="234"/>
      <c r="N30" s="234"/>
    </row>
    <row r="31">
      <c r="A31" s="341">
        <v>16.0</v>
      </c>
      <c r="B31" s="314" t="s">
        <v>514</v>
      </c>
      <c r="C31" s="309">
        <v>5000000.0</v>
      </c>
      <c r="D31" s="343">
        <v>135000.0</v>
      </c>
      <c r="E31" s="256" t="s">
        <v>582</v>
      </c>
      <c r="F31" s="234"/>
      <c r="G31" s="234"/>
      <c r="H31" s="234"/>
      <c r="I31" s="234"/>
      <c r="J31" s="234"/>
      <c r="K31" s="234"/>
      <c r="L31" s="234"/>
      <c r="M31" s="234"/>
      <c r="N31" s="234"/>
    </row>
    <row r="32">
      <c r="A32" s="341">
        <v>17.0</v>
      </c>
      <c r="B32" s="314" t="s">
        <v>508</v>
      </c>
      <c r="C32" s="309">
        <v>5000000.0</v>
      </c>
      <c r="D32" s="315"/>
      <c r="E32" s="256"/>
      <c r="F32" s="234"/>
      <c r="G32" s="234"/>
      <c r="H32" s="234"/>
      <c r="I32" s="234"/>
      <c r="J32" s="234"/>
      <c r="K32" s="234"/>
      <c r="L32" s="234"/>
      <c r="M32" s="234"/>
      <c r="N32" s="234"/>
    </row>
    <row r="33">
      <c r="A33" s="341">
        <v>18.0</v>
      </c>
      <c r="B33" s="311" t="s">
        <v>509</v>
      </c>
      <c r="C33" s="319"/>
      <c r="D33" s="319"/>
      <c r="E33" s="234"/>
      <c r="F33" s="234"/>
      <c r="G33" s="234"/>
      <c r="H33" s="234"/>
      <c r="I33" s="234"/>
      <c r="J33" s="234"/>
      <c r="K33" s="234"/>
      <c r="L33" s="234"/>
      <c r="M33" s="234"/>
      <c r="N33" s="234"/>
    </row>
    <row r="34">
      <c r="A34" s="341">
        <v>19.0</v>
      </c>
      <c r="B34" s="314" t="s">
        <v>510</v>
      </c>
      <c r="C34" s="309">
        <v>5000000.0</v>
      </c>
      <c r="D34" s="315"/>
      <c r="E34" s="256"/>
      <c r="F34" s="234"/>
      <c r="G34" s="234"/>
      <c r="H34" s="234"/>
      <c r="I34" s="234"/>
      <c r="J34" s="234"/>
      <c r="K34" s="234"/>
      <c r="L34" s="234"/>
      <c r="M34" s="234"/>
      <c r="N34" s="234"/>
    </row>
    <row r="35">
      <c r="A35" s="341">
        <v>20.0</v>
      </c>
      <c r="B35" s="314" t="s">
        <v>511</v>
      </c>
      <c r="C35" s="309">
        <v>5000000.0</v>
      </c>
      <c r="D35" s="316"/>
      <c r="E35" s="234"/>
      <c r="F35" s="234"/>
      <c r="G35" s="234"/>
      <c r="H35" s="234"/>
      <c r="I35" s="234"/>
      <c r="J35" s="234"/>
      <c r="K35" s="234"/>
      <c r="L35" s="234"/>
      <c r="M35" s="234"/>
      <c r="N35" s="234"/>
    </row>
    <row r="36">
      <c r="A36" s="341">
        <v>21.0</v>
      </c>
      <c r="B36" s="314" t="s">
        <v>512</v>
      </c>
      <c r="C36" s="309">
        <v>5000000.0</v>
      </c>
      <c r="D36" s="317"/>
      <c r="E36" s="234"/>
      <c r="F36" s="234"/>
      <c r="G36" s="234"/>
      <c r="H36" s="234"/>
      <c r="I36" s="234"/>
      <c r="J36" s="234"/>
      <c r="K36" s="234"/>
      <c r="L36" s="234"/>
      <c r="M36" s="234"/>
      <c r="N36" s="234"/>
    </row>
    <row r="37">
      <c r="A37" s="341">
        <v>22.0</v>
      </c>
      <c r="B37" s="314" t="s">
        <v>513</v>
      </c>
      <c r="C37" s="309">
        <v>5000000.0</v>
      </c>
      <c r="D37" s="315"/>
      <c r="E37" s="234"/>
      <c r="F37" s="234"/>
      <c r="G37" s="234"/>
      <c r="H37" s="234"/>
      <c r="I37" s="234"/>
      <c r="J37" s="234"/>
      <c r="K37" s="234"/>
      <c r="L37" s="234"/>
      <c r="M37" s="234"/>
      <c r="N37" s="234"/>
    </row>
    <row r="38">
      <c r="A38" s="341">
        <v>23.0</v>
      </c>
      <c r="B38" s="314" t="s">
        <v>514</v>
      </c>
      <c r="C38" s="309">
        <v>5000000.0</v>
      </c>
      <c r="D38" s="320"/>
      <c r="E38" s="256"/>
      <c r="F38" s="234"/>
      <c r="G38" s="234"/>
      <c r="H38" s="234"/>
      <c r="I38" s="234"/>
      <c r="J38" s="234"/>
      <c r="K38" s="234"/>
      <c r="L38" s="234"/>
      <c r="M38" s="234"/>
      <c r="N38" s="234"/>
    </row>
    <row r="39">
      <c r="A39" s="341">
        <v>24.0</v>
      </c>
      <c r="B39" s="314" t="s">
        <v>508</v>
      </c>
      <c r="C39" s="309">
        <v>5000000.0</v>
      </c>
      <c r="D39" s="336"/>
      <c r="E39" s="234"/>
      <c r="F39" s="234"/>
      <c r="G39" s="234"/>
      <c r="H39" s="234"/>
      <c r="I39" s="234"/>
      <c r="J39" s="234"/>
      <c r="K39" s="234"/>
      <c r="L39" s="234"/>
      <c r="M39" s="234"/>
      <c r="N39" s="234"/>
    </row>
    <row r="40">
      <c r="A40" s="341">
        <v>25.0</v>
      </c>
      <c r="B40" s="311" t="s">
        <v>509</v>
      </c>
      <c r="C40" s="319"/>
      <c r="D40" s="319"/>
      <c r="E40" s="234"/>
      <c r="F40" s="234"/>
      <c r="G40" s="234"/>
      <c r="H40" s="234"/>
      <c r="I40" s="234"/>
      <c r="J40" s="234"/>
      <c r="K40" s="234"/>
      <c r="L40" s="234"/>
      <c r="M40" s="234"/>
      <c r="N40" s="234"/>
    </row>
    <row r="41">
      <c r="A41" s="341">
        <v>26.0</v>
      </c>
      <c r="B41" s="314" t="s">
        <v>510</v>
      </c>
      <c r="C41" s="309">
        <v>5000000.0</v>
      </c>
      <c r="D41" s="316"/>
      <c r="E41" s="256"/>
      <c r="F41" s="234"/>
      <c r="G41" s="234"/>
      <c r="H41" s="234"/>
      <c r="I41" s="234"/>
      <c r="J41" s="234"/>
      <c r="K41" s="234"/>
      <c r="L41" s="234"/>
      <c r="M41" s="234"/>
      <c r="N41" s="234"/>
    </row>
    <row r="42">
      <c r="A42" s="341">
        <v>27.0</v>
      </c>
      <c r="B42" s="314" t="s">
        <v>511</v>
      </c>
      <c r="C42" s="309">
        <v>5000000.0</v>
      </c>
      <c r="D42" s="316"/>
      <c r="E42" s="234"/>
      <c r="F42" s="234"/>
      <c r="G42" s="234"/>
      <c r="H42" s="234"/>
      <c r="I42" s="234"/>
      <c r="J42" s="234"/>
      <c r="K42" s="234"/>
      <c r="L42" s="234"/>
      <c r="M42" s="234"/>
      <c r="N42" s="234"/>
    </row>
    <row r="43">
      <c r="A43" s="341">
        <v>28.0</v>
      </c>
      <c r="B43" s="314" t="s">
        <v>512</v>
      </c>
      <c r="C43" s="309">
        <v>5000000.0</v>
      </c>
      <c r="D43" s="317"/>
      <c r="E43" s="215"/>
      <c r="F43" s="215"/>
      <c r="G43" s="215"/>
      <c r="H43" s="215"/>
      <c r="I43" s="215"/>
      <c r="J43" s="215"/>
      <c r="K43" s="215"/>
      <c r="L43" s="215"/>
      <c r="M43" s="215"/>
      <c r="N43" s="215"/>
    </row>
    <row r="44">
      <c r="A44" s="341">
        <v>29.0</v>
      </c>
      <c r="B44" s="314" t="s">
        <v>513</v>
      </c>
      <c r="C44" s="309">
        <v>5000000.0</v>
      </c>
      <c r="D44" s="317"/>
      <c r="E44" s="215"/>
      <c r="F44" s="215"/>
      <c r="G44" s="215"/>
      <c r="H44" s="215"/>
      <c r="I44" s="215"/>
      <c r="J44" s="215"/>
      <c r="K44" s="215"/>
      <c r="L44" s="215"/>
      <c r="M44" s="215"/>
      <c r="N44" s="215"/>
    </row>
    <row r="45">
      <c r="A45" s="341">
        <v>30.0</v>
      </c>
      <c r="B45" s="314" t="s">
        <v>514</v>
      </c>
      <c r="C45" s="309">
        <v>5000000.0</v>
      </c>
      <c r="D45" s="317"/>
      <c r="E45" s="215"/>
      <c r="F45" s="215"/>
      <c r="G45" s="215"/>
      <c r="H45" s="215"/>
      <c r="I45" s="215"/>
      <c r="J45" s="215"/>
      <c r="K45" s="215"/>
      <c r="L45" s="215"/>
      <c r="M45" s="215"/>
      <c r="N45" s="215"/>
    </row>
    <row r="46">
      <c r="A46" s="341">
        <v>31.0</v>
      </c>
      <c r="B46" s="314" t="s">
        <v>508</v>
      </c>
      <c r="C46" s="309">
        <v>5000000.0</v>
      </c>
      <c r="D46" s="317"/>
      <c r="E46" s="215"/>
      <c r="F46" s="215"/>
      <c r="G46" s="215"/>
      <c r="H46" s="215"/>
      <c r="I46" s="215"/>
      <c r="J46" s="215"/>
      <c r="K46" s="215"/>
      <c r="L46" s="215"/>
      <c r="M46" s="215"/>
      <c r="N46" s="215"/>
    </row>
    <row r="47">
      <c r="A47" s="318"/>
      <c r="B47" s="323"/>
      <c r="C47" s="324"/>
      <c r="D47" s="324"/>
      <c r="E47" s="215"/>
      <c r="F47" s="215"/>
      <c r="G47" s="215"/>
      <c r="H47" s="215"/>
      <c r="I47" s="215"/>
      <c r="J47" s="215"/>
      <c r="K47" s="215"/>
      <c r="L47" s="215"/>
      <c r="M47" s="215"/>
      <c r="N47" s="215"/>
    </row>
    <row r="48">
      <c r="A48" s="318"/>
      <c r="B48" s="325" t="s">
        <v>5</v>
      </c>
      <c r="C48" s="326">
        <f>SUM(C16:C46)</f>
        <v>135000000</v>
      </c>
      <c r="D48" s="327">
        <f>SUM(D16:D47)</f>
        <v>22950000</v>
      </c>
      <c r="E48" s="346">
        <v>1.0E8</v>
      </c>
      <c r="F48" s="215"/>
      <c r="G48" s="215"/>
      <c r="H48" s="215"/>
      <c r="I48" s="215"/>
      <c r="J48" s="215"/>
      <c r="K48" s="215"/>
      <c r="L48" s="215"/>
      <c r="M48" s="215"/>
      <c r="N48" s="215"/>
    </row>
    <row r="49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</row>
    <row r="50">
      <c r="A50" s="328"/>
      <c r="B50" s="329" t="s">
        <v>517</v>
      </c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</row>
    <row r="51">
      <c r="A51" s="291" t="s">
        <v>492</v>
      </c>
      <c r="B51" s="291" t="s">
        <v>518</v>
      </c>
      <c r="C51" s="291" t="s">
        <v>519</v>
      </c>
      <c r="D51" s="291" t="s">
        <v>520</v>
      </c>
      <c r="E51" s="215"/>
      <c r="F51" s="215"/>
      <c r="G51" s="215"/>
      <c r="H51" s="215"/>
      <c r="I51" s="215"/>
      <c r="J51" s="215"/>
      <c r="K51" s="215"/>
      <c r="L51" s="215"/>
      <c r="M51" s="215"/>
      <c r="N51" s="215"/>
    </row>
    <row r="52">
      <c r="A52" s="223">
        <v>1.0</v>
      </c>
      <c r="B52" s="330" t="s">
        <v>583</v>
      </c>
      <c r="C52" s="227" t="s">
        <v>142</v>
      </c>
      <c r="D52" s="309">
        <v>1.3E7</v>
      </c>
      <c r="E52" s="215"/>
      <c r="F52" s="215"/>
      <c r="G52" s="215"/>
      <c r="H52" s="215"/>
      <c r="I52" s="215"/>
      <c r="J52" s="215"/>
      <c r="K52" s="215"/>
      <c r="L52" s="215"/>
      <c r="M52" s="215"/>
      <c r="N52" s="215"/>
    </row>
    <row r="53">
      <c r="A53" s="223">
        <v>2.0</v>
      </c>
      <c r="B53" s="337" t="s">
        <v>247</v>
      </c>
      <c r="C53" s="338" t="s">
        <v>557</v>
      </c>
      <c r="D53" s="309">
        <v>2.0E7</v>
      </c>
      <c r="E53" s="215"/>
      <c r="F53" s="215"/>
      <c r="G53" s="215"/>
      <c r="H53" s="215"/>
      <c r="I53" s="215"/>
      <c r="J53" s="215"/>
      <c r="K53" s="215"/>
      <c r="L53" s="215"/>
      <c r="M53" s="215"/>
      <c r="N53" s="215"/>
    </row>
    <row r="54">
      <c r="A54" s="223">
        <v>3.0</v>
      </c>
      <c r="B54" s="337" t="s">
        <v>558</v>
      </c>
      <c r="C54" s="338" t="s">
        <v>559</v>
      </c>
      <c r="D54" s="309">
        <v>5000000.0</v>
      </c>
      <c r="E54" s="215"/>
      <c r="F54" s="238"/>
      <c r="G54" s="215"/>
      <c r="H54" s="215"/>
      <c r="I54" s="215"/>
      <c r="J54" s="215"/>
      <c r="K54" s="215"/>
      <c r="L54" s="215"/>
      <c r="M54" s="215"/>
      <c r="N54" s="215"/>
    </row>
    <row r="55">
      <c r="A55" s="223">
        <v>4.0</v>
      </c>
      <c r="B55" s="338" t="s">
        <v>560</v>
      </c>
      <c r="C55" s="241" t="s">
        <v>559</v>
      </c>
      <c r="D55" s="309">
        <v>1.0E7</v>
      </c>
      <c r="E55" s="215"/>
      <c r="F55" s="238"/>
      <c r="G55" s="215"/>
      <c r="H55" s="215"/>
      <c r="I55" s="215"/>
      <c r="J55" s="215"/>
      <c r="K55" s="215"/>
      <c r="L55" s="215"/>
      <c r="M55" s="215"/>
      <c r="N55" s="215"/>
    </row>
    <row r="56">
      <c r="A56" s="223">
        <v>5.0</v>
      </c>
      <c r="B56" s="337" t="s">
        <v>194</v>
      </c>
      <c r="C56" s="338" t="s">
        <v>199</v>
      </c>
      <c r="D56" s="309">
        <v>5000000.0</v>
      </c>
      <c r="E56" s="215"/>
      <c r="F56" s="238"/>
      <c r="G56" s="215"/>
      <c r="H56" s="215"/>
      <c r="I56" s="215"/>
      <c r="J56" s="215"/>
      <c r="K56" s="215"/>
      <c r="L56" s="215"/>
      <c r="M56" s="215"/>
      <c r="N56" s="215"/>
    </row>
    <row r="57">
      <c r="A57" s="223">
        <v>6.0</v>
      </c>
      <c r="B57" s="227" t="s">
        <v>584</v>
      </c>
      <c r="C57" s="338" t="s">
        <v>559</v>
      </c>
      <c r="D57" s="309">
        <v>2000000.0</v>
      </c>
      <c r="E57" s="215"/>
      <c r="F57" s="215"/>
      <c r="G57" s="215"/>
      <c r="H57" s="215"/>
      <c r="I57" s="215"/>
      <c r="J57" s="215"/>
      <c r="K57" s="215"/>
      <c r="L57" s="215"/>
      <c r="M57" s="215"/>
      <c r="N57" s="215"/>
    </row>
    <row r="58">
      <c r="A58" s="223">
        <v>7.0</v>
      </c>
      <c r="B58" s="241" t="s">
        <v>562</v>
      </c>
      <c r="C58" s="241" t="s">
        <v>199</v>
      </c>
      <c r="D58" s="331">
        <v>5040000.0</v>
      </c>
      <c r="E58" s="215"/>
      <c r="F58" s="215"/>
      <c r="G58" s="215"/>
      <c r="H58" s="215"/>
      <c r="I58" s="215"/>
      <c r="J58" s="215"/>
      <c r="K58" s="215"/>
      <c r="L58" s="215"/>
      <c r="M58" s="215"/>
      <c r="N58" s="215"/>
    </row>
    <row r="59">
      <c r="A59" s="223">
        <v>8.0</v>
      </c>
      <c r="B59" s="241" t="s">
        <v>563</v>
      </c>
      <c r="C59" s="241" t="s">
        <v>564</v>
      </c>
      <c r="D59" s="309">
        <v>5000000.0</v>
      </c>
      <c r="E59" s="215"/>
      <c r="F59" s="215"/>
      <c r="G59" s="215"/>
      <c r="H59" s="215"/>
      <c r="I59" s="215"/>
      <c r="J59" s="215"/>
      <c r="K59" s="215"/>
      <c r="L59" s="215"/>
      <c r="M59" s="215"/>
      <c r="N59" s="215"/>
    </row>
    <row r="60">
      <c r="A60" s="223">
        <v>9.0</v>
      </c>
      <c r="B60" s="227" t="s">
        <v>585</v>
      </c>
      <c r="C60" s="227" t="s">
        <v>586</v>
      </c>
      <c r="D60" s="309">
        <v>5000000.0</v>
      </c>
      <c r="E60" s="215"/>
      <c r="F60" s="215"/>
      <c r="G60" s="215"/>
      <c r="H60" s="215"/>
      <c r="I60" s="215"/>
      <c r="J60" s="215"/>
      <c r="K60" s="215"/>
      <c r="L60" s="215"/>
      <c r="M60" s="215"/>
      <c r="N60" s="215"/>
    </row>
    <row r="61">
      <c r="A61" s="223">
        <v>10.0</v>
      </c>
      <c r="B61" s="227" t="s">
        <v>587</v>
      </c>
      <c r="C61" s="241" t="s">
        <v>559</v>
      </c>
      <c r="D61" s="309">
        <v>2000000.0</v>
      </c>
      <c r="E61" s="215"/>
      <c r="F61" s="215"/>
      <c r="G61" s="215"/>
      <c r="H61" s="215"/>
      <c r="I61" s="215"/>
      <c r="J61" s="215"/>
      <c r="K61" s="215"/>
      <c r="L61" s="215"/>
      <c r="M61" s="215"/>
      <c r="N61" s="215"/>
    </row>
    <row r="62">
      <c r="A62" s="223">
        <v>11.0</v>
      </c>
      <c r="B62" s="227" t="s">
        <v>588</v>
      </c>
      <c r="C62" s="227" t="s">
        <v>559</v>
      </c>
      <c r="D62" s="331">
        <v>7365000.0</v>
      </c>
      <c r="E62" s="215"/>
      <c r="F62" s="215"/>
      <c r="G62" s="215"/>
      <c r="H62" s="215"/>
      <c r="I62" s="215"/>
      <c r="J62" s="215"/>
      <c r="K62" s="215"/>
      <c r="L62" s="215"/>
      <c r="M62" s="215"/>
      <c r="N62" s="215"/>
    </row>
    <row r="63">
      <c r="A63" s="223">
        <v>12.0</v>
      </c>
      <c r="B63" s="227" t="s">
        <v>589</v>
      </c>
      <c r="C63" s="227" t="s">
        <v>559</v>
      </c>
      <c r="D63" s="309">
        <v>2000000.0</v>
      </c>
      <c r="E63" s="215"/>
      <c r="F63" s="215"/>
      <c r="G63" s="215"/>
      <c r="H63" s="215"/>
      <c r="I63" s="215"/>
      <c r="J63" s="215"/>
      <c r="K63" s="215"/>
      <c r="L63" s="215"/>
      <c r="M63" s="215"/>
      <c r="N63" s="215"/>
    </row>
    <row r="64">
      <c r="A64" s="223">
        <v>13.0</v>
      </c>
      <c r="B64" s="347" t="s">
        <v>590</v>
      </c>
      <c r="C64" s="348" t="s">
        <v>559</v>
      </c>
      <c r="D64" s="309">
        <v>1000000.0</v>
      </c>
      <c r="E64" s="215"/>
      <c r="F64" s="215"/>
      <c r="G64" s="215"/>
      <c r="H64" s="215"/>
      <c r="I64" s="215"/>
      <c r="J64" s="215"/>
      <c r="K64" s="215"/>
      <c r="L64" s="215"/>
      <c r="M64" s="215"/>
      <c r="N64" s="215"/>
    </row>
    <row r="65">
      <c r="A65" s="223">
        <v>14.0</v>
      </c>
      <c r="B65" s="227" t="s">
        <v>591</v>
      </c>
      <c r="C65" s="227" t="s">
        <v>559</v>
      </c>
      <c r="D65" s="309">
        <v>2000000.0</v>
      </c>
      <c r="E65" s="215"/>
      <c r="F65" s="215"/>
      <c r="G65" s="215"/>
      <c r="H65" s="215"/>
      <c r="I65" s="215"/>
      <c r="J65" s="215"/>
      <c r="K65" s="215"/>
      <c r="L65" s="215"/>
      <c r="M65" s="215"/>
      <c r="N65" s="215"/>
    </row>
    <row r="66">
      <c r="A66" s="223">
        <v>15.0</v>
      </c>
      <c r="B66" s="227" t="s">
        <v>592</v>
      </c>
      <c r="C66" s="227" t="s">
        <v>559</v>
      </c>
      <c r="D66" s="309">
        <v>2000000.0</v>
      </c>
      <c r="E66" s="215"/>
      <c r="F66" s="215"/>
      <c r="G66" s="215"/>
      <c r="H66" s="215"/>
      <c r="I66" s="215"/>
      <c r="J66" s="215"/>
      <c r="K66" s="215"/>
      <c r="L66" s="215"/>
      <c r="M66" s="215"/>
      <c r="N66" s="215"/>
    </row>
    <row r="67">
      <c r="A67" s="223">
        <v>16.0</v>
      </c>
      <c r="B67" s="227" t="s">
        <v>593</v>
      </c>
      <c r="C67" s="227" t="s">
        <v>559</v>
      </c>
      <c r="D67" s="349">
        <v>5000000.0</v>
      </c>
      <c r="E67" s="215"/>
      <c r="F67" s="215"/>
      <c r="G67" s="215"/>
      <c r="H67" s="215"/>
      <c r="I67" s="215"/>
      <c r="J67" s="215"/>
      <c r="K67" s="215"/>
      <c r="L67" s="215"/>
      <c r="M67" s="215"/>
      <c r="N67" s="215"/>
    </row>
    <row r="68">
      <c r="A68" s="223">
        <v>17.0</v>
      </c>
      <c r="B68" s="227" t="s">
        <v>594</v>
      </c>
      <c r="C68" s="227" t="s">
        <v>559</v>
      </c>
      <c r="D68" s="349">
        <v>1000000.0</v>
      </c>
      <c r="E68" s="215"/>
      <c r="F68" s="215"/>
      <c r="G68" s="215"/>
      <c r="H68" s="215"/>
      <c r="I68" s="215"/>
      <c r="J68" s="215"/>
      <c r="K68" s="215"/>
      <c r="L68" s="215"/>
      <c r="M68" s="215"/>
      <c r="N68" s="215"/>
    </row>
    <row r="69">
      <c r="A69" s="223">
        <v>18.0</v>
      </c>
      <c r="B69" s="227" t="s">
        <v>278</v>
      </c>
      <c r="C69" s="241" t="s">
        <v>208</v>
      </c>
      <c r="D69" s="349">
        <v>5000000.0</v>
      </c>
      <c r="E69" s="215"/>
      <c r="F69" s="215"/>
      <c r="G69" s="215"/>
      <c r="H69" s="215"/>
      <c r="I69" s="215"/>
      <c r="J69" s="215"/>
      <c r="K69" s="215"/>
      <c r="L69" s="215"/>
      <c r="M69" s="215"/>
      <c r="N69" s="215"/>
    </row>
    <row r="70">
      <c r="A70" s="223">
        <v>19.0</v>
      </c>
      <c r="B70" s="227" t="s">
        <v>295</v>
      </c>
      <c r="C70" s="241" t="s">
        <v>208</v>
      </c>
      <c r="D70" s="339">
        <v>1900000.0</v>
      </c>
      <c r="E70" s="215"/>
      <c r="F70" s="215"/>
      <c r="G70" s="215"/>
      <c r="H70" s="215"/>
      <c r="I70" s="215"/>
      <c r="J70" s="215"/>
      <c r="K70" s="215"/>
      <c r="L70" s="215"/>
      <c r="M70" s="215"/>
      <c r="N70" s="215"/>
    </row>
    <row r="71">
      <c r="A71" s="223">
        <v>20.0</v>
      </c>
      <c r="B71" s="227" t="s">
        <v>595</v>
      </c>
      <c r="C71" s="338" t="s">
        <v>208</v>
      </c>
      <c r="D71" s="339">
        <v>215000.0</v>
      </c>
      <c r="E71" s="215"/>
      <c r="F71" s="238"/>
      <c r="G71" s="215"/>
      <c r="H71" s="215"/>
      <c r="I71" s="215"/>
      <c r="J71" s="215"/>
      <c r="K71" s="215"/>
      <c r="L71" s="215"/>
      <c r="M71" s="215"/>
      <c r="N71" s="215"/>
    </row>
    <row r="72">
      <c r="A72" s="223">
        <v>21.0</v>
      </c>
      <c r="B72" s="227" t="s">
        <v>596</v>
      </c>
      <c r="C72" s="227" t="s">
        <v>597</v>
      </c>
      <c r="D72" s="339">
        <v>2340000.0</v>
      </c>
      <c r="E72" s="215"/>
      <c r="F72" s="215"/>
      <c r="G72" s="215"/>
      <c r="H72" s="215"/>
      <c r="I72" s="215"/>
      <c r="J72" s="215"/>
      <c r="K72" s="215"/>
      <c r="L72" s="215"/>
      <c r="M72" s="215"/>
      <c r="N72" s="215"/>
    </row>
    <row r="73">
      <c r="A73" s="223">
        <v>22.0</v>
      </c>
      <c r="B73" s="227" t="s">
        <v>598</v>
      </c>
      <c r="C73" s="227" t="s">
        <v>83</v>
      </c>
      <c r="D73" s="339">
        <v>860000.0</v>
      </c>
      <c r="E73" s="215"/>
      <c r="F73" s="215"/>
      <c r="G73" s="215"/>
      <c r="H73" s="215"/>
      <c r="I73" s="215"/>
      <c r="J73" s="215"/>
      <c r="K73" s="215"/>
      <c r="L73" s="215"/>
      <c r="M73" s="215"/>
      <c r="N73" s="215"/>
    </row>
    <row r="74">
      <c r="A74" s="223">
        <v>23.0</v>
      </c>
      <c r="B74" s="227" t="s">
        <v>599</v>
      </c>
      <c r="C74" s="227" t="s">
        <v>600</v>
      </c>
      <c r="D74" s="339">
        <v>290000.0</v>
      </c>
      <c r="E74" s="215"/>
      <c r="F74" s="215"/>
      <c r="G74" s="215"/>
      <c r="H74" s="215"/>
      <c r="I74" s="215"/>
      <c r="J74" s="215"/>
      <c r="K74" s="215"/>
      <c r="L74" s="215"/>
      <c r="M74" s="215"/>
      <c r="N74" s="215"/>
    </row>
    <row r="75">
      <c r="A75" s="223">
        <v>24.0</v>
      </c>
      <c r="B75" s="227" t="s">
        <v>301</v>
      </c>
      <c r="C75" s="227" t="s">
        <v>559</v>
      </c>
      <c r="D75" s="339">
        <v>575000.0</v>
      </c>
    </row>
    <row r="76">
      <c r="A76" s="223">
        <v>25.0</v>
      </c>
      <c r="B76" s="227" t="s">
        <v>601</v>
      </c>
      <c r="C76" s="227" t="s">
        <v>142</v>
      </c>
      <c r="D76" s="339">
        <v>4230000.0</v>
      </c>
    </row>
    <row r="77">
      <c r="A77" s="223">
        <v>26.0</v>
      </c>
      <c r="B77" s="256" t="s">
        <v>582</v>
      </c>
      <c r="C77" s="241" t="s">
        <v>208</v>
      </c>
      <c r="D77" s="339">
        <v>135000.0</v>
      </c>
    </row>
    <row r="78">
      <c r="A78" s="223">
        <v>27.0</v>
      </c>
      <c r="B78" s="241"/>
      <c r="C78" s="241" t="s">
        <v>145</v>
      </c>
      <c r="D78" s="315"/>
    </row>
    <row r="79">
      <c r="B79" s="334" t="s">
        <v>553</v>
      </c>
      <c r="C79" s="4"/>
      <c r="D79" s="326">
        <f>SUM(D52:D78)</f>
        <v>107950000</v>
      </c>
    </row>
  </sheetData>
  <mergeCells count="7">
    <mergeCell ref="A1:N1"/>
    <mergeCell ref="A11:B11"/>
    <mergeCell ref="A13:A15"/>
    <mergeCell ref="B13:B15"/>
    <mergeCell ref="C13:D13"/>
    <mergeCell ref="C14:D14"/>
    <mergeCell ref="B79:C79"/>
  </mergeCells>
  <drawing r:id="rId1"/>
</worksheet>
</file>