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
    </mc:Choice>
  </mc:AlternateContent>
  <xr:revisionPtr revIDLastSave="1580" documentId="8_{E864C1F8-EA88-47EC-9BD5-A12836E6CBF3}" xr6:coauthVersionLast="47" xr6:coauthVersionMax="47" xr10:uidLastSave="{1C70F980-1BBB-4624-A7C1-117D9CA095C3}"/>
  <bookViews>
    <workbookView xWindow="-120" yWindow="-120" windowWidth="29040" windowHeight="16440" tabRatio="877" activeTab="8" xr2:uid="{AD5D13B8-608A-45D0-BF49-1D412D2F6F28}"/>
  </bookViews>
  <sheets>
    <sheet name="Reference_values" sheetId="197" r:id="rId1"/>
    <sheet name="Country scaling parameters" sheetId="195" r:id="rId2"/>
    <sheet name="BTV splits" sheetId="207" r:id="rId3"/>
    <sheet name="ENTSO-E scenarios" sheetId="201" r:id="rId4"/>
    <sheet name="Sheet5" sheetId="208" r:id="rId5"/>
    <sheet name="Vehicle splits" sheetId="202" r:id="rId6"/>
    <sheet name="Fleet sizes" sheetId="203" r:id="rId7"/>
    <sheet name="parameters for model" sheetId="199" r:id="rId8"/>
    <sheet name="fleet_output" sheetId="204" r:id="rId9"/>
    <sheet name="Sources" sheetId="200" r:id="rId10"/>
    <sheet name="Sheet2" sheetId="205" r:id="rId11"/>
    <sheet name="Vehicle consumptions" sheetId="206" r:id="rId12"/>
  </sheets>
  <definedNames>
    <definedName name="bus_elctricity_consumption">'Vehicle consumptions'!$F$8</definedName>
    <definedName name="bus_fleet">'Fleet sizes'!$K$14:$K$43</definedName>
    <definedName name="bus_parameters">Reference_values!$E$49:$E$56</definedName>
    <definedName name="bus_reference_country_values">Reference_values!$F$49:$F$56</definedName>
    <definedName name="bus_scaling_factors_used">Reference_values!$H$49:$H$56</definedName>
    <definedName name="Bus_split_DE_2040_CNG">'ENTSO-E scenarios'!$AL$58:$AL$87</definedName>
    <definedName name="Bus_split_DE_2040_Diesel">'ENTSO-E scenarios'!$W$58:$W$87</definedName>
    <definedName name="Bus_split_DE_2040_Electricity">'ENTSO-E scenarios'!$G$58:$G$87</definedName>
    <definedName name="Bus_split_DE_2040_Gasoline">'ENTSO-E scenarios'!$O$58:$O$87</definedName>
    <definedName name="Bus_split_DE_2040_Hydrogen">'ENTSO-E scenarios'!$AE$58:$AE$87</definedName>
    <definedName name="Bus_split_DE_2040_LNG">'ENTSO-E scenarios'!$AS$58:$AS$87</definedName>
    <definedName name="Bus_split_DE_2050_CNG">'ENTSO-E scenarios'!$AM$58:$AM$87</definedName>
    <definedName name="Bus_split_DE_2050_Diesel">'ENTSO-E scenarios'!$X$58:$X$87</definedName>
    <definedName name="Bus_split_DE_2050_Electricity">'ENTSO-E scenarios'!$H$58:$H$87</definedName>
    <definedName name="Bus_split_DE_2050_Gasoline">'ENTSO-E scenarios'!$P$58:$P$87</definedName>
    <definedName name="Bus_split_DE_2050_Hydrogen">'ENTSO-E scenarios'!$AF$58:$AF$87</definedName>
    <definedName name="Bus_split_DE_2050_LNG">'ENTSO-E scenarios'!$AT$58:$AT$87</definedName>
    <definedName name="Bus_split_GA_2040_CNG">'ENTSO-E scenarios'!$AN$58:$AN$87</definedName>
    <definedName name="Bus_split_GA_2040_Diesel">'ENTSO-E scenarios'!$Y$58:$Y$87</definedName>
    <definedName name="Bus_split_GA_2040_Electricity">'ENTSO-E scenarios'!$I$58:$I$87</definedName>
    <definedName name="Bus_split_GA_2040_Gasoline">'ENTSO-E scenarios'!$Q$58:$Q$87</definedName>
    <definedName name="Bus_split_GA_2040_Hydrogen">'ENTSO-E scenarios'!$AG$58:$AG$87</definedName>
    <definedName name="Bus_split_GA_2040_LNG">'ENTSO-E scenarios'!$AU$58:$AU$87</definedName>
    <definedName name="Bus_split_GA_2050_CNG">'ENTSO-E scenarios'!$AO$58:$AO$87</definedName>
    <definedName name="Bus_split_GA_2050_Diesel">'ENTSO-E scenarios'!$Z$58:$Z$87</definedName>
    <definedName name="Bus_split_GA_2050_Electricity">'ENTSO-E scenarios'!$J$58:$J$87</definedName>
    <definedName name="Bus_split_GA_2050_Gasoline">'ENTSO-E scenarios'!$R$58:$R$87</definedName>
    <definedName name="Bus_split_GA_2050_Hydrogen">'ENTSO-E scenarios'!$AH$58:$AH$87</definedName>
    <definedName name="Bus_split_GA_2050_LNG">'ENTSO-E scenarios'!$AV$58:$AV$87</definedName>
    <definedName name="Bus_split_REF_2019_CNG">'ENTSO-E scenarios'!$AK$58:$AK$87</definedName>
    <definedName name="Bus_split_REF_2019_Diesel">'ENTSO-E scenarios'!$V$58:$V$87</definedName>
    <definedName name="Bus_split_REF_2019_Electricity">'ENTSO-E scenarios'!$F$58:$F$87</definedName>
    <definedName name="Bus_split_REF_2019_Gasoline">'ENTSO-E scenarios'!$N$58:$N$87</definedName>
    <definedName name="Bus_split_REF_2019_Hydrogen">'ENTSO-E scenarios'!$AD$58:$AD$87</definedName>
    <definedName name="Bus_split_REF_2019_LNG">'ENTSO-E scenarios'!$AR$58:$AR$87</definedName>
    <definedName name="Bus_splits_2030">'Vehicle splits'!$I$47:$O$76</definedName>
    <definedName name="Bus_splits_2040">'Vehicle splits'!$R$47:$X$76</definedName>
    <definedName name="Bus_splits_2050">'Vehicle splits'!$AA$47:$AG$76</definedName>
    <definedName name="car_electricity_consumption">'Vehicle consumptions'!$E$8</definedName>
    <definedName name="car_other_consumption">'Vehicle consumptions'!$E$9:$E$13</definedName>
    <definedName name="Car_splits_2030">'Vehicle splits'!$I$12:$O$41</definedName>
    <definedName name="Car_splits_2040">'Vehicle splits'!$R$12:$X$41</definedName>
    <definedName name="Car_splits_2050">'Vehicle splits'!$AA$12:$AG$41</definedName>
    <definedName name="Cars_amount">'Fleet sizes'!$G$14:$G$43</definedName>
    <definedName name="Cars_split_DE_2040_CNG">'ENTSO-E scenarios'!$AL$24:$AL$53</definedName>
    <definedName name="Cars_split_DE_2040_Diesel">'ENTSO-E scenarios'!$W$24:$W$53</definedName>
    <definedName name="Cars_split_DE_2040_Electricity">'ENTSO-E scenarios'!$G$24:$G$53</definedName>
    <definedName name="Cars_split_DE_2040_Gasoline">'ENTSO-E scenarios'!$O$24:$O$53</definedName>
    <definedName name="Cars_split_DE_2040_Hydrogen">'ENTSO-E scenarios'!$AE$24:$AE$53</definedName>
    <definedName name="Cars_split_DE_2040_LPG">'ENTSO-E scenarios'!$AS$24:$AS$53</definedName>
    <definedName name="Cars_split_DE_2050_CNG">'ENTSO-E scenarios'!$AM$24:$AM$53</definedName>
    <definedName name="Cars_split_DE_2050_Diesel">'ENTSO-E scenarios'!$X$24:$X$53</definedName>
    <definedName name="Cars_split_DE_2050_Electricity">'ENTSO-E scenarios'!$H$24:$H$53</definedName>
    <definedName name="Cars_split_DE_2050_Gasoline">'ENTSO-E scenarios'!$P$24:$P$53</definedName>
    <definedName name="Cars_split_DE_2050_Hydrogen">'ENTSO-E scenarios'!$AF$24:$AF$53</definedName>
    <definedName name="Cars_split_DE_2050_LPG">'ENTSO-E scenarios'!$AT$24:$AT$53</definedName>
    <definedName name="Cars_split_GA_2040_CNG">'ENTSO-E scenarios'!$AN$24:$AN$53</definedName>
    <definedName name="Cars_split_GA_2040_Diesel">'ENTSO-E scenarios'!$Y$24:$Y$53</definedName>
    <definedName name="Cars_split_GA_2040_Electricity">'ENTSO-E scenarios'!$I$24:$I$53</definedName>
    <definedName name="Cars_split_GA_2040_Gasoline">'ENTSO-E scenarios'!$Q$24:$Q$53</definedName>
    <definedName name="Cars_split_GA_2040_Hydrogen">'ENTSO-E scenarios'!$AG$24:$AG$53</definedName>
    <definedName name="Cars_split_GA_2040_LPG">'ENTSO-E scenarios'!$AU$24:$AU$53</definedName>
    <definedName name="Cars_split_GA_2050_CNG">'ENTSO-E scenarios'!$AO$24:$AO$53</definedName>
    <definedName name="Cars_split_GA_2050_Diesel">'ENTSO-E scenarios'!$Z$24:$Z$53</definedName>
    <definedName name="Cars_split_GA_2050_Electricity">'ENTSO-E scenarios'!$J$24:$J$53</definedName>
    <definedName name="Cars_split_GA_2050_Gasoline">'ENTSO-E scenarios'!$R$24:$R$53</definedName>
    <definedName name="Cars_split_GA_2050_Hydrogen">'ENTSO-E scenarios'!$AH$24:$AH$53</definedName>
    <definedName name="Cars_split_GA_2050_LPG">'ENTSO-E scenarios'!$AV$24:$AV$53</definedName>
    <definedName name="Cars_split_REF_2019_CNG">'ENTSO-E scenarios'!$AK$24:$AK$53</definedName>
    <definedName name="Cars_split_REF_2019_Diesel">'ENTSO-E scenarios'!$V$24:$V$53</definedName>
    <definedName name="Cars_split_REF_2019_Electricity">'ENTSO-E scenarios'!$F$24:$F$53</definedName>
    <definedName name="Cars_split_REF_2019_Gasoline">'ENTSO-E scenarios'!$N$24:$N$53</definedName>
    <definedName name="Cars_split_REF_2019_Hydrogen">'ENTSO-E scenarios'!$AD$24:$AD$53</definedName>
    <definedName name="Cars_split_REF_2019_LPG">'ENTSO-E scenarios'!$AR$24:$AR$53</definedName>
    <definedName name="countries">'Country scaling parameters'!$D$10:$D$39</definedName>
    <definedName name="Country_abbreviations">'Country scaling parameters'!$C$10:$C$39</definedName>
    <definedName name="country_scaling_factors">'Country scaling parameters'!$E$51:$G$80</definedName>
    <definedName name="Fleet_split_country_abbreviations">'ENTSO-E scenarios'!$E$58:$E$87</definedName>
    <definedName name="own_driveway_fleet">'Fleet sizes'!$I$14:$I$43</definedName>
    <definedName name="parameters">Reference_values!$E$14:$E$39</definedName>
    <definedName name="percent_living_in_houses">'Fleet sizes'!$H$14:$H$43</definedName>
    <definedName name="reference_country">'Country scaling parameters'!$D$45</definedName>
    <definedName name="reference_country_values">Reference_values!$F$14:$F$39</definedName>
    <definedName name="Scaling_Factor_Categories">Reference_values!$E$5:$E$7</definedName>
    <definedName name="scaling_factors_used">Reference_values!$H$14:$H$39</definedName>
    <definedName name="scaling_input_values">'Country scaling parameters'!$E$10:$G$39</definedName>
    <definedName name="street_parking_fleet">'Fleet sizes'!$J$14:$J$43</definedName>
    <definedName name="truck_elctricity_consumption">'Vehicle consumptions'!$G$8</definedName>
    <definedName name="truck_fleet">'Fleet sizes'!$L$14:$L$43</definedName>
    <definedName name="truck_parameters">Reference_values!$E$63:$E$66</definedName>
    <definedName name="truck_reference_country_values">Reference_values!$F$63:$F$66</definedName>
    <definedName name="truck_scaling_factors_used">Reference_values!$H$63:$H$66</definedName>
    <definedName name="Truck_split_DE_2040_CNG">'ENTSO-E scenarios'!$AL$92:$AL$121</definedName>
    <definedName name="Truck_split_DE_2040_Diesel">'ENTSO-E scenarios'!$W$92:$W$121</definedName>
    <definedName name="Truck_split_DE_2040_Electricity">'ENTSO-E scenarios'!$G$92:$G$121</definedName>
    <definedName name="Truck_split_DE_2040_Gasoline">'ENTSO-E scenarios'!$O$92:$O$121</definedName>
    <definedName name="Truck_split_DE_2040_Hydrogen">'ENTSO-E scenarios'!$AE$92:$AE$121</definedName>
    <definedName name="Truck_split_DE_2040_LNG">'ENTSO-E scenarios'!$AS$92:$AS$121</definedName>
    <definedName name="Truck_split_DE_2050_CNG">'ENTSO-E scenarios'!$AM$92:$AM$121</definedName>
    <definedName name="Truck_split_DE_2050_Diesel">'ENTSO-E scenarios'!$X$92:$X$121</definedName>
    <definedName name="Truck_split_DE_2050_Electricity">'ENTSO-E scenarios'!$H$92:$H$121</definedName>
    <definedName name="Truck_split_DE_2050_Gasoline">'ENTSO-E scenarios'!$P$92:$P$121</definedName>
    <definedName name="Truck_split_DE_2050_Hydrogen">'ENTSO-E scenarios'!$AF$92:$AF$121</definedName>
    <definedName name="Truck_split_DE_2050_LNG">'ENTSO-E scenarios'!$AT$92:$AT$121</definedName>
    <definedName name="Truck_split_GA_2040_CNG">'ENTSO-E scenarios'!$AN$92:$AN$121</definedName>
    <definedName name="Truck_split_GA_2040_Diesel">'ENTSO-E scenarios'!$Y$92:$Y$121</definedName>
    <definedName name="Truck_split_GA_2040_Electricity">'ENTSO-E scenarios'!$I$92:$I$121</definedName>
    <definedName name="Truck_split_GA_2040_Gasoline">'ENTSO-E scenarios'!$Q$92:$Q$121</definedName>
    <definedName name="Truck_split_GA_2040_Hydrogen">'ENTSO-E scenarios'!$AG$92:$AG$121</definedName>
    <definedName name="Truck_split_GA_2040_LNG">'ENTSO-E scenarios'!$AU$92:$AU$121</definedName>
    <definedName name="Truck_split_GA_2050_CNG">'ENTSO-E scenarios'!$AO$92:$AO$121</definedName>
    <definedName name="Truck_split_GA_2050_Diesel">'ENTSO-E scenarios'!$Z$92:$Z$121</definedName>
    <definedName name="Truck_split_GA_2050_Electricity">'ENTSO-E scenarios'!$J$92:$J$121</definedName>
    <definedName name="Truck_split_GA_2050_Gasoline">'ENTSO-E scenarios'!$R$92:$R$121</definedName>
    <definedName name="Truck_split_GA_2050_Hydrogen">'ENTSO-E scenarios'!$AH$92:$AH$121</definedName>
    <definedName name="Truck_split_GA_2050_LNG">'ENTSO-E scenarios'!$AV$92:$AV$121</definedName>
    <definedName name="Truck_split_REF_2019_CNG">'ENTSO-E scenarios'!$AK$92:$AK$121</definedName>
    <definedName name="Truck_split_REF_2019_Diesel">'ENTSO-E scenarios'!$V$92:$V$121</definedName>
    <definedName name="Truck_split_REF_2019_Electricity">'ENTSO-E scenarios'!$F$92:$F$121</definedName>
    <definedName name="Truck_split_REF_2019_Gasoline">'ENTSO-E scenarios'!$N$92:$N$121</definedName>
    <definedName name="Truck_split_REF_2019_Hydrogen">'ENTSO-E scenarios'!$AD$92:$AD$121</definedName>
    <definedName name="Truck_split_REF_2019_LNG">'ENTSO-E scenarios'!$AR$92:$AR$121</definedName>
    <definedName name="Truck_splits_2030">'Vehicle splits'!$I$85:$O$114</definedName>
    <definedName name="Truck_splits_2040">'Vehicle splits'!$R$85:$X$114</definedName>
    <definedName name="Truck_splits_2050">'Vehicle splits'!$AA$85:$AG$114</definedName>
    <definedName name="van_elctricity_consumption">'Vehicle consumptions'!$H$8</definedName>
    <definedName name="van_fleet">'Fleet sizes'!$M$14:$M$43</definedName>
    <definedName name="van_parameters">Reference_values!$E$70:$E$73</definedName>
    <definedName name="van_reference_country_values">Reference_values!$F$70:$F$73</definedName>
    <definedName name="van_scaling_factors_used">Reference_values!$H$70:$H$73</definedName>
    <definedName name="Van_split_DE_2040_CNG">'ENTSO-E scenarios'!$AL$127:$AL$156</definedName>
    <definedName name="Van_split_DE_2040_Diesel">'ENTSO-E scenarios'!$W$127:$W$156</definedName>
    <definedName name="Van_split_DE_2040_Electricity">'ENTSO-E scenarios'!$G$127:$G$156</definedName>
    <definedName name="Van_split_DE_2040_Gasoline">'ENTSO-E scenarios'!$O$127:$O$156</definedName>
    <definedName name="Van_split_DE_2040_Hydrogen">'ENTSO-E scenarios'!$AE$127:$AE$156</definedName>
    <definedName name="Van_split_DE_2040_LPG">'ENTSO-E scenarios'!$AS$127:$AS$156</definedName>
    <definedName name="Van_split_DE_2050_CNG">'ENTSO-E scenarios'!$AM$127:$AM$156</definedName>
    <definedName name="Van_split_DE_2050_Diesel">'ENTSO-E scenarios'!$X$127:$X$156</definedName>
    <definedName name="Van_split_DE_2050_Electricity">'ENTSO-E scenarios'!$H$127:$H$156</definedName>
    <definedName name="Van_split_DE_2050_Gasoline">'ENTSO-E scenarios'!$P$127:$P$156</definedName>
    <definedName name="Van_split_DE_2050_Hydrogen">'ENTSO-E scenarios'!$AF$127:$AF$156</definedName>
    <definedName name="Van_split_DE_2050_LPG">'ENTSO-E scenarios'!$AT$127:$AT$156</definedName>
    <definedName name="Van_split_GA_2040_CNG">'ENTSO-E scenarios'!$AN$127:$AN$156</definedName>
    <definedName name="Van_split_GA_2040_Diesel">'ENTSO-E scenarios'!$Y$127:$Y$156</definedName>
    <definedName name="Van_split_GA_2040_Electricity">'ENTSO-E scenarios'!$I$127:$I$156</definedName>
    <definedName name="Van_split_GA_2040_Gasoline">'ENTSO-E scenarios'!$Q$127:$Q$156</definedName>
    <definedName name="Van_split_GA_2040_Hydrogen">'ENTSO-E scenarios'!$AG$127:$AG$156</definedName>
    <definedName name="Van_split_GA_2040_LPG">'ENTSO-E scenarios'!$AU$127:$AU$156</definedName>
    <definedName name="Van_split_GA_2050_CNG">'ENTSO-E scenarios'!$AO$127:$AO$156</definedName>
    <definedName name="Van_split_GA_2050_Diesel">'ENTSO-E scenarios'!$Z$127:$Z$156</definedName>
    <definedName name="Van_split_GA_2050_Electricity">'ENTSO-E scenarios'!$J$127:$J$156</definedName>
    <definedName name="Van_split_GA_2050_Gasoline">'ENTSO-E scenarios'!$R$127:$R$156</definedName>
    <definedName name="Van_split_GA_2050_Hydrogen">'ENTSO-E scenarios'!$AH$127:$AH$156</definedName>
    <definedName name="Van_split_GA_2050_LPG">'ENTSO-E scenarios'!$AV$127:$AV$156</definedName>
    <definedName name="Van_split_REF_2019_CNG">'ENTSO-E scenarios'!$AK$127:$AK$156</definedName>
    <definedName name="Van_split_REF_2019_Diesel">'ENTSO-E scenarios'!$V$127:$V$156</definedName>
    <definedName name="Van_split_REF_2019_Electricity">'ENTSO-E scenarios'!$F$127:$F$156</definedName>
    <definedName name="Van_split_REF_2019_Gasoline">'ENTSO-E scenarios'!$N$127:$N$156</definedName>
    <definedName name="Van_split_REF_2019_Hydrogen">'ENTSO-E scenarios'!$AD$127:$AD$156</definedName>
    <definedName name="Van_split_REF_2019_LPG">'ENTSO-E scenarios'!$AR$127:$AR$156</definedName>
    <definedName name="Van_splits_2030">'Vehicle splits'!$I$126:$O$155</definedName>
    <definedName name="Van_splits_2040">'Vehicle splits'!$R$126:$X$155</definedName>
    <definedName name="Van_splits_2050">'Vehicle splits'!$AA$126:$AG$155</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5" i="204" l="1" a="1"/>
  <c r="B515" i="204" s="1"/>
  <c r="B485" i="204" a="1"/>
  <c r="B485" i="204" s="1"/>
  <c r="D515" i="204" a="1"/>
  <c r="D515" i="204" s="1"/>
  <c r="C515" i="204" a="1"/>
  <c r="C515" i="204" s="1"/>
  <c r="D485" i="204" a="1"/>
  <c r="D485" i="204" s="1"/>
  <c r="C485" i="204" a="1"/>
  <c r="C485" i="204" s="1"/>
  <c r="D455" i="204" a="1"/>
  <c r="D455" i="204" s="1"/>
  <c r="C455" i="204" a="1"/>
  <c r="C455" i="204" s="1"/>
  <c r="B455" i="204" a="1"/>
  <c r="B455" i="204" s="1"/>
  <c r="B155" i="204" a="1"/>
  <c r="B155" i="204" s="1"/>
  <c r="B125" i="204" a="1"/>
  <c r="B125" i="204" s="1"/>
  <c r="B95" i="204" a="1"/>
  <c r="B95" i="204" s="1"/>
  <c r="B65" i="204" a="1"/>
  <c r="B65" i="204" s="1"/>
  <c r="B35" i="204" a="1"/>
  <c r="B35" i="204" s="1"/>
  <c r="B5" i="204" a="1"/>
  <c r="B5" i="204" s="1"/>
  <c r="AV121" i="201"/>
  <c r="AU121" i="201"/>
  <c r="AT121" i="201"/>
  <c r="AS121" i="201"/>
  <c r="AR121" i="201"/>
  <c r="AO121" i="201"/>
  <c r="AN121" i="201"/>
  <c r="AM121" i="201"/>
  <c r="AL121" i="201"/>
  <c r="AK121" i="201"/>
  <c r="AH121" i="201"/>
  <c r="AG121" i="201"/>
  <c r="AF121" i="201"/>
  <c r="AE121" i="201"/>
  <c r="AD121" i="201"/>
  <c r="Z121" i="201"/>
  <c r="Y121" i="201"/>
  <c r="X121" i="201"/>
  <c r="W121" i="201"/>
  <c r="V121" i="201"/>
  <c r="R121" i="201"/>
  <c r="Q121" i="201"/>
  <c r="P121" i="201"/>
  <c r="O121" i="201"/>
  <c r="N121" i="201"/>
  <c r="G121" i="201"/>
  <c r="H121" i="201"/>
  <c r="I121" i="201"/>
  <c r="J121" i="201"/>
  <c r="F121" i="201"/>
  <c r="AV119" i="201"/>
  <c r="AU119" i="201"/>
  <c r="AT119" i="201"/>
  <c r="AS119" i="201"/>
  <c r="AR119" i="201"/>
  <c r="AO119" i="201"/>
  <c r="AN119" i="201"/>
  <c r="AM119" i="201"/>
  <c r="AL119" i="201"/>
  <c r="AK119" i="201"/>
  <c r="AH119" i="201"/>
  <c r="AG119" i="201"/>
  <c r="AF119" i="201"/>
  <c r="AE119" i="201"/>
  <c r="AD119" i="201"/>
  <c r="Z119" i="201"/>
  <c r="Y119" i="201"/>
  <c r="X119" i="201"/>
  <c r="W119" i="201"/>
  <c r="V119" i="201"/>
  <c r="R119" i="201"/>
  <c r="Q119" i="201"/>
  <c r="P119" i="201"/>
  <c r="O119" i="201"/>
  <c r="N119" i="201"/>
  <c r="G119" i="201"/>
  <c r="H119" i="201"/>
  <c r="I119" i="201"/>
  <c r="J119" i="201"/>
  <c r="F119" i="201"/>
  <c r="AV120" i="201"/>
  <c r="AU120" i="201"/>
  <c r="AT120" i="201"/>
  <c r="AS120" i="201"/>
  <c r="AR120" i="201"/>
  <c r="AO120" i="201"/>
  <c r="AN120" i="201"/>
  <c r="AM120" i="201"/>
  <c r="AL120" i="201"/>
  <c r="AK120" i="201"/>
  <c r="AH120" i="201"/>
  <c r="AG120" i="201"/>
  <c r="AF120" i="201"/>
  <c r="AE120" i="201"/>
  <c r="AD120" i="201"/>
  <c r="Z120" i="201"/>
  <c r="Y120" i="201"/>
  <c r="X120" i="201"/>
  <c r="W120" i="201"/>
  <c r="V120" i="201"/>
  <c r="R120" i="201"/>
  <c r="Q120" i="201"/>
  <c r="P120" i="201"/>
  <c r="O120" i="201"/>
  <c r="N120" i="201"/>
  <c r="G120" i="201"/>
  <c r="H120" i="201"/>
  <c r="I120" i="201"/>
  <c r="J120" i="201"/>
  <c r="F120" i="201"/>
  <c r="AV87" i="201"/>
  <c r="AU87" i="201"/>
  <c r="AT87" i="201"/>
  <c r="AS87" i="201"/>
  <c r="AR87" i="201"/>
  <c r="AV86" i="201"/>
  <c r="AU86" i="201"/>
  <c r="AT86" i="201"/>
  <c r="AS86" i="201"/>
  <c r="AR86" i="201"/>
  <c r="AV85" i="201"/>
  <c r="AU85" i="201"/>
  <c r="AT85" i="201"/>
  <c r="AS85" i="201"/>
  <c r="AR85" i="201"/>
  <c r="AO87" i="201"/>
  <c r="AN87" i="201"/>
  <c r="AM87" i="201"/>
  <c r="AL87" i="201"/>
  <c r="AK87" i="201"/>
  <c r="AO86" i="201"/>
  <c r="AN86" i="201"/>
  <c r="AM86" i="201"/>
  <c r="AL86" i="201"/>
  <c r="AK86" i="201"/>
  <c r="AO85" i="201"/>
  <c r="AN85" i="201"/>
  <c r="AM85" i="201"/>
  <c r="AL85" i="201"/>
  <c r="AK85" i="201"/>
  <c r="AH87" i="201"/>
  <c r="AG87" i="201"/>
  <c r="AF87" i="201"/>
  <c r="AE87" i="201"/>
  <c r="AD87" i="201"/>
  <c r="AH86" i="201"/>
  <c r="AG86" i="201"/>
  <c r="AF86" i="201"/>
  <c r="AE86" i="201"/>
  <c r="AD86" i="201"/>
  <c r="AH85" i="201"/>
  <c r="AG85" i="201"/>
  <c r="AF85" i="201"/>
  <c r="AE85" i="201"/>
  <c r="AD85" i="201"/>
  <c r="AV156" i="201"/>
  <c r="AU156" i="201"/>
  <c r="AT156" i="201"/>
  <c r="AS156" i="201"/>
  <c r="AR156" i="201"/>
  <c r="AV155" i="201"/>
  <c r="AU155" i="201"/>
  <c r="AT155" i="201"/>
  <c r="AS155" i="201"/>
  <c r="AR155" i="201"/>
  <c r="AO156" i="201"/>
  <c r="AN156" i="201"/>
  <c r="AM156" i="201"/>
  <c r="AL156" i="201"/>
  <c r="AK156" i="201"/>
  <c r="AO155" i="201"/>
  <c r="AN155" i="201"/>
  <c r="AM155" i="201"/>
  <c r="AL155" i="201"/>
  <c r="AK155" i="201"/>
  <c r="AH156" i="201"/>
  <c r="AG156" i="201"/>
  <c r="AF156" i="201"/>
  <c r="AE156" i="201"/>
  <c r="AD156" i="201"/>
  <c r="AH155" i="201"/>
  <c r="AG155" i="201"/>
  <c r="AF155" i="201"/>
  <c r="AE155" i="201"/>
  <c r="AD155" i="201"/>
  <c r="Z156" i="201" l="1"/>
  <c r="Y156" i="201"/>
  <c r="X156" i="201"/>
  <c r="W156" i="201"/>
  <c r="V156" i="201"/>
  <c r="R156" i="201"/>
  <c r="Q156" i="201"/>
  <c r="P156" i="201"/>
  <c r="O156" i="201"/>
  <c r="N156" i="201"/>
  <c r="G156" i="201"/>
  <c r="H156" i="201"/>
  <c r="I156" i="201"/>
  <c r="J156" i="201"/>
  <c r="F156" i="201"/>
  <c r="Z155" i="201"/>
  <c r="Y155" i="201"/>
  <c r="X155" i="201"/>
  <c r="W155" i="201"/>
  <c r="V155" i="201"/>
  <c r="R155" i="201"/>
  <c r="Q155" i="201"/>
  <c r="P155" i="201"/>
  <c r="O155" i="201"/>
  <c r="N155" i="201"/>
  <c r="G155" i="201"/>
  <c r="H155" i="201"/>
  <c r="I155" i="201"/>
  <c r="J155" i="201"/>
  <c r="F155" i="201"/>
  <c r="Z87" i="201"/>
  <c r="Y87" i="201"/>
  <c r="X87" i="201"/>
  <c r="W87" i="201"/>
  <c r="V87" i="201"/>
  <c r="Z86" i="201"/>
  <c r="Y86" i="201"/>
  <c r="X86" i="201"/>
  <c r="W86" i="201"/>
  <c r="V86" i="201"/>
  <c r="Z85" i="201"/>
  <c r="Y85" i="201"/>
  <c r="X85" i="201"/>
  <c r="W85" i="201"/>
  <c r="V85" i="201"/>
  <c r="R87" i="201"/>
  <c r="Q87" i="201"/>
  <c r="P87" i="201"/>
  <c r="O87" i="201"/>
  <c r="N87" i="201"/>
  <c r="R86" i="201"/>
  <c r="Q86" i="201"/>
  <c r="P86" i="201"/>
  <c r="O86" i="201"/>
  <c r="N86" i="201"/>
  <c r="R85" i="201"/>
  <c r="Q85" i="201"/>
  <c r="P85" i="201"/>
  <c r="O85" i="201"/>
  <c r="N85" i="201"/>
  <c r="G85" i="201"/>
  <c r="H85" i="201"/>
  <c r="I85" i="201"/>
  <c r="J85" i="201"/>
  <c r="G86" i="201"/>
  <c r="H86" i="201"/>
  <c r="I86" i="201"/>
  <c r="J86" i="201"/>
  <c r="G87" i="201"/>
  <c r="H87" i="201"/>
  <c r="I87" i="201"/>
  <c r="J87" i="201"/>
  <c r="F87" i="201"/>
  <c r="F86" i="201"/>
  <c r="F85" i="201"/>
  <c r="S18" i="207"/>
  <c r="S23" i="207"/>
  <c r="T23" i="207"/>
  <c r="U23" i="207"/>
  <c r="S20" i="207"/>
  <c r="T20" i="207"/>
  <c r="U20" i="207"/>
  <c r="S35" i="207"/>
  <c r="T35" i="207"/>
  <c r="U35" i="207"/>
  <c r="S32" i="207"/>
  <c r="T32" i="207"/>
  <c r="U32" i="207"/>
  <c r="S17" i="207"/>
  <c r="T17" i="207"/>
  <c r="U17" i="207"/>
  <c r="S16" i="207"/>
  <c r="T16" i="207"/>
  <c r="U16" i="207"/>
  <c r="S34" i="207"/>
  <c r="T34" i="207"/>
  <c r="U34" i="207"/>
  <c r="S36" i="207"/>
  <c r="T36" i="207"/>
  <c r="U36" i="207"/>
  <c r="S24" i="207"/>
  <c r="T24" i="207"/>
  <c r="U24" i="207"/>
  <c r="S14" i="207"/>
  <c r="T14" i="207"/>
  <c r="U14" i="207"/>
  <c r="S15" i="207"/>
  <c r="T15" i="207"/>
  <c r="U15" i="207"/>
  <c r="S37" i="207"/>
  <c r="T37" i="207"/>
  <c r="U37" i="207"/>
  <c r="S13" i="207"/>
  <c r="T13" i="207"/>
  <c r="U13" i="207"/>
  <c r="S30" i="207"/>
  <c r="T30" i="207"/>
  <c r="U30" i="207"/>
  <c r="S38" i="207"/>
  <c r="T38" i="207"/>
  <c r="U38" i="207"/>
  <c r="S31" i="207"/>
  <c r="T31" i="207"/>
  <c r="U31" i="207"/>
  <c r="S12" i="207"/>
  <c r="T12" i="207"/>
  <c r="U12" i="207"/>
  <c r="S29" i="207"/>
  <c r="T29" i="207"/>
  <c r="U29" i="207"/>
  <c r="S28" i="207"/>
  <c r="T28" i="207"/>
  <c r="U28" i="207"/>
  <c r="S10" i="207"/>
  <c r="T10" i="207"/>
  <c r="U10" i="207"/>
  <c r="T18" i="207"/>
  <c r="U18" i="207"/>
  <c r="S27" i="207"/>
  <c r="T27" i="207"/>
  <c r="U27" i="207"/>
  <c r="S39" i="207"/>
  <c r="T39" i="207"/>
  <c r="U39" i="207"/>
  <c r="S33" i="207"/>
  <c r="T33" i="207"/>
  <c r="U33" i="207"/>
  <c r="S40" i="207"/>
  <c r="T40" i="207"/>
  <c r="U40" i="207"/>
  <c r="S22" i="207"/>
  <c r="T22" i="207"/>
  <c r="U22" i="207"/>
  <c r="S21" i="207"/>
  <c r="T21" i="207"/>
  <c r="U21" i="207"/>
  <c r="S25" i="207"/>
  <c r="T25" i="207"/>
  <c r="U25" i="207"/>
  <c r="S11" i="207"/>
  <c r="T11" i="207"/>
  <c r="U11" i="207"/>
  <c r="S19" i="207"/>
  <c r="T19" i="207"/>
  <c r="U19" i="207"/>
  <c r="T26" i="207"/>
  <c r="U26" i="207"/>
  <c r="S26" i="207"/>
  <c r="G108" i="199" a="1"/>
  <c r="G108" i="199" s="1"/>
  <c r="G107" i="199" a="1"/>
  <c r="G107" i="199" s="1"/>
  <c r="F108" i="199" a="1"/>
  <c r="F108" i="199" s="1"/>
  <c r="G73" i="199" a="1"/>
  <c r="G73" i="199" s="1"/>
  <c r="G72" i="199" a="1"/>
  <c r="G72" i="199" s="1"/>
  <c r="F73" i="199" a="1"/>
  <c r="F73" i="199" s="1"/>
  <c r="G39" i="199" a="1"/>
  <c r="G39" i="199" s="1"/>
  <c r="G4" i="199" a="1"/>
  <c r="G4" i="199" s="1"/>
  <c r="G38" i="199" a="1"/>
  <c r="G38" i="199" s="1"/>
  <c r="F39" i="199" a="1"/>
  <c r="F39" i="199" s="1"/>
  <c r="G38" i="206"/>
  <c r="G36" i="206"/>
  <c r="F18" i="206"/>
  <c r="G16" i="206"/>
  <c r="J28" i="200"/>
  <c r="H8" i="206"/>
  <c r="H9" i="206" a="1"/>
  <c r="H9" i="206" s="1"/>
  <c r="G9" i="206" a="1"/>
  <c r="G9" i="206" s="1"/>
  <c r="F9" i="206" a="1"/>
  <c r="F9" i="206" s="1"/>
  <c r="M16" i="203"/>
  <c r="L16" i="203"/>
  <c r="M32" i="203"/>
  <c r="L32" i="203"/>
  <c r="O15" i="203"/>
  <c r="O16" i="203"/>
  <c r="O17" i="203"/>
  <c r="O18" i="203"/>
  <c r="O19" i="203"/>
  <c r="O20" i="203"/>
  <c r="O21" i="203"/>
  <c r="O22" i="203"/>
  <c r="O23" i="203"/>
  <c r="O24" i="203"/>
  <c r="O25" i="203"/>
  <c r="O26" i="203"/>
  <c r="O27" i="203"/>
  <c r="O28" i="203"/>
  <c r="O29" i="203"/>
  <c r="O30" i="203"/>
  <c r="O31" i="203"/>
  <c r="O32" i="203"/>
  <c r="O33" i="203"/>
  <c r="O34" i="203"/>
  <c r="O35" i="203"/>
  <c r="O36" i="203"/>
  <c r="O37" i="203"/>
  <c r="O38" i="203"/>
  <c r="O39" i="203"/>
  <c r="O40" i="203"/>
  <c r="O41" i="203"/>
  <c r="O42" i="203"/>
  <c r="O43" i="203"/>
  <c r="O14" i="203"/>
  <c r="C395" i="204" a="1"/>
  <c r="C395" i="204" s="1"/>
  <c r="C425" i="204" a="1"/>
  <c r="C425" i="204" s="1"/>
  <c r="B425" i="204" a="1"/>
  <c r="B425" i="204" s="1"/>
  <c r="B395" i="204" a="1"/>
  <c r="B395" i="204" s="1"/>
  <c r="B365" i="204" a="1"/>
  <c r="B365" i="204" s="1"/>
  <c r="C335" i="204" a="1"/>
  <c r="C335" i="204" s="1"/>
  <c r="B335" i="204" a="1"/>
  <c r="B335" i="204" s="1"/>
  <c r="C305" i="204" a="1"/>
  <c r="C305" i="204" s="1"/>
  <c r="B305" i="204" a="1"/>
  <c r="B305" i="204" s="1"/>
  <c r="C275" i="204" a="1"/>
  <c r="C275" i="204" s="1"/>
  <c r="B275" i="204" a="1"/>
  <c r="B275" i="204" s="1"/>
  <c r="B245" i="204" a="1"/>
  <c r="B245" i="204" s="1"/>
  <c r="C245" i="204" a="1"/>
  <c r="C245" i="204" s="1"/>
  <c r="C215" i="204" a="1"/>
  <c r="C215" i="204" s="1"/>
  <c r="B215" i="204" a="1"/>
  <c r="B215" i="204" s="1"/>
  <c r="C185" i="204" a="1"/>
  <c r="C185" i="204" s="1"/>
  <c r="B185" i="204" a="1"/>
  <c r="B185" i="204" s="1"/>
  <c r="I14" i="203" a="1"/>
  <c r="I14" i="203" s="1"/>
  <c r="C5" i="204" s="1" a="1"/>
  <c r="C5" i="204" s="1"/>
  <c r="AG126" i="202" a="1"/>
  <c r="AG126" i="202" s="1"/>
  <c r="AE126" i="202" a="1"/>
  <c r="AE126" i="202" s="1"/>
  <c r="X126" i="202" a="1"/>
  <c r="X126" i="202" s="1"/>
  <c r="V126" i="202" a="1"/>
  <c r="V126" i="202" s="1"/>
  <c r="AF85" i="202" a="1"/>
  <c r="AF85" i="202" s="1"/>
  <c r="AE85" i="202" a="1"/>
  <c r="AE85" i="202" s="1"/>
  <c r="W85" i="202" a="1"/>
  <c r="W85" i="202" s="1"/>
  <c r="V85" i="202" a="1"/>
  <c r="V85" i="202" s="1"/>
  <c r="AF47" i="202" a="1"/>
  <c r="AF47" i="202" s="1"/>
  <c r="AE47" i="202" a="1"/>
  <c r="AE47" i="202" s="1"/>
  <c r="W47" i="202" a="1"/>
  <c r="W47" i="202" s="1"/>
  <c r="V47" i="202" a="1"/>
  <c r="V47" i="202" s="1"/>
  <c r="AG12" i="202" a="1"/>
  <c r="AG12" i="202" s="1"/>
  <c r="AE12" i="202" a="1"/>
  <c r="AE12" i="202" s="1"/>
  <c r="X12" i="202" a="1"/>
  <c r="X12" i="202" s="1"/>
  <c r="V12" i="202" a="1"/>
  <c r="V12" i="202" s="1"/>
  <c r="N47" i="202" a="1"/>
  <c r="N47" i="202" s="1"/>
  <c r="N85" i="202" a="1"/>
  <c r="N85" i="202" s="1"/>
  <c r="O12" i="202" a="1"/>
  <c r="O12" i="202" s="1"/>
  <c r="O126" i="202" a="1"/>
  <c r="O126" i="202" s="1"/>
  <c r="M85" i="202" a="1"/>
  <c r="M85" i="202" s="1"/>
  <c r="M47" i="202" a="1"/>
  <c r="M47" i="202" s="1"/>
  <c r="M12" i="202" a="1"/>
  <c r="M12" i="202" s="1"/>
  <c r="AV53" i="201"/>
  <c r="AU53" i="201"/>
  <c r="AT53" i="201"/>
  <c r="AS53" i="201"/>
  <c r="AR53" i="201"/>
  <c r="AV52" i="201"/>
  <c r="AU52" i="201"/>
  <c r="AT52" i="201"/>
  <c r="AS52" i="201"/>
  <c r="AR52" i="201"/>
  <c r="M126" i="202" a="1"/>
  <c r="M126" i="202" s="1"/>
  <c r="AO53" i="201"/>
  <c r="AN53" i="201"/>
  <c r="AM53" i="201"/>
  <c r="AL53" i="201"/>
  <c r="AK53" i="201"/>
  <c r="AO52" i="201"/>
  <c r="AN52" i="201"/>
  <c r="AM52" i="201"/>
  <c r="AL52" i="201"/>
  <c r="AK52" i="201"/>
  <c r="F36" i="197"/>
  <c r="F37" i="197"/>
  <c r="F35" i="197"/>
  <c r="F34" i="197"/>
  <c r="F33" i="197"/>
  <c r="AH53" i="201"/>
  <c r="AG53" i="201"/>
  <c r="AF53" i="201"/>
  <c r="AE53" i="201"/>
  <c r="AD53" i="201"/>
  <c r="AH52" i="201"/>
  <c r="AG52" i="201"/>
  <c r="AF52" i="201"/>
  <c r="AE52" i="201"/>
  <c r="AD52" i="201"/>
  <c r="Z53" i="201"/>
  <c r="Y53" i="201"/>
  <c r="X53" i="201"/>
  <c r="W53" i="201"/>
  <c r="V53" i="201"/>
  <c r="Z52" i="201"/>
  <c r="Y52" i="201"/>
  <c r="X52" i="201"/>
  <c r="W52" i="201"/>
  <c r="V52" i="201"/>
  <c r="R53" i="201"/>
  <c r="Q53" i="201"/>
  <c r="P53" i="201"/>
  <c r="O53" i="201"/>
  <c r="N53" i="201"/>
  <c r="R52" i="201"/>
  <c r="Q52" i="201"/>
  <c r="P52" i="201"/>
  <c r="O52" i="201"/>
  <c r="N52" i="201"/>
  <c r="J12" i="202" s="1" a="1"/>
  <c r="J12" i="202" s="1"/>
  <c r="G52" i="201"/>
  <c r="H52" i="201"/>
  <c r="I52" i="201"/>
  <c r="J52" i="201"/>
  <c r="G53" i="201"/>
  <c r="H53" i="201"/>
  <c r="I53" i="201"/>
  <c r="R12" i="202" s="1" a="1"/>
  <c r="R12" i="202" s="1"/>
  <c r="J53" i="201"/>
  <c r="AA12" i="202" s="1" a="1"/>
  <c r="AA12" i="202" s="1"/>
  <c r="F53" i="201"/>
  <c r="F52" i="201"/>
  <c r="F14" i="203" a="1"/>
  <c r="F14" i="203" s="1"/>
  <c r="AD126" i="202" a="1"/>
  <c r="AD126" i="202" s="1"/>
  <c r="AC126" i="202" a="1"/>
  <c r="AC126" i="202" s="1"/>
  <c r="AB126" i="202" a="1"/>
  <c r="AB126" i="202" s="1"/>
  <c r="AA126" i="202" a="1"/>
  <c r="AA126" i="202" s="1"/>
  <c r="U126" i="202" a="1"/>
  <c r="U126" i="202" s="1"/>
  <c r="T126" i="202" a="1"/>
  <c r="T126" i="202" s="1"/>
  <c r="S126" i="202" a="1"/>
  <c r="S126" i="202" s="1"/>
  <c r="R126" i="202" a="1"/>
  <c r="R126" i="202" s="1"/>
  <c r="L126" i="202" a="1"/>
  <c r="L126" i="202" s="1"/>
  <c r="K126" i="202" a="1"/>
  <c r="K126" i="202" s="1"/>
  <c r="J126" i="202" a="1"/>
  <c r="J126" i="202" s="1"/>
  <c r="I126" i="202" a="1"/>
  <c r="I126" i="202" s="1"/>
  <c r="AD85" i="202" a="1"/>
  <c r="AD85" i="202" s="1"/>
  <c r="AC85" i="202" a="1"/>
  <c r="AC85" i="202" s="1"/>
  <c r="AB85" i="202" a="1"/>
  <c r="AB85" i="202" s="1"/>
  <c r="AA85" i="202" a="1"/>
  <c r="AA85" i="202" s="1"/>
  <c r="U85" i="202" a="1"/>
  <c r="U85" i="202" s="1"/>
  <c r="T85" i="202" a="1"/>
  <c r="T85" i="202" s="1"/>
  <c r="S85" i="202" a="1"/>
  <c r="S85" i="202" s="1"/>
  <c r="R85" i="202" a="1"/>
  <c r="R85" i="202" s="1"/>
  <c r="L85" i="202" a="1"/>
  <c r="L85" i="202" s="1"/>
  <c r="K85" i="202" a="1"/>
  <c r="K85" i="202" s="1"/>
  <c r="J85" i="202" a="1"/>
  <c r="J85" i="202" s="1"/>
  <c r="I85" i="202" a="1"/>
  <c r="I85" i="202" s="1"/>
  <c r="AD47" i="202" a="1"/>
  <c r="AD47" i="202" s="1"/>
  <c r="AC47" i="202" a="1"/>
  <c r="AC47" i="202" s="1"/>
  <c r="AB47" i="202" a="1"/>
  <c r="AB47" i="202" s="1"/>
  <c r="AA47" i="202" a="1"/>
  <c r="AA47" i="202" s="1"/>
  <c r="U47" i="202" a="1"/>
  <c r="U47" i="202" s="1"/>
  <c r="T47" i="202" a="1"/>
  <c r="T47" i="202" s="1"/>
  <c r="S47" i="202" a="1"/>
  <c r="S47" i="202" s="1"/>
  <c r="R47" i="202" a="1"/>
  <c r="R47" i="202" s="1"/>
  <c r="L47" i="202" a="1"/>
  <c r="L47" i="202" s="1"/>
  <c r="K47" i="202" a="1"/>
  <c r="K47" i="202" s="1"/>
  <c r="J47" i="202" a="1"/>
  <c r="J47" i="202" s="1"/>
  <c r="I47" i="202" a="1"/>
  <c r="I47" i="202" s="1"/>
  <c r="Z126" i="202" a="1"/>
  <c r="Z126" i="202" s="1"/>
  <c r="Q126" i="202" a="1"/>
  <c r="Q126" i="202" s="1"/>
  <c r="H126" i="202" a="1"/>
  <c r="H126" i="202" s="1"/>
  <c r="Z85" i="202" a="1"/>
  <c r="Z85" i="202" s="1"/>
  <c r="Q85" i="202" a="1"/>
  <c r="Q85" i="202" s="1"/>
  <c r="H85" i="202" a="1"/>
  <c r="H85" i="202" s="1"/>
  <c r="Z47" i="202" a="1"/>
  <c r="Z47" i="202" s="1"/>
  <c r="Q47" i="202" a="1"/>
  <c r="Q47" i="202" s="1"/>
  <c r="H47" i="202" a="1"/>
  <c r="H47" i="202" s="1"/>
  <c r="AD12" i="202" a="1"/>
  <c r="AD12" i="202" s="1"/>
  <c r="AC12" i="202" a="1"/>
  <c r="AC12" i="202" s="1"/>
  <c r="AB12" i="202" a="1"/>
  <c r="AB12" i="202" s="1"/>
  <c r="U12" i="202" a="1"/>
  <c r="U12" i="202" s="1"/>
  <c r="T12" i="202" a="1"/>
  <c r="T12" i="202" s="1"/>
  <c r="S12" i="202" a="1"/>
  <c r="S12" i="202" s="1"/>
  <c r="L12" i="202" a="1"/>
  <c r="L12" i="202" s="1"/>
  <c r="K12" i="202" a="1"/>
  <c r="K12" i="202" s="1"/>
  <c r="I12" i="202" a="1"/>
  <c r="I12" i="202" s="1"/>
  <c r="Z12" i="202" a="1"/>
  <c r="Z12" i="202" s="1"/>
  <c r="Q12" i="202" a="1"/>
  <c r="Q12" i="202" s="1"/>
  <c r="B58" i="201" a="1"/>
  <c r="B58" i="201" s="1"/>
  <c r="H12" i="202" a="1"/>
  <c r="H12" i="202" s="1"/>
  <c r="D95" i="204" l="1" a="1"/>
  <c r="D95" i="204" s="1"/>
  <c r="D275" i="204" a="1"/>
  <c r="D275" i="204" s="1"/>
  <c r="D215" i="204" a="1"/>
  <c r="D215" i="204" s="1"/>
  <c r="C365" i="204" a="1"/>
  <c r="C365" i="204" s="1"/>
  <c r="D305" i="204" a="1"/>
  <c r="D305" i="204" s="1"/>
  <c r="D425" i="204" a="1"/>
  <c r="D425" i="204" s="1"/>
  <c r="D335" i="204" a="1"/>
  <c r="D335" i="204" s="1"/>
  <c r="D155" i="204" a="1"/>
  <c r="D155" i="204" s="1"/>
  <c r="D245" i="204" a="1"/>
  <c r="D245" i="204" s="1"/>
  <c r="D365" i="204" a="1"/>
  <c r="D365" i="204" s="1"/>
  <c r="D125" i="204" a="1"/>
  <c r="D125" i="204" s="1"/>
  <c r="D395" i="204" a="1"/>
  <c r="D395" i="204" s="1"/>
  <c r="P35" i="202"/>
  <c r="P19" i="202"/>
  <c r="Y21" i="202"/>
  <c r="Y37" i="202"/>
  <c r="AH23" i="202"/>
  <c r="AH39" i="202"/>
  <c r="AH40" i="202"/>
  <c r="P33" i="202"/>
  <c r="P17" i="202"/>
  <c r="Y23" i="202"/>
  <c r="Y39" i="202"/>
  <c r="AH25" i="202"/>
  <c r="AH41" i="202"/>
  <c r="P32" i="202"/>
  <c r="P16" i="202"/>
  <c r="Y24" i="202"/>
  <c r="Y40" i="202"/>
  <c r="AH26" i="202"/>
  <c r="Y22" i="202"/>
  <c r="Y38" i="202"/>
  <c r="P31" i="202"/>
  <c r="P15" i="202"/>
  <c r="Y25" i="202"/>
  <c r="Y41" i="202"/>
  <c r="AH27" i="202"/>
  <c r="P30" i="202"/>
  <c r="P14" i="202"/>
  <c r="Y26" i="202"/>
  <c r="AH12" i="202"/>
  <c r="AH28" i="202"/>
  <c r="D5" i="204" a="1"/>
  <c r="D5" i="204" s="1"/>
  <c r="P29" i="202"/>
  <c r="P13" i="202"/>
  <c r="Y27" i="202"/>
  <c r="AH13" i="202"/>
  <c r="AH29" i="202"/>
  <c r="P28" i="202"/>
  <c r="Y12" i="202"/>
  <c r="Y28" i="202"/>
  <c r="AH14" i="202"/>
  <c r="AH30" i="202"/>
  <c r="D35" i="204" a="1"/>
  <c r="D35" i="204" s="1"/>
  <c r="P27" i="202"/>
  <c r="Y13" i="202"/>
  <c r="Y29" i="202"/>
  <c r="AH15" i="202"/>
  <c r="AH31" i="202"/>
  <c r="P18" i="202"/>
  <c r="AH24" i="202"/>
  <c r="P12" i="202"/>
  <c r="P26" i="202"/>
  <c r="Y14" i="202"/>
  <c r="Y30" i="202"/>
  <c r="AH16" i="202"/>
  <c r="AH32" i="202"/>
  <c r="D65" i="204" a="1"/>
  <c r="D65" i="204" s="1"/>
  <c r="P41" i="202"/>
  <c r="P25" i="202"/>
  <c r="Y15" i="202"/>
  <c r="Y31" i="202"/>
  <c r="AH17" i="202"/>
  <c r="AH33" i="202"/>
  <c r="P40" i="202"/>
  <c r="Y16" i="202"/>
  <c r="Y32" i="202"/>
  <c r="AH34" i="202"/>
  <c r="P39" i="202"/>
  <c r="P23" i="202"/>
  <c r="Y17" i="202"/>
  <c r="Y33" i="202"/>
  <c r="AH19" i="202"/>
  <c r="AH35" i="202"/>
  <c r="P24" i="202"/>
  <c r="AH18" i="202"/>
  <c r="P38" i="202"/>
  <c r="P22" i="202"/>
  <c r="Y18" i="202"/>
  <c r="Y34" i="202"/>
  <c r="AH20" i="202"/>
  <c r="AH36" i="202"/>
  <c r="P34" i="202"/>
  <c r="P37" i="202"/>
  <c r="P21" i="202"/>
  <c r="Y19" i="202"/>
  <c r="Y35" i="202"/>
  <c r="AH21" i="202"/>
  <c r="AH37" i="202"/>
  <c r="P36" i="202"/>
  <c r="P20" i="202"/>
  <c r="Y20" i="202"/>
  <c r="Y36" i="202"/>
  <c r="AH22" i="202"/>
  <c r="AH38" i="202"/>
  <c r="C35" i="204" a="1"/>
  <c r="C35" i="204" s="1"/>
  <c r="C65" i="204" a="1"/>
  <c r="C65" i="204" s="1"/>
  <c r="J14" i="203" a="1"/>
  <c r="J14" i="203" s="1"/>
  <c r="D185" i="204" a="1"/>
  <c r="D185" i="204" s="1"/>
  <c r="Y126" i="202"/>
  <c r="AH126" i="202"/>
  <c r="P126" i="202"/>
  <c r="P137" i="202"/>
  <c r="P139" i="202"/>
  <c r="P155" i="202"/>
  <c r="Y141" i="202"/>
  <c r="AH127" i="202"/>
  <c r="AH143" i="202"/>
  <c r="AH142" i="202"/>
  <c r="Y142" i="202"/>
  <c r="AH128" i="202"/>
  <c r="AH144" i="202"/>
  <c r="AH140" i="202"/>
  <c r="P154" i="202"/>
  <c r="P141" i="202"/>
  <c r="Y127" i="202"/>
  <c r="Y143" i="202"/>
  <c r="AH129" i="202"/>
  <c r="AH145" i="202"/>
  <c r="P136" i="202"/>
  <c r="AH141" i="202"/>
  <c r="P140" i="202"/>
  <c r="P142" i="202"/>
  <c r="Y128" i="202"/>
  <c r="Y144" i="202"/>
  <c r="AH130" i="202"/>
  <c r="AH146" i="202"/>
  <c r="Y154" i="202"/>
  <c r="Y140" i="202"/>
  <c r="P127" i="202"/>
  <c r="P143" i="202"/>
  <c r="Y129" i="202"/>
  <c r="Y145" i="202"/>
  <c r="AH131" i="202"/>
  <c r="AH147" i="202"/>
  <c r="P128" i="202"/>
  <c r="P144" i="202"/>
  <c r="Y130" i="202"/>
  <c r="Y146" i="202"/>
  <c r="AH132" i="202"/>
  <c r="AH148" i="202"/>
  <c r="P129" i="202"/>
  <c r="P145" i="202"/>
  <c r="Y131" i="202"/>
  <c r="Y147" i="202"/>
  <c r="AH133" i="202"/>
  <c r="AH149" i="202"/>
  <c r="P130" i="202"/>
  <c r="P146" i="202"/>
  <c r="Y132" i="202"/>
  <c r="Y148" i="202"/>
  <c r="AH134" i="202"/>
  <c r="AH150" i="202"/>
  <c r="P152" i="202"/>
  <c r="P138" i="202"/>
  <c r="P131" i="202"/>
  <c r="P147" i="202"/>
  <c r="Y133" i="202"/>
  <c r="Y149" i="202"/>
  <c r="AH135" i="202"/>
  <c r="AH151" i="202"/>
  <c r="Y155" i="202"/>
  <c r="P132" i="202"/>
  <c r="P148" i="202"/>
  <c r="Y134" i="202"/>
  <c r="Y150" i="202"/>
  <c r="AH136" i="202"/>
  <c r="AH152" i="202"/>
  <c r="Y139" i="202"/>
  <c r="P133" i="202"/>
  <c r="P149" i="202"/>
  <c r="Y135" i="202"/>
  <c r="Y151" i="202"/>
  <c r="AH137" i="202"/>
  <c r="AH153" i="202"/>
  <c r="P153" i="202"/>
  <c r="P134" i="202"/>
  <c r="P150" i="202"/>
  <c r="Y136" i="202"/>
  <c r="Y152" i="202"/>
  <c r="AH138" i="202"/>
  <c r="AH154" i="202"/>
  <c r="Y138" i="202"/>
  <c r="P135" i="202"/>
  <c r="P151" i="202"/>
  <c r="Y137" i="202"/>
  <c r="Y153" i="202"/>
  <c r="AH139" i="202"/>
  <c r="AH155" i="202"/>
  <c r="AH85" i="202"/>
  <c r="Y85" i="202"/>
  <c r="P85" i="202"/>
  <c r="AH109" i="202"/>
  <c r="AH94" i="202"/>
  <c r="P91" i="202"/>
  <c r="P107" i="202"/>
  <c r="Y93" i="202"/>
  <c r="Y109" i="202"/>
  <c r="AH95" i="202"/>
  <c r="AH111" i="202"/>
  <c r="P90" i="202"/>
  <c r="AH110" i="202"/>
  <c r="P92" i="202"/>
  <c r="P108" i="202"/>
  <c r="Y94" i="202"/>
  <c r="Y110" i="202"/>
  <c r="AH96" i="202"/>
  <c r="AH112" i="202"/>
  <c r="Y92" i="202"/>
  <c r="P93" i="202"/>
  <c r="P109" i="202"/>
  <c r="Y95" i="202"/>
  <c r="Y111" i="202"/>
  <c r="AH97" i="202"/>
  <c r="AH113" i="202"/>
  <c r="P110" i="202"/>
  <c r="Y96" i="202"/>
  <c r="Y112" i="202"/>
  <c r="AH98" i="202"/>
  <c r="AH114" i="202"/>
  <c r="P105" i="202"/>
  <c r="P94" i="202"/>
  <c r="P95" i="202"/>
  <c r="P111" i="202"/>
  <c r="Y97" i="202"/>
  <c r="Y113" i="202"/>
  <c r="AH99" i="202"/>
  <c r="P106" i="202"/>
  <c r="P96" i="202"/>
  <c r="P112" i="202"/>
  <c r="Y98" i="202"/>
  <c r="Y114" i="202"/>
  <c r="AH100" i="202"/>
  <c r="AH93" i="202"/>
  <c r="Y108" i="202"/>
  <c r="P97" i="202"/>
  <c r="P113" i="202"/>
  <c r="Y99" i="202"/>
  <c r="AH101" i="202"/>
  <c r="Y107" i="202"/>
  <c r="P98" i="202"/>
  <c r="P114" i="202"/>
  <c r="Y100" i="202"/>
  <c r="AH86" i="202"/>
  <c r="AH102" i="202"/>
  <c r="P99" i="202"/>
  <c r="Y101" i="202"/>
  <c r="AH87" i="202"/>
  <c r="AH103" i="202"/>
  <c r="Y91" i="202"/>
  <c r="P100" i="202"/>
  <c r="Y86" i="202"/>
  <c r="Y102" i="202"/>
  <c r="AH88" i="202"/>
  <c r="AH104" i="202"/>
  <c r="P101" i="202"/>
  <c r="Y87" i="202"/>
  <c r="Y103" i="202"/>
  <c r="AH89" i="202"/>
  <c r="AH105" i="202"/>
  <c r="P86" i="202"/>
  <c r="P102" i="202"/>
  <c r="Y88" i="202"/>
  <c r="Y104" i="202"/>
  <c r="AH90" i="202"/>
  <c r="AH106" i="202"/>
  <c r="P87" i="202"/>
  <c r="P103" i="202"/>
  <c r="Y89" i="202"/>
  <c r="Y105" i="202"/>
  <c r="AH91" i="202"/>
  <c r="AH107" i="202"/>
  <c r="P89" i="202"/>
  <c r="P88" i="202"/>
  <c r="P104" i="202"/>
  <c r="Y90" i="202"/>
  <c r="Y106" i="202"/>
  <c r="AH92" i="202"/>
  <c r="AH108" i="202"/>
  <c r="Y47" i="202"/>
  <c r="AH47" i="202"/>
  <c r="P47" i="202"/>
  <c r="P61" i="202"/>
  <c r="Y63" i="202"/>
  <c r="AH49" i="202"/>
  <c r="AH65" i="202"/>
  <c r="AH66" i="202"/>
  <c r="AH67" i="202"/>
  <c r="Y64" i="202"/>
  <c r="AH68" i="202"/>
  <c r="AH69" i="202"/>
  <c r="AH70" i="202"/>
  <c r="AH71" i="202"/>
  <c r="AH50" i="202"/>
  <c r="AH72" i="202"/>
  <c r="P63" i="202"/>
  <c r="AH51" i="202"/>
  <c r="Y50" i="202"/>
  <c r="Y51" i="202"/>
  <c r="Y52" i="202"/>
  <c r="AH73" i="202"/>
  <c r="AH74" i="202"/>
  <c r="P62" i="202"/>
  <c r="Y49" i="202"/>
  <c r="Y66" i="202"/>
  <c r="P49" i="202"/>
  <c r="AH53" i="202"/>
  <c r="P50" i="202"/>
  <c r="Y68" i="202"/>
  <c r="P51" i="202"/>
  <c r="P67" i="202"/>
  <c r="Y69" i="202"/>
  <c r="P52" i="202"/>
  <c r="Y54" i="202"/>
  <c r="AH56" i="202"/>
  <c r="P69" i="202"/>
  <c r="Y71" i="202"/>
  <c r="P54" i="202"/>
  <c r="Y56" i="202"/>
  <c r="AH58" i="202"/>
  <c r="P55" i="202"/>
  <c r="P71" i="202"/>
  <c r="Y57" i="202"/>
  <c r="Y73" i="202"/>
  <c r="AH59" i="202"/>
  <c r="AH75" i="202"/>
  <c r="Y48" i="202"/>
  <c r="Y65" i="202"/>
  <c r="P48" i="202"/>
  <c r="P64" i="202"/>
  <c r="AH52" i="202"/>
  <c r="P65" i="202"/>
  <c r="Y67" i="202"/>
  <c r="P66" i="202"/>
  <c r="AH54" i="202"/>
  <c r="Y53" i="202"/>
  <c r="AH55" i="202"/>
  <c r="P68" i="202"/>
  <c r="Y70" i="202"/>
  <c r="P53" i="202"/>
  <c r="Y55" i="202"/>
  <c r="AH57" i="202"/>
  <c r="P70" i="202"/>
  <c r="Y72" i="202"/>
  <c r="P56" i="202"/>
  <c r="P72" i="202"/>
  <c r="Y58" i="202"/>
  <c r="Y74" i="202"/>
  <c r="AH60" i="202"/>
  <c r="AH76" i="202"/>
  <c r="AH61" i="202"/>
  <c r="AH62" i="202"/>
  <c r="P59" i="202"/>
  <c r="P75" i="202"/>
  <c r="Y61" i="202"/>
  <c r="AH63" i="202"/>
  <c r="P57" i="202"/>
  <c r="P73" i="202"/>
  <c r="Y59" i="202"/>
  <c r="Y75" i="202"/>
  <c r="P58" i="202"/>
  <c r="P74" i="202"/>
  <c r="Y60" i="202"/>
  <c r="Y76" i="202"/>
  <c r="P60" i="202"/>
  <c r="P76" i="202"/>
  <c r="Y62" i="202"/>
  <c r="AH48" i="202"/>
  <c r="AH64" i="202"/>
  <c r="F29" i="197"/>
  <c r="F28" i="197"/>
  <c r="F25" i="197"/>
  <c r="F24" i="197"/>
  <c r="F20" i="197"/>
  <c r="F16" i="197"/>
  <c r="E50" i="195" a="1"/>
  <c r="E50" i="195" s="1"/>
  <c r="E51" i="195" a="1"/>
  <c r="E51" i="195" s="1"/>
  <c r="F15" i="197"/>
  <c r="F19" i="197" s="1"/>
  <c r="F21" i="197" s="1"/>
  <c r="G3" i="199" a="1"/>
  <c r="G3" i="199" s="1"/>
  <c r="F4" i="199" a="1"/>
  <c r="F4" i="199" s="1"/>
  <c r="E9" i="195" a="1"/>
  <c r="E9" i="195" s="1"/>
  <c r="C155" i="204" l="1" a="1"/>
  <c r="C155" i="204" s="1"/>
  <c r="C95" i="204" a="1"/>
  <c r="C95" i="204" s="1"/>
  <c r="C125" i="204" a="1"/>
  <c r="C125" i="204" s="1"/>
  <c r="F17" i="19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<sst xmlns="http://schemas.openxmlformats.org/spreadsheetml/2006/main" count="1473" uniqueCount="332">
  <si>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</si>
  <si>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</si>
  <si>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</si>
  <si>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</si>
  <si>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</si>
  <si>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Parameters</t>
  </si>
  <si>
    <t>legs.go_to_work.distance</t>
  </si>
  <si>
    <t>legs.come_from_work.distance</t>
  </si>
  <si>
    <t>legs.home_to_leisure.distance</t>
  </si>
  <si>
    <t>legs.leisure_to_home.distance</t>
  </si>
  <si>
    <t>legs.home_to_weekend.distance</t>
  </si>
  <si>
    <t>legs.weekend_to_home.distance</t>
  </si>
  <si>
    <t>legs.home_to_holiday.distance</t>
  </si>
  <si>
    <t>legs.holiday_to_home.distance</t>
  </si>
  <si>
    <t>legs.go_to_work.duration</t>
  </si>
  <si>
    <t>legs.come_from_work.duration</t>
  </si>
  <si>
    <t>legs.home_to_leisure.duration</t>
  </si>
  <si>
    <t>legs.leisure_to_home.duration</t>
  </si>
  <si>
    <t>legs.home_to_weekend.duration</t>
  </si>
  <si>
    <t>legs.weekend_to_home.duration</t>
  </si>
  <si>
    <t>legs.home_to_holiday.duration</t>
  </si>
  <si>
    <t>legs.holiday_to_home.duration</t>
  </si>
  <si>
    <t>Scaling factor categories</t>
  </si>
  <si>
    <t>Passenger Car Emissions (gCO2/km)</t>
  </si>
  <si>
    <t>Commute time (minutes)</t>
  </si>
  <si>
    <t>Worked Hours per Week (Hours)</t>
  </si>
  <si>
    <t>vehicle.yearly_kilometrage</t>
  </si>
  <si>
    <t>vehicle.battery_capacity</t>
  </si>
  <si>
    <t>vehicle.base_consumption_per_km.electricity_kWh</t>
  </si>
  <si>
    <t>vehicle.base_consumption_per_km.gasoline_litres</t>
  </si>
  <si>
    <t>vehicle.base_consumption_per_km.diesel_litres</t>
  </si>
  <si>
    <t>vehicle.base_consumption_per_km.hydrogen_kg</t>
  </si>
  <si>
    <t>mobility_module.hours_worked_per_work_week</t>
  </si>
  <si>
    <t>mobility_module.worked_hours_per_year</t>
  </si>
  <si>
    <t>Scaling factors used</t>
  </si>
  <si>
    <t>Austria</t>
  </si>
  <si>
    <t>Belgium</t>
  </si>
  <si>
    <t>Bulgaria</t>
  </si>
  <si>
    <t>Croatia</t>
  </si>
  <si>
    <t>Cyprus</t>
  </si>
  <si>
    <t>Czechia</t>
  </si>
  <si>
    <t>Denmark</t>
  </si>
  <si>
    <t>Estonia</t>
  </si>
  <si>
    <t>Finland</t>
  </si>
  <si>
    <t>France</t>
  </si>
  <si>
    <t>Germany</t>
  </si>
  <si>
    <t>Greece</t>
  </si>
  <si>
    <t>Hungary</t>
  </si>
  <si>
    <t>Italy</t>
  </si>
  <si>
    <t>Ireland</t>
  </si>
  <si>
    <t>Latvia</t>
  </si>
  <si>
    <t>Lithuania</t>
  </si>
  <si>
    <t>Luxembourg</t>
  </si>
  <si>
    <t>Matla</t>
  </si>
  <si>
    <t>Netherlands</t>
  </si>
  <si>
    <t>Norway</t>
  </si>
  <si>
    <t>Poland</t>
  </si>
  <si>
    <t>Portugal</t>
  </si>
  <si>
    <t>Romania</t>
  </si>
  <si>
    <t>Slovakia</t>
  </si>
  <si>
    <t>Slovenia</t>
  </si>
  <si>
    <t>Spain</t>
  </si>
  <si>
    <t>Sweden</t>
  </si>
  <si>
    <t>Switzerland</t>
  </si>
  <si>
    <t>United_Kingdom</t>
  </si>
  <si>
    <t>Reference country value</t>
  </si>
  <si>
    <t>Reference country</t>
  </si>
  <si>
    <t>Input values</t>
  </si>
  <si>
    <t>Scaling factors</t>
  </si>
  <si>
    <t>[1]</t>
  </si>
  <si>
    <t>StatLine - Banen van werknemers naar woon- en werkregio (2014-2020)</t>
  </si>
  <si>
    <t>High</t>
  </si>
  <si>
    <t>For december 2020</t>
  </si>
  <si>
    <t>[2]</t>
  </si>
  <si>
    <t>https://ec.europa.eu/eurostat/statistics-explained/images/1/15/Average_commuting_time_in_EU%2C_2019_%28minutes%29.png</t>
  </si>
  <si>
    <t>Malta</t>
  </si>
  <si>
    <t>[3]</t>
  </si>
  <si>
    <t>https://co2cars.apps.eea.europa.eu/?source=%7B%22track_total_hits%22%3Atrue%2C%22query%22%3A%7B%22bool%22%3A%7B%22must%22%3A%5B%7B%22constant_score%22%3A%7B%22filter%22%3A%7B%22bool%22%3A%7B%22must%22%3A%5B%7B%22bool%22%3A%7B%22should%22%3A%5B%7B%22term%22%3A%7B%22year%22%3A%222023%22%7D%7D%2C%7B%22term%22%3A%7B%22year%22%3A%222022%22%7D%7D%2C%7B%22term%22%3A%7B%22year%22%3A%222021%22%7D%7D%2C%7B%22term%22%3A%7B%22year%22%3A%222020%22%7D%7D%2C%7B%22term%22%3A%7B%22year%22%3A%222019%22%7D%7D%2C%7B%22term%22%3A%7B%22year%22%3A%222018%22%7D%7D%2C%7B%22term%22%3A%7B%22year%22%3A%222017%22%7D%7D%5D%7D%7D%2C%7B%22bool%22%3A%7B%22should%22%3A%5B%7B%22term%22%3A%7B%22scStatus%22%3A%22Final%22%7D%7D%5D%7D%7D%5D%7D%7D%7D%7D%5D%7D%7D%2C%22display_type%22%3A%22tabular%22%7D</t>
  </si>
  <si>
    <t>Only took petrol and diesel for final status in 2020. Taking all cars (including electric would skew things for countries such as Norrway (and the Netherlands) who have much higher proportions of electric vehicles than others. The goal of this factor is to refelct differences in car sizes (and other similar characteristics)</t>
  </si>
  <si>
    <t>Country</t>
  </si>
  <si>
    <t>Ewltp (g/km)</t>
  </si>
  <si>
    <t>AT</t>
  </si>
  <si>
    <t>BE</t>
  </si>
  <si>
    <t>BG</t>
  </si>
  <si>
    <t>CY</t>
  </si>
  <si>
    <t>CZ</t>
  </si>
  <si>
    <t>DE</t>
  </si>
  <si>
    <t>DK</t>
  </si>
  <si>
    <t>EE</t>
  </si>
  <si>
    <t>ES</t>
  </si>
  <si>
    <t>FI</t>
  </si>
  <si>
    <t>FR</t>
  </si>
  <si>
    <t>GB</t>
  </si>
  <si>
    <t>GR</t>
  </si>
  <si>
    <t>HR</t>
  </si>
  <si>
    <t>HU</t>
  </si>
  <si>
    <t>IE</t>
  </si>
  <si>
    <t>IS</t>
  </si>
  <si>
    <t>IT</t>
  </si>
  <si>
    <t>LT</t>
  </si>
  <si>
    <t>LU</t>
  </si>
  <si>
    <t>LV</t>
  </si>
  <si>
    <t>MT</t>
  </si>
  <si>
    <t>NL</t>
  </si>
  <si>
    <t>NO</t>
  </si>
  <si>
    <t>PL</t>
  </si>
  <si>
    <t>PT</t>
  </si>
  <si>
    <t>RO</t>
  </si>
  <si>
    <t>SE</t>
  </si>
  <si>
    <t>SI</t>
  </si>
  <si>
    <t>SK</t>
  </si>
  <si>
    <t>From [3]</t>
  </si>
  <si>
    <t>Enedc (g/km)</t>
  </si>
  <si>
    <t>[3], [4] (for Switzerland), used NEDC, as this was the reference for Swiss data</t>
  </si>
  <si>
    <t>[4]</t>
  </si>
  <si>
    <t>https://www.admin.ch/gov/fr/accueil/documentation/communiques.msg-id-84306.html</t>
  </si>
  <si>
    <t>Uses NEDC</t>
  </si>
  <si>
    <t>[5]</t>
  </si>
  <si>
    <t>https://ec.europa.eu/eurostat/statistics-explained/index.php?title=Hours_of_work_-_annual_statistics&amp;oldid=636656#:~:text=Highlights&amp;text=In%202023%2C%20the%20average%20working,to%2039.8%20hours%20in%20Greece.</t>
  </si>
  <si>
    <t>[5] For UK, data was not presnt, so took from a previou version (not online anymore)</t>
  </si>
  <si>
    <t>Same as above (per definition)</t>
  </si>
  <si>
    <t>Expert guess</t>
  </si>
  <si>
    <t>Proportional to home to work</t>
  </si>
  <si>
    <t>[6]</t>
  </si>
  <si>
    <t>https://www.cbs.nl/nl-nl/maatwerk/2023/45/gemiddeld-kilometrage-personenauto-s-per-365-dagen</t>
  </si>
  <si>
    <t>[6] took 2019 data, as there seems to be a COVID-related drop</t>
  </si>
  <si>
    <t>Nissan Leaf</t>
  </si>
  <si>
    <t>[7]</t>
  </si>
  <si>
    <t>Medium</t>
  </si>
  <si>
    <t>[8]</t>
  </si>
  <si>
    <t>https://www.autoweek.nl/verbruiksmonitor/?referrer=https%3A%2F%2Fwww.google.com%2F</t>
  </si>
  <si>
    <t>https://h2.live/en/fahren/</t>
  </si>
  <si>
    <t>Took Toyota Mirai II</t>
  </si>
  <si>
    <t xml:space="preserve">[9] </t>
  </si>
  <si>
    <t>https://longreads.cbs.nl/dearbeidsmarktincijfers-2023/</t>
  </si>
  <si>
    <t>[9] for 2023 (Gewerkte uren per werkende)</t>
  </si>
  <si>
    <t>REF</t>
  </si>
  <si>
    <t>GA</t>
  </si>
  <si>
    <t>Electricity cars</t>
  </si>
  <si>
    <t>Hydrogen cars</t>
  </si>
  <si>
    <t>Gasoline cars</t>
  </si>
  <si>
    <t>Diesel cars</t>
  </si>
  <si>
    <t>Other fuels?</t>
  </si>
  <si>
    <t>Electricity bus</t>
  </si>
  <si>
    <t>Gasoline bus</t>
  </si>
  <si>
    <t>Diesel bus</t>
  </si>
  <si>
    <t>Hydrogen bus</t>
  </si>
  <si>
    <t>Electricity truck</t>
  </si>
  <si>
    <t>Gasoline truck</t>
  </si>
  <si>
    <t>Diesel truck</t>
  </si>
  <si>
    <t>Hydrogen truck</t>
  </si>
  <si>
    <t>Electricity van</t>
  </si>
  <si>
    <t>Gasoline van</t>
  </si>
  <si>
    <t>Diesel van</t>
  </si>
  <si>
    <t>Hydrogen van</t>
  </si>
  <si>
    <t>UK</t>
  </si>
  <si>
    <t>CH</t>
  </si>
  <si>
    <t>Cars split 2030</t>
  </si>
  <si>
    <t>Cars split 2040</t>
  </si>
  <si>
    <t>Electricity</t>
  </si>
  <si>
    <t>Gasoline</t>
  </si>
  <si>
    <t>Diesel</t>
  </si>
  <si>
    <t>Hydrogen</t>
  </si>
  <si>
    <t>Cars split 2050</t>
  </si>
  <si>
    <t>Bus split 2030</t>
  </si>
  <si>
    <t>Bus split 2040</t>
  </si>
  <si>
    <t>Bus split 2050</t>
  </si>
  <si>
    <t>Truck split 2030</t>
  </si>
  <si>
    <t>Truck split 2040</t>
  </si>
  <si>
    <t>Truck split 2050</t>
  </si>
  <si>
    <t>Van split 2030</t>
  </si>
  <si>
    <t>Van split 2040</t>
  </si>
  <si>
    <t>Van split 2050</t>
  </si>
  <si>
    <t>Cars</t>
  </si>
  <si>
    <t>[10]</t>
  </si>
  <si>
    <t>https://ec.europa.eu/eurostat/databrowser/view/road_eqs_carmot/default/table?lang=en</t>
  </si>
  <si>
    <t>[10] for 2022 (to get UK)</t>
  </si>
  <si>
    <t>vehicle.base_consumption_per_km.CNG_kg</t>
  </si>
  <si>
    <t>vehicle.base_consumption_per_km.LPG_litres</t>
  </si>
  <si>
    <t>CNG cars</t>
  </si>
  <si>
    <t>CNG bus</t>
  </si>
  <si>
    <t>CNG truck</t>
  </si>
  <si>
    <t>CNG van</t>
  </si>
  <si>
    <t>LPG cars</t>
  </si>
  <si>
    <t>LNG bus</t>
  </si>
  <si>
    <t>LNG truck</t>
  </si>
  <si>
    <t>LPG van</t>
  </si>
  <si>
    <t>CNG</t>
  </si>
  <si>
    <t>LPG</t>
  </si>
  <si>
    <t>LNG</t>
  </si>
  <si>
    <t>[11]</t>
  </si>
  <si>
    <t>https://ec.europa.eu/eurostat/databrowser/view/ILC_LVHO01__custom_13884242/default/table?lang=en&amp;page=time:2018</t>
  </si>
  <si>
    <t>[11] for 2018 (to get UK)</t>
  </si>
  <si>
    <t>United Kingdom</t>
  </si>
  <si>
    <t>Population living in houses (%)</t>
  </si>
  <si>
    <t>own_driveway fleet</t>
  </si>
  <si>
    <t>street_parking fleet</t>
  </si>
  <si>
    <t>Scenario</t>
  </si>
  <si>
    <t>Total Fleet (thousands)</t>
  </si>
  <si>
    <t>electricity proportion</t>
  </si>
  <si>
    <t>gasoline proportion</t>
  </si>
  <si>
    <t>diesel proportion</t>
  </si>
  <si>
    <t>hydrogen proportion</t>
  </si>
  <si>
    <t>CNG proportion</t>
  </si>
  <si>
    <t>LNG proportion</t>
  </si>
  <si>
    <t>LPG proportion</t>
  </si>
  <si>
    <t>bus fleet</t>
  </si>
  <si>
    <t>truck fleet</t>
  </si>
  <si>
    <t>van fleet</t>
  </si>
  <si>
    <t>CH/NO/UK BTV split</t>
  </si>
  <si>
    <t>[12]</t>
  </si>
  <si>
    <t>https://www.acea.auto/files/ACEA-report-vehicles-in-use-europe-2023.pdf</t>
  </si>
  <si>
    <t>[13]</t>
  </si>
  <si>
    <t>https://www.ceicdata.com/en/bulgaria/number-of-vehicles</t>
  </si>
  <si>
    <t>[14]</t>
  </si>
  <si>
    <t>https://nso.gov.mt/wp-content/uploads/NR-2024-021-Table-1.ods</t>
  </si>
  <si>
    <t>[12] for 2021 Malta and Bulgaria missing. Bulgaria busses are from [13], Malta data is from [14] (2021 Q4). Busses are sum of coach/private bus, minibus,  and route bus (Malta), trucks and vans are put together (explicitely so for Malta: https://nso.gov.mt/motor-vehicles-q4-2023/, assumed by the usage of lorry and no explicit split  for Bulgaria). Looking at other countries, trucks are about 13% of vans+trucks, so we use this</t>
  </si>
  <si>
    <t>Natural gas</t>
  </si>
  <si>
    <t>Electricity (kWh)</t>
  </si>
  <si>
    <t>Gasoline (litres)</t>
  </si>
  <si>
    <t>Consumptions per 100 km</t>
  </si>
  <si>
    <t>Car</t>
  </si>
  <si>
    <t>Bus</t>
  </si>
  <si>
    <t>[15] for electricity, rest scaled according to car</t>
  </si>
  <si>
    <t>Truck</t>
  </si>
  <si>
    <t>Van</t>
  </si>
  <si>
    <t>[15]</t>
  </si>
  <si>
    <t>https://www.ebusco.com/wp-content/uploads/Website_Brochure_NL_V1-4.pdf</t>
  </si>
  <si>
    <t>[16]</t>
  </si>
  <si>
    <t>https://www.debedrijfswagenadviseurs.nl/praktijkverbruik-elektrische-bedrijfswagen/</t>
  </si>
  <si>
    <t>0.269 quoted for an april day</t>
  </si>
  <si>
    <t>[16] for electricity, rest scaled according to car</t>
  </si>
  <si>
    <t>[17]</t>
  </si>
  <si>
    <t>https://www.agendalaadinfrastructuur.nl/ondersteuning+gemeenten/documenten+en+links/documenten+in+bibliotheek/handlerdownloadfiles.ashx?idnv=2547592#:~:text=Op%20dit%20moment%20gebruikt%20een,dieselvrachtwagen%20(Mobilyze%2C%202023).</t>
  </si>
  <si>
    <t>250 km/day</t>
  </si>
  <si>
    <t>50% driving</t>
  </si>
  <si>
    <t>[17] for electricity, rest scaled according to car</t>
  </si>
  <si>
    <t>https://www.volvotrucks.com/en-en/news-stories/press-releases/2022/jan/volvos-heavy-duty-electric-truck-is-put-to-the-test-excels-in-both-range-and-energy-efficiency.html</t>
  </si>
  <si>
    <t>540 kWh battery</t>
  </si>
  <si>
    <t>50 kWh battery</t>
  </si>
  <si>
    <t>scale distances and times per country</t>
  </si>
  <si>
    <t>https://www.cbs.nl/nl-nl/visualisaties/verkeer-en-vervoer/verkeer/verkeersprestaties-bestelautos</t>
  </si>
  <si>
    <t>270km on big days</t>
  </si>
  <si>
    <t>bus_parameters</t>
  </si>
  <si>
    <t>legs.bus_from_depot_to_route_start.distance</t>
  </si>
  <si>
    <t>legs.bus_from_depot_to_route_start.duration</t>
  </si>
  <si>
    <t>legs.bus_from_route_start_to_depot.distance</t>
  </si>
  <si>
    <t>legs.bus_from_route_start_to_depot.duration</t>
  </si>
  <si>
    <t>Expert guess to match typical kilometrage</t>
  </si>
  <si>
    <t>legs.bus_from_route_start_to_route_end.duration</t>
  </si>
  <si>
    <t>legs.bus_from_route_start_to_route_end.distance</t>
  </si>
  <si>
    <t>legs.bus_from_route_end_to_route_start.distance</t>
  </si>
  <si>
    <t>legs.bus_from_route_end_to_route_start.duration</t>
  </si>
  <si>
    <t>legs.truck_to_hub.distance</t>
  </si>
  <si>
    <t>legs.truck_to_hub.duration</t>
  </si>
  <si>
    <t>legs.truck_to_customer.distance</t>
  </si>
  <si>
    <t>legs.truck_to_customer.duration</t>
  </si>
  <si>
    <t>truck_parameters</t>
  </si>
  <si>
    <t>van_parameters</t>
  </si>
  <si>
    <t>Vienna</t>
  </si>
  <si>
    <t>Brussels</t>
  </si>
  <si>
    <t>Sofia</t>
  </si>
  <si>
    <t>Prague</t>
  </si>
  <si>
    <t>Berlin</t>
  </si>
  <si>
    <t>Copenhagen</t>
  </si>
  <si>
    <t>Tallinn</t>
  </si>
  <si>
    <t>Athens</t>
  </si>
  <si>
    <t>Madrid</t>
  </si>
  <si>
    <t>Helsinki</t>
  </si>
  <si>
    <t>Paris</t>
  </si>
  <si>
    <t>Zagreb</t>
  </si>
  <si>
    <t>Budapest</t>
  </si>
  <si>
    <t>Dublin</t>
  </si>
  <si>
    <t>Rome</t>
  </si>
  <si>
    <t>Vilnius</t>
  </si>
  <si>
    <t>Riga</t>
  </si>
  <si>
    <t>Amsterdam</t>
  </si>
  <si>
    <t>Warsaw</t>
  </si>
  <si>
    <t>Lisbon</t>
  </si>
  <si>
    <t>Bucharest</t>
  </si>
  <si>
    <t>Stockholm</t>
  </si>
  <si>
    <t>Ljubljana</t>
  </si>
  <si>
    <t>Bratislava</t>
  </si>
  <si>
    <t>London</t>
  </si>
  <si>
    <t>Bern</t>
  </si>
  <si>
    <t>Reykjavik</t>
  </si>
  <si>
    <t>Iceland</t>
  </si>
  <si>
    <t>Oslo</t>
  </si>
  <si>
    <t>City</t>
  </si>
  <si>
    <t>Fleet size</t>
  </si>
  <si>
    <t>Electric</t>
  </si>
  <si>
    <t>Natural Gas</t>
  </si>
  <si>
    <t>% electric</t>
  </si>
  <si>
    <t>% gas</t>
  </si>
  <si>
    <t>% hydrogen</t>
  </si>
  <si>
    <t>Target</t>
  </si>
  <si>
    <t>Oslo Norway is most similar to Warsaw Poland</t>
  </si>
  <si>
    <t>London Uk is most similar to Brussels Belgium</t>
  </si>
  <si>
    <t>Bern Switzerland is most similar to Sofia Bulgaria</t>
  </si>
  <si>
    <t>[18]</t>
  </si>
  <si>
    <t>https://theicct.org/wp-content/uploads/2022/09/zero-emission-buses-europe-sept22.pdf</t>
  </si>
  <si>
    <t>[19]</t>
  </si>
  <si>
    <t>https://www.acea.auto/files/ACEA_vans_by_fuel_type_full-year_2021.pdf</t>
  </si>
  <si>
    <t>Closest in [19]</t>
  </si>
  <si>
    <t>[20]</t>
  </si>
  <si>
    <t>https://ec.europa.eu/eurostat/databrowser/view/nrg_d_traq/default/table?lang=en</t>
  </si>
  <si>
    <t>SIEC (Labels)</t>
  </si>
  <si>
    <t/>
  </si>
  <si>
    <t>Solid fossil fuels</t>
  </si>
  <si>
    <t>Oil and petroleum products (excluding biofuel portion)</t>
  </si>
  <si>
    <t>Motor gasoline (excluding biofuel portion)</t>
  </si>
  <si>
    <t>Gas oil and diesel oil (excluding biofuel portion)</t>
  </si>
  <si>
    <t>Renewables and biofuels</t>
  </si>
  <si>
    <t>Blended biogasoline</t>
  </si>
  <si>
    <t>Blended biodiesels</t>
  </si>
  <si>
    <t>GEO (Labels)</t>
  </si>
  <si>
    <t>Montenegro</t>
  </si>
  <si>
    <t>Assumed same as cars (as Norway is also high here)</t>
  </si>
  <si>
    <t>[21]</t>
  </si>
  <si>
    <t>https://www.acea.auto/files/ACEA_Trucks_by_fuel_type_full-year-2022.pdf</t>
  </si>
  <si>
    <t>Closest in [21]</t>
  </si>
  <si>
    <t>Similar country, high on electric (as CH is in [21]</t>
  </si>
  <si>
    <t>legs.van_to_customer.distance</t>
  </si>
  <si>
    <t>legs.van_to_customer.duration</t>
  </si>
  <si>
    <t>legs.van_to_base.distance</t>
  </si>
  <si>
    <t>legs.van_to_base.duration</t>
  </si>
  <si>
    <t>XX_bus</t>
  </si>
  <si>
    <t>XX_truck</t>
  </si>
  <si>
    <t>XX_van</t>
  </si>
  <si>
    <t>XX_car</t>
  </si>
  <si>
    <t>XX_car_own_driveway</t>
  </si>
  <si>
    <t>XX_car_street_parking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</si>
</sst>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quot;€&quot;_-;\-* #,##0&quot;€&quot;_-;_-* &quot;-&quot;&quot;€&quot;_-;_-@_-"/>
    <numFmt numFmtId="165" formatCode="_-* #,##0_€_-;\-* #,##0_€_-;_-* &quot;-&quot;_€_-;_-@_-"/>
    <numFmt numFmtId="166" formatCode="_-* #,##0.00&quot;€&quot;_-;\-* #,##0.00&quot;€&quot;_-;_-* &quot;-&quot;??&quot;€&quot;_-;_-@_-"/>
    <numFmt numFmtId="167" formatCode="_-* #,##0.00_€_-;\-* #,##0.00_€_-;_-* &quot;-&quot;??_€_-;_-@_-"/>
    <numFmt numFmtId="168" formatCode="0.0000"/>
  </numFmts>
  <fonts count="21"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s>
  <fills count="41">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60">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0" fillId="0" borderId="0" applyNumberFormat="0" applyFill="0" applyBorder="0" applyAlignment="0" applyProtection="0"/>
  </cellStyleXfs>
  <cellXfs count="26">
    <xf numFmtId="0" fontId="0" fillId="0" borderId="0" xfId="0"/>
    <xf numFmtId="0" fontId="19" fillId="35" borderId="0" xfId="56" applyProtection="1">
      <alignment wrapText="1"/>
    </xf>
    <xf numFmtId="0" fontId="18" fillId="34" borderId="0" xfId="51">
      <alignment wrapText="1"/>
    </xf>
    <xf numFmtId="0" fontId="18" fillId="36" borderId="0" xfId="58"/>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pplyProtection="1">
      <alignment wrapText="1"/>
    </xf>
    <xf numFmtId="0" fontId="19" fillId="35" borderId="0" xfId="56" applyProtection="1">
      <alignment wrapText="1"/>
    </xf>
    <xf numFmtId="0" fontId="19" fillId="35" borderId="0" xfId="56">
      <alignment wrapText="1"/>
      <protection locked="0"/>
    </xf>
    <xf numFmtId="0" fontId="20" fillId="35" borderId="0" xfId="59" applyFill="1" applyAlignment="1" applyProtection="1">
      <alignment wrapText="1"/>
    </xf>
    <xf numFmtId="2" fontId="18" fillId="38" borderId="0" xfId="48" applyNumberFormat="1">
      <alignment wrapText="1"/>
    </xf>
    <xf numFmtId="2" fontId="18" fillId="38" borderId="0" xfId="54" applyFont="1" applyFill="1" applyAlignment="1">
      <alignment wrapText="1"/>
    </xf>
    <xf numFmtId="2" fontId="18" fillId="36" borderId="0" xfId="58" applyNumberFormat="1"/>
    <xf numFmtId="10" fontId="18" fillId="36" borderId="0" xfId="55" applyFont="1" applyFill="1"/>
    <xf numFmtId="10" fontId="2" fillId="0" borderId="0" xfId="55" applyProtection="1">
      <protection locked="0"/>
    </xf>
    <xf numFmtId="0" fontId="18" fillId="0" borderId="0" xfId="0" applyFont="1"/>
    <xf numFmtId="168" fontId="18" fillId="38" borderId="0" xfId="48" applyNumberFormat="1">
      <alignment wrapText="1"/>
    </xf>
    <xf numFmtId="0" fontId="20" fillId="36" borderId="0" xfId="59" applyFill="1"/>
    <xf numFmtId="10" fontId="18" fillId="38" borderId="0" xfId="55" applyFont="1" applyFill="1" applyAlignment="1">
      <alignment wrapText="1"/>
    </xf>
    <xf numFmtId="2" fontId="2" fillId="40" borderId="11" xfId="54" applyFill="1" applyBorder="1" applyAlignment="1" applyProtection="1">
      <alignment wrapText="1"/>
      <protection locked="0"/>
    </xf>
    <xf numFmtId="0" fontId="19" fillId="35" borderId="0" xfId="56" applyProtection="1">
      <alignment wrapText="1"/>
    </xf>
    <xf numFmtId="0" fontId="2" fillId="40" borderId="11" xfId="49">
      <alignment wrapText="1"/>
      <protection locked="0"/>
    </xf>
    <xf numFmtId="0" fontId="19" fillId="35" borderId="0" xfId="56" applyAlignment="1" applyProtection="1">
      <alignment horizontal="center" wrapText="1"/>
    </xf>
  </cellXfs>
  <cellStyles count="6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59" builtinId="8"/>
    <cellStyle name="Input" xfId="14" builtinId="20" hidden="1"/>
    <cellStyle name="Inputs" xfId="50" xr:uid="{DFA79502-D6D1-43C4-880E-B19282FD4101}"/>
    <cellStyle name="Linked Cell" xfId="17" builtinId="24" hidden="1"/>
    <cellStyle name="Neutral" xfId="13" builtinId="28" hidden="1"/>
    <cellStyle name="Normal" xfId="0" builtinId="0"/>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Results" xfId="47" xr:uid="{718100E3-CE60-4935-8F23-33B37D049164}"/>
    <cellStyle name="Sources" xfId="56" xr:uid="{E2DF86B1-F83D-4025-A10D-6E185712F5D6}"/>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7</xdr:row>
      <xdr:rowOff>95250</xdr:rowOff>
    </xdr:from>
    <xdr:to>
      <xdr:col>12</xdr:col>
      <xdr:colOff>31670</xdr:colOff>
      <xdr:row>70</xdr:row>
      <xdr:rowOff>21515</xdr:rowOff>
    </xdr:to>
    <xdr:pic>
      <xdr:nvPicPr>
        <xdr:cNvPr id="2" name="Picture 1">
          <a:extLst>
            <a:ext uri="{FF2B5EF4-FFF2-40B4-BE49-F238E27FC236}">
              <a16:creationId xmlns:a16="http://schemas.microsoft.com/office/drawing/2014/main" id="{D6ABA25B-DCD8-0C97-AD31-DB3B744A84D1}"/>
            </a:ext>
          </a:extLst>
        </xdr:cNvPr>
        <xdr:cNvPicPr>
          <a:picLocks noChangeAspect="1"/>
        </xdr:cNvPicPr>
      </xdr:nvPicPr>
      <xdr:blipFill>
        <a:blip xmlns:r="http://schemas.openxmlformats.org/officeDocument/2006/relationships" r:embed="rId1"/>
        <a:stretch>
          <a:fillRect/>
        </a:stretch>
      </xdr:blipFill>
      <xdr:spPr>
        <a:xfrm>
          <a:off x="355600" y="1435100"/>
          <a:ext cx="7169070" cy="11527715"/>
        </a:xfrm>
        <a:prstGeom prst="rect">
          <a:avLst/>
        </a:prstGeom>
      </xdr:spPr>
    </xdr:pic>
    <xdr:clientData/>
  </xdr:twoCellAnchor>
  <xdr:twoCellAnchor editAs="oneCell">
    <xdr:from>
      <xdr:col>6</xdr:col>
      <xdr:colOff>304800</xdr:colOff>
      <xdr:row>17</xdr:row>
      <xdr:rowOff>146050</xdr:rowOff>
    </xdr:from>
    <xdr:to>
      <xdr:col>28</xdr:col>
      <xdr:colOff>125823</xdr:colOff>
      <xdr:row>54</xdr:row>
      <xdr:rowOff>39036</xdr:rowOff>
    </xdr:to>
    <xdr:pic>
      <xdr:nvPicPr>
        <xdr:cNvPr id="3" name="Picture 2">
          <a:extLst>
            <a:ext uri="{FF2B5EF4-FFF2-40B4-BE49-F238E27FC236}">
              <a16:creationId xmlns:a16="http://schemas.microsoft.com/office/drawing/2014/main" id="{64FCE8BE-A82B-6132-CDF1-A4DD8F31D244}"/>
            </a:ext>
          </a:extLst>
        </xdr:cNvPr>
        <xdr:cNvPicPr>
          <a:picLocks noChangeAspect="1"/>
        </xdr:cNvPicPr>
      </xdr:nvPicPr>
      <xdr:blipFill>
        <a:blip xmlns:r="http://schemas.openxmlformats.org/officeDocument/2006/relationships" r:embed="rId2"/>
        <a:stretch>
          <a:fillRect/>
        </a:stretch>
      </xdr:blipFill>
      <xdr:spPr>
        <a:xfrm>
          <a:off x="3962400" y="3327400"/>
          <a:ext cx="14318073" cy="6706536"/>
        </a:xfrm>
        <a:prstGeom prst="rect">
          <a:avLst/>
        </a:prstGeom>
      </xdr:spPr>
    </xdr:pic>
    <xdr:clientData/>
  </xdr:twoCellAnchor>
  <xdr:twoCellAnchor editAs="oneCell">
    <xdr:from>
      <xdr:col>2</xdr:col>
      <xdr:colOff>133350</xdr:colOff>
      <xdr:row>66</xdr:row>
      <xdr:rowOff>152400</xdr:rowOff>
    </xdr:from>
    <xdr:to>
      <xdr:col>23</xdr:col>
      <xdr:colOff>563973</xdr:colOff>
      <xdr:row>103</xdr:row>
      <xdr:rowOff>45386</xdr:rowOff>
    </xdr:to>
    <xdr:pic>
      <xdr:nvPicPr>
        <xdr:cNvPr id="4" name="Picture 3">
          <a:extLst>
            <a:ext uri="{FF2B5EF4-FFF2-40B4-BE49-F238E27FC236}">
              <a16:creationId xmlns:a16="http://schemas.microsoft.com/office/drawing/2014/main" id="{26BB7778-0512-C8AD-A331-B56F3A53F071}"/>
            </a:ext>
          </a:extLst>
        </xdr:cNvPr>
        <xdr:cNvPicPr>
          <a:picLocks noChangeAspect="1"/>
        </xdr:cNvPicPr>
      </xdr:nvPicPr>
      <xdr:blipFill>
        <a:blip xmlns:r="http://schemas.openxmlformats.org/officeDocument/2006/relationships" r:embed="rId2"/>
        <a:stretch>
          <a:fillRect/>
        </a:stretch>
      </xdr:blipFill>
      <xdr:spPr>
        <a:xfrm>
          <a:off x="1352550" y="12357100"/>
          <a:ext cx="14318073" cy="6706536"/>
        </a:xfrm>
        <a:prstGeom prst="rect">
          <a:avLst/>
        </a:prstGeom>
      </xdr:spPr>
    </xdr:pic>
    <xdr:clientData/>
  </xdr:twoCellAnchor>
  <xdr:twoCellAnchor editAs="oneCell">
    <xdr:from>
      <xdr:col>2</xdr:col>
      <xdr:colOff>133350</xdr:colOff>
      <xdr:row>66</xdr:row>
      <xdr:rowOff>152400</xdr:rowOff>
    </xdr:from>
    <xdr:to>
      <xdr:col>18</xdr:col>
      <xdr:colOff>182417</xdr:colOff>
      <xdr:row>115</xdr:row>
      <xdr:rowOff>93326</xdr:rowOff>
    </xdr:to>
    <xdr:pic>
      <xdr:nvPicPr>
        <xdr:cNvPr id="5" name="Picture 4">
          <a:extLst>
            <a:ext uri="{FF2B5EF4-FFF2-40B4-BE49-F238E27FC236}">
              <a16:creationId xmlns:a16="http://schemas.microsoft.com/office/drawing/2014/main" id="{ABEF8ABE-C50C-88F4-2472-BE890C16FA0C}"/>
            </a:ext>
          </a:extLst>
        </xdr:cNvPr>
        <xdr:cNvPicPr>
          <a:picLocks noChangeAspect="1"/>
        </xdr:cNvPicPr>
      </xdr:nvPicPr>
      <xdr:blipFill>
        <a:blip xmlns:r="http://schemas.openxmlformats.org/officeDocument/2006/relationships" r:embed="rId3"/>
        <a:stretch>
          <a:fillRect/>
        </a:stretch>
      </xdr:blipFill>
      <xdr:spPr>
        <a:xfrm>
          <a:off x="1352550" y="12357100"/>
          <a:ext cx="10336067" cy="8964276"/>
        </a:xfrm>
        <a:prstGeom prst="rect">
          <a:avLst/>
        </a:prstGeom>
      </xdr:spPr>
    </xdr:pic>
    <xdr:clientData/>
  </xdr:twoCellAnchor>
  <xdr:twoCellAnchor editAs="oneCell">
    <xdr:from>
      <xdr:col>12</xdr:col>
      <xdr:colOff>0</xdr:colOff>
      <xdr:row>136</xdr:row>
      <xdr:rowOff>0</xdr:rowOff>
    </xdr:from>
    <xdr:to>
      <xdr:col>25</xdr:col>
      <xdr:colOff>560111</xdr:colOff>
      <xdr:row>195</xdr:row>
      <xdr:rowOff>138061</xdr:rowOff>
    </xdr:to>
    <xdr:pic>
      <xdr:nvPicPr>
        <xdr:cNvPr id="6" name="Picture 5">
          <a:extLst>
            <a:ext uri="{FF2B5EF4-FFF2-40B4-BE49-F238E27FC236}">
              <a16:creationId xmlns:a16="http://schemas.microsoft.com/office/drawing/2014/main" id="{05932569-F60B-56CF-260C-6C6634AE2D73}"/>
            </a:ext>
          </a:extLst>
        </xdr:cNvPr>
        <xdr:cNvPicPr>
          <a:picLocks noChangeAspect="1"/>
        </xdr:cNvPicPr>
      </xdr:nvPicPr>
      <xdr:blipFill>
        <a:blip xmlns:r="http://schemas.openxmlformats.org/officeDocument/2006/relationships" r:embed="rId4"/>
        <a:stretch>
          <a:fillRect/>
        </a:stretch>
      </xdr:blipFill>
      <xdr:spPr>
        <a:xfrm>
          <a:off x="7493000" y="25095200"/>
          <a:ext cx="9392961" cy="110029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s://longreads.cbs.nl/dearbeidsmarktincijfers-2023/" TargetMode="External"/><Relationship Id="rId13" Type="http://schemas.openxmlformats.org/officeDocument/2006/relationships/hyperlink" Target="https://nso.gov.mt/wp-content/uploads/NR-2024-021-Table-1.ods" TargetMode="External"/><Relationship Id="rId18" Type="http://schemas.openxmlformats.org/officeDocument/2006/relationships/hyperlink" Target="https://theicct.org/wp-content/uploads/2022/09/zero-emission-buses-europe-sept22.pdf" TargetMode="External"/><Relationship Id="rId3" Type="http://schemas.openxmlformats.org/officeDocument/2006/relationships/hyperlink" Target="https://www.admin.ch/gov/fr/accueil/documentation/communiques.msg-id-84306.html" TargetMode="External"/><Relationship Id="rId21" Type="http://schemas.openxmlformats.org/officeDocument/2006/relationships/hyperlink" Target="https://www.acea.auto/files/ACEA_Trucks_by_fuel_type_full-year-2022.pdf" TargetMode="External"/><Relationship Id="rId7" Type="http://schemas.openxmlformats.org/officeDocument/2006/relationships/hyperlink" Target="https://h2.live/en/fahren/" TargetMode="External"/><Relationship Id="rId12" Type="http://schemas.openxmlformats.org/officeDocument/2006/relationships/hyperlink" Target="https://www.ceicdata.com/en/bulgaria/number-of-vehicles" TargetMode="External"/><Relationship Id="rId17" Type="http://schemas.openxmlformats.org/officeDocument/2006/relationships/hyperlink" Target="https://www.agendalaadinfrastructuur.nl/ondersteuning+gemeenten/documenten+en+links/documenten+in+bibliotheek/handlerdownloadfiles.ashx?idnv=2547592" TargetMode="External"/><Relationship Id="rId2" Type="http://schemas.openxmlformats.org/officeDocument/2006/relationships/hyperlink" Target="https://ec.europa.eu/eurostat/statistics-explained/images/1/15/Average_commuting_time_in_EU%2C_2019_%28minutes%29.png" TargetMode="External"/><Relationship Id="rId16" Type="http://schemas.openxmlformats.org/officeDocument/2006/relationships/hyperlink" Target="https://www.volvotrucks.com/en-en/news-stories/press-releases/2022/jan/volvos-heavy-duty-electric-truck-is-put-to-the-test-excels-in-both-range-and-energy-efficiency.html" TargetMode="External"/><Relationship Id="rId20" Type="http://schemas.openxmlformats.org/officeDocument/2006/relationships/hyperlink" Target="https://ec.europa.eu/eurostat/databrowser/view/nrg_d_traq/default/table?lang=en" TargetMode="External"/><Relationship Id="rId1" Type="http://schemas.openxmlformats.org/officeDocument/2006/relationships/hyperlink" Target="https://opendata.cbs.nl/statline/" TargetMode="External"/><Relationship Id="rId6" Type="http://schemas.openxmlformats.org/officeDocument/2006/relationships/hyperlink" Target="https://www.autoweek.nl/verbruiksmonitor/?referrer=https%3A%2F%2Fwww.google.com%2F" TargetMode="External"/><Relationship Id="rId11" Type="http://schemas.openxmlformats.org/officeDocument/2006/relationships/hyperlink" Target="https://www.acea.auto/files/ACEA-report-vehicles-in-use-europe-2023.pdf" TargetMode="External"/><Relationship Id="rId5" Type="http://schemas.openxmlformats.org/officeDocument/2006/relationships/hyperlink" Target="https://www.cbs.nl/nl-nl/maatwerk/2023/45/gemiddeld-kilometrage-personenauto-s-per-365-dagen" TargetMode="External"/><Relationship Id="rId15" Type="http://schemas.openxmlformats.org/officeDocument/2006/relationships/hyperlink" Target="https://www.debedrijfswagenadviseurs.nl/praktijkverbruik-elektrische-bedrijfswagen/" TargetMode="External"/><Relationship Id="rId10" Type="http://schemas.openxmlformats.org/officeDocument/2006/relationships/hyperlink" Target="https://ec.europa.eu/eurostat/databrowser/view/ILC_LVHO01__custom_13884242/default/table?lang=en&amp;page=time:2018" TargetMode="External"/><Relationship Id="rId19" Type="http://schemas.openxmlformats.org/officeDocument/2006/relationships/hyperlink" Target="https://www.acea.auto/files/ACEA_vans_by_fuel_type_full-year_2021.pdf" TargetMode="External"/><Relationship Id="rId4" Type="http://schemas.openxmlformats.org/officeDocument/2006/relationships/hyperlink" Target="https://ec.europa.eu/eurostat/statistics-explained/index.php?title=Hours_of_work_-_annual_statistics&amp;oldid=636656" TargetMode="External"/><Relationship Id="rId9" Type="http://schemas.openxmlformats.org/officeDocument/2006/relationships/hyperlink" Target="https://ec.europa.eu/eurostat/databrowser/view/road_eqs_carmot/default/table?lang=en" TargetMode="External"/><Relationship Id="rId14" Type="http://schemas.openxmlformats.org/officeDocument/2006/relationships/hyperlink" Target="https://www.ebusco.com/wp-content/uploads/Website_Brochure_NL_V1-4.pdf"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www.cbs.nl/nl-nl/visualisaties/verkeer-en-vervoer/verkeer/verkeersprestaties-bestelauto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0"/>
  </sheetPr>
  <dimension ref="E4:H74"/>
  <sheetViews>
    <sheetView workbookViewId="0">
      <selection activeCell="E74" sqref="E74"/>
    </sheetView>
  </sheetViews>
  <sheetFormatPr defaultColWidth="9.140625" defaultRowHeight="15" x14ac:dyDescent="0.25"/>
  <cols>
    <col min="1" max="4" width="9.140625" style="3"/>
    <col min="5" max="5" width="44.28515625" style="3" bestFit="1" customWidth="1"/>
    <col min="6" max="6" width="21.140625" style="3" bestFit="1" customWidth="1"/>
    <col min="7" max="7" width="52.42578125" style="3" customWidth="1"/>
    <col min="8" max="8" width="32.42578125" style="3" customWidth="1"/>
    <col min="9" max="10" width="9.140625" style="3"/>
    <col min="11" max="11" width="26.140625" style="3" customWidth="1"/>
    <col min="12" max="12" width="31" style="3" bestFit="1" customWidth="1"/>
    <col min="13" max="13" width="21.85546875" style="3" bestFit="1" customWidth="1"/>
    <col min="14" max="14" width="28.42578125" style="3" bestFit="1" customWidth="1"/>
    <col min="15" max="16384" width="9.140625" style="3"/>
  </cols>
  <sheetData>
    <row r="4" spans="5:8" x14ac:dyDescent="0.25">
      <c r="E4" s="2" t="s">
        <v>22</v>
      </c>
    </row>
    <row r="5" spans="5:8" x14ac:dyDescent="0.25">
      <c r="E5" s="4" t="s">
        <v>23</v>
      </c>
    </row>
    <row r="6" spans="5:8" x14ac:dyDescent="0.25">
      <c r="E6" s="4" t="s">
        <v>24</v>
      </c>
    </row>
    <row r="7" spans="5:8" x14ac:dyDescent="0.25">
      <c r="E7" s="4" t="s">
        <v>25</v>
      </c>
    </row>
    <row r="13" spans="5:8" ht="30.75" thickBot="1" x14ac:dyDescent="0.3">
      <c r="E13" s="2" t="s">
        <v>5</v>
      </c>
      <c r="F13" s="2" t="s">
        <v>65</v>
      </c>
      <c r="G13" s="2" t="s">
        <v>1</v>
      </c>
      <c r="H13" s="2" t="s">
        <v>34</v>
      </c>
    </row>
    <row r="14" spans="5:8" ht="16.5" thickTop="1" thickBot="1" x14ac:dyDescent="0.3">
      <c r="E14" s="4" t="s">
        <v>6</v>
      </c>
      <c r="F14" s="6">
        <v>22</v>
      </c>
      <c r="G14" s="11" t="s">
        <v>69</v>
      </c>
      <c r="H14" s="5" t="s">
        <v>24</v>
      </c>
    </row>
    <row r="15" spans="5:8" ht="16.5" thickTop="1" thickBot="1" x14ac:dyDescent="0.3">
      <c r="E15" s="4" t="s">
        <v>14</v>
      </c>
      <c r="F15" s="6">
        <f>27/60</f>
        <v>0.45</v>
      </c>
      <c r="G15" s="11" t="s">
        <v>73</v>
      </c>
      <c r="H15" s="5" t="s">
        <v>24</v>
      </c>
    </row>
    <row r="16" spans="5:8" ht="16.5" thickTop="1" thickBot="1" x14ac:dyDescent="0.3">
      <c r="E16" s="4" t="s">
        <v>7</v>
      </c>
      <c r="F16" s="5">
        <f>F14</f>
        <v>22</v>
      </c>
      <c r="G16" s="11" t="s">
        <v>120</v>
      </c>
      <c r="H16" s="5" t="s">
        <v>24</v>
      </c>
    </row>
    <row r="17" spans="5:8" ht="16.5" thickTop="1" thickBot="1" x14ac:dyDescent="0.3">
      <c r="E17" s="4" t="s">
        <v>15</v>
      </c>
      <c r="F17" s="5">
        <f>F15</f>
        <v>0.45</v>
      </c>
      <c r="G17" s="11" t="s">
        <v>120</v>
      </c>
      <c r="H17" s="5" t="s">
        <v>24</v>
      </c>
    </row>
    <row r="18" spans="5:8" ht="16.5" thickTop="1" thickBot="1" x14ac:dyDescent="0.3">
      <c r="E18" s="4" t="s">
        <v>8</v>
      </c>
      <c r="F18" s="6">
        <v>6</v>
      </c>
      <c r="G18" s="11" t="s">
        <v>121</v>
      </c>
      <c r="H18" s="5" t="s">
        <v>24</v>
      </c>
    </row>
    <row r="19" spans="5:8" ht="16.5" thickTop="1" thickBot="1" x14ac:dyDescent="0.3">
      <c r="E19" s="4" t="s">
        <v>16</v>
      </c>
      <c r="F19" s="13">
        <f>F15*F18/F14</f>
        <v>0.12272727272727274</v>
      </c>
      <c r="G19" s="11" t="s">
        <v>122</v>
      </c>
      <c r="H19" s="5" t="s">
        <v>24</v>
      </c>
    </row>
    <row r="20" spans="5:8" ht="16.5" thickTop="1" thickBot="1" x14ac:dyDescent="0.3">
      <c r="E20" s="4" t="s">
        <v>9</v>
      </c>
      <c r="F20" s="5">
        <f>F18</f>
        <v>6</v>
      </c>
      <c r="G20" s="11" t="s">
        <v>120</v>
      </c>
      <c r="H20" s="5" t="s">
        <v>24</v>
      </c>
    </row>
    <row r="21" spans="5:8" ht="16.5" thickTop="1" thickBot="1" x14ac:dyDescent="0.3">
      <c r="E21" s="4" t="s">
        <v>17</v>
      </c>
      <c r="F21" s="5">
        <f>F19</f>
        <v>0.12272727272727274</v>
      </c>
      <c r="G21" s="11" t="s">
        <v>120</v>
      </c>
      <c r="H21" s="5" t="s">
        <v>24</v>
      </c>
    </row>
    <row r="22" spans="5:8" ht="16.5" thickTop="1" thickBot="1" x14ac:dyDescent="0.3">
      <c r="E22" s="4" t="s">
        <v>10</v>
      </c>
      <c r="F22" s="6">
        <v>100</v>
      </c>
      <c r="G22" s="11" t="s">
        <v>121</v>
      </c>
      <c r="H22" s="5" t="s">
        <v>24</v>
      </c>
    </row>
    <row r="23" spans="5:8" ht="16.5" thickTop="1" thickBot="1" x14ac:dyDescent="0.3">
      <c r="E23" s="4" t="s">
        <v>18</v>
      </c>
      <c r="F23" s="6">
        <v>1</v>
      </c>
      <c r="G23" s="11" t="s">
        <v>121</v>
      </c>
      <c r="H23" s="5" t="s">
        <v>24</v>
      </c>
    </row>
    <row r="24" spans="5:8" ht="16.5" thickTop="1" thickBot="1" x14ac:dyDescent="0.3">
      <c r="E24" s="4" t="s">
        <v>11</v>
      </c>
      <c r="F24" s="5">
        <f>F22</f>
        <v>100</v>
      </c>
      <c r="G24" s="11" t="s">
        <v>120</v>
      </c>
      <c r="H24" s="5" t="s">
        <v>24</v>
      </c>
    </row>
    <row r="25" spans="5:8" ht="16.5" thickTop="1" thickBot="1" x14ac:dyDescent="0.3">
      <c r="E25" s="4" t="s">
        <v>19</v>
      </c>
      <c r="F25" s="5">
        <f>F23</f>
        <v>1</v>
      </c>
      <c r="G25" s="11" t="s">
        <v>120</v>
      </c>
      <c r="H25" s="5" t="s">
        <v>24</v>
      </c>
    </row>
    <row r="26" spans="5:8" ht="16.5" thickTop="1" thickBot="1" x14ac:dyDescent="0.3">
      <c r="E26" s="4" t="s">
        <v>12</v>
      </c>
      <c r="F26" s="6">
        <v>400</v>
      </c>
      <c r="G26" s="11" t="s">
        <v>121</v>
      </c>
      <c r="H26" s="5" t="s">
        <v>24</v>
      </c>
    </row>
    <row r="27" spans="5:8" ht="16.5" thickTop="1" thickBot="1" x14ac:dyDescent="0.3">
      <c r="E27" s="4" t="s">
        <v>20</v>
      </c>
      <c r="F27" s="6">
        <v>4</v>
      </c>
      <c r="G27" s="11" t="s">
        <v>121</v>
      </c>
      <c r="H27" s="5" t="s">
        <v>24</v>
      </c>
    </row>
    <row r="28" spans="5:8" ht="16.5" thickTop="1" thickBot="1" x14ac:dyDescent="0.3">
      <c r="E28" s="4" t="s">
        <v>13</v>
      </c>
      <c r="F28" s="5">
        <f>F26</f>
        <v>400</v>
      </c>
      <c r="G28" s="11" t="s">
        <v>120</v>
      </c>
      <c r="H28" s="5" t="s">
        <v>24</v>
      </c>
    </row>
    <row r="29" spans="5:8" ht="16.5" thickTop="1" thickBot="1" x14ac:dyDescent="0.3">
      <c r="E29" s="4" t="s">
        <v>21</v>
      </c>
      <c r="F29" s="5">
        <f>F27</f>
        <v>4</v>
      </c>
      <c r="G29" s="11" t="s">
        <v>120</v>
      </c>
      <c r="H29" s="5" t="s">
        <v>24</v>
      </c>
    </row>
    <row r="30" spans="5:8" ht="31.5" thickTop="1" thickBot="1" x14ac:dyDescent="0.3">
      <c r="E30" s="4" t="s">
        <v>26</v>
      </c>
      <c r="F30" s="6">
        <v>13939</v>
      </c>
      <c r="G30" s="11" t="s">
        <v>125</v>
      </c>
      <c r="H30" s="5" t="s">
        <v>24</v>
      </c>
    </row>
    <row r="31" spans="5:8" ht="31.5" thickTop="1" thickBot="1" x14ac:dyDescent="0.3">
      <c r="E31" s="4" t="s">
        <v>27</v>
      </c>
      <c r="F31" s="6">
        <v>60</v>
      </c>
      <c r="G31" s="11" t="s">
        <v>126</v>
      </c>
      <c r="H31" s="5" t="s">
        <v>23</v>
      </c>
    </row>
    <row r="32" spans="5:8" ht="31.5" thickTop="1" thickBot="1" x14ac:dyDescent="0.3">
      <c r="E32" s="4" t="s">
        <v>28</v>
      </c>
      <c r="F32" s="6">
        <v>0.14510000000000001</v>
      </c>
      <c r="G32" s="11" t="s">
        <v>127</v>
      </c>
      <c r="H32" s="5" t="s">
        <v>23</v>
      </c>
    </row>
    <row r="33" spans="5:8" ht="31.5" thickTop="1" thickBot="1" x14ac:dyDescent="0.3">
      <c r="E33" s="4" t="s">
        <v>29</v>
      </c>
      <c r="F33" s="6">
        <f>6.49/100</f>
        <v>6.4899999999999999E-2</v>
      </c>
      <c r="G33" s="11" t="s">
        <v>127</v>
      </c>
      <c r="H33" s="5" t="s">
        <v>23</v>
      </c>
    </row>
    <row r="34" spans="5:8" ht="31.5" thickTop="1" thickBot="1" x14ac:dyDescent="0.3">
      <c r="E34" s="4" t="s">
        <v>30</v>
      </c>
      <c r="F34" s="6">
        <f>5.57/100</f>
        <v>5.57E-2</v>
      </c>
      <c r="G34" s="11" t="s">
        <v>127</v>
      </c>
      <c r="H34" s="5" t="s">
        <v>23</v>
      </c>
    </row>
    <row r="35" spans="5:8" ht="31.5" thickTop="1" thickBot="1" x14ac:dyDescent="0.3">
      <c r="E35" s="4" t="s">
        <v>31</v>
      </c>
      <c r="F35" s="6">
        <f>0.76/100</f>
        <v>7.6E-3</v>
      </c>
      <c r="G35" s="11" t="s">
        <v>129</v>
      </c>
      <c r="H35" s="5" t="s">
        <v>23</v>
      </c>
    </row>
    <row r="36" spans="5:8" ht="31.5" thickTop="1" thickBot="1" x14ac:dyDescent="0.3">
      <c r="E36" s="4" t="s">
        <v>178</v>
      </c>
      <c r="F36" s="6">
        <f>9.2/100</f>
        <v>9.1999999999999998E-2</v>
      </c>
      <c r="G36" s="11" t="s">
        <v>127</v>
      </c>
      <c r="H36" s="5" t="s">
        <v>23</v>
      </c>
    </row>
    <row r="37" spans="5:8" ht="31.5" thickTop="1" thickBot="1" x14ac:dyDescent="0.3">
      <c r="E37" s="4" t="s">
        <v>177</v>
      </c>
      <c r="F37" s="6">
        <f>4.61/100</f>
        <v>4.6100000000000002E-2</v>
      </c>
      <c r="G37" s="11" t="s">
        <v>127</v>
      </c>
      <c r="H37" s="5" t="s">
        <v>23</v>
      </c>
    </row>
    <row r="38" spans="5:8" ht="31.5" thickTop="1" thickBot="1" x14ac:dyDescent="0.3">
      <c r="E38" s="4" t="s">
        <v>32</v>
      </c>
      <c r="F38" s="6">
        <v>32.200000000000003</v>
      </c>
      <c r="G38" s="11" t="s">
        <v>117</v>
      </c>
      <c r="H38" s="5" t="s">
        <v>25</v>
      </c>
    </row>
    <row r="39" spans="5:8" ht="16.5" thickTop="1" thickBot="1" x14ac:dyDescent="0.3">
      <c r="E39" s="4" t="s">
        <v>33</v>
      </c>
      <c r="F39" s="6">
        <v>1402</v>
      </c>
      <c r="G39" s="11" t="s">
        <v>135</v>
      </c>
      <c r="H39" s="5" t="s">
        <v>25</v>
      </c>
    </row>
    <row r="40" spans="5:8" ht="15.75" thickTop="1" x14ac:dyDescent="0.25"/>
    <row r="48" spans="5:8" ht="30.75" thickBot="1" x14ac:dyDescent="0.3">
      <c r="E48" s="2" t="s">
        <v>243</v>
      </c>
      <c r="F48" s="2" t="s">
        <v>65</v>
      </c>
      <c r="G48" s="2" t="s">
        <v>1</v>
      </c>
      <c r="H48" s="2" t="s">
        <v>34</v>
      </c>
    </row>
    <row r="49" spans="5:8" ht="16.5" thickTop="1" thickBot="1" x14ac:dyDescent="0.3">
      <c r="E49" s="4" t="s">
        <v>244</v>
      </c>
      <c r="F49" s="6">
        <v>4</v>
      </c>
      <c r="G49" s="11" t="s">
        <v>248</v>
      </c>
      <c r="H49" s="5" t="s">
        <v>24</v>
      </c>
    </row>
    <row r="50" spans="5:8" ht="16.5" thickTop="1" thickBot="1" x14ac:dyDescent="0.3">
      <c r="E50" s="4" t="s">
        <v>245</v>
      </c>
      <c r="F50" s="6">
        <v>0.1</v>
      </c>
      <c r="G50" s="11" t="s">
        <v>248</v>
      </c>
      <c r="H50" s="5" t="s">
        <v>24</v>
      </c>
    </row>
    <row r="51" spans="5:8" ht="16.5" thickTop="1" thickBot="1" x14ac:dyDescent="0.3">
      <c r="E51" s="4" t="s">
        <v>246</v>
      </c>
      <c r="F51" s="6">
        <v>4</v>
      </c>
      <c r="G51" s="11" t="s">
        <v>248</v>
      </c>
      <c r="H51" s="5" t="s">
        <v>24</v>
      </c>
    </row>
    <row r="52" spans="5:8" ht="16.5" thickTop="1" thickBot="1" x14ac:dyDescent="0.3">
      <c r="E52" s="4" t="s">
        <v>247</v>
      </c>
      <c r="F52" s="6">
        <v>0.1</v>
      </c>
      <c r="G52" s="11" t="s">
        <v>248</v>
      </c>
      <c r="H52" s="5" t="s">
        <v>24</v>
      </c>
    </row>
    <row r="53" spans="5:8" ht="31.5" thickTop="1" thickBot="1" x14ac:dyDescent="0.3">
      <c r="E53" s="4" t="s">
        <v>250</v>
      </c>
      <c r="F53" s="6">
        <v>11</v>
      </c>
      <c r="G53" s="11" t="s">
        <v>248</v>
      </c>
      <c r="H53" s="5" t="s">
        <v>24</v>
      </c>
    </row>
    <row r="54" spans="5:8" ht="31.5" thickTop="1" thickBot="1" x14ac:dyDescent="0.3">
      <c r="E54" s="4" t="s">
        <v>249</v>
      </c>
      <c r="F54" s="6">
        <v>0.66</v>
      </c>
      <c r="G54" s="11" t="s">
        <v>248</v>
      </c>
      <c r="H54" s="5" t="s">
        <v>24</v>
      </c>
    </row>
    <row r="55" spans="5:8" ht="31.5" thickTop="1" thickBot="1" x14ac:dyDescent="0.3">
      <c r="E55" s="4" t="s">
        <v>251</v>
      </c>
      <c r="F55" s="6">
        <v>11</v>
      </c>
      <c r="G55" s="11" t="s">
        <v>248</v>
      </c>
      <c r="H55" s="5" t="s">
        <v>24</v>
      </c>
    </row>
    <row r="56" spans="5:8" ht="31.5" thickTop="1" thickBot="1" x14ac:dyDescent="0.3">
      <c r="E56" s="4" t="s">
        <v>252</v>
      </c>
      <c r="F56" s="6">
        <v>0.66</v>
      </c>
      <c r="G56" s="11" t="s">
        <v>248</v>
      </c>
      <c r="H56" s="5" t="s">
        <v>24</v>
      </c>
    </row>
    <row r="57" spans="5:8" ht="15.75" thickTop="1" x14ac:dyDescent="0.25"/>
    <row r="62" spans="5:8" ht="30.75" thickBot="1" x14ac:dyDescent="0.3">
      <c r="E62" s="2" t="s">
        <v>257</v>
      </c>
      <c r="F62" s="2" t="s">
        <v>65</v>
      </c>
      <c r="G62" s="2" t="s">
        <v>1</v>
      </c>
      <c r="H62" s="2" t="s">
        <v>34</v>
      </c>
    </row>
    <row r="63" spans="5:8" ht="16.5" thickTop="1" thickBot="1" x14ac:dyDescent="0.3">
      <c r="E63" s="4" t="s">
        <v>253</v>
      </c>
      <c r="F63" s="6">
        <v>42</v>
      </c>
      <c r="G63" s="11" t="s">
        <v>248</v>
      </c>
      <c r="H63" s="5" t="s">
        <v>24</v>
      </c>
    </row>
    <row r="64" spans="5:8" ht="16.5" thickTop="1" thickBot="1" x14ac:dyDescent="0.3">
      <c r="E64" s="4" t="s">
        <v>254</v>
      </c>
      <c r="F64" s="6">
        <v>1</v>
      </c>
      <c r="G64" s="11" t="s">
        <v>248</v>
      </c>
      <c r="H64" s="5" t="s">
        <v>24</v>
      </c>
    </row>
    <row r="65" spans="5:8" ht="16.5" thickTop="1" thickBot="1" x14ac:dyDescent="0.3">
      <c r="E65" s="4" t="s">
        <v>255</v>
      </c>
      <c r="F65" s="6">
        <v>42</v>
      </c>
      <c r="G65" s="11" t="s">
        <v>248</v>
      </c>
      <c r="H65" s="5" t="s">
        <v>24</v>
      </c>
    </row>
    <row r="66" spans="5:8" ht="16.5" thickTop="1" thickBot="1" x14ac:dyDescent="0.3">
      <c r="E66" s="4" t="s">
        <v>256</v>
      </c>
      <c r="F66" s="6">
        <v>1</v>
      </c>
      <c r="G66" s="11" t="s">
        <v>248</v>
      </c>
      <c r="H66" s="5" t="s">
        <v>24</v>
      </c>
    </row>
    <row r="67" spans="5:8" ht="15.75" thickTop="1" x14ac:dyDescent="0.25"/>
    <row r="69" spans="5:8" ht="30.75" thickBot="1" x14ac:dyDescent="0.3">
      <c r="E69" s="2" t="s">
        <v>258</v>
      </c>
      <c r="F69" s="2" t="s">
        <v>65</v>
      </c>
      <c r="G69" s="2" t="s">
        <v>1</v>
      </c>
      <c r="H69" s="2" t="s">
        <v>34</v>
      </c>
    </row>
    <row r="70" spans="5:8" ht="16.5" thickTop="1" thickBot="1" x14ac:dyDescent="0.3">
      <c r="E70" s="4" t="s">
        <v>322</v>
      </c>
      <c r="F70" s="6">
        <v>2.6</v>
      </c>
      <c r="G70" s="11" t="s">
        <v>248</v>
      </c>
      <c r="H70" s="5" t="s">
        <v>24</v>
      </c>
    </row>
    <row r="71" spans="5:8" ht="16.5" thickTop="1" thickBot="1" x14ac:dyDescent="0.3">
      <c r="E71" s="4" t="s">
        <v>323</v>
      </c>
      <c r="F71" s="6">
        <v>0.25</v>
      </c>
      <c r="G71" s="11" t="s">
        <v>248</v>
      </c>
      <c r="H71" s="5" t="s">
        <v>24</v>
      </c>
    </row>
    <row r="72" spans="5:8" ht="16.5" thickTop="1" thickBot="1" x14ac:dyDescent="0.3">
      <c r="E72" s="4" t="s">
        <v>324</v>
      </c>
      <c r="F72" s="6">
        <v>2.6</v>
      </c>
      <c r="G72" s="11" t="s">
        <v>248</v>
      </c>
      <c r="H72" s="5" t="s">
        <v>24</v>
      </c>
    </row>
    <row r="73" spans="5:8" ht="16.5" thickTop="1" thickBot="1" x14ac:dyDescent="0.3">
      <c r="E73" s="4" t="s">
        <v>325</v>
      </c>
      <c r="F73" s="6">
        <v>0.25</v>
      </c>
      <c r="G73" s="11" t="s">
        <v>248</v>
      </c>
      <c r="H73" s="5" t="s">
        <v>24</v>
      </c>
    </row>
    <row r="74" spans="5:8" ht="15.75" thickTop="1" x14ac:dyDescent="0.25"/>
  </sheetData>
  <dataValidations count="1">
    <dataValidation type="list" allowBlank="1" showInputMessage="1" showErrorMessage="1" sqref="H14:H39 H49:H56 H63:H66 H70:H73" xr:uid="{D8754257-92A4-4551-8CFC-1D5E7DBB7C91}">
      <formula1>Scaling_Factor_Categories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7"/>
  </sheetPr>
  <dimension ref="C5:L80"/>
  <sheetViews>
    <sheetView topLeftCell="A9" workbookViewId="0">
      <selection activeCell="C10" sqref="C10:C39"/>
    </sheetView>
  </sheetViews>
  <sheetFormatPr defaultColWidth="9.140625" defaultRowHeight="15" x14ac:dyDescent="0.25"/>
  <cols>
    <col min="1" max="3" width="9.140625" style="3"/>
    <col min="4" max="4" width="16.140625" style="3" bestFit="1" customWidth="1"/>
    <col min="5" max="5" width="31" style="3" bestFit="1" customWidth="1"/>
    <col min="6" max="6" width="21.85546875" style="3" bestFit="1" customWidth="1"/>
    <col min="7" max="7" width="28.42578125" style="3" bestFit="1" customWidth="1"/>
    <col min="8" max="10" width="9.140625" style="3"/>
    <col min="11" max="11" width="15.28515625" style="3" customWidth="1"/>
    <col min="12" max="12" width="11.85546875" style="3" bestFit="1" customWidth="1"/>
    <col min="13" max="16384" width="9.140625" style="3"/>
  </cols>
  <sheetData>
    <row r="5" spans="3:12" x14ac:dyDescent="0.25">
      <c r="E5" s="23" t="s">
        <v>113</v>
      </c>
      <c r="F5" s="23" t="s">
        <v>73</v>
      </c>
      <c r="G5" s="23" t="s">
        <v>119</v>
      </c>
    </row>
    <row r="6" spans="3:12" x14ac:dyDescent="0.25">
      <c r="E6" s="23"/>
      <c r="F6" s="23"/>
      <c r="G6" s="23"/>
    </row>
    <row r="7" spans="3:12" x14ac:dyDescent="0.25">
      <c r="E7" s="23"/>
      <c r="F7" s="23"/>
      <c r="G7" s="23"/>
    </row>
    <row r="8" spans="3:12" x14ac:dyDescent="0.25">
      <c r="E8" s="23"/>
      <c r="F8" s="23"/>
      <c r="G8" s="23"/>
    </row>
    <row r="9" spans="3:12" ht="30" x14ac:dyDescent="0.25">
      <c r="D9" s="2" t="s">
        <v>67</v>
      </c>
      <c r="E9" s="2" t="str" cm="1">
        <f t="array" ref="E9:G9">TRANSPOSE(Scaling_Factor_Categories)</f>
        <v>Passenger Car Emissions (gCO2/km)</v>
      </c>
      <c r="F9" s="2" t="str">
        <v>Commute time (minutes)</v>
      </c>
      <c r="G9" s="2" t="str">
        <v>Worked Hours per Week (Hours)</v>
      </c>
      <c r="J9" s="23" t="s">
        <v>111</v>
      </c>
      <c r="K9" s="23"/>
    </row>
    <row r="10" spans="3:12" ht="30" x14ac:dyDescent="0.25">
      <c r="C10" s="4" t="s">
        <v>81</v>
      </c>
      <c r="D10" s="4" t="s">
        <v>35</v>
      </c>
      <c r="E10">
        <v>122.60060069511501</v>
      </c>
      <c r="F10" s="6">
        <v>24</v>
      </c>
      <c r="G10" s="6">
        <v>33.6</v>
      </c>
      <c r="J10" s="2" t="s">
        <v>79</v>
      </c>
      <c r="K10" s="2" t="s">
        <v>80</v>
      </c>
      <c r="L10" s="2" t="s">
        <v>112</v>
      </c>
    </row>
    <row r="11" spans="3:12" x14ac:dyDescent="0.25">
      <c r="C11" s="4" t="s">
        <v>82</v>
      </c>
      <c r="D11" s="4" t="s">
        <v>36</v>
      </c>
      <c r="E11">
        <v>117.83344589534001</v>
      </c>
      <c r="F11" s="6">
        <v>28</v>
      </c>
      <c r="G11" s="6">
        <v>34.9</v>
      </c>
      <c r="J11" s="2" t="s">
        <v>81</v>
      </c>
      <c r="K11">
        <v>148.489904462178</v>
      </c>
      <c r="L11">
        <v>122.60060069511501</v>
      </c>
    </row>
    <row r="12" spans="3:12" x14ac:dyDescent="0.25">
      <c r="C12" s="4" t="s">
        <v>83</v>
      </c>
      <c r="D12" s="4" t="s">
        <v>37</v>
      </c>
      <c r="E12">
        <v>126.313911832023</v>
      </c>
      <c r="F12" s="6">
        <v>26</v>
      </c>
      <c r="G12" s="6">
        <v>39</v>
      </c>
      <c r="J12" s="2" t="s">
        <v>82</v>
      </c>
      <c r="K12">
        <v>143.67959319931001</v>
      </c>
      <c r="L12">
        <v>117.83344589534001</v>
      </c>
    </row>
    <row r="13" spans="3:12" x14ac:dyDescent="0.25">
      <c r="C13" s="4" t="s">
        <v>94</v>
      </c>
      <c r="D13" s="4" t="s">
        <v>38</v>
      </c>
      <c r="E13">
        <v>113.976077828375</v>
      </c>
      <c r="F13" s="6">
        <v>24</v>
      </c>
      <c r="G13" s="6">
        <v>38.1</v>
      </c>
      <c r="J13" s="2" t="s">
        <v>83</v>
      </c>
      <c r="K13">
        <v>153.079676501422</v>
      </c>
      <c r="L13">
        <v>126.313911832023</v>
      </c>
    </row>
    <row r="14" spans="3:12" x14ac:dyDescent="0.25">
      <c r="C14" s="4" t="s">
        <v>84</v>
      </c>
      <c r="D14" s="4" t="s">
        <v>39</v>
      </c>
      <c r="E14">
        <v>125.56968641114899</v>
      </c>
      <c r="F14" s="6">
        <v>19</v>
      </c>
      <c r="G14" s="6">
        <v>38.5</v>
      </c>
      <c r="J14" s="2" t="s">
        <v>84</v>
      </c>
      <c r="K14">
        <v>152.59675082781399</v>
      </c>
      <c r="L14">
        <v>125.56968641114899</v>
      </c>
    </row>
    <row r="15" spans="3:12" x14ac:dyDescent="0.25">
      <c r="C15" s="4" t="s">
        <v>85</v>
      </c>
      <c r="D15" s="4" t="s">
        <v>40</v>
      </c>
      <c r="E15">
        <v>123.780349105627</v>
      </c>
      <c r="F15" s="6">
        <v>27</v>
      </c>
      <c r="G15" s="6">
        <v>37.799999999999997</v>
      </c>
      <c r="J15" s="2" t="s">
        <v>85</v>
      </c>
      <c r="K15">
        <v>148.595134315378</v>
      </c>
      <c r="L15">
        <v>123.780349105627</v>
      </c>
    </row>
    <row r="16" spans="3:12" x14ac:dyDescent="0.25">
      <c r="C16" s="4" t="s">
        <v>87</v>
      </c>
      <c r="D16" s="4" t="s">
        <v>41</v>
      </c>
      <c r="E16">
        <v>110.36337448810799</v>
      </c>
      <c r="F16" s="6">
        <v>26</v>
      </c>
      <c r="G16" s="6">
        <v>34.299999999999997</v>
      </c>
      <c r="J16" s="2" t="s">
        <v>86</v>
      </c>
      <c r="K16">
        <v>155.14781867123401</v>
      </c>
      <c r="L16">
        <v>129.060856135927</v>
      </c>
    </row>
    <row r="17" spans="3:12" x14ac:dyDescent="0.25">
      <c r="C17" s="4" t="s">
        <v>88</v>
      </c>
      <c r="D17" s="4" t="s">
        <v>42</v>
      </c>
      <c r="E17">
        <v>124.376299976889</v>
      </c>
      <c r="F17" s="6">
        <v>23</v>
      </c>
      <c r="G17" s="6">
        <v>36.4</v>
      </c>
      <c r="J17" s="2" t="s">
        <v>87</v>
      </c>
      <c r="K17">
        <v>135.33363239647201</v>
      </c>
      <c r="L17">
        <v>110.36337448810799</v>
      </c>
    </row>
    <row r="18" spans="3:12" x14ac:dyDescent="0.25">
      <c r="C18" s="4" t="s">
        <v>90</v>
      </c>
      <c r="D18" s="4" t="s">
        <v>43</v>
      </c>
      <c r="E18">
        <v>116.10545602605799</v>
      </c>
      <c r="F18" s="6">
        <v>23</v>
      </c>
      <c r="G18" s="6">
        <v>34.799999999999997</v>
      </c>
      <c r="J18" s="2" t="s">
        <v>88</v>
      </c>
      <c r="K18">
        <v>152.10492257915399</v>
      </c>
      <c r="L18">
        <v>124.376299976889</v>
      </c>
    </row>
    <row r="19" spans="3:12" x14ac:dyDescent="0.25">
      <c r="C19" s="4" t="s">
        <v>91</v>
      </c>
      <c r="D19" s="4" t="s">
        <v>44</v>
      </c>
      <c r="E19">
        <v>108.507089922126</v>
      </c>
      <c r="F19" s="6">
        <v>26</v>
      </c>
      <c r="G19" s="6">
        <v>36</v>
      </c>
      <c r="J19" s="2" t="s">
        <v>89</v>
      </c>
      <c r="K19">
        <v>141.15505880079601</v>
      </c>
      <c r="L19">
        <v>115.424400214969</v>
      </c>
    </row>
    <row r="20" spans="3:12" x14ac:dyDescent="0.25">
      <c r="C20" s="4" t="s">
        <v>86</v>
      </c>
      <c r="D20" s="4" t="s">
        <v>45</v>
      </c>
      <c r="E20">
        <v>129.060856135927</v>
      </c>
      <c r="F20" s="6">
        <v>26</v>
      </c>
      <c r="G20" s="6">
        <v>34</v>
      </c>
      <c r="J20" s="2" t="s">
        <v>90</v>
      </c>
      <c r="K20">
        <v>141.05107902921301</v>
      </c>
      <c r="L20">
        <v>116.10545602605799</v>
      </c>
    </row>
    <row r="21" spans="3:12" x14ac:dyDescent="0.25">
      <c r="C21" s="4" t="s">
        <v>93</v>
      </c>
      <c r="D21" s="4" t="s">
        <v>46</v>
      </c>
      <c r="E21">
        <v>109.715172604689</v>
      </c>
      <c r="F21" s="6">
        <v>20</v>
      </c>
      <c r="G21" s="6">
        <v>39.799999999999997</v>
      </c>
      <c r="J21" s="2" t="s">
        <v>91</v>
      </c>
      <c r="K21">
        <v>133.92541520145099</v>
      </c>
      <c r="L21">
        <v>108.507089922126</v>
      </c>
    </row>
    <row r="22" spans="3:12" x14ac:dyDescent="0.25">
      <c r="C22" s="4" t="s">
        <v>95</v>
      </c>
      <c r="D22" s="4" t="s">
        <v>47</v>
      </c>
      <c r="E22">
        <v>121.69575189632801</v>
      </c>
      <c r="F22" s="6">
        <v>29</v>
      </c>
      <c r="G22" s="6">
        <v>37.799999999999997</v>
      </c>
      <c r="J22" s="2" t="s">
        <v>92</v>
      </c>
      <c r="K22">
        <v>149.652298996805</v>
      </c>
      <c r="L22">
        <v>123.548068832585</v>
      </c>
    </row>
    <row r="23" spans="3:12" x14ac:dyDescent="0.25">
      <c r="C23" s="4" t="s">
        <v>96</v>
      </c>
      <c r="D23" s="4" t="s">
        <v>49</v>
      </c>
      <c r="E23">
        <v>113.34552703110801</v>
      </c>
      <c r="F23" s="6">
        <v>28</v>
      </c>
      <c r="G23" s="6">
        <v>35.5</v>
      </c>
      <c r="J23" s="2" t="s">
        <v>93</v>
      </c>
      <c r="K23">
        <v>133.776135943849</v>
      </c>
      <c r="L23">
        <v>109.715172604689</v>
      </c>
    </row>
    <row r="24" spans="3:12" x14ac:dyDescent="0.25">
      <c r="C24" s="4" t="s">
        <v>98</v>
      </c>
      <c r="D24" s="4" t="s">
        <v>48</v>
      </c>
      <c r="E24">
        <v>113.114885961743</v>
      </c>
      <c r="F24" s="6">
        <v>21</v>
      </c>
      <c r="G24" s="6">
        <v>36.1</v>
      </c>
      <c r="J24" s="2" t="s">
        <v>94</v>
      </c>
      <c r="K24">
        <v>138.03542887586499</v>
      </c>
      <c r="L24">
        <v>113.976077828375</v>
      </c>
    </row>
    <row r="25" spans="3:12" x14ac:dyDescent="0.25">
      <c r="C25" s="4" t="s">
        <v>101</v>
      </c>
      <c r="D25" s="4" t="s">
        <v>50</v>
      </c>
      <c r="E25">
        <v>122.91823101640399</v>
      </c>
      <c r="F25" s="6">
        <v>33</v>
      </c>
      <c r="G25" s="6">
        <v>38.4</v>
      </c>
      <c r="J25" s="2" t="s">
        <v>95</v>
      </c>
      <c r="K25">
        <v>147.784195823673</v>
      </c>
      <c r="L25">
        <v>121.69575189632801</v>
      </c>
    </row>
    <row r="26" spans="3:12" x14ac:dyDescent="0.25">
      <c r="C26" s="4" t="s">
        <v>99</v>
      </c>
      <c r="D26" s="4" t="s">
        <v>51</v>
      </c>
      <c r="E26">
        <v>121.036670828979</v>
      </c>
      <c r="F26" s="6">
        <v>23</v>
      </c>
      <c r="G26" s="6">
        <v>38.299999999999997</v>
      </c>
      <c r="J26" s="2" t="s">
        <v>96</v>
      </c>
      <c r="K26">
        <v>139.08893211390401</v>
      </c>
      <c r="L26">
        <v>113.34552703110801</v>
      </c>
    </row>
    <row r="27" spans="3:12" x14ac:dyDescent="0.25">
      <c r="C27" s="4" t="s">
        <v>100</v>
      </c>
      <c r="D27" s="4" t="s">
        <v>52</v>
      </c>
      <c r="E27">
        <v>132.681426017566</v>
      </c>
      <c r="F27" s="6">
        <v>29</v>
      </c>
      <c r="G27" s="6">
        <v>35.299999999999997</v>
      </c>
      <c r="J27" s="2" t="s">
        <v>97</v>
      </c>
      <c r="K27">
        <v>162.42946317103599</v>
      </c>
      <c r="L27">
        <v>133.092633703329</v>
      </c>
    </row>
    <row r="28" spans="3:12" x14ac:dyDescent="0.25">
      <c r="C28" s="4" t="s">
        <v>102</v>
      </c>
      <c r="D28" s="4" t="s">
        <v>75</v>
      </c>
      <c r="E28">
        <v>111.858380787323</v>
      </c>
      <c r="F28" s="6">
        <v>26</v>
      </c>
      <c r="G28" s="6">
        <v>37.299999999999997</v>
      </c>
      <c r="J28" s="2" t="s">
        <v>98</v>
      </c>
      <c r="K28">
        <v>139.08755080530801</v>
      </c>
      <c r="L28">
        <v>113.114885961743</v>
      </c>
    </row>
    <row r="29" spans="3:12" x14ac:dyDescent="0.25">
      <c r="C29" s="4" t="s">
        <v>103</v>
      </c>
      <c r="D29" s="4" t="s">
        <v>54</v>
      </c>
      <c r="E29">
        <v>112.204142333921</v>
      </c>
      <c r="F29" s="6">
        <v>27</v>
      </c>
      <c r="G29" s="6">
        <v>32.200000000000003</v>
      </c>
      <c r="J29" s="2" t="s">
        <v>99</v>
      </c>
      <c r="K29">
        <v>148.398056766888</v>
      </c>
      <c r="L29">
        <v>121.036670828979</v>
      </c>
    </row>
    <row r="30" spans="3:12" x14ac:dyDescent="0.25">
      <c r="C30" s="4" t="s">
        <v>104</v>
      </c>
      <c r="D30" s="4" t="s">
        <v>55</v>
      </c>
      <c r="E30">
        <v>118.34607617259699</v>
      </c>
      <c r="F30" s="6">
        <v>27</v>
      </c>
      <c r="G30" s="6">
        <v>33.9</v>
      </c>
      <c r="J30" s="2" t="s">
        <v>100</v>
      </c>
      <c r="K30">
        <v>160.00225704353201</v>
      </c>
      <c r="L30">
        <v>132.681426017566</v>
      </c>
    </row>
    <row r="31" spans="3:12" x14ac:dyDescent="0.25">
      <c r="C31" s="4" t="s">
        <v>105</v>
      </c>
      <c r="D31" s="4" t="s">
        <v>56</v>
      </c>
      <c r="E31">
        <v>123.962091968669</v>
      </c>
      <c r="F31" s="6">
        <v>24</v>
      </c>
      <c r="G31" s="6">
        <v>39.299999999999997</v>
      </c>
      <c r="J31" s="2" t="s">
        <v>101</v>
      </c>
      <c r="K31">
        <v>151.49569838056601</v>
      </c>
      <c r="L31">
        <v>122.91823101640399</v>
      </c>
    </row>
    <row r="32" spans="3:12" x14ac:dyDescent="0.25">
      <c r="C32" s="4" t="s">
        <v>106</v>
      </c>
      <c r="D32" s="4" t="s">
        <v>57</v>
      </c>
      <c r="E32">
        <v>109.336327061405</v>
      </c>
      <c r="F32" s="6">
        <v>21</v>
      </c>
      <c r="G32" s="6">
        <v>37.700000000000003</v>
      </c>
      <c r="J32" s="2" t="s">
        <v>102</v>
      </c>
      <c r="K32">
        <v>136.651041666666</v>
      </c>
      <c r="L32">
        <v>111.858380787323</v>
      </c>
    </row>
    <row r="33" spans="3:12" x14ac:dyDescent="0.25">
      <c r="C33" s="4" t="s">
        <v>107</v>
      </c>
      <c r="D33" s="4" t="s">
        <v>58</v>
      </c>
      <c r="E33">
        <v>120.186809183637</v>
      </c>
      <c r="F33" s="6">
        <v>27</v>
      </c>
      <c r="G33" s="6">
        <v>39.5</v>
      </c>
      <c r="J33" s="2" t="s">
        <v>103</v>
      </c>
      <c r="K33">
        <v>136.92434233547601</v>
      </c>
      <c r="L33">
        <v>112.204142333921</v>
      </c>
    </row>
    <row r="34" spans="3:12" x14ac:dyDescent="0.25">
      <c r="C34" s="4" t="s">
        <v>110</v>
      </c>
      <c r="D34" s="4" t="s">
        <v>59</v>
      </c>
      <c r="E34">
        <v>123.00578050555301</v>
      </c>
      <c r="F34" s="6">
        <v>23</v>
      </c>
      <c r="G34" s="6">
        <v>37.6</v>
      </c>
      <c r="J34" s="2" t="s">
        <v>104</v>
      </c>
      <c r="K34">
        <v>147.80890156918599</v>
      </c>
      <c r="L34">
        <v>118.34607617259699</v>
      </c>
    </row>
    <row r="35" spans="3:12" x14ac:dyDescent="0.25">
      <c r="C35" s="4" t="s">
        <v>109</v>
      </c>
      <c r="D35" s="4" t="s">
        <v>60</v>
      </c>
      <c r="E35">
        <v>118.37282343057799</v>
      </c>
      <c r="F35" s="6">
        <v>23</v>
      </c>
      <c r="G35" s="6">
        <v>38.1</v>
      </c>
      <c r="J35" s="2" t="s">
        <v>105</v>
      </c>
      <c r="K35">
        <v>148.78002816479</v>
      </c>
      <c r="L35">
        <v>123.962091968669</v>
      </c>
    </row>
    <row r="36" spans="3:12" x14ac:dyDescent="0.25">
      <c r="C36" s="4" t="s">
        <v>89</v>
      </c>
      <c r="D36" s="4" t="s">
        <v>61</v>
      </c>
      <c r="E36">
        <v>115.424400214969</v>
      </c>
      <c r="F36" s="6">
        <v>25</v>
      </c>
      <c r="G36" s="6">
        <v>36.4</v>
      </c>
      <c r="J36" s="2" t="s">
        <v>106</v>
      </c>
      <c r="K36">
        <v>133.21028975494701</v>
      </c>
      <c r="L36">
        <v>109.336327061405</v>
      </c>
    </row>
    <row r="37" spans="3:12" x14ac:dyDescent="0.25">
      <c r="C37" s="4" t="s">
        <v>108</v>
      </c>
      <c r="D37" s="4" t="s">
        <v>62</v>
      </c>
      <c r="E37">
        <v>126.588694113005</v>
      </c>
      <c r="F37" s="6">
        <v>26</v>
      </c>
      <c r="G37" s="6">
        <v>35.700000000000003</v>
      </c>
      <c r="J37" s="2" t="s">
        <v>107</v>
      </c>
      <c r="K37">
        <v>144.48816362827901</v>
      </c>
      <c r="L37">
        <v>120.186809183637</v>
      </c>
    </row>
    <row r="38" spans="3:12" x14ac:dyDescent="0.25">
      <c r="C38" s="4" t="s">
        <v>156</v>
      </c>
      <c r="D38" s="4" t="s">
        <v>63</v>
      </c>
      <c r="E38" s="6">
        <v>123.6</v>
      </c>
      <c r="F38" s="6">
        <v>26</v>
      </c>
      <c r="G38" s="6">
        <v>36.200000000000003</v>
      </c>
      <c r="J38" s="2" t="s">
        <v>108</v>
      </c>
      <c r="K38">
        <v>153.08366219415899</v>
      </c>
      <c r="L38">
        <v>126.588694113005</v>
      </c>
    </row>
    <row r="39" spans="3:12" x14ac:dyDescent="0.25">
      <c r="C39" s="4" t="s">
        <v>92</v>
      </c>
      <c r="D39" s="4" t="s">
        <v>64</v>
      </c>
      <c r="E39">
        <v>123.548068832585</v>
      </c>
      <c r="F39" s="6">
        <v>30</v>
      </c>
      <c r="G39" s="6">
        <v>36.6</v>
      </c>
      <c r="J39" s="2" t="s">
        <v>109</v>
      </c>
      <c r="K39">
        <v>143.779430579159</v>
      </c>
      <c r="L39">
        <v>118.37282343057799</v>
      </c>
    </row>
    <row r="40" spans="3:12" x14ac:dyDescent="0.25">
      <c r="J40" s="2" t="s">
        <v>110</v>
      </c>
      <c r="K40">
        <v>148.07431977694401</v>
      </c>
      <c r="L40">
        <v>123.00578050555301</v>
      </c>
    </row>
    <row r="44" spans="3:12" ht="30" x14ac:dyDescent="0.25">
      <c r="D44" s="2" t="s">
        <v>66</v>
      </c>
    </row>
    <row r="45" spans="3:12" x14ac:dyDescent="0.25">
      <c r="D45" s="4" t="s">
        <v>54</v>
      </c>
    </row>
    <row r="50" spans="4:7" ht="30" x14ac:dyDescent="0.25">
      <c r="D50" s="2" t="s">
        <v>68</v>
      </c>
      <c r="E50" s="2" t="str" cm="1">
        <f t="array" ref="E50:G50">TRANSPOSE(Scaling_Factor_Categories)</f>
        <v>Passenger Car Emissions (gCO2/km)</v>
      </c>
      <c r="F50" s="2" t="str">
        <v>Commute time (minutes)</v>
      </c>
      <c r="G50" s="2" t="str">
        <v>Worked Hours per Week (Hours)</v>
      </c>
    </row>
    <row r="51" spans="4:7" x14ac:dyDescent="0.25">
      <c r="D51" s="4" t="s">
        <v>35</v>
      </c>
      <c r="E51" s="7" cm="1">
        <f t="array" ref="E51:G80">scaling_input_values/INDEX(scaling_input_values,MATCH(reference_country, countries),0)</f>
        <v>1.0926566358865255</v>
      </c>
      <c r="F51" s="7">
        <v>0.88888888888888884</v>
      </c>
      <c r="G51" s="7">
        <v>1.0434782608695652</v>
      </c>
    </row>
    <row r="52" spans="4:7" x14ac:dyDescent="0.25">
      <c r="D52" s="4" t="s">
        <v>36</v>
      </c>
      <c r="E52" s="7">
        <v>1.0501701937586772</v>
      </c>
      <c r="F52" s="7">
        <v>1.037037037037037</v>
      </c>
      <c r="G52" s="7">
        <v>1.0838509316770184</v>
      </c>
    </row>
    <row r="53" spans="4:7" x14ac:dyDescent="0.25">
      <c r="D53" s="4" t="s">
        <v>37</v>
      </c>
      <c r="E53" s="7">
        <v>1.1257508787519728</v>
      </c>
      <c r="F53" s="7">
        <v>0.96296296296296291</v>
      </c>
      <c r="G53" s="7">
        <v>1.2111801242236024</v>
      </c>
    </row>
    <row r="54" spans="4:7" x14ac:dyDescent="0.25">
      <c r="D54" s="4" t="s">
        <v>38</v>
      </c>
      <c r="E54" s="7">
        <v>1.0157920684352337</v>
      </c>
      <c r="F54" s="7">
        <v>0.88888888888888884</v>
      </c>
      <c r="G54" s="7">
        <v>1.1832298136645962</v>
      </c>
    </row>
    <row r="55" spans="4:7" x14ac:dyDescent="0.25">
      <c r="D55" s="4" t="s">
        <v>39</v>
      </c>
      <c r="E55" s="7">
        <v>1.1191180984874156</v>
      </c>
      <c r="F55" s="7">
        <v>0.70370370370370372</v>
      </c>
      <c r="G55" s="7">
        <v>1.1956521739130435</v>
      </c>
    </row>
    <row r="56" spans="4:7" x14ac:dyDescent="0.25">
      <c r="D56" s="4" t="s">
        <v>40</v>
      </c>
      <c r="E56" s="7">
        <v>1.1031709394226734</v>
      </c>
      <c r="F56" s="7">
        <v>1</v>
      </c>
      <c r="G56" s="7">
        <v>1.1739130434782608</v>
      </c>
    </row>
    <row r="57" spans="4:7" x14ac:dyDescent="0.25">
      <c r="D57" s="4" t="s">
        <v>41</v>
      </c>
      <c r="E57" s="7">
        <v>0.98359447514571385</v>
      </c>
      <c r="F57" s="7">
        <v>0.96296296296296291</v>
      </c>
      <c r="G57" s="7">
        <v>1.0652173913043477</v>
      </c>
    </row>
    <row r="58" spans="4:7" x14ac:dyDescent="0.25">
      <c r="D58" s="4" t="s">
        <v>42</v>
      </c>
      <c r="E58" s="7">
        <v>1.1084822484248711</v>
      </c>
      <c r="F58" s="7">
        <v>0.85185185185185186</v>
      </c>
      <c r="G58" s="7">
        <v>1.1304347826086956</v>
      </c>
    </row>
    <row r="59" spans="4:7" x14ac:dyDescent="0.25">
      <c r="D59" s="4" t="s">
        <v>43</v>
      </c>
      <c r="E59" s="7">
        <v>1.0347697831023621</v>
      </c>
      <c r="F59" s="7">
        <v>0.85185185185185186</v>
      </c>
      <c r="G59" s="7">
        <v>1.0807453416149067</v>
      </c>
    </row>
    <row r="60" spans="4:7" x14ac:dyDescent="0.25">
      <c r="D60" s="4" t="s">
        <v>44</v>
      </c>
      <c r="E60" s="7">
        <v>0.96705066020831454</v>
      </c>
      <c r="F60" s="7">
        <v>0.96296296296296291</v>
      </c>
      <c r="G60" s="7">
        <v>1.1180124223602483</v>
      </c>
    </row>
    <row r="61" spans="4:7" x14ac:dyDescent="0.25">
      <c r="D61" s="4" t="s">
        <v>45</v>
      </c>
      <c r="E61" s="7">
        <v>1.1502325444620414</v>
      </c>
      <c r="F61" s="7">
        <v>0.96296296296296291</v>
      </c>
      <c r="G61" s="7">
        <v>1.0559006211180124</v>
      </c>
    </row>
    <row r="62" spans="4:7" x14ac:dyDescent="0.25">
      <c r="D62" s="4" t="s">
        <v>46</v>
      </c>
      <c r="E62" s="7">
        <v>0.9778174880404612</v>
      </c>
      <c r="F62" s="7">
        <v>0.7407407407407407</v>
      </c>
      <c r="G62" s="7">
        <v>1.2360248447204967</v>
      </c>
    </row>
    <row r="63" spans="4:7" x14ac:dyDescent="0.25">
      <c r="D63" s="4" t="s">
        <v>47</v>
      </c>
      <c r="E63" s="7">
        <v>1.0845923275645195</v>
      </c>
      <c r="F63" s="7">
        <v>1.0740740740740742</v>
      </c>
      <c r="G63" s="7">
        <v>1.1739130434782608</v>
      </c>
    </row>
    <row r="64" spans="4:7" x14ac:dyDescent="0.25">
      <c r="D64" s="4" t="s">
        <v>48</v>
      </c>
      <c r="E64" s="7">
        <v>1.0101723935805349</v>
      </c>
      <c r="F64" s="7">
        <v>1.037037037037037</v>
      </c>
      <c r="G64" s="7">
        <v>1.1024844720496894</v>
      </c>
    </row>
    <row r="65" spans="4:7" x14ac:dyDescent="0.25">
      <c r="D65" s="4" t="s">
        <v>49</v>
      </c>
      <c r="E65" s="7">
        <v>1.0081168449655951</v>
      </c>
      <c r="F65" s="7">
        <v>0.77777777777777779</v>
      </c>
      <c r="G65" s="7">
        <v>1.1211180124223601</v>
      </c>
    </row>
    <row r="66" spans="4:7" x14ac:dyDescent="0.25">
      <c r="D66" s="4" t="s">
        <v>50</v>
      </c>
      <c r="E66" s="7">
        <v>1.0954874611544887</v>
      </c>
      <c r="F66" s="7">
        <v>1.2222222222222223</v>
      </c>
      <c r="G66" s="7">
        <v>1.1925465838509315</v>
      </c>
    </row>
    <row r="67" spans="4:7" x14ac:dyDescent="0.25">
      <c r="D67" s="4" t="s">
        <v>51</v>
      </c>
      <c r="E67" s="7">
        <v>1.0787183816152908</v>
      </c>
      <c r="F67" s="7">
        <v>0.85185185185185186</v>
      </c>
      <c r="G67" s="7">
        <v>1.1894409937888197</v>
      </c>
    </row>
    <row r="68" spans="4:7" x14ac:dyDescent="0.25">
      <c r="D68" s="4" t="s">
        <v>52</v>
      </c>
      <c r="E68" s="7">
        <v>1.1825002469401205</v>
      </c>
      <c r="F68" s="7">
        <v>1.0740740740740742</v>
      </c>
      <c r="G68" s="7">
        <v>1.0962732919254656</v>
      </c>
    </row>
    <row r="69" spans="4:7" x14ac:dyDescent="0.25">
      <c r="D69" s="4" t="s">
        <v>53</v>
      </c>
      <c r="E69" s="7">
        <v>0.99691846005498619</v>
      </c>
      <c r="F69" s="7">
        <v>0.96296296296296291</v>
      </c>
      <c r="G69" s="7">
        <v>1.1583850931677018</v>
      </c>
    </row>
    <row r="70" spans="4:7" x14ac:dyDescent="0.25">
      <c r="D70" s="4" t="s">
        <v>54</v>
      </c>
      <c r="E70" s="7">
        <v>1</v>
      </c>
      <c r="F70" s="7">
        <v>1</v>
      </c>
      <c r="G70" s="7">
        <v>1</v>
      </c>
    </row>
    <row r="71" spans="4:7" x14ac:dyDescent="0.25">
      <c r="D71" s="4" t="s">
        <v>55</v>
      </c>
      <c r="E71" s="7">
        <v>1.0547389223866399</v>
      </c>
      <c r="F71" s="7">
        <v>1</v>
      </c>
      <c r="G71" s="7">
        <v>1.0527950310559004</v>
      </c>
    </row>
    <row r="72" spans="4:7" x14ac:dyDescent="0.25">
      <c r="D72" s="4" t="s">
        <v>56</v>
      </c>
      <c r="E72" s="7">
        <v>1.1047906912363021</v>
      </c>
      <c r="F72" s="7">
        <v>0.88888888888888884</v>
      </c>
      <c r="G72" s="7">
        <v>1.2204968944099377</v>
      </c>
    </row>
    <row r="73" spans="4:7" x14ac:dyDescent="0.25">
      <c r="D73" s="4" t="s">
        <v>57</v>
      </c>
      <c r="E73" s="7">
        <v>0.97444109270064783</v>
      </c>
      <c r="F73" s="7">
        <v>0.77777777777777779</v>
      </c>
      <c r="G73" s="7">
        <v>1.170807453416149</v>
      </c>
    </row>
    <row r="74" spans="4:7" x14ac:dyDescent="0.25">
      <c r="D74" s="4" t="s">
        <v>58</v>
      </c>
      <c r="E74" s="7">
        <v>1.0711441367820402</v>
      </c>
      <c r="F74" s="7">
        <v>1</v>
      </c>
      <c r="G74" s="7">
        <v>1.2267080745341614</v>
      </c>
    </row>
    <row r="75" spans="4:7" x14ac:dyDescent="0.25">
      <c r="D75" s="4" t="s">
        <v>59</v>
      </c>
      <c r="E75" s="7">
        <v>1.0962677308248228</v>
      </c>
      <c r="F75" s="7">
        <v>0.85185185185185186</v>
      </c>
      <c r="G75" s="7">
        <v>1.1677018633540373</v>
      </c>
    </row>
    <row r="76" spans="4:7" x14ac:dyDescent="0.25">
      <c r="D76" s="4" t="s">
        <v>60</v>
      </c>
      <c r="E76" s="7">
        <v>1.0549773026943954</v>
      </c>
      <c r="F76" s="7">
        <v>0.85185185185185186</v>
      </c>
      <c r="G76" s="7">
        <v>1.1832298136645962</v>
      </c>
    </row>
    <row r="77" spans="4:7" x14ac:dyDescent="0.25">
      <c r="D77" s="4" t="s">
        <v>61</v>
      </c>
      <c r="E77" s="7">
        <v>1.0286999910525982</v>
      </c>
      <c r="F77" s="7">
        <v>0.92592592592592593</v>
      </c>
      <c r="G77" s="7">
        <v>1.1304347826086956</v>
      </c>
    </row>
    <row r="78" spans="4:7" x14ac:dyDescent="0.25">
      <c r="D78" s="4" t="s">
        <v>62</v>
      </c>
      <c r="E78" s="7">
        <v>1.1281998282761736</v>
      </c>
      <c r="F78" s="7">
        <v>0.96296296296296291</v>
      </c>
      <c r="G78" s="7">
        <v>1.1086956521739131</v>
      </c>
    </row>
    <row r="79" spans="4:7" x14ac:dyDescent="0.25">
      <c r="D79" s="4" t="s">
        <v>63</v>
      </c>
      <c r="E79" s="7">
        <v>1.1015636092307963</v>
      </c>
      <c r="F79" s="7">
        <v>0.96296296296296291</v>
      </c>
      <c r="G79" s="7">
        <v>1.1242236024844721</v>
      </c>
    </row>
    <row r="80" spans="4:7" x14ac:dyDescent="0.25">
      <c r="D80" s="4" t="s">
        <v>64</v>
      </c>
      <c r="E80" s="7">
        <v>1.1011007816886504</v>
      </c>
      <c r="F80" s="7">
        <v>1.1111111111111112</v>
      </c>
      <c r="G80" s="7">
        <v>1.1366459627329193</v>
      </c>
    </row>
  </sheetData>
  <mergeCells count="4">
    <mergeCell ref="E5:E8"/>
    <mergeCell ref="F5:F8"/>
    <mergeCell ref="G5:G8"/>
    <mergeCell ref="J9:K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C417-B4EA-40D7-8EE5-2973315E79C2}">
  <sheetPr>
    <tabColor theme="0"/>
  </sheetPr>
  <dimension ref="L3:U40"/>
  <sheetViews>
    <sheetView topLeftCell="F1" workbookViewId="0">
      <selection activeCell="M137" sqref="M137"/>
    </sheetView>
  </sheetViews>
  <sheetFormatPr defaultColWidth="8.7109375" defaultRowHeight="15" x14ac:dyDescent="0.25"/>
  <cols>
    <col min="1" max="11" width="8.7109375" style="3"/>
    <col min="12" max="12" width="11.28515625" style="3" bestFit="1" customWidth="1"/>
    <col min="13" max="13" width="14.140625" style="3" bestFit="1" customWidth="1"/>
    <col min="14" max="14" width="8.42578125" style="3" bestFit="1" customWidth="1"/>
    <col min="15" max="15" width="6.7109375" style="3" bestFit="1" customWidth="1"/>
    <col min="16" max="16" width="10.5703125" style="3" bestFit="1" customWidth="1"/>
    <col min="17" max="17" width="8.85546875" style="3" bestFit="1" customWidth="1"/>
    <col min="18" max="18" width="8.7109375" style="3"/>
    <col min="19" max="21" width="11.42578125" style="3" bestFit="1" customWidth="1"/>
    <col min="22" max="16384" width="8.7109375" style="3"/>
  </cols>
  <sheetData>
    <row r="3" spans="12:21" ht="15.75" thickBot="1" x14ac:dyDescent="0.3"/>
    <row r="4" spans="12:21" ht="16.5" thickTop="1" thickBot="1" x14ac:dyDescent="0.3">
      <c r="L4" s="24" t="s">
        <v>296</v>
      </c>
      <c r="M4" s="24"/>
      <c r="N4" s="24"/>
      <c r="O4" s="24"/>
      <c r="P4" s="24"/>
      <c r="Q4" s="24"/>
      <c r="R4" s="24"/>
    </row>
    <row r="5" spans="12:21" ht="16.5" thickTop="1" thickBot="1" x14ac:dyDescent="0.3">
      <c r="L5" s="24" t="s">
        <v>297</v>
      </c>
      <c r="M5" s="24"/>
      <c r="N5" s="24"/>
      <c r="O5" s="24"/>
      <c r="P5" s="24"/>
      <c r="Q5" s="24"/>
      <c r="R5" s="24"/>
    </row>
    <row r="6" spans="12:21" ht="16.5" thickTop="1" thickBot="1" x14ac:dyDescent="0.3">
      <c r="L6" s="24" t="s">
        <v>298</v>
      </c>
      <c r="M6" s="24"/>
      <c r="N6" s="24"/>
      <c r="O6" s="24"/>
      <c r="P6" s="24"/>
      <c r="Q6" s="24"/>
      <c r="R6" s="24"/>
    </row>
    <row r="7" spans="12:21" ht="15.75" thickTop="1" x14ac:dyDescent="0.25"/>
    <row r="9" spans="12:21" ht="30" x14ac:dyDescent="0.25">
      <c r="L9" s="2" t="s">
        <v>288</v>
      </c>
      <c r="M9" s="2" t="s">
        <v>79</v>
      </c>
      <c r="N9" s="2" t="s">
        <v>289</v>
      </c>
      <c r="O9" s="2" t="s">
        <v>290</v>
      </c>
      <c r="P9" s="2" t="s">
        <v>291</v>
      </c>
      <c r="Q9" s="2" t="s">
        <v>162</v>
      </c>
      <c r="R9" s="2" t="s">
        <v>295</v>
      </c>
      <c r="S9" s="2" t="s">
        <v>292</v>
      </c>
      <c r="T9" s="2" t="s">
        <v>293</v>
      </c>
      <c r="U9" s="2" t="s">
        <v>294</v>
      </c>
    </row>
    <row r="10" spans="12:21" x14ac:dyDescent="0.25">
      <c r="L10" s="2" t="s">
        <v>276</v>
      </c>
      <c r="M10" s="2" t="s">
        <v>54</v>
      </c>
      <c r="N10" s="6">
        <v>233</v>
      </c>
      <c r="O10" s="6">
        <v>44</v>
      </c>
      <c r="P10" s="6">
        <v>0</v>
      </c>
      <c r="Q10" s="6">
        <v>0</v>
      </c>
      <c r="R10" s="6"/>
      <c r="S10" s="21">
        <f t="shared" ref="S10:S40" si="0">O10/$N10</f>
        <v>0.18884120171673821</v>
      </c>
      <c r="T10" s="21">
        <f t="shared" ref="T10:T40" si="1">P10/$N10</f>
        <v>0</v>
      </c>
      <c r="U10" s="21">
        <f t="shared" ref="U10:U40" si="2">Q10/$N10</f>
        <v>0</v>
      </c>
    </row>
    <row r="11" spans="12:21" x14ac:dyDescent="0.25">
      <c r="L11" s="2" t="s">
        <v>285</v>
      </c>
      <c r="M11" s="2" t="s">
        <v>286</v>
      </c>
      <c r="N11" s="6">
        <v>85</v>
      </c>
      <c r="O11" s="6">
        <v>15</v>
      </c>
      <c r="P11" s="6">
        <v>3</v>
      </c>
      <c r="Q11" s="6">
        <v>0</v>
      </c>
      <c r="R11" s="6"/>
      <c r="S11" s="21">
        <f t="shared" si="0"/>
        <v>0.17647058823529413</v>
      </c>
      <c r="T11" s="21">
        <f t="shared" si="1"/>
        <v>3.5294117647058823E-2</v>
      </c>
      <c r="U11" s="21">
        <f t="shared" si="2"/>
        <v>0</v>
      </c>
    </row>
    <row r="12" spans="12:21" ht="30" x14ac:dyDescent="0.25">
      <c r="L12" s="2" t="s">
        <v>52</v>
      </c>
      <c r="M12" s="2" t="s">
        <v>52</v>
      </c>
      <c r="N12" s="6">
        <v>1200</v>
      </c>
      <c r="O12" s="6">
        <v>180</v>
      </c>
      <c r="P12" s="6">
        <v>53</v>
      </c>
      <c r="Q12" s="6">
        <v>5</v>
      </c>
      <c r="R12" s="6"/>
      <c r="S12" s="21">
        <f t="shared" si="0"/>
        <v>0.15</v>
      </c>
      <c r="T12" s="21">
        <f t="shared" si="1"/>
        <v>4.4166666666666667E-2</v>
      </c>
      <c r="U12" s="21">
        <f t="shared" si="2"/>
        <v>4.1666666666666666E-3</v>
      </c>
    </row>
    <row r="13" spans="12:21" x14ac:dyDescent="0.25">
      <c r="L13" s="2" t="s">
        <v>271</v>
      </c>
      <c r="M13" s="2" t="s">
        <v>47</v>
      </c>
      <c r="N13" s="6">
        <v>1500</v>
      </c>
      <c r="O13" s="6">
        <v>180</v>
      </c>
      <c r="P13" s="6">
        <v>75</v>
      </c>
      <c r="Q13" s="6">
        <v>0</v>
      </c>
      <c r="R13" s="6"/>
      <c r="S13" s="21">
        <f t="shared" si="0"/>
        <v>0.12</v>
      </c>
      <c r="T13" s="21">
        <f t="shared" si="1"/>
        <v>0.05</v>
      </c>
      <c r="U13" s="21">
        <f t="shared" si="2"/>
        <v>0</v>
      </c>
    </row>
    <row r="14" spans="12:21" x14ac:dyDescent="0.25">
      <c r="L14" s="2" t="s">
        <v>268</v>
      </c>
      <c r="M14" s="2" t="s">
        <v>43</v>
      </c>
      <c r="N14" s="6">
        <v>1400</v>
      </c>
      <c r="O14" s="6">
        <v>164</v>
      </c>
      <c r="P14" s="6">
        <v>22</v>
      </c>
      <c r="Q14" s="6">
        <v>0</v>
      </c>
      <c r="R14" s="6"/>
      <c r="S14" s="21">
        <f t="shared" si="0"/>
        <v>0.11714285714285715</v>
      </c>
      <c r="T14" s="21">
        <f t="shared" si="1"/>
        <v>1.5714285714285715E-2</v>
      </c>
      <c r="U14" s="21">
        <f t="shared" si="2"/>
        <v>0</v>
      </c>
    </row>
    <row r="15" spans="12:21" x14ac:dyDescent="0.25">
      <c r="L15" s="2" t="s">
        <v>269</v>
      </c>
      <c r="M15" s="2" t="s">
        <v>44</v>
      </c>
      <c r="N15" s="6">
        <v>4700</v>
      </c>
      <c r="O15" s="6">
        <v>500</v>
      </c>
      <c r="P15" s="6">
        <v>500</v>
      </c>
      <c r="Q15" s="6">
        <v>0</v>
      </c>
      <c r="R15" s="6"/>
      <c r="S15" s="21">
        <f t="shared" si="0"/>
        <v>0.10638297872340426</v>
      </c>
      <c r="T15" s="21">
        <f t="shared" si="1"/>
        <v>0.10638297872340426</v>
      </c>
      <c r="U15" s="21">
        <f t="shared" si="2"/>
        <v>0</v>
      </c>
    </row>
    <row r="16" spans="12:21" ht="30" x14ac:dyDescent="0.25">
      <c r="L16" s="2" t="s">
        <v>264</v>
      </c>
      <c r="M16" s="2" t="s">
        <v>41</v>
      </c>
      <c r="N16" s="6">
        <v>1185</v>
      </c>
      <c r="O16" s="6">
        <v>119</v>
      </c>
      <c r="P16" s="6">
        <v>41</v>
      </c>
      <c r="Q16" s="6">
        <v>1</v>
      </c>
      <c r="R16" s="6"/>
      <c r="S16" s="21">
        <f t="shared" si="0"/>
        <v>0.10042194092827005</v>
      </c>
      <c r="T16" s="21">
        <f t="shared" si="1"/>
        <v>3.4599156118143459E-2</v>
      </c>
      <c r="U16" s="21">
        <f t="shared" si="2"/>
        <v>8.438818565400844E-4</v>
      </c>
    </row>
    <row r="17" spans="12:21" x14ac:dyDescent="0.25">
      <c r="L17" s="2" t="s">
        <v>263</v>
      </c>
      <c r="M17" s="2" t="s">
        <v>45</v>
      </c>
      <c r="N17" s="6">
        <v>1500</v>
      </c>
      <c r="O17" s="6">
        <v>139</v>
      </c>
      <c r="P17" s="6">
        <v>0</v>
      </c>
      <c r="Q17" s="6">
        <v>0</v>
      </c>
      <c r="R17" s="6"/>
      <c r="S17" s="21">
        <f t="shared" si="0"/>
        <v>9.2666666666666661E-2</v>
      </c>
      <c r="T17" s="21">
        <f t="shared" si="1"/>
        <v>0</v>
      </c>
      <c r="U17" s="21">
        <f t="shared" si="2"/>
        <v>0</v>
      </c>
    </row>
    <row r="18" spans="12:21" x14ac:dyDescent="0.25">
      <c r="L18" s="2" t="s">
        <v>277</v>
      </c>
      <c r="M18" s="2" t="s">
        <v>56</v>
      </c>
      <c r="N18" s="6">
        <v>1823</v>
      </c>
      <c r="O18" s="6">
        <v>160</v>
      </c>
      <c r="P18" s="6">
        <v>180</v>
      </c>
      <c r="Q18" s="6">
        <v>0</v>
      </c>
      <c r="R18" s="6"/>
      <c r="S18" s="21">
        <f t="shared" si="0"/>
        <v>8.7767416346681296E-2</v>
      </c>
      <c r="T18" s="21">
        <f t="shared" si="1"/>
        <v>9.8738343390016456E-2</v>
      </c>
      <c r="U18" s="21">
        <f t="shared" si="2"/>
        <v>0</v>
      </c>
    </row>
    <row r="19" spans="12:21" x14ac:dyDescent="0.25">
      <c r="L19" s="2" t="s">
        <v>287</v>
      </c>
      <c r="M19" s="2" t="s">
        <v>55</v>
      </c>
      <c r="N19" s="6">
        <v>1200</v>
      </c>
      <c r="O19" s="6">
        <v>99</v>
      </c>
      <c r="P19" s="6">
        <v>110</v>
      </c>
      <c r="Q19" s="6">
        <v>0</v>
      </c>
      <c r="R19" s="6"/>
      <c r="S19" s="21">
        <f t="shared" si="0"/>
        <v>8.2500000000000004E-2</v>
      </c>
      <c r="T19" s="21">
        <f t="shared" si="1"/>
        <v>9.166666666666666E-2</v>
      </c>
      <c r="U19" s="21">
        <f t="shared" si="2"/>
        <v>0</v>
      </c>
    </row>
    <row r="20" spans="12:21" x14ac:dyDescent="0.25">
      <c r="L20" s="2" t="s">
        <v>261</v>
      </c>
      <c r="M20" s="2" t="s">
        <v>37</v>
      </c>
      <c r="N20" s="6">
        <v>712</v>
      </c>
      <c r="O20" s="6">
        <v>45</v>
      </c>
      <c r="P20" s="6">
        <v>334</v>
      </c>
      <c r="Q20" s="6">
        <v>0</v>
      </c>
      <c r="R20" s="6"/>
      <c r="S20" s="21">
        <f t="shared" si="0"/>
        <v>6.3202247191011238E-2</v>
      </c>
      <c r="T20" s="21">
        <f t="shared" si="1"/>
        <v>0.4691011235955056</v>
      </c>
      <c r="U20" s="21">
        <f t="shared" si="2"/>
        <v>0</v>
      </c>
    </row>
    <row r="21" spans="12:21" ht="30" x14ac:dyDescent="0.25">
      <c r="L21" s="2" t="s">
        <v>283</v>
      </c>
      <c r="M21" s="2" t="s">
        <v>193</v>
      </c>
      <c r="N21" s="6">
        <v>9068</v>
      </c>
      <c r="O21" s="6">
        <v>485</v>
      </c>
      <c r="P21" s="6">
        <v>0</v>
      </c>
      <c r="Q21" s="6">
        <v>2</v>
      </c>
      <c r="R21" s="6"/>
      <c r="S21" s="21">
        <f t="shared" si="0"/>
        <v>5.3484781649757389E-2</v>
      </c>
      <c r="T21" s="21">
        <f t="shared" si="1"/>
        <v>0</v>
      </c>
      <c r="U21" s="21">
        <f t="shared" si="2"/>
        <v>2.2055580061755624E-4</v>
      </c>
    </row>
    <row r="22" spans="12:21" x14ac:dyDescent="0.25">
      <c r="L22" s="2" t="s">
        <v>282</v>
      </c>
      <c r="M22" s="2" t="s">
        <v>59</v>
      </c>
      <c r="N22" s="6">
        <v>356</v>
      </c>
      <c r="O22" s="6">
        <v>18</v>
      </c>
      <c r="P22" s="6">
        <v>71</v>
      </c>
      <c r="Q22" s="6">
        <v>0</v>
      </c>
      <c r="R22" s="6"/>
      <c r="S22" s="21">
        <f t="shared" si="0"/>
        <v>5.0561797752808987E-2</v>
      </c>
      <c r="T22" s="21">
        <f t="shared" si="1"/>
        <v>0.199438202247191</v>
      </c>
      <c r="U22" s="21">
        <f t="shared" si="2"/>
        <v>0</v>
      </c>
    </row>
    <row r="23" spans="12:21" x14ac:dyDescent="0.25">
      <c r="L23" s="2" t="s">
        <v>260</v>
      </c>
      <c r="M23" s="2" t="s">
        <v>36</v>
      </c>
      <c r="N23" s="6">
        <v>800</v>
      </c>
      <c r="O23" s="6">
        <v>37</v>
      </c>
      <c r="P23" s="6">
        <v>0</v>
      </c>
      <c r="Q23" s="6">
        <v>1</v>
      </c>
      <c r="R23" s="6"/>
      <c r="S23" s="21">
        <f t="shared" si="0"/>
        <v>4.6249999999999999E-2</v>
      </c>
      <c r="T23" s="21">
        <f t="shared" si="1"/>
        <v>0</v>
      </c>
      <c r="U23" s="21">
        <f t="shared" si="2"/>
        <v>1.25E-3</v>
      </c>
    </row>
    <row r="24" spans="12:21" x14ac:dyDescent="0.25">
      <c r="L24" s="2" t="s">
        <v>267</v>
      </c>
      <c r="M24" s="2" t="s">
        <v>61</v>
      </c>
      <c r="N24" s="6">
        <v>2100</v>
      </c>
      <c r="O24" s="6">
        <v>85</v>
      </c>
      <c r="P24" s="6">
        <v>1723</v>
      </c>
      <c r="Q24" s="6">
        <v>0</v>
      </c>
      <c r="R24" s="6"/>
      <c r="S24" s="21">
        <f t="shared" si="0"/>
        <v>4.0476190476190478E-2</v>
      </c>
      <c r="T24" s="21">
        <f t="shared" si="1"/>
        <v>0.82047619047619047</v>
      </c>
      <c r="U24" s="21">
        <f t="shared" si="2"/>
        <v>0</v>
      </c>
    </row>
    <row r="25" spans="12:21" x14ac:dyDescent="0.25">
      <c r="L25" s="2" t="s">
        <v>284</v>
      </c>
      <c r="M25" s="2" t="s">
        <v>63</v>
      </c>
      <c r="N25" s="6">
        <v>145</v>
      </c>
      <c r="O25" s="6">
        <v>5</v>
      </c>
      <c r="P25" s="6">
        <v>72</v>
      </c>
      <c r="Q25" s="6">
        <v>0</v>
      </c>
      <c r="R25" s="6"/>
      <c r="S25" s="21">
        <f t="shared" si="0"/>
        <v>3.4482758620689655E-2</v>
      </c>
      <c r="T25" s="21">
        <f t="shared" si="1"/>
        <v>0.49655172413793103</v>
      </c>
      <c r="U25" s="21">
        <f t="shared" si="2"/>
        <v>0</v>
      </c>
    </row>
    <row r="26" spans="12:21" x14ac:dyDescent="0.25">
      <c r="L26" s="2" t="s">
        <v>259</v>
      </c>
      <c r="M26" s="2" t="s">
        <v>35</v>
      </c>
      <c r="N26" s="6">
        <v>400</v>
      </c>
      <c r="O26" s="6">
        <v>12</v>
      </c>
      <c r="P26" s="6">
        <v>0</v>
      </c>
      <c r="Q26" s="6">
        <v>5</v>
      </c>
      <c r="R26" s="6"/>
      <c r="S26" s="21">
        <f t="shared" si="0"/>
        <v>0.03</v>
      </c>
      <c r="T26" s="21">
        <f t="shared" si="1"/>
        <v>0</v>
      </c>
      <c r="U26" s="21">
        <f t="shared" si="2"/>
        <v>1.2500000000000001E-2</v>
      </c>
    </row>
    <row r="27" spans="12:21" x14ac:dyDescent="0.25">
      <c r="L27" s="2" t="s">
        <v>278</v>
      </c>
      <c r="M27" s="2" t="s">
        <v>57</v>
      </c>
      <c r="N27" s="6">
        <v>724</v>
      </c>
      <c r="O27" s="6">
        <v>15</v>
      </c>
      <c r="P27" s="6">
        <v>70</v>
      </c>
      <c r="Q27" s="6">
        <v>0</v>
      </c>
      <c r="R27" s="6"/>
      <c r="S27" s="21">
        <f t="shared" si="0"/>
        <v>2.0718232044198894E-2</v>
      </c>
      <c r="T27" s="21">
        <f t="shared" si="1"/>
        <v>9.668508287292818E-2</v>
      </c>
      <c r="U27" s="21">
        <f t="shared" si="2"/>
        <v>0</v>
      </c>
    </row>
    <row r="28" spans="12:21" x14ac:dyDescent="0.25">
      <c r="L28" s="2" t="s">
        <v>75</v>
      </c>
      <c r="M28" s="2" t="s">
        <v>75</v>
      </c>
      <c r="N28" s="6">
        <v>420</v>
      </c>
      <c r="O28" s="6">
        <v>8</v>
      </c>
      <c r="P28" s="6">
        <v>0</v>
      </c>
      <c r="Q28" s="6">
        <v>0</v>
      </c>
      <c r="R28" s="6"/>
      <c r="S28" s="21">
        <f t="shared" si="0"/>
        <v>1.9047619047619049E-2</v>
      </c>
      <c r="T28" s="21">
        <f t="shared" si="1"/>
        <v>0</v>
      </c>
      <c r="U28" s="21">
        <f t="shared" si="2"/>
        <v>0</v>
      </c>
    </row>
    <row r="29" spans="12:21" x14ac:dyDescent="0.25">
      <c r="L29" s="2" t="s">
        <v>275</v>
      </c>
      <c r="M29" s="2" t="s">
        <v>50</v>
      </c>
      <c r="N29" s="6">
        <v>500</v>
      </c>
      <c r="O29" s="6">
        <v>9</v>
      </c>
      <c r="P29" s="6">
        <v>0</v>
      </c>
      <c r="Q29" s="6">
        <v>10</v>
      </c>
      <c r="R29" s="6"/>
      <c r="S29" s="21">
        <f t="shared" si="0"/>
        <v>1.7999999999999999E-2</v>
      </c>
      <c r="T29" s="21">
        <f t="shared" si="1"/>
        <v>0</v>
      </c>
      <c r="U29" s="21">
        <f t="shared" si="2"/>
        <v>0.02</v>
      </c>
    </row>
    <row r="30" spans="12:21" x14ac:dyDescent="0.25">
      <c r="L30" s="2" t="s">
        <v>272</v>
      </c>
      <c r="M30" s="2" t="s">
        <v>49</v>
      </c>
      <c r="N30" s="6">
        <v>994</v>
      </c>
      <c r="O30" s="6">
        <v>14</v>
      </c>
      <c r="P30" s="6">
        <v>0</v>
      </c>
      <c r="Q30" s="6">
        <v>3</v>
      </c>
      <c r="R30" s="6"/>
      <c r="S30" s="21">
        <f t="shared" si="0"/>
        <v>1.4084507042253521E-2</v>
      </c>
      <c r="T30" s="21">
        <f t="shared" si="1"/>
        <v>0</v>
      </c>
      <c r="U30" s="21">
        <f t="shared" si="2"/>
        <v>3.0181086519114686E-3</v>
      </c>
    </row>
    <row r="31" spans="12:21" x14ac:dyDescent="0.25">
      <c r="L31" s="2" t="s">
        <v>274</v>
      </c>
      <c r="M31" s="2" t="s">
        <v>51</v>
      </c>
      <c r="N31" s="6">
        <v>396</v>
      </c>
      <c r="O31" s="6">
        <v>5</v>
      </c>
      <c r="P31" s="6">
        <v>107</v>
      </c>
      <c r="Q31" s="6">
        <v>0</v>
      </c>
      <c r="R31" s="6"/>
      <c r="S31" s="21">
        <f t="shared" si="0"/>
        <v>1.2626262626262626E-2</v>
      </c>
      <c r="T31" s="21">
        <f t="shared" si="1"/>
        <v>0.27020202020202022</v>
      </c>
      <c r="U31" s="21">
        <f t="shared" si="2"/>
        <v>0</v>
      </c>
    </row>
    <row r="32" spans="12:21" x14ac:dyDescent="0.25">
      <c r="L32" s="2" t="s">
        <v>262</v>
      </c>
      <c r="M32" s="2" t="s">
        <v>40</v>
      </c>
      <c r="N32" s="6">
        <v>1241</v>
      </c>
      <c r="O32" s="6">
        <v>14</v>
      </c>
      <c r="P32" s="6">
        <v>0</v>
      </c>
      <c r="Q32" s="6">
        <v>0</v>
      </c>
      <c r="R32" s="6"/>
      <c r="S32" s="21">
        <f t="shared" si="0"/>
        <v>1.1281224818694601E-2</v>
      </c>
      <c r="T32" s="21">
        <f t="shared" si="1"/>
        <v>0</v>
      </c>
      <c r="U32" s="21">
        <f t="shared" si="2"/>
        <v>0</v>
      </c>
    </row>
    <row r="33" spans="12:21" x14ac:dyDescent="0.25">
      <c r="L33" s="2" t="s">
        <v>280</v>
      </c>
      <c r="M33" s="2" t="s">
        <v>62</v>
      </c>
      <c r="N33" s="6">
        <v>2200</v>
      </c>
      <c r="O33" s="6">
        <v>14</v>
      </c>
      <c r="P33" s="6">
        <v>330</v>
      </c>
      <c r="Q33" s="6">
        <v>0</v>
      </c>
      <c r="R33" s="6"/>
      <c r="S33" s="21">
        <f t="shared" si="0"/>
        <v>6.3636363636363638E-3</v>
      </c>
      <c r="T33" s="21">
        <f t="shared" si="1"/>
        <v>0.15</v>
      </c>
      <c r="U33" s="21">
        <f t="shared" si="2"/>
        <v>0</v>
      </c>
    </row>
    <row r="34" spans="12:21" x14ac:dyDescent="0.25">
      <c r="L34" s="2" t="s">
        <v>265</v>
      </c>
      <c r="M34" s="2" t="s">
        <v>42</v>
      </c>
      <c r="N34" s="6">
        <v>546</v>
      </c>
      <c r="O34" s="6">
        <v>1</v>
      </c>
      <c r="P34" s="6">
        <v>97</v>
      </c>
      <c r="Q34" s="6">
        <v>0</v>
      </c>
      <c r="R34" s="6"/>
      <c r="S34" s="21">
        <f t="shared" si="0"/>
        <v>1.8315018315018315E-3</v>
      </c>
      <c r="T34" s="21">
        <f t="shared" si="1"/>
        <v>0.17765567765567766</v>
      </c>
      <c r="U34" s="21">
        <f t="shared" si="2"/>
        <v>0</v>
      </c>
    </row>
    <row r="35" spans="12:21" x14ac:dyDescent="0.25">
      <c r="L35" s="2" t="s">
        <v>39</v>
      </c>
      <c r="M35" s="2" t="s">
        <v>39</v>
      </c>
      <c r="N35" s="6">
        <v>200</v>
      </c>
      <c r="O35" s="6">
        <v>0</v>
      </c>
      <c r="P35" s="6">
        <v>0</v>
      </c>
      <c r="Q35" s="6">
        <v>0</v>
      </c>
      <c r="R35" s="6"/>
      <c r="S35" s="21">
        <f t="shared" si="0"/>
        <v>0</v>
      </c>
      <c r="T35" s="21">
        <f t="shared" si="1"/>
        <v>0</v>
      </c>
      <c r="U35" s="21">
        <f t="shared" si="2"/>
        <v>0</v>
      </c>
    </row>
    <row r="36" spans="12:21" x14ac:dyDescent="0.25">
      <c r="L36" s="2" t="s">
        <v>266</v>
      </c>
      <c r="M36" s="2" t="s">
        <v>46</v>
      </c>
      <c r="N36" s="6">
        <v>1611</v>
      </c>
      <c r="O36" s="6">
        <v>0</v>
      </c>
      <c r="P36" s="6">
        <v>301</v>
      </c>
      <c r="Q36" s="6">
        <v>0</v>
      </c>
      <c r="R36" s="6"/>
      <c r="S36" s="21">
        <f t="shared" si="0"/>
        <v>0</v>
      </c>
      <c r="T36" s="21">
        <f t="shared" si="1"/>
        <v>0.18684047175667287</v>
      </c>
      <c r="U36" s="21">
        <f t="shared" si="2"/>
        <v>0</v>
      </c>
    </row>
    <row r="37" spans="12:21" x14ac:dyDescent="0.25">
      <c r="L37" s="2" t="s">
        <v>270</v>
      </c>
      <c r="M37" s="2" t="s">
        <v>38</v>
      </c>
      <c r="N37" s="6">
        <v>475</v>
      </c>
      <c r="O37" s="6">
        <v>0</v>
      </c>
      <c r="P37" s="6">
        <v>91</v>
      </c>
      <c r="Q37" s="6">
        <v>0</v>
      </c>
      <c r="R37" s="6"/>
      <c r="S37" s="21">
        <f t="shared" si="0"/>
        <v>0</v>
      </c>
      <c r="T37" s="21">
        <f t="shared" si="1"/>
        <v>0.19157894736842104</v>
      </c>
      <c r="U37" s="21">
        <f t="shared" si="2"/>
        <v>0</v>
      </c>
    </row>
    <row r="38" spans="12:21" x14ac:dyDescent="0.25">
      <c r="L38" s="2" t="s">
        <v>273</v>
      </c>
      <c r="M38" s="2" t="s">
        <v>48</v>
      </c>
      <c r="N38" s="6">
        <v>2036</v>
      </c>
      <c r="O38" s="6">
        <v>0</v>
      </c>
      <c r="P38" s="6">
        <v>51</v>
      </c>
      <c r="Q38" s="6">
        <v>0</v>
      </c>
      <c r="R38" s="6"/>
      <c r="S38" s="21">
        <f t="shared" si="0"/>
        <v>0</v>
      </c>
      <c r="T38" s="21">
        <f t="shared" si="1"/>
        <v>2.5049115913555992E-2</v>
      </c>
      <c r="U38" s="21">
        <f t="shared" si="2"/>
        <v>0</v>
      </c>
    </row>
    <row r="39" spans="12:21" x14ac:dyDescent="0.25">
      <c r="L39" s="2" t="s">
        <v>279</v>
      </c>
      <c r="M39" s="2" t="s">
        <v>58</v>
      </c>
      <c r="N39" s="6">
        <v>1534</v>
      </c>
      <c r="O39" s="6">
        <v>0</v>
      </c>
      <c r="P39" s="6">
        <v>0</v>
      </c>
      <c r="Q39" s="6">
        <v>0</v>
      </c>
      <c r="R39" s="6"/>
      <c r="S39" s="21">
        <f t="shared" si="0"/>
        <v>0</v>
      </c>
      <c r="T39" s="21">
        <f t="shared" si="1"/>
        <v>0</v>
      </c>
      <c r="U39" s="21">
        <f t="shared" si="2"/>
        <v>0</v>
      </c>
    </row>
    <row r="40" spans="12:21" x14ac:dyDescent="0.25">
      <c r="L40" s="2" t="s">
        <v>281</v>
      </c>
      <c r="M40" s="2" t="s">
        <v>60</v>
      </c>
      <c r="N40" s="6">
        <v>217</v>
      </c>
      <c r="O40" s="6">
        <v>0</v>
      </c>
      <c r="P40" s="6">
        <v>87</v>
      </c>
      <c r="Q40" s="6">
        <v>0</v>
      </c>
      <c r="R40" s="6"/>
      <c r="S40" s="21">
        <f t="shared" si="0"/>
        <v>0</v>
      </c>
      <c r="T40" s="21">
        <f t="shared" si="1"/>
        <v>0.4009216589861751</v>
      </c>
      <c r="U40" s="21">
        <f t="shared" si="2"/>
        <v>0</v>
      </c>
    </row>
  </sheetData>
  <sortState xmlns:xlrd2="http://schemas.microsoft.com/office/spreadsheetml/2017/richdata2" ref="L10:U40">
    <sortCondition descending="1" ref="S10:S40"/>
  </sortState>
  <mergeCells count="3">
    <mergeCell ref="L4:R4"/>
    <mergeCell ref="L5:R5"/>
    <mergeCell ref="L6:R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73D27-E89D-4E09-A668-3619AC8B9391}">
  <sheetPr>
    <tabColor theme="0"/>
  </sheetPr>
  <dimension ref="B15:AV157"/>
  <sheetViews>
    <sheetView topLeftCell="B58" zoomScale="98" zoomScaleNormal="98" workbookViewId="0">
      <selection activeCell="B58" sqref="B58"/>
    </sheetView>
  </sheetViews>
  <sheetFormatPr defaultColWidth="8.7109375" defaultRowHeight="15" x14ac:dyDescent="0.25"/>
  <cols>
    <col min="1" max="4" width="8.7109375" style="3"/>
    <col min="5" max="5" width="14.7109375" style="3" bestFit="1" customWidth="1"/>
    <col min="6" max="6" width="11.42578125" style="3" bestFit="1" customWidth="1"/>
    <col min="7" max="28" width="8.7109375" style="3"/>
    <col min="29" max="29" width="13.5703125" style="3" customWidth="1"/>
    <col min="30" max="16384" width="8.7109375" style="3"/>
  </cols>
  <sheetData>
    <row r="15" spans="7:7" x14ac:dyDescent="0.25">
      <c r="G15" s="3" t="s">
        <v>142</v>
      </c>
    </row>
    <row r="22" spans="5:48" x14ac:dyDescent="0.25">
      <c r="F22" s="2" t="s">
        <v>136</v>
      </c>
      <c r="G22" s="2" t="s">
        <v>86</v>
      </c>
      <c r="H22" s="2" t="s">
        <v>86</v>
      </c>
      <c r="I22" s="2" t="s">
        <v>137</v>
      </c>
      <c r="J22" s="2" t="s">
        <v>137</v>
      </c>
      <c r="N22" s="2" t="s">
        <v>136</v>
      </c>
      <c r="O22" s="2" t="s">
        <v>86</v>
      </c>
      <c r="P22" s="2" t="s">
        <v>86</v>
      </c>
      <c r="Q22" s="2" t="s">
        <v>137</v>
      </c>
      <c r="R22" s="2" t="s">
        <v>137</v>
      </c>
      <c r="V22" s="2" t="s">
        <v>136</v>
      </c>
      <c r="W22" s="2" t="s">
        <v>86</v>
      </c>
      <c r="X22" s="2" t="s">
        <v>86</v>
      </c>
      <c r="Y22" s="2" t="s">
        <v>137</v>
      </c>
      <c r="Z22" s="2" t="s">
        <v>137</v>
      </c>
      <c r="AD22" s="2" t="s">
        <v>136</v>
      </c>
      <c r="AE22" s="2" t="s">
        <v>86</v>
      </c>
      <c r="AF22" s="2" t="s">
        <v>86</v>
      </c>
      <c r="AG22" s="2" t="s">
        <v>137</v>
      </c>
      <c r="AH22" s="2" t="s">
        <v>137</v>
      </c>
      <c r="AK22" s="2" t="s">
        <v>136</v>
      </c>
      <c r="AL22" s="2" t="s">
        <v>86</v>
      </c>
      <c r="AM22" s="2" t="s">
        <v>86</v>
      </c>
      <c r="AN22" s="2" t="s">
        <v>137</v>
      </c>
      <c r="AO22" s="2" t="s">
        <v>137</v>
      </c>
      <c r="AR22" s="2" t="s">
        <v>136</v>
      </c>
      <c r="AS22" s="2" t="s">
        <v>86</v>
      </c>
      <c r="AT22" s="2" t="s">
        <v>86</v>
      </c>
      <c r="AU22" s="2" t="s">
        <v>137</v>
      </c>
      <c r="AV22" s="2" t="s">
        <v>137</v>
      </c>
    </row>
    <row r="23" spans="5:48" ht="30" x14ac:dyDescent="0.25">
      <c r="E23" s="2" t="s">
        <v>138</v>
      </c>
      <c r="F23" s="2">
        <v>2019</v>
      </c>
      <c r="G23" s="2">
        <v>2040</v>
      </c>
      <c r="H23" s="2">
        <v>2050</v>
      </c>
      <c r="I23" s="2">
        <v>2040</v>
      </c>
      <c r="J23" s="2">
        <v>2050</v>
      </c>
      <c r="M23" s="2" t="s">
        <v>140</v>
      </c>
      <c r="N23" s="2">
        <v>2019</v>
      </c>
      <c r="O23" s="2">
        <v>2040</v>
      </c>
      <c r="P23" s="2">
        <v>2050</v>
      </c>
      <c r="Q23" s="2">
        <v>2040</v>
      </c>
      <c r="R23" s="2">
        <v>2050</v>
      </c>
      <c r="U23" s="2" t="s">
        <v>141</v>
      </c>
      <c r="V23" s="2">
        <v>2019</v>
      </c>
      <c r="W23" s="2">
        <v>2040</v>
      </c>
      <c r="X23" s="2">
        <v>2050</v>
      </c>
      <c r="Y23" s="2">
        <v>2040</v>
      </c>
      <c r="Z23" s="2">
        <v>2050</v>
      </c>
      <c r="AC23" s="2" t="s">
        <v>139</v>
      </c>
      <c r="AD23" s="2">
        <v>2019</v>
      </c>
      <c r="AE23" s="2">
        <v>2040</v>
      </c>
      <c r="AF23" s="2">
        <v>2050</v>
      </c>
      <c r="AG23" s="2">
        <v>2040</v>
      </c>
      <c r="AH23" s="2">
        <v>2050</v>
      </c>
      <c r="AJ23" s="2" t="s">
        <v>179</v>
      </c>
      <c r="AK23" s="2">
        <v>2019</v>
      </c>
      <c r="AL23" s="2">
        <v>2040</v>
      </c>
      <c r="AM23" s="2">
        <v>2050</v>
      </c>
      <c r="AN23" s="2">
        <v>2040</v>
      </c>
      <c r="AO23" s="2">
        <v>2050</v>
      </c>
      <c r="AQ23" s="2" t="s">
        <v>183</v>
      </c>
      <c r="AR23" s="2">
        <v>2019</v>
      </c>
      <c r="AS23" s="2">
        <v>2040</v>
      </c>
      <c r="AT23" s="2">
        <v>2050</v>
      </c>
      <c r="AU23" s="2">
        <v>2040</v>
      </c>
      <c r="AV23" s="2">
        <v>2050</v>
      </c>
    </row>
    <row r="24" spans="5:48" x14ac:dyDescent="0.25">
      <c r="E24" s="2" t="s">
        <v>81</v>
      </c>
      <c r="F24" s="6">
        <v>4.6032110600000002E-2</v>
      </c>
      <c r="G24" s="6">
        <v>95</v>
      </c>
      <c r="H24" s="6">
        <v>100</v>
      </c>
      <c r="I24" s="6">
        <v>75</v>
      </c>
      <c r="J24" s="6">
        <v>80</v>
      </c>
      <c r="M24" s="2" t="s">
        <v>81</v>
      </c>
      <c r="N24" s="6">
        <v>25.1670470856</v>
      </c>
      <c r="O24" s="6">
        <v>2.5</v>
      </c>
      <c r="P24" s="6">
        <v>0</v>
      </c>
      <c r="Q24" s="6">
        <v>2.5</v>
      </c>
      <c r="R24" s="6">
        <v>0</v>
      </c>
      <c r="U24" s="2" t="s">
        <v>81</v>
      </c>
      <c r="V24" s="6">
        <v>74.632413443199994</v>
      </c>
      <c r="W24" s="6">
        <v>2.5</v>
      </c>
      <c r="X24" s="6">
        <v>0</v>
      </c>
      <c r="Y24" s="6">
        <v>2.5</v>
      </c>
      <c r="Z24" s="6">
        <v>0</v>
      </c>
      <c r="AC24" s="2" t="s">
        <v>81</v>
      </c>
      <c r="AD24" s="6">
        <v>0</v>
      </c>
      <c r="AE24" s="6">
        <v>0</v>
      </c>
      <c r="AF24" s="6">
        <v>0</v>
      </c>
      <c r="AG24" s="6">
        <v>20</v>
      </c>
      <c r="AH24" s="6">
        <v>20</v>
      </c>
      <c r="AJ24" s="2" t="s">
        <v>81</v>
      </c>
      <c r="AK24" s="6">
        <v>6.6344794900000004E-2</v>
      </c>
      <c r="AL24" s="6">
        <v>0</v>
      </c>
      <c r="AM24" s="6">
        <v>0</v>
      </c>
      <c r="AN24" s="6">
        <v>0</v>
      </c>
      <c r="AO24" s="6">
        <v>0</v>
      </c>
      <c r="AQ24" s="2" t="s">
        <v>81</v>
      </c>
      <c r="AR24" s="6">
        <v>8.8162565999999998E-2</v>
      </c>
      <c r="AS24" s="6">
        <v>0</v>
      </c>
      <c r="AT24" s="6">
        <v>0</v>
      </c>
      <c r="AU24" s="6">
        <v>0</v>
      </c>
      <c r="AV24" s="6">
        <v>0</v>
      </c>
    </row>
    <row r="25" spans="5:48" x14ac:dyDescent="0.25">
      <c r="E25" s="2" t="s">
        <v>82</v>
      </c>
      <c r="F25" s="6">
        <v>0.31386419189999998</v>
      </c>
      <c r="G25" s="6">
        <v>64.599999999999994</v>
      </c>
      <c r="H25" s="6">
        <v>100</v>
      </c>
      <c r="I25" s="6">
        <v>54.9</v>
      </c>
      <c r="J25" s="6">
        <v>85</v>
      </c>
      <c r="M25" s="2" t="s">
        <v>82</v>
      </c>
      <c r="N25" s="6">
        <v>27.412788314699998</v>
      </c>
      <c r="O25" s="6">
        <v>28.2</v>
      </c>
      <c r="P25" s="6">
        <v>0</v>
      </c>
      <c r="Q25" s="6">
        <v>29.2</v>
      </c>
      <c r="R25" s="6">
        <v>0</v>
      </c>
      <c r="U25" s="2" t="s">
        <v>82</v>
      </c>
      <c r="V25" s="6">
        <v>71.366836785900006</v>
      </c>
      <c r="W25" s="6">
        <v>7.2</v>
      </c>
      <c r="X25" s="6">
        <v>0</v>
      </c>
      <c r="Y25" s="6">
        <v>7.3</v>
      </c>
      <c r="Z25" s="6">
        <v>0</v>
      </c>
      <c r="AC25" s="2" t="s">
        <v>82</v>
      </c>
      <c r="AD25" s="6">
        <v>0</v>
      </c>
      <c r="AE25" s="6">
        <v>0</v>
      </c>
      <c r="AF25" s="6">
        <v>0</v>
      </c>
      <c r="AG25" s="6">
        <v>8.1999999999999993</v>
      </c>
      <c r="AH25" s="6">
        <v>15</v>
      </c>
      <c r="AJ25" s="2" t="s">
        <v>82</v>
      </c>
      <c r="AK25" s="6">
        <v>0.209908337</v>
      </c>
      <c r="AL25" s="6">
        <v>0</v>
      </c>
      <c r="AM25" s="6">
        <v>0</v>
      </c>
      <c r="AN25" s="6">
        <v>0.4</v>
      </c>
      <c r="AO25" s="6">
        <v>0</v>
      </c>
      <c r="AQ25" s="2" t="s">
        <v>82</v>
      </c>
      <c r="AR25" s="6">
        <v>0.696602371</v>
      </c>
      <c r="AS25" s="6">
        <v>0</v>
      </c>
      <c r="AT25" s="6">
        <v>0</v>
      </c>
      <c r="AU25" s="6">
        <v>0</v>
      </c>
      <c r="AV25" s="6">
        <v>0</v>
      </c>
    </row>
    <row r="26" spans="5:48" x14ac:dyDescent="0.25">
      <c r="E26" s="2" t="s">
        <v>83</v>
      </c>
      <c r="F26" s="6">
        <v>5.7663991999999997E-2</v>
      </c>
      <c r="G26" s="6">
        <v>49.666666669999998</v>
      </c>
      <c r="H26" s="6">
        <v>87</v>
      </c>
      <c r="I26" s="6">
        <v>24.666666670000001</v>
      </c>
      <c r="J26" s="6">
        <v>69</v>
      </c>
      <c r="M26" s="2" t="s">
        <v>83</v>
      </c>
      <c r="N26" s="6">
        <v>17.4356034499</v>
      </c>
      <c r="O26" s="6">
        <v>37.333333330000002</v>
      </c>
      <c r="P26" s="6">
        <v>1</v>
      </c>
      <c r="Q26" s="6">
        <v>54.333333330000002</v>
      </c>
      <c r="R26" s="6">
        <v>5</v>
      </c>
      <c r="U26" s="2" t="s">
        <v>83</v>
      </c>
      <c r="V26" s="6">
        <v>62.992638136399997</v>
      </c>
      <c r="W26" s="6">
        <v>0</v>
      </c>
      <c r="X26" s="6">
        <v>0</v>
      </c>
      <c r="Y26" s="6">
        <v>0</v>
      </c>
      <c r="Z26" s="6">
        <v>0</v>
      </c>
      <c r="AC26" s="2" t="s">
        <v>83</v>
      </c>
      <c r="AD26" s="6">
        <v>0</v>
      </c>
      <c r="AE26" s="6">
        <v>12</v>
      </c>
      <c r="AF26" s="6">
        <v>12</v>
      </c>
      <c r="AG26" s="6">
        <v>19</v>
      </c>
      <c r="AH26" s="6">
        <v>23</v>
      </c>
      <c r="AJ26" s="2" t="s">
        <v>83</v>
      </c>
      <c r="AK26" s="6">
        <v>2.1875143780999999</v>
      </c>
      <c r="AL26" s="6">
        <v>1</v>
      </c>
      <c r="AM26" s="6">
        <v>0</v>
      </c>
      <c r="AN26" s="6">
        <v>2</v>
      </c>
      <c r="AO26" s="6">
        <v>3</v>
      </c>
      <c r="AQ26" s="2" t="s">
        <v>83</v>
      </c>
      <c r="AR26" s="6">
        <v>17.3265800438</v>
      </c>
      <c r="AS26" s="6">
        <v>0</v>
      </c>
      <c r="AT26" s="6">
        <v>0</v>
      </c>
      <c r="AU26" s="6">
        <v>0</v>
      </c>
      <c r="AV26" s="6">
        <v>0</v>
      </c>
    </row>
    <row r="27" spans="5:48" x14ac:dyDescent="0.25">
      <c r="E27" s="2" t="s">
        <v>84</v>
      </c>
      <c r="F27" s="6">
        <v>0</v>
      </c>
      <c r="G27" s="6">
        <v>10.611306900000001</v>
      </c>
      <c r="H27" s="6">
        <v>76.564927400000002</v>
      </c>
      <c r="I27" s="6">
        <v>24.666666670000001</v>
      </c>
      <c r="J27" s="6">
        <v>69</v>
      </c>
      <c r="M27" s="2" t="s">
        <v>84</v>
      </c>
      <c r="N27" s="6">
        <v>63.207546612000002</v>
      </c>
      <c r="O27" s="6">
        <v>34.7215974</v>
      </c>
      <c r="P27" s="6">
        <v>11.4350726</v>
      </c>
      <c r="Q27" s="6">
        <v>54.333333330000002</v>
      </c>
      <c r="R27" s="6">
        <v>5</v>
      </c>
      <c r="U27" s="2" t="s">
        <v>84</v>
      </c>
      <c r="V27" s="6">
        <v>36.696711579800002</v>
      </c>
      <c r="W27" s="6">
        <v>41.6666667</v>
      </c>
      <c r="X27" s="6">
        <v>0</v>
      </c>
      <c r="Y27" s="6">
        <v>0</v>
      </c>
      <c r="Z27" s="6">
        <v>0</v>
      </c>
      <c r="AC27" s="2" t="s">
        <v>84</v>
      </c>
      <c r="AD27" s="6">
        <v>0</v>
      </c>
      <c r="AE27" s="6">
        <v>12.000429</v>
      </c>
      <c r="AF27" s="6">
        <v>12</v>
      </c>
      <c r="AG27" s="6">
        <v>19</v>
      </c>
      <c r="AH27" s="6">
        <v>23</v>
      </c>
      <c r="AJ27" s="2" t="s">
        <v>84</v>
      </c>
      <c r="AK27" s="6">
        <v>0</v>
      </c>
      <c r="AL27" s="6">
        <v>1</v>
      </c>
      <c r="AM27" s="6">
        <v>0</v>
      </c>
      <c r="AN27" s="6">
        <v>2</v>
      </c>
      <c r="AO27" s="6">
        <v>3</v>
      </c>
      <c r="AQ27" s="2" t="s">
        <v>84</v>
      </c>
      <c r="AR27" s="6">
        <v>9.5741808400000003E-2</v>
      </c>
      <c r="AS27" s="6">
        <v>0</v>
      </c>
      <c r="AT27" s="6">
        <v>0</v>
      </c>
      <c r="AU27" s="6">
        <v>0</v>
      </c>
      <c r="AV27" s="6">
        <v>0</v>
      </c>
    </row>
    <row r="28" spans="5:48" x14ac:dyDescent="0.25">
      <c r="E28" s="2" t="s">
        <v>85</v>
      </c>
      <c r="F28" s="6">
        <v>9.1707352500000006E-2</v>
      </c>
      <c r="G28" s="6">
        <v>45</v>
      </c>
      <c r="H28" s="6">
        <v>85</v>
      </c>
      <c r="I28" s="6">
        <v>18.666666670000001</v>
      </c>
      <c r="J28" s="6">
        <v>70</v>
      </c>
      <c r="M28" s="2" t="s">
        <v>85</v>
      </c>
      <c r="N28" s="6">
        <v>33.240815354600002</v>
      </c>
      <c r="O28" s="6">
        <v>48</v>
      </c>
      <c r="P28" s="6">
        <v>0</v>
      </c>
      <c r="Q28" s="6">
        <v>62.333333330000002</v>
      </c>
      <c r="R28" s="6">
        <v>5</v>
      </c>
      <c r="U28" s="2" t="s">
        <v>85</v>
      </c>
      <c r="V28" s="6">
        <v>64.545546786399996</v>
      </c>
      <c r="W28" s="6">
        <v>2</v>
      </c>
      <c r="X28" s="6">
        <v>0</v>
      </c>
      <c r="Y28" s="6">
        <v>0</v>
      </c>
      <c r="Z28" s="6">
        <v>0</v>
      </c>
      <c r="AC28" s="2" t="s">
        <v>85</v>
      </c>
      <c r="AD28" s="6">
        <v>0</v>
      </c>
      <c r="AE28" s="6">
        <v>5</v>
      </c>
      <c r="AF28" s="6">
        <v>15</v>
      </c>
      <c r="AG28" s="6">
        <v>15</v>
      </c>
      <c r="AH28" s="6">
        <v>20</v>
      </c>
      <c r="AJ28" s="2" t="s">
        <v>85</v>
      </c>
      <c r="AK28" s="6">
        <v>0.28008272509999999</v>
      </c>
      <c r="AL28" s="6">
        <v>0</v>
      </c>
      <c r="AM28" s="6">
        <v>0</v>
      </c>
      <c r="AN28" s="6">
        <v>4</v>
      </c>
      <c r="AO28" s="6">
        <v>5</v>
      </c>
      <c r="AQ28" s="2" t="s">
        <v>85</v>
      </c>
      <c r="AR28" s="6">
        <v>1.8418477818000001</v>
      </c>
      <c r="AS28" s="6">
        <v>0</v>
      </c>
      <c r="AT28" s="6">
        <v>0</v>
      </c>
      <c r="AU28" s="6">
        <v>0</v>
      </c>
      <c r="AV28" s="6">
        <v>0</v>
      </c>
    </row>
    <row r="29" spans="5:48" x14ac:dyDescent="0.25">
      <c r="E29" s="2" t="s">
        <v>86</v>
      </c>
      <c r="F29" s="6">
        <v>0.179688082</v>
      </c>
      <c r="G29" s="6">
        <v>78.8</v>
      </c>
      <c r="H29" s="6">
        <v>85</v>
      </c>
      <c r="I29" s="6">
        <v>70</v>
      </c>
      <c r="J29" s="6">
        <v>70</v>
      </c>
      <c r="M29" s="2" t="s">
        <v>86</v>
      </c>
      <c r="N29" s="6">
        <v>39.544252448400002</v>
      </c>
      <c r="O29" s="6">
        <v>8</v>
      </c>
      <c r="P29" s="6">
        <v>0</v>
      </c>
      <c r="Q29" s="6">
        <v>0</v>
      </c>
      <c r="R29" s="6">
        <v>0</v>
      </c>
      <c r="U29" s="2" t="s">
        <v>86</v>
      </c>
      <c r="V29" s="6">
        <v>59.106694715300002</v>
      </c>
      <c r="W29" s="6">
        <v>1.9</v>
      </c>
      <c r="X29" s="6">
        <v>0</v>
      </c>
      <c r="Y29" s="6">
        <v>0</v>
      </c>
      <c r="Z29" s="6">
        <v>0</v>
      </c>
      <c r="AC29" s="2" t="s">
        <v>86</v>
      </c>
      <c r="AD29" s="6">
        <v>0</v>
      </c>
      <c r="AE29" s="6">
        <v>11.2</v>
      </c>
      <c r="AF29" s="6">
        <v>15</v>
      </c>
      <c r="AG29" s="6">
        <v>28</v>
      </c>
      <c r="AH29" s="6">
        <v>28</v>
      </c>
      <c r="AJ29" s="2" t="s">
        <v>86</v>
      </c>
      <c r="AK29" s="6">
        <v>0.32410950370000002</v>
      </c>
      <c r="AL29" s="6">
        <v>0.1</v>
      </c>
      <c r="AM29" s="6">
        <v>0</v>
      </c>
      <c r="AN29" s="6">
        <v>2</v>
      </c>
      <c r="AO29" s="6">
        <v>2</v>
      </c>
      <c r="AQ29" s="2" t="s">
        <v>86</v>
      </c>
      <c r="AR29" s="6">
        <v>0.84525525079999997</v>
      </c>
      <c r="AS29" s="6">
        <v>0</v>
      </c>
      <c r="AT29" s="6">
        <v>0</v>
      </c>
      <c r="AU29" s="6">
        <v>0</v>
      </c>
      <c r="AV29" s="6">
        <v>0</v>
      </c>
    </row>
    <row r="30" spans="5:48" x14ac:dyDescent="0.25">
      <c r="E30" s="2" t="s">
        <v>87</v>
      </c>
      <c r="F30" s="6">
        <v>0.41975165990000002</v>
      </c>
      <c r="G30" s="6">
        <v>80</v>
      </c>
      <c r="H30" s="6">
        <v>96</v>
      </c>
      <c r="I30" s="6">
        <v>24.666666670000001</v>
      </c>
      <c r="J30" s="6">
        <v>80</v>
      </c>
      <c r="M30" s="2" t="s">
        <v>87</v>
      </c>
      <c r="N30" s="6">
        <v>43.216827552600002</v>
      </c>
      <c r="O30" s="6">
        <v>18</v>
      </c>
      <c r="P30" s="6">
        <v>0</v>
      </c>
      <c r="Q30" s="6">
        <v>62.333333330000002</v>
      </c>
      <c r="R30" s="6">
        <v>0</v>
      </c>
      <c r="U30" s="2" t="s">
        <v>87</v>
      </c>
      <c r="V30" s="6">
        <v>56.363140811400001</v>
      </c>
      <c r="W30" s="6">
        <v>0</v>
      </c>
      <c r="X30" s="6">
        <v>0</v>
      </c>
      <c r="Y30" s="6">
        <v>0</v>
      </c>
      <c r="Z30" s="6">
        <v>0</v>
      </c>
      <c r="AC30" s="2" t="s">
        <v>87</v>
      </c>
      <c r="AD30" s="6">
        <v>0</v>
      </c>
      <c r="AE30" s="6">
        <v>2</v>
      </c>
      <c r="AF30" s="6">
        <v>4</v>
      </c>
      <c r="AG30" s="6">
        <v>9</v>
      </c>
      <c r="AH30" s="6">
        <v>20</v>
      </c>
      <c r="AJ30" s="2" t="s">
        <v>87</v>
      </c>
      <c r="AK30" s="6">
        <v>2.7997640000000001E-4</v>
      </c>
      <c r="AL30" s="6">
        <v>0</v>
      </c>
      <c r="AM30" s="6">
        <v>0</v>
      </c>
      <c r="AN30" s="6">
        <v>4</v>
      </c>
      <c r="AO30" s="6">
        <v>0</v>
      </c>
      <c r="AQ30" s="2" t="s">
        <v>87</v>
      </c>
      <c r="AR30" s="6">
        <v>0</v>
      </c>
      <c r="AS30" s="6">
        <v>0</v>
      </c>
      <c r="AT30" s="6">
        <v>0</v>
      </c>
      <c r="AU30" s="6">
        <v>0</v>
      </c>
      <c r="AV30" s="6">
        <v>0</v>
      </c>
    </row>
    <row r="31" spans="5:48" x14ac:dyDescent="0.25">
      <c r="E31" s="2" t="s">
        <v>88</v>
      </c>
      <c r="F31" s="6">
        <v>0.21946486640000001</v>
      </c>
      <c r="G31" s="6">
        <v>34</v>
      </c>
      <c r="H31" s="6">
        <v>75</v>
      </c>
      <c r="I31" s="6">
        <v>34</v>
      </c>
      <c r="J31" s="6">
        <v>70</v>
      </c>
      <c r="M31" s="2" t="s">
        <v>88</v>
      </c>
      <c r="N31" s="6">
        <v>40.937001043000002</v>
      </c>
      <c r="O31" s="6">
        <v>42.592592600099998</v>
      </c>
      <c r="P31" s="6">
        <v>10</v>
      </c>
      <c r="Q31" s="6">
        <v>42.6</v>
      </c>
      <c r="R31" s="6">
        <v>10</v>
      </c>
      <c r="U31" s="2" t="s">
        <v>88</v>
      </c>
      <c r="V31" s="6">
        <v>56.907840083000004</v>
      </c>
      <c r="W31" s="6">
        <v>17.4074074</v>
      </c>
      <c r="X31" s="6">
        <v>5</v>
      </c>
      <c r="Y31" s="6">
        <v>17.399999999999999</v>
      </c>
      <c r="Z31" s="6">
        <v>5</v>
      </c>
      <c r="AC31" s="2" t="s">
        <v>88</v>
      </c>
      <c r="AD31" s="6">
        <v>0</v>
      </c>
      <c r="AE31" s="6">
        <v>1</v>
      </c>
      <c r="AF31" s="6">
        <v>5</v>
      </c>
      <c r="AG31" s="6">
        <v>1</v>
      </c>
      <c r="AH31" s="6">
        <v>10</v>
      </c>
      <c r="AJ31" s="2" t="s">
        <v>88</v>
      </c>
      <c r="AK31" s="6">
        <v>0.30350408229999998</v>
      </c>
      <c r="AL31" s="6">
        <v>5</v>
      </c>
      <c r="AM31" s="6">
        <v>5</v>
      </c>
      <c r="AN31" s="6">
        <v>5</v>
      </c>
      <c r="AO31" s="6">
        <v>5</v>
      </c>
      <c r="AQ31" s="2" t="s">
        <v>88</v>
      </c>
      <c r="AR31" s="6">
        <v>1.6321899256000001</v>
      </c>
      <c r="AS31" s="6">
        <v>0</v>
      </c>
      <c r="AT31" s="6">
        <v>0</v>
      </c>
      <c r="AU31" s="6">
        <v>0</v>
      </c>
      <c r="AV31" s="6">
        <v>0</v>
      </c>
    </row>
    <row r="32" spans="5:48" x14ac:dyDescent="0.25">
      <c r="E32" s="2" t="s">
        <v>89</v>
      </c>
      <c r="F32" s="6">
        <v>8.9236968200000003E-2</v>
      </c>
      <c r="G32" s="6">
        <v>84.5</v>
      </c>
      <c r="H32" s="6">
        <v>100</v>
      </c>
      <c r="I32" s="6">
        <v>70</v>
      </c>
      <c r="J32" s="6">
        <v>95</v>
      </c>
      <c r="M32" s="2" t="s">
        <v>89</v>
      </c>
      <c r="N32" s="6">
        <v>21.2354564203</v>
      </c>
      <c r="O32" s="6">
        <v>15</v>
      </c>
      <c r="P32" s="6">
        <v>0</v>
      </c>
      <c r="Q32" s="6">
        <v>20</v>
      </c>
      <c r="R32" s="6">
        <v>0</v>
      </c>
      <c r="U32" s="2" t="s">
        <v>89</v>
      </c>
      <c r="V32" s="6">
        <v>78.024754138099993</v>
      </c>
      <c r="W32" s="6">
        <v>0</v>
      </c>
      <c r="X32" s="6">
        <v>0</v>
      </c>
      <c r="Y32" s="6">
        <v>10</v>
      </c>
      <c r="Z32" s="6">
        <v>0</v>
      </c>
      <c r="AC32" s="2" t="s">
        <v>89</v>
      </c>
      <c r="AD32" s="6">
        <v>0</v>
      </c>
      <c r="AE32" s="6">
        <v>0</v>
      </c>
      <c r="AF32" s="6">
        <v>0</v>
      </c>
      <c r="AG32" s="6">
        <v>0</v>
      </c>
      <c r="AH32" s="6">
        <v>4.0999999999999996</v>
      </c>
      <c r="AJ32" s="2" t="s">
        <v>89</v>
      </c>
      <c r="AK32" s="6">
        <v>0.19939207589999999</v>
      </c>
      <c r="AL32" s="6">
        <v>0.5</v>
      </c>
      <c r="AM32" s="6">
        <v>0</v>
      </c>
      <c r="AN32" s="6">
        <v>0</v>
      </c>
      <c r="AO32" s="6">
        <v>0.9</v>
      </c>
      <c r="AQ32" s="2" t="s">
        <v>89</v>
      </c>
      <c r="AR32" s="6">
        <v>0.4511603978</v>
      </c>
      <c r="AS32" s="6">
        <v>0</v>
      </c>
      <c r="AT32" s="6">
        <v>0</v>
      </c>
      <c r="AU32" s="6">
        <v>0</v>
      </c>
      <c r="AV32" s="6">
        <v>0</v>
      </c>
    </row>
    <row r="33" spans="5:48" x14ac:dyDescent="0.25">
      <c r="E33" s="2" t="s">
        <v>90</v>
      </c>
      <c r="F33" s="6">
        <v>0.3612964306</v>
      </c>
      <c r="G33" s="6">
        <v>79.8</v>
      </c>
      <c r="H33" s="6">
        <v>89.961998100000002</v>
      </c>
      <c r="I33" s="6">
        <v>62.707070700000003</v>
      </c>
      <c r="J33" s="6">
        <v>75.574074100000004</v>
      </c>
      <c r="M33" s="2" t="s">
        <v>90</v>
      </c>
      <c r="N33" s="6">
        <v>42.188880405500001</v>
      </c>
      <c r="O33" s="6">
        <v>15.5661153</v>
      </c>
      <c r="P33" s="6">
        <v>1</v>
      </c>
      <c r="Q33" s="6">
        <v>25.51515152</v>
      </c>
      <c r="R33" s="6">
        <v>0</v>
      </c>
      <c r="U33" s="2" t="s">
        <v>90</v>
      </c>
      <c r="V33" s="6">
        <v>57.318684766300002</v>
      </c>
      <c r="W33" s="6">
        <v>0.72592590000000001</v>
      </c>
      <c r="X33" s="6">
        <v>0</v>
      </c>
      <c r="Y33" s="6">
        <v>0</v>
      </c>
      <c r="Z33" s="6">
        <v>0</v>
      </c>
      <c r="AC33" s="2" t="s">
        <v>90</v>
      </c>
      <c r="AD33" s="6">
        <v>0</v>
      </c>
      <c r="AE33" s="6">
        <v>3.0443224</v>
      </c>
      <c r="AF33" s="6">
        <v>9.0380018999999994</v>
      </c>
      <c r="AG33" s="6">
        <v>9</v>
      </c>
      <c r="AH33" s="6">
        <v>20.722222200000001</v>
      </c>
      <c r="AJ33" s="2" t="s">
        <v>90</v>
      </c>
      <c r="AK33" s="6">
        <v>0.13113839769999999</v>
      </c>
      <c r="AL33" s="6">
        <v>0.86363639999999997</v>
      </c>
      <c r="AM33" s="6">
        <v>0</v>
      </c>
      <c r="AN33" s="6">
        <v>2.7777778</v>
      </c>
      <c r="AO33" s="6">
        <v>3.7037037000000002</v>
      </c>
      <c r="AQ33" s="2" t="s">
        <v>90</v>
      </c>
      <c r="AR33" s="6">
        <v>0</v>
      </c>
      <c r="AS33" s="6">
        <v>0</v>
      </c>
      <c r="AT33" s="6">
        <v>0</v>
      </c>
      <c r="AU33" s="6">
        <v>0</v>
      </c>
      <c r="AV33" s="6">
        <v>0</v>
      </c>
    </row>
    <row r="34" spans="5:48" x14ac:dyDescent="0.25">
      <c r="E34" s="2" t="s">
        <v>91</v>
      </c>
      <c r="F34" s="6">
        <v>0.19506378890000001</v>
      </c>
      <c r="G34" s="6">
        <v>70.162963000000005</v>
      </c>
      <c r="H34" s="6">
        <v>99</v>
      </c>
      <c r="I34" s="6">
        <v>70.16</v>
      </c>
      <c r="J34" s="6">
        <v>95</v>
      </c>
      <c r="M34" s="2" t="s">
        <v>91</v>
      </c>
      <c r="N34" s="6">
        <v>24.006518424399999</v>
      </c>
      <c r="O34" s="6">
        <v>15.040740700000001</v>
      </c>
      <c r="P34" s="6">
        <v>1</v>
      </c>
      <c r="Q34" s="6">
        <v>15.04</v>
      </c>
      <c r="R34" s="6">
        <v>0</v>
      </c>
      <c r="U34" s="2" t="s">
        <v>91</v>
      </c>
      <c r="V34" s="6">
        <v>75.618181896300001</v>
      </c>
      <c r="W34" s="6">
        <v>5.5</v>
      </c>
      <c r="X34" s="6">
        <v>0</v>
      </c>
      <c r="Y34" s="6">
        <v>5.5</v>
      </c>
      <c r="Z34" s="6">
        <v>0</v>
      </c>
      <c r="AC34" s="2" t="s">
        <v>91</v>
      </c>
      <c r="AD34" s="6">
        <v>0</v>
      </c>
      <c r="AE34" s="6">
        <v>0</v>
      </c>
      <c r="AF34" s="6">
        <v>0</v>
      </c>
      <c r="AG34" s="6">
        <v>2.5</v>
      </c>
      <c r="AH34" s="6">
        <v>5</v>
      </c>
      <c r="AJ34" s="2" t="s">
        <v>91</v>
      </c>
      <c r="AK34" s="6">
        <v>8.7909752000000004E-3</v>
      </c>
      <c r="AL34" s="6">
        <v>0</v>
      </c>
      <c r="AM34" s="6">
        <v>0</v>
      </c>
      <c r="AN34" s="6">
        <v>0</v>
      </c>
      <c r="AO34" s="6">
        <v>0</v>
      </c>
      <c r="AQ34" s="2" t="s">
        <v>91</v>
      </c>
      <c r="AR34" s="6">
        <v>0.17144491549999999</v>
      </c>
      <c r="AS34" s="6">
        <v>9.2962962999999998</v>
      </c>
      <c r="AT34" s="6">
        <v>0</v>
      </c>
      <c r="AU34" s="6">
        <v>6.8</v>
      </c>
      <c r="AV34" s="6">
        <v>0</v>
      </c>
    </row>
    <row r="35" spans="5:48" x14ac:dyDescent="0.25">
      <c r="E35" s="2" t="s">
        <v>93</v>
      </c>
      <c r="F35" s="6">
        <v>8.0298750000000006E-3</v>
      </c>
      <c r="G35" s="6">
        <v>49.3</v>
      </c>
      <c r="H35" s="6">
        <v>86.5</v>
      </c>
      <c r="I35" s="6">
        <v>54.185185199999999</v>
      </c>
      <c r="J35" s="6">
        <v>64.814814799999994</v>
      </c>
      <c r="M35" s="2" t="s">
        <v>93</v>
      </c>
      <c r="N35" s="6">
        <v>52.840080018499997</v>
      </c>
      <c r="O35" s="6">
        <v>34.200000000000003</v>
      </c>
      <c r="P35" s="6">
        <v>1</v>
      </c>
      <c r="Q35" s="6">
        <v>14.814814800000001</v>
      </c>
      <c r="R35" s="6">
        <v>0</v>
      </c>
      <c r="U35" s="2" t="s">
        <v>93</v>
      </c>
      <c r="V35" s="6">
        <v>40.042834951899998</v>
      </c>
      <c r="W35" s="6">
        <v>3.5</v>
      </c>
      <c r="X35" s="6">
        <v>0</v>
      </c>
      <c r="Y35" s="6">
        <v>0</v>
      </c>
      <c r="Z35" s="6">
        <v>0</v>
      </c>
      <c r="AC35" s="2" t="s">
        <v>93</v>
      </c>
      <c r="AD35" s="6">
        <v>0</v>
      </c>
      <c r="AE35" s="6">
        <v>12</v>
      </c>
      <c r="AF35" s="6">
        <v>12</v>
      </c>
      <c r="AG35" s="6">
        <v>30</v>
      </c>
      <c r="AH35" s="6">
        <v>35.185185199999999</v>
      </c>
      <c r="AJ35" s="2" t="s">
        <v>93</v>
      </c>
      <c r="AK35" s="6">
        <v>8.8521351700000001E-2</v>
      </c>
      <c r="AL35" s="6">
        <v>1</v>
      </c>
      <c r="AM35" s="6">
        <v>0</v>
      </c>
      <c r="AN35" s="6">
        <v>1</v>
      </c>
      <c r="AO35" s="6">
        <v>0</v>
      </c>
      <c r="AQ35" s="2" t="s">
        <v>93</v>
      </c>
      <c r="AR35" s="6">
        <v>7.0205338032000002</v>
      </c>
      <c r="AS35" s="6">
        <v>0</v>
      </c>
      <c r="AT35" s="6">
        <v>0</v>
      </c>
      <c r="AU35" s="6">
        <v>0</v>
      </c>
      <c r="AV35" s="6">
        <v>0</v>
      </c>
    </row>
    <row r="36" spans="5:48" x14ac:dyDescent="0.25">
      <c r="E36" s="2" t="s">
        <v>94</v>
      </c>
      <c r="F36" s="6">
        <v>8.6292403000000004E-3</v>
      </c>
      <c r="G36" s="6">
        <v>21</v>
      </c>
      <c r="H36" s="6">
        <v>95.2</v>
      </c>
      <c r="I36" s="6">
        <v>9.5</v>
      </c>
      <c r="J36" s="6">
        <v>90.5</v>
      </c>
      <c r="M36" s="2" t="s">
        <v>94</v>
      </c>
      <c r="N36" s="6">
        <v>28.4857273977</v>
      </c>
      <c r="O36" s="6">
        <v>78.599999999999994</v>
      </c>
      <c r="P36" s="6">
        <v>1</v>
      </c>
      <c r="Q36" s="6">
        <v>90.2</v>
      </c>
      <c r="R36" s="6">
        <v>5</v>
      </c>
      <c r="U36" s="2" t="s">
        <v>94</v>
      </c>
      <c r="V36" s="6">
        <v>66.964153084900005</v>
      </c>
      <c r="W36" s="6">
        <v>0</v>
      </c>
      <c r="X36" s="6">
        <v>0</v>
      </c>
      <c r="Y36" s="6">
        <v>0</v>
      </c>
      <c r="Z36" s="6">
        <v>0</v>
      </c>
      <c r="AC36" s="2" t="s">
        <v>94</v>
      </c>
      <c r="AD36" s="6">
        <v>0</v>
      </c>
      <c r="AE36" s="6">
        <v>0</v>
      </c>
      <c r="AF36" s="6">
        <v>1.3</v>
      </c>
      <c r="AG36" s="6">
        <v>0</v>
      </c>
      <c r="AH36" s="6">
        <v>2</v>
      </c>
      <c r="AJ36" s="2" t="s">
        <v>94</v>
      </c>
      <c r="AK36" s="6">
        <v>3.2306202000000001E-3</v>
      </c>
      <c r="AL36" s="6">
        <v>0.4</v>
      </c>
      <c r="AM36" s="6">
        <v>2.5</v>
      </c>
      <c r="AN36" s="6">
        <v>0.3</v>
      </c>
      <c r="AO36" s="6">
        <v>2.5</v>
      </c>
      <c r="AQ36" s="2" t="s">
        <v>94</v>
      </c>
      <c r="AR36" s="6">
        <v>4.5382596573000002</v>
      </c>
      <c r="AS36" s="6">
        <v>0</v>
      </c>
      <c r="AT36" s="6">
        <v>0</v>
      </c>
      <c r="AU36" s="6">
        <v>0</v>
      </c>
      <c r="AV36" s="6">
        <v>0</v>
      </c>
    </row>
    <row r="37" spans="5:48" x14ac:dyDescent="0.25">
      <c r="E37" s="2" t="s">
        <v>95</v>
      </c>
      <c r="F37" s="6">
        <v>5.8924551700000001E-2</v>
      </c>
      <c r="G37" s="6">
        <v>47.966666699999998</v>
      </c>
      <c r="H37" s="6">
        <v>87</v>
      </c>
      <c r="I37" s="6">
        <v>24.666666670000001</v>
      </c>
      <c r="J37" s="6">
        <v>69</v>
      </c>
      <c r="M37" s="2" t="s">
        <v>95</v>
      </c>
      <c r="N37" s="6">
        <v>41.960088095499998</v>
      </c>
      <c r="O37" s="6">
        <v>39.033333300000002</v>
      </c>
      <c r="P37" s="6">
        <v>1</v>
      </c>
      <c r="Q37" s="6">
        <v>54.333333330000002</v>
      </c>
      <c r="R37" s="6">
        <v>5</v>
      </c>
      <c r="U37" s="2" t="s">
        <v>95</v>
      </c>
      <c r="V37" s="6">
        <v>57.355874521700002</v>
      </c>
      <c r="W37" s="6">
        <v>0</v>
      </c>
      <c r="X37" s="6">
        <v>0</v>
      </c>
      <c r="Y37" s="6">
        <v>0</v>
      </c>
      <c r="Z37" s="6">
        <v>0</v>
      </c>
      <c r="AC37" s="2" t="s">
        <v>95</v>
      </c>
      <c r="AD37" s="6">
        <v>0</v>
      </c>
      <c r="AE37" s="6">
        <v>12</v>
      </c>
      <c r="AF37" s="6">
        <v>12</v>
      </c>
      <c r="AG37" s="6">
        <v>19</v>
      </c>
      <c r="AH37" s="6">
        <v>23</v>
      </c>
      <c r="AJ37" s="2" t="s">
        <v>95</v>
      </c>
      <c r="AK37" s="6">
        <v>4.5884700100000002E-2</v>
      </c>
      <c r="AL37" s="6">
        <v>1</v>
      </c>
      <c r="AM37" s="6">
        <v>0</v>
      </c>
      <c r="AN37" s="6">
        <v>2</v>
      </c>
      <c r="AO37" s="6">
        <v>3</v>
      </c>
      <c r="AQ37" s="2" t="s">
        <v>95</v>
      </c>
      <c r="AR37" s="6">
        <v>0.57922813129999995</v>
      </c>
      <c r="AS37" s="6">
        <v>0</v>
      </c>
      <c r="AT37" s="6">
        <v>0</v>
      </c>
      <c r="AU37" s="6">
        <v>0</v>
      </c>
      <c r="AV37" s="6">
        <v>0</v>
      </c>
    </row>
    <row r="38" spans="5:48" x14ac:dyDescent="0.25">
      <c r="E38" s="2" t="s">
        <v>96</v>
      </c>
      <c r="F38" s="6">
        <v>0.1279087612</v>
      </c>
      <c r="G38" s="6">
        <v>95</v>
      </c>
      <c r="H38" s="6">
        <v>95</v>
      </c>
      <c r="I38" s="6">
        <v>53</v>
      </c>
      <c r="J38" s="6">
        <v>85</v>
      </c>
      <c r="M38" s="2" t="s">
        <v>96</v>
      </c>
      <c r="N38" s="6">
        <v>26.9753599063</v>
      </c>
      <c r="O38" s="6">
        <v>0</v>
      </c>
      <c r="P38" s="6">
        <v>0</v>
      </c>
      <c r="Q38" s="6">
        <v>37</v>
      </c>
      <c r="R38" s="6">
        <v>0</v>
      </c>
      <c r="U38" s="2" t="s">
        <v>96</v>
      </c>
      <c r="V38" s="6">
        <v>72.839418332400001</v>
      </c>
      <c r="W38" s="6">
        <v>0</v>
      </c>
      <c r="X38" s="6">
        <v>0</v>
      </c>
      <c r="Y38" s="6">
        <v>0</v>
      </c>
      <c r="Z38" s="6">
        <v>0</v>
      </c>
      <c r="AC38" s="2" t="s">
        <v>96</v>
      </c>
      <c r="AD38" s="6">
        <v>0</v>
      </c>
      <c r="AE38" s="6">
        <v>5</v>
      </c>
      <c r="AF38" s="6">
        <v>5</v>
      </c>
      <c r="AG38" s="6">
        <v>5</v>
      </c>
      <c r="AH38" s="6">
        <v>10</v>
      </c>
      <c r="AJ38" s="2" t="s">
        <v>96</v>
      </c>
      <c r="AK38" s="6">
        <v>0</v>
      </c>
      <c r="AL38" s="6">
        <v>0</v>
      </c>
      <c r="AM38" s="6">
        <v>0</v>
      </c>
      <c r="AN38" s="6">
        <v>5</v>
      </c>
      <c r="AO38" s="6">
        <v>5</v>
      </c>
      <c r="AQ38" s="2" t="s">
        <v>96</v>
      </c>
      <c r="AR38" s="6">
        <v>5.7313000199999999E-2</v>
      </c>
      <c r="AS38" s="6">
        <v>0</v>
      </c>
      <c r="AT38" s="6">
        <v>0</v>
      </c>
      <c r="AU38" s="6">
        <v>0</v>
      </c>
      <c r="AV38" s="6">
        <v>0</v>
      </c>
    </row>
    <row r="39" spans="5:48" x14ac:dyDescent="0.25">
      <c r="E39" s="2" t="s">
        <v>98</v>
      </c>
      <c r="F39" s="6">
        <v>5.2596804800000001E-2</v>
      </c>
      <c r="G39" s="6">
        <v>55</v>
      </c>
      <c r="H39" s="6">
        <v>92</v>
      </c>
      <c r="I39" s="6">
        <v>49</v>
      </c>
      <c r="J39" s="6">
        <v>85</v>
      </c>
      <c r="M39" s="2" t="s">
        <v>98</v>
      </c>
      <c r="N39" s="6">
        <v>25.2922422788</v>
      </c>
      <c r="O39" s="6">
        <v>17</v>
      </c>
      <c r="P39" s="6">
        <v>0</v>
      </c>
      <c r="Q39" s="6">
        <v>17</v>
      </c>
      <c r="R39" s="6">
        <v>0</v>
      </c>
      <c r="U39" s="2" t="s">
        <v>98</v>
      </c>
      <c r="V39" s="6">
        <v>64.872460097399994</v>
      </c>
      <c r="W39" s="6">
        <v>13</v>
      </c>
      <c r="X39" s="6">
        <v>0</v>
      </c>
      <c r="Y39" s="6">
        <v>13</v>
      </c>
      <c r="Z39" s="6">
        <v>0</v>
      </c>
      <c r="AC39" s="2" t="s">
        <v>98</v>
      </c>
      <c r="AD39" s="6">
        <v>0</v>
      </c>
      <c r="AE39" s="6">
        <v>6</v>
      </c>
      <c r="AF39" s="6">
        <v>8</v>
      </c>
      <c r="AG39" s="6">
        <v>10</v>
      </c>
      <c r="AH39" s="6">
        <v>15</v>
      </c>
      <c r="AJ39" s="2" t="s">
        <v>98</v>
      </c>
      <c r="AK39" s="6">
        <v>2.6248107847000002</v>
      </c>
      <c r="AL39" s="6">
        <v>3.7</v>
      </c>
      <c r="AM39" s="6">
        <v>0</v>
      </c>
      <c r="AN39" s="6">
        <v>4.5</v>
      </c>
      <c r="AO39" s="6">
        <v>0</v>
      </c>
      <c r="AQ39" s="2" t="s">
        <v>98</v>
      </c>
      <c r="AR39" s="6">
        <v>7.1578900347000003</v>
      </c>
      <c r="AS39" s="6">
        <v>5.3</v>
      </c>
      <c r="AT39" s="6">
        <v>0</v>
      </c>
      <c r="AU39" s="6">
        <v>6.5</v>
      </c>
      <c r="AV39" s="6">
        <v>0</v>
      </c>
    </row>
    <row r="40" spans="5:48" x14ac:dyDescent="0.25">
      <c r="E40" s="2" t="s">
        <v>99</v>
      </c>
      <c r="F40" s="6">
        <v>0.13790180490000001</v>
      </c>
      <c r="G40" s="6">
        <v>49.666666669999998</v>
      </c>
      <c r="H40" s="6">
        <v>87</v>
      </c>
      <c r="I40" s="6">
        <v>24.666666670000001</v>
      </c>
      <c r="J40" s="6">
        <v>69</v>
      </c>
      <c r="M40" s="2" t="s">
        <v>99</v>
      </c>
      <c r="N40" s="6">
        <v>14.7114678282</v>
      </c>
      <c r="O40" s="6">
        <v>37.333333330000002</v>
      </c>
      <c r="P40" s="6">
        <v>1</v>
      </c>
      <c r="Q40" s="6">
        <v>54.333333330000002</v>
      </c>
      <c r="R40" s="6">
        <v>5</v>
      </c>
      <c r="U40" s="2" t="s">
        <v>99</v>
      </c>
      <c r="V40" s="6">
        <v>78.466068772100002</v>
      </c>
      <c r="W40" s="6">
        <v>0</v>
      </c>
      <c r="X40" s="6">
        <v>0</v>
      </c>
      <c r="Y40" s="6">
        <v>0</v>
      </c>
      <c r="Z40" s="6">
        <v>0</v>
      </c>
      <c r="AC40" s="2" t="s">
        <v>99</v>
      </c>
      <c r="AD40" s="6">
        <v>0</v>
      </c>
      <c r="AE40" s="6">
        <v>12</v>
      </c>
      <c r="AF40" s="6">
        <v>12</v>
      </c>
      <c r="AG40" s="6">
        <v>19</v>
      </c>
      <c r="AH40" s="6">
        <v>23</v>
      </c>
      <c r="AJ40" s="2" t="s">
        <v>99</v>
      </c>
      <c r="AK40" s="6">
        <v>1.2715231999999999E-3</v>
      </c>
      <c r="AL40" s="6">
        <v>1</v>
      </c>
      <c r="AM40" s="6">
        <v>0</v>
      </c>
      <c r="AN40" s="6">
        <v>2</v>
      </c>
      <c r="AO40" s="6">
        <v>3</v>
      </c>
      <c r="AQ40" s="2" t="s">
        <v>99</v>
      </c>
      <c r="AR40" s="6">
        <v>6.6832900718000001</v>
      </c>
      <c r="AS40" s="6">
        <v>0</v>
      </c>
      <c r="AT40" s="6">
        <v>0</v>
      </c>
      <c r="AU40" s="6">
        <v>0</v>
      </c>
      <c r="AV40" s="6">
        <v>0</v>
      </c>
    </row>
    <row r="41" spans="5:48" x14ac:dyDescent="0.25">
      <c r="E41" s="2" t="s">
        <v>100</v>
      </c>
      <c r="F41" s="6">
        <v>9.4417273900000001E-2</v>
      </c>
      <c r="G41" s="6">
        <v>75</v>
      </c>
      <c r="H41" s="6">
        <v>88.992592599999995</v>
      </c>
      <c r="I41" s="6">
        <v>77</v>
      </c>
      <c r="J41" s="6">
        <v>88</v>
      </c>
      <c r="M41" s="2" t="s">
        <v>100</v>
      </c>
      <c r="N41" s="6">
        <v>23.9364550351</v>
      </c>
      <c r="O41" s="6">
        <v>15</v>
      </c>
      <c r="P41" s="6">
        <v>5.0074074</v>
      </c>
      <c r="Q41" s="6">
        <v>15</v>
      </c>
      <c r="R41" s="6">
        <v>5</v>
      </c>
      <c r="U41" s="2" t="s">
        <v>100</v>
      </c>
      <c r="V41" s="6">
        <v>75.948411428399993</v>
      </c>
      <c r="W41" s="6">
        <v>5</v>
      </c>
      <c r="X41" s="6">
        <v>1</v>
      </c>
      <c r="Y41" s="6">
        <v>5</v>
      </c>
      <c r="Z41" s="6">
        <v>1</v>
      </c>
      <c r="AC41" s="2" t="s">
        <v>100</v>
      </c>
      <c r="AD41" s="6">
        <v>0</v>
      </c>
      <c r="AE41" s="6">
        <v>5</v>
      </c>
      <c r="AF41" s="6">
        <v>5</v>
      </c>
      <c r="AG41" s="6">
        <v>3</v>
      </c>
      <c r="AH41" s="6">
        <v>6</v>
      </c>
      <c r="AJ41" s="2" t="s">
        <v>100</v>
      </c>
      <c r="AK41" s="6">
        <v>0</v>
      </c>
      <c r="AL41" s="6">
        <v>0</v>
      </c>
      <c r="AM41" s="6">
        <v>0</v>
      </c>
      <c r="AN41" s="6">
        <v>0</v>
      </c>
      <c r="AO41" s="6">
        <v>0</v>
      </c>
      <c r="AQ41" s="2" t="s">
        <v>100</v>
      </c>
      <c r="AR41" s="6">
        <v>2.0716262900000001E-2</v>
      </c>
      <c r="AS41" s="6">
        <v>0</v>
      </c>
      <c r="AT41" s="6">
        <v>0</v>
      </c>
      <c r="AU41" s="6">
        <v>0</v>
      </c>
      <c r="AV41" s="6">
        <v>0</v>
      </c>
    </row>
    <row r="42" spans="5:48" x14ac:dyDescent="0.25">
      <c r="E42" s="2" t="s">
        <v>101</v>
      </c>
      <c r="F42" s="6">
        <v>2.7419884499999998E-2</v>
      </c>
      <c r="G42" s="6">
        <v>49.666666669999998</v>
      </c>
      <c r="H42" s="6">
        <v>87</v>
      </c>
      <c r="I42" s="6">
        <v>24.666666670000001</v>
      </c>
      <c r="J42" s="6">
        <v>69</v>
      </c>
      <c r="M42" s="2" t="s">
        <v>101</v>
      </c>
      <c r="N42" s="6">
        <v>22.185147325700001</v>
      </c>
      <c r="O42" s="6">
        <v>37.333333330000002</v>
      </c>
      <c r="P42" s="6">
        <v>1</v>
      </c>
      <c r="Q42" s="6">
        <v>54.333333330000002</v>
      </c>
      <c r="R42" s="6">
        <v>5</v>
      </c>
      <c r="U42" s="2" t="s">
        <v>101</v>
      </c>
      <c r="V42" s="6">
        <v>71.407206202300003</v>
      </c>
      <c r="W42" s="6">
        <v>0</v>
      </c>
      <c r="X42" s="6">
        <v>0</v>
      </c>
      <c r="Y42" s="6">
        <v>0</v>
      </c>
      <c r="Z42" s="6">
        <v>0</v>
      </c>
      <c r="AC42" s="2" t="s">
        <v>101</v>
      </c>
      <c r="AD42" s="6">
        <v>0</v>
      </c>
      <c r="AE42" s="6">
        <v>12</v>
      </c>
      <c r="AF42" s="6">
        <v>12</v>
      </c>
      <c r="AG42" s="6">
        <v>19</v>
      </c>
      <c r="AH42" s="6">
        <v>23</v>
      </c>
      <c r="AJ42" s="2" t="s">
        <v>101</v>
      </c>
      <c r="AK42" s="6">
        <v>1.0486514299999999E-2</v>
      </c>
      <c r="AL42" s="6">
        <v>1</v>
      </c>
      <c r="AM42" s="6">
        <v>0</v>
      </c>
      <c r="AN42" s="6">
        <v>2</v>
      </c>
      <c r="AO42" s="6">
        <v>3</v>
      </c>
      <c r="AQ42" s="2" t="s">
        <v>101</v>
      </c>
      <c r="AR42" s="6">
        <v>6.3697400735</v>
      </c>
      <c r="AS42" s="6">
        <v>0</v>
      </c>
      <c r="AT42" s="6">
        <v>0</v>
      </c>
      <c r="AU42" s="6">
        <v>0</v>
      </c>
      <c r="AV42" s="6">
        <v>0</v>
      </c>
    </row>
    <row r="43" spans="5:48" x14ac:dyDescent="0.25">
      <c r="E43" s="2" t="s">
        <v>102</v>
      </c>
      <c r="F43" s="6">
        <v>0.19666170329999999</v>
      </c>
      <c r="G43" s="6">
        <v>51.5</v>
      </c>
      <c r="H43" s="6">
        <v>87</v>
      </c>
      <c r="I43" s="6">
        <v>51.5</v>
      </c>
      <c r="J43" s="6">
        <v>69</v>
      </c>
      <c r="M43" s="2" t="s">
        <v>102</v>
      </c>
      <c r="N43" s="6">
        <v>44.900582898099998</v>
      </c>
      <c r="O43" s="6">
        <v>36.4</v>
      </c>
      <c r="P43" s="6">
        <v>1</v>
      </c>
      <c r="Q43" s="6">
        <v>36.4</v>
      </c>
      <c r="R43" s="6">
        <v>5</v>
      </c>
      <c r="U43" s="2" t="s">
        <v>102</v>
      </c>
      <c r="V43" s="6">
        <v>54.477640799299998</v>
      </c>
      <c r="W43" s="6">
        <v>11.8</v>
      </c>
      <c r="X43" s="6">
        <v>0</v>
      </c>
      <c r="Y43" s="6">
        <v>11.8</v>
      </c>
      <c r="Z43" s="6">
        <v>0</v>
      </c>
      <c r="AC43" s="2" t="s">
        <v>102</v>
      </c>
      <c r="AD43" s="6">
        <v>0</v>
      </c>
      <c r="AE43" s="6">
        <v>0</v>
      </c>
      <c r="AF43" s="6">
        <v>12</v>
      </c>
      <c r="AG43" s="6">
        <v>0</v>
      </c>
      <c r="AH43" s="6">
        <v>23</v>
      </c>
      <c r="AJ43" s="2" t="s">
        <v>102</v>
      </c>
      <c r="AK43" s="6">
        <v>0</v>
      </c>
      <c r="AL43" s="6">
        <v>0</v>
      </c>
      <c r="AM43" s="6">
        <v>0</v>
      </c>
      <c r="AN43" s="6">
        <v>0</v>
      </c>
      <c r="AO43" s="6">
        <v>3</v>
      </c>
      <c r="AQ43" s="2" t="s">
        <v>102</v>
      </c>
      <c r="AR43" s="6">
        <v>0.42511459959999998</v>
      </c>
      <c r="AS43" s="6">
        <v>0.3</v>
      </c>
      <c r="AT43" s="6">
        <v>0</v>
      </c>
      <c r="AU43" s="6">
        <v>0.3</v>
      </c>
      <c r="AV43" s="6">
        <v>0</v>
      </c>
    </row>
    <row r="44" spans="5:48" x14ac:dyDescent="0.25">
      <c r="E44" s="2" t="s">
        <v>103</v>
      </c>
      <c r="F44" s="6">
        <v>1.5636466684999999</v>
      </c>
      <c r="G44" s="6">
        <v>75.3</v>
      </c>
      <c r="H44" s="6">
        <v>100</v>
      </c>
      <c r="I44" s="6">
        <v>41.99</v>
      </c>
      <c r="J44" s="6">
        <v>70</v>
      </c>
      <c r="M44" s="2" t="s">
        <v>103</v>
      </c>
      <c r="N44" s="6">
        <v>64.554528697600006</v>
      </c>
      <c r="O44" s="6">
        <v>24.7</v>
      </c>
      <c r="P44" s="6">
        <v>0</v>
      </c>
      <c r="Q44" s="6">
        <v>38.369999999999997</v>
      </c>
      <c r="R44" s="6">
        <v>5</v>
      </c>
      <c r="U44" s="2" t="s">
        <v>103</v>
      </c>
      <c r="V44" s="6">
        <v>30.336894668500001</v>
      </c>
      <c r="W44" s="6">
        <v>0</v>
      </c>
      <c r="X44" s="6">
        <v>0</v>
      </c>
      <c r="Y44" s="6">
        <v>3.97</v>
      </c>
      <c r="Z44" s="6">
        <v>0</v>
      </c>
      <c r="AC44" s="2" t="s">
        <v>103</v>
      </c>
      <c r="AD44" s="6">
        <v>0</v>
      </c>
      <c r="AE44" s="6">
        <v>0</v>
      </c>
      <c r="AF44" s="6">
        <v>0</v>
      </c>
      <c r="AG44" s="6">
        <v>15.67</v>
      </c>
      <c r="AH44" s="6">
        <v>25</v>
      </c>
      <c r="AJ44" s="2" t="s">
        <v>103</v>
      </c>
      <c r="AK44" s="6">
        <v>0</v>
      </c>
      <c r="AL44" s="6">
        <v>0</v>
      </c>
      <c r="AM44" s="6">
        <v>0</v>
      </c>
      <c r="AN44" s="6">
        <v>0</v>
      </c>
      <c r="AO44" s="6">
        <v>0</v>
      </c>
      <c r="AQ44" s="2" t="s">
        <v>103</v>
      </c>
      <c r="AR44" s="6">
        <v>3.5449299657000002</v>
      </c>
      <c r="AS44" s="6">
        <v>0</v>
      </c>
      <c r="AT44" s="6">
        <v>0</v>
      </c>
      <c r="AU44" s="6">
        <v>0</v>
      </c>
      <c r="AV44" s="6">
        <v>0</v>
      </c>
    </row>
    <row r="45" spans="5:48" x14ac:dyDescent="0.25">
      <c r="E45" s="2" t="s">
        <v>105</v>
      </c>
      <c r="F45" s="6">
        <v>4.1485087000000002E-3</v>
      </c>
      <c r="G45" s="6">
        <v>46.770000000099998</v>
      </c>
      <c r="H45" s="6">
        <v>89</v>
      </c>
      <c r="I45" s="6">
        <v>22.666666670000001</v>
      </c>
      <c r="J45" s="6">
        <v>73</v>
      </c>
      <c r="M45" s="2" t="s">
        <v>105</v>
      </c>
      <c r="N45" s="6">
        <v>25.595357508500001</v>
      </c>
      <c r="O45" s="6">
        <v>15</v>
      </c>
      <c r="P45" s="6">
        <v>0.5</v>
      </c>
      <c r="Q45" s="6">
        <v>62.333333330000002</v>
      </c>
      <c r="R45" s="6">
        <v>5</v>
      </c>
      <c r="U45" s="2" t="s">
        <v>105</v>
      </c>
      <c r="V45" s="6">
        <v>61.415386702500001</v>
      </c>
      <c r="W45" s="6">
        <v>25</v>
      </c>
      <c r="X45" s="6">
        <v>0</v>
      </c>
      <c r="Y45" s="6">
        <v>0</v>
      </c>
      <c r="Z45" s="6">
        <v>0</v>
      </c>
      <c r="AC45" s="2" t="s">
        <v>105</v>
      </c>
      <c r="AD45" s="6">
        <v>0</v>
      </c>
      <c r="AE45" s="6">
        <v>4.5</v>
      </c>
      <c r="AF45" s="6">
        <v>6</v>
      </c>
      <c r="AG45" s="6">
        <v>11</v>
      </c>
      <c r="AH45" s="6">
        <v>17</v>
      </c>
      <c r="AJ45" s="2" t="s">
        <v>105</v>
      </c>
      <c r="AK45" s="6">
        <v>1.23758592E-2</v>
      </c>
      <c r="AL45" s="6">
        <v>2.5</v>
      </c>
      <c r="AM45" s="6">
        <v>2</v>
      </c>
      <c r="AN45" s="6">
        <v>4</v>
      </c>
      <c r="AO45" s="6">
        <v>5</v>
      </c>
      <c r="AQ45" s="2" t="s">
        <v>105</v>
      </c>
      <c r="AR45" s="6">
        <v>12.972731421400001</v>
      </c>
      <c r="AS45" s="6">
        <v>6.2300000002999996</v>
      </c>
      <c r="AT45" s="6">
        <v>0.5</v>
      </c>
      <c r="AU45" s="6">
        <v>0</v>
      </c>
      <c r="AV45" s="6">
        <v>0</v>
      </c>
    </row>
    <row r="46" spans="5:48" x14ac:dyDescent="0.25">
      <c r="E46" s="2" t="s">
        <v>106</v>
      </c>
      <c r="F46" s="6">
        <v>3.71911095E-2</v>
      </c>
      <c r="G46" s="6">
        <v>63.8</v>
      </c>
      <c r="H46" s="6">
        <v>100</v>
      </c>
      <c r="I46" s="6">
        <v>52</v>
      </c>
      <c r="J46" s="6">
        <v>81.666666669999998</v>
      </c>
      <c r="M46" s="2" t="s">
        <v>106</v>
      </c>
      <c r="N46" s="6">
        <v>23.360750081799999</v>
      </c>
      <c r="O46" s="6">
        <v>8.1999999999999993</v>
      </c>
      <c r="P46" s="6">
        <v>0</v>
      </c>
      <c r="Q46" s="6">
        <v>37</v>
      </c>
      <c r="R46" s="6">
        <v>3.3333333330000001</v>
      </c>
      <c r="U46" s="2" t="s">
        <v>106</v>
      </c>
      <c r="V46" s="6">
        <v>75.659900996199994</v>
      </c>
      <c r="W46" s="6">
        <v>25.5</v>
      </c>
      <c r="X46" s="6">
        <v>0</v>
      </c>
      <c r="Y46" s="6">
        <v>0</v>
      </c>
      <c r="Z46" s="6">
        <v>0</v>
      </c>
      <c r="AC46" s="2" t="s">
        <v>106</v>
      </c>
      <c r="AD46" s="6">
        <v>0</v>
      </c>
      <c r="AE46" s="6">
        <v>0</v>
      </c>
      <c r="AF46" s="6">
        <v>0</v>
      </c>
      <c r="AG46" s="6">
        <v>7</v>
      </c>
      <c r="AH46" s="6">
        <v>10</v>
      </c>
      <c r="AJ46" s="2" t="s">
        <v>106</v>
      </c>
      <c r="AK46" s="6">
        <v>5.9694879999999998E-4</v>
      </c>
      <c r="AL46" s="6">
        <v>2.5</v>
      </c>
      <c r="AM46" s="6">
        <v>0</v>
      </c>
      <c r="AN46" s="6">
        <v>4</v>
      </c>
      <c r="AO46" s="6">
        <v>5</v>
      </c>
      <c r="AQ46" s="2" t="s">
        <v>106</v>
      </c>
      <c r="AR46" s="6">
        <v>0.94156086400000005</v>
      </c>
      <c r="AS46" s="6">
        <v>0</v>
      </c>
      <c r="AT46" s="6">
        <v>0</v>
      </c>
      <c r="AU46" s="6">
        <v>0</v>
      </c>
      <c r="AV46" s="6">
        <v>0</v>
      </c>
    </row>
    <row r="47" spans="5:48" x14ac:dyDescent="0.25">
      <c r="E47" s="2" t="s">
        <v>107</v>
      </c>
      <c r="F47" s="6">
        <v>5.2979727300000001E-2</v>
      </c>
      <c r="G47" s="6">
        <v>49.25</v>
      </c>
      <c r="H47" s="6">
        <v>87</v>
      </c>
      <c r="I47" s="6">
        <v>24.666666670000001</v>
      </c>
      <c r="J47" s="6">
        <v>69</v>
      </c>
      <c r="M47" s="2" t="s">
        <v>107</v>
      </c>
      <c r="N47" s="6">
        <v>28.207285934600002</v>
      </c>
      <c r="O47" s="6">
        <v>13.35</v>
      </c>
      <c r="P47" s="6">
        <v>1</v>
      </c>
      <c r="Q47" s="6">
        <v>54.333333330000002</v>
      </c>
      <c r="R47" s="6">
        <v>5</v>
      </c>
      <c r="U47" s="2" t="s">
        <v>107</v>
      </c>
      <c r="V47" s="6">
        <v>69.5133897045</v>
      </c>
      <c r="W47" s="6">
        <v>23.65</v>
      </c>
      <c r="X47" s="6">
        <v>0</v>
      </c>
      <c r="Y47" s="6">
        <v>0</v>
      </c>
      <c r="Z47" s="6">
        <v>0</v>
      </c>
      <c r="AC47" s="2" t="s">
        <v>107</v>
      </c>
      <c r="AD47" s="6">
        <v>0</v>
      </c>
      <c r="AE47" s="6">
        <v>12</v>
      </c>
      <c r="AF47" s="6">
        <v>12</v>
      </c>
      <c r="AG47" s="6">
        <v>19</v>
      </c>
      <c r="AH47" s="6">
        <v>23</v>
      </c>
      <c r="AJ47" s="2" t="s">
        <v>107</v>
      </c>
      <c r="AK47" s="6">
        <v>0</v>
      </c>
      <c r="AL47" s="6">
        <v>0.99</v>
      </c>
      <c r="AM47" s="6">
        <v>0</v>
      </c>
      <c r="AN47" s="6">
        <v>2</v>
      </c>
      <c r="AO47" s="6">
        <v>3</v>
      </c>
      <c r="AQ47" s="2" t="s">
        <v>107</v>
      </c>
      <c r="AR47" s="6">
        <v>2.2263446339000001</v>
      </c>
      <c r="AS47" s="6">
        <v>0.76</v>
      </c>
      <c r="AT47" s="6">
        <v>0</v>
      </c>
      <c r="AU47" s="6">
        <v>0</v>
      </c>
      <c r="AV47" s="6">
        <v>0</v>
      </c>
    </row>
    <row r="48" spans="5:48" x14ac:dyDescent="0.25">
      <c r="E48" s="2" t="s">
        <v>108</v>
      </c>
      <c r="F48" s="6">
        <v>1.1609616228999999</v>
      </c>
      <c r="G48" s="6">
        <v>70</v>
      </c>
      <c r="H48" s="6">
        <v>100</v>
      </c>
      <c r="I48" s="6">
        <v>50</v>
      </c>
      <c r="J48" s="6">
        <v>50</v>
      </c>
      <c r="M48" s="2" t="s">
        <v>108</v>
      </c>
      <c r="N48" s="6">
        <v>39.4400738991</v>
      </c>
      <c r="O48" s="6">
        <v>17.399999999999999</v>
      </c>
      <c r="P48" s="6">
        <v>0</v>
      </c>
      <c r="Q48" s="6">
        <v>17.399999999999999</v>
      </c>
      <c r="R48" s="6">
        <v>0</v>
      </c>
      <c r="U48" s="2" t="s">
        <v>108</v>
      </c>
      <c r="V48" s="6">
        <v>58.738768561500002</v>
      </c>
      <c r="W48" s="6">
        <v>11.6</v>
      </c>
      <c r="X48" s="6">
        <v>0</v>
      </c>
      <c r="Y48" s="6">
        <v>11.6</v>
      </c>
      <c r="Z48" s="6">
        <v>0</v>
      </c>
      <c r="AC48" s="2" t="s">
        <v>108</v>
      </c>
      <c r="AD48" s="6">
        <v>0</v>
      </c>
      <c r="AE48" s="6">
        <v>0</v>
      </c>
      <c r="AF48" s="6">
        <v>0</v>
      </c>
      <c r="AG48" s="6">
        <v>20</v>
      </c>
      <c r="AH48" s="6">
        <v>50</v>
      </c>
      <c r="AJ48" s="2" t="s">
        <v>108</v>
      </c>
      <c r="AK48" s="6">
        <v>0.6601959167</v>
      </c>
      <c r="AL48" s="6">
        <v>1</v>
      </c>
      <c r="AM48" s="6">
        <v>0</v>
      </c>
      <c r="AN48" s="6">
        <v>1</v>
      </c>
      <c r="AO48" s="6">
        <v>0</v>
      </c>
      <c r="AQ48" s="2" t="s">
        <v>108</v>
      </c>
      <c r="AR48" s="6">
        <v>0</v>
      </c>
      <c r="AS48" s="6">
        <v>0</v>
      </c>
      <c r="AT48" s="6">
        <v>0</v>
      </c>
      <c r="AU48" s="6">
        <v>0</v>
      </c>
      <c r="AV48" s="6">
        <v>0</v>
      </c>
    </row>
    <row r="49" spans="2:48" x14ac:dyDescent="0.25">
      <c r="E49" s="2" t="s">
        <v>109</v>
      </c>
      <c r="F49" s="6">
        <v>1.5602974699999999E-2</v>
      </c>
      <c r="G49" s="6">
        <v>53.6666667</v>
      </c>
      <c r="H49" s="6">
        <v>90</v>
      </c>
      <c r="I49" s="6">
        <v>29.6666667</v>
      </c>
      <c r="J49" s="6">
        <v>72</v>
      </c>
      <c r="M49" s="2" t="s">
        <v>109</v>
      </c>
      <c r="N49" s="6">
        <v>27.866411294300001</v>
      </c>
      <c r="O49" s="6">
        <v>37.333333330000002</v>
      </c>
      <c r="P49" s="6">
        <v>1</v>
      </c>
      <c r="Q49" s="6">
        <v>54.333333330000002</v>
      </c>
      <c r="R49" s="6">
        <v>5</v>
      </c>
      <c r="U49" s="2" t="s">
        <v>109</v>
      </c>
      <c r="V49" s="6">
        <v>71.122362739099998</v>
      </c>
      <c r="W49" s="6">
        <v>0</v>
      </c>
      <c r="X49" s="6">
        <v>0</v>
      </c>
      <c r="Y49" s="6">
        <v>0</v>
      </c>
      <c r="Z49" s="6">
        <v>0</v>
      </c>
      <c r="AC49" s="2" t="s">
        <v>109</v>
      </c>
      <c r="AD49" s="6">
        <v>0</v>
      </c>
      <c r="AE49" s="6">
        <v>8</v>
      </c>
      <c r="AF49" s="6">
        <v>9</v>
      </c>
      <c r="AG49" s="6">
        <v>14</v>
      </c>
      <c r="AH49" s="6">
        <v>20</v>
      </c>
      <c r="AJ49" s="2" t="s">
        <v>109</v>
      </c>
      <c r="AK49" s="6">
        <v>2.11768585E-2</v>
      </c>
      <c r="AL49" s="6">
        <v>1</v>
      </c>
      <c r="AM49" s="6">
        <v>0</v>
      </c>
      <c r="AN49" s="6">
        <v>2</v>
      </c>
      <c r="AO49" s="6">
        <v>3</v>
      </c>
      <c r="AQ49" s="2" t="s">
        <v>109</v>
      </c>
      <c r="AR49" s="6">
        <v>0.9744461338</v>
      </c>
      <c r="AS49" s="6">
        <v>0</v>
      </c>
      <c r="AT49" s="6">
        <v>0</v>
      </c>
      <c r="AU49" s="6">
        <v>0</v>
      </c>
      <c r="AV49" s="6">
        <v>0</v>
      </c>
    </row>
    <row r="50" spans="2:48" ht="15.75" thickBot="1" x14ac:dyDescent="0.3">
      <c r="E50" s="2" t="s">
        <v>110</v>
      </c>
      <c r="F50" s="6">
        <v>3.4367204E-3</v>
      </c>
      <c r="G50" s="6">
        <v>49.666666669999998</v>
      </c>
      <c r="H50" s="6">
        <v>91</v>
      </c>
      <c r="I50" s="6">
        <v>24.666666670000001</v>
      </c>
      <c r="J50" s="6">
        <v>74</v>
      </c>
      <c r="M50" s="2" t="s">
        <v>110</v>
      </c>
      <c r="N50" s="6">
        <v>30.340590631600001</v>
      </c>
      <c r="O50" s="6">
        <v>44.833333330000002</v>
      </c>
      <c r="P50" s="6">
        <v>1</v>
      </c>
      <c r="Q50" s="6">
        <v>62.333333330000002</v>
      </c>
      <c r="R50" s="6">
        <v>5</v>
      </c>
      <c r="U50" s="2" t="s">
        <v>110</v>
      </c>
      <c r="V50" s="6">
        <v>69.655972648100004</v>
      </c>
      <c r="W50" s="6">
        <v>0</v>
      </c>
      <c r="X50" s="6">
        <v>0</v>
      </c>
      <c r="Y50" s="6">
        <v>0</v>
      </c>
      <c r="Z50" s="6">
        <v>0</v>
      </c>
      <c r="AC50" s="2" t="s">
        <v>110</v>
      </c>
      <c r="AD50" s="6">
        <v>0</v>
      </c>
      <c r="AE50" s="6">
        <v>3</v>
      </c>
      <c r="AF50" s="6">
        <v>6</v>
      </c>
      <c r="AG50" s="6">
        <v>9</v>
      </c>
      <c r="AH50" s="6">
        <v>16</v>
      </c>
      <c r="AJ50" s="2" t="s">
        <v>110</v>
      </c>
      <c r="AK50" s="6">
        <v>0</v>
      </c>
      <c r="AL50" s="6">
        <v>2.5</v>
      </c>
      <c r="AM50" s="6">
        <v>2</v>
      </c>
      <c r="AN50" s="6">
        <v>4</v>
      </c>
      <c r="AO50" s="6">
        <v>5</v>
      </c>
      <c r="AQ50" s="2" t="s">
        <v>110</v>
      </c>
      <c r="AR50" s="6">
        <v>0</v>
      </c>
      <c r="AS50" s="6">
        <v>0</v>
      </c>
      <c r="AT50" s="6">
        <v>0</v>
      </c>
      <c r="AU50" s="6">
        <v>0</v>
      </c>
      <c r="AV50" s="6">
        <v>0</v>
      </c>
    </row>
    <row r="51" spans="2:48" ht="16.5" thickTop="1" thickBot="1" x14ac:dyDescent="0.3">
      <c r="E51" s="2" t="s">
        <v>104</v>
      </c>
      <c r="F51" s="5">
        <v>100</v>
      </c>
      <c r="G51" s="5">
        <v>100</v>
      </c>
      <c r="H51" s="5">
        <v>100</v>
      </c>
      <c r="I51" s="5">
        <v>100</v>
      </c>
      <c r="J51" s="5">
        <v>100</v>
      </c>
      <c r="M51" s="2" t="s">
        <v>104</v>
      </c>
      <c r="N51" s="5">
        <v>0</v>
      </c>
      <c r="O51" s="5">
        <v>0</v>
      </c>
      <c r="P51" s="5">
        <v>0</v>
      </c>
      <c r="Q51" s="5">
        <v>0</v>
      </c>
      <c r="R51" s="5">
        <v>0</v>
      </c>
      <c r="U51" s="2" t="s">
        <v>104</v>
      </c>
      <c r="V51" s="5">
        <v>0</v>
      </c>
      <c r="W51" s="5">
        <v>0</v>
      </c>
      <c r="X51" s="5">
        <v>0</v>
      </c>
      <c r="Y51" s="5">
        <v>0</v>
      </c>
      <c r="Z51" s="5">
        <v>0</v>
      </c>
      <c r="AC51" s="2" t="s">
        <v>104</v>
      </c>
      <c r="AD51" s="5">
        <v>0</v>
      </c>
      <c r="AE51" s="5">
        <v>0</v>
      </c>
      <c r="AF51" s="5">
        <v>0</v>
      </c>
      <c r="AG51" s="5">
        <v>0</v>
      </c>
      <c r="AH51" s="5">
        <v>0</v>
      </c>
      <c r="AJ51" s="2" t="s">
        <v>104</v>
      </c>
      <c r="AK51" s="5">
        <v>0</v>
      </c>
      <c r="AL51" s="5">
        <v>0</v>
      </c>
      <c r="AM51" s="5">
        <v>0</v>
      </c>
      <c r="AN51" s="5">
        <v>0</v>
      </c>
      <c r="AO51" s="5">
        <v>0</v>
      </c>
      <c r="AQ51" s="2" t="s">
        <v>104</v>
      </c>
      <c r="AR51" s="5">
        <v>0</v>
      </c>
      <c r="AS51" s="5">
        <v>0</v>
      </c>
      <c r="AT51" s="5">
        <v>0</v>
      </c>
      <c r="AU51" s="5">
        <v>0</v>
      </c>
      <c r="AV51" s="5">
        <v>0</v>
      </c>
    </row>
    <row r="52" spans="2:48" ht="16.5" thickTop="1" thickBot="1" x14ac:dyDescent="0.3">
      <c r="E52" s="2" t="s">
        <v>155</v>
      </c>
      <c r="F52" s="5">
        <f>F29</f>
        <v>0.179688082</v>
      </c>
      <c r="G52" s="5">
        <f t="shared" ref="G52:J52" si="0">G29</f>
        <v>78.8</v>
      </c>
      <c r="H52" s="5">
        <f t="shared" si="0"/>
        <v>85</v>
      </c>
      <c r="I52" s="5">
        <f t="shared" si="0"/>
        <v>70</v>
      </c>
      <c r="J52" s="5">
        <f t="shared" si="0"/>
        <v>70</v>
      </c>
      <c r="M52" s="2" t="s">
        <v>155</v>
      </c>
      <c r="N52" s="5">
        <f>N29</f>
        <v>39.544252448400002</v>
      </c>
      <c r="O52" s="5">
        <f t="shared" ref="O52:R52" si="1">O29</f>
        <v>8</v>
      </c>
      <c r="P52" s="5">
        <f t="shared" si="1"/>
        <v>0</v>
      </c>
      <c r="Q52" s="5">
        <f t="shared" si="1"/>
        <v>0</v>
      </c>
      <c r="R52" s="5">
        <f t="shared" si="1"/>
        <v>0</v>
      </c>
      <c r="U52" s="2" t="s">
        <v>155</v>
      </c>
      <c r="V52" s="5">
        <f>V29</f>
        <v>59.106694715300002</v>
      </c>
      <c r="W52" s="5">
        <f t="shared" ref="W52:Z52" si="2">W29</f>
        <v>1.9</v>
      </c>
      <c r="X52" s="5">
        <f t="shared" si="2"/>
        <v>0</v>
      </c>
      <c r="Y52" s="5">
        <f t="shared" si="2"/>
        <v>0</v>
      </c>
      <c r="Z52" s="5">
        <f t="shared" si="2"/>
        <v>0</v>
      </c>
      <c r="AC52" s="2" t="s">
        <v>155</v>
      </c>
      <c r="AD52" s="5">
        <f>AD29</f>
        <v>0</v>
      </c>
      <c r="AE52" s="5">
        <f t="shared" ref="AE52:AH52" si="3">AE29</f>
        <v>11.2</v>
      </c>
      <c r="AF52" s="5">
        <f t="shared" si="3"/>
        <v>15</v>
      </c>
      <c r="AG52" s="5">
        <f t="shared" si="3"/>
        <v>28</v>
      </c>
      <c r="AH52" s="5">
        <f t="shared" si="3"/>
        <v>28</v>
      </c>
      <c r="AJ52" s="2" t="s">
        <v>155</v>
      </c>
      <c r="AK52" s="5">
        <f>AK29</f>
        <v>0.32410950370000002</v>
      </c>
      <c r="AL52" s="5">
        <f t="shared" ref="AL52:AO52" si="4">AL29</f>
        <v>0.1</v>
      </c>
      <c r="AM52" s="5">
        <f t="shared" si="4"/>
        <v>0</v>
      </c>
      <c r="AN52" s="5">
        <f t="shared" si="4"/>
        <v>2</v>
      </c>
      <c r="AO52" s="5">
        <f t="shared" si="4"/>
        <v>2</v>
      </c>
      <c r="AQ52" s="2" t="s">
        <v>155</v>
      </c>
      <c r="AR52" s="5">
        <f>AR29</f>
        <v>0.84525525079999997</v>
      </c>
      <c r="AS52" s="5">
        <f t="shared" ref="AS52:AV52" si="5">AS29</f>
        <v>0</v>
      </c>
      <c r="AT52" s="5">
        <f t="shared" si="5"/>
        <v>0</v>
      </c>
      <c r="AU52" s="5">
        <f t="shared" si="5"/>
        <v>0</v>
      </c>
      <c r="AV52" s="5">
        <f t="shared" si="5"/>
        <v>0</v>
      </c>
    </row>
    <row r="53" spans="2:48" ht="16.5" thickTop="1" thickBot="1" x14ac:dyDescent="0.3">
      <c r="E53" s="2" t="s">
        <v>156</v>
      </c>
      <c r="F53" s="5">
        <f>F29</f>
        <v>0.179688082</v>
      </c>
      <c r="G53" s="5">
        <f t="shared" ref="G53:J53" si="6">G29</f>
        <v>78.8</v>
      </c>
      <c r="H53" s="5">
        <f t="shared" si="6"/>
        <v>85</v>
      </c>
      <c r="I53" s="5">
        <f t="shared" si="6"/>
        <v>70</v>
      </c>
      <c r="J53" s="5">
        <f t="shared" si="6"/>
        <v>70</v>
      </c>
      <c r="M53" s="2" t="s">
        <v>156</v>
      </c>
      <c r="N53" s="5">
        <f>N29</f>
        <v>39.544252448400002</v>
      </c>
      <c r="O53" s="5">
        <f t="shared" ref="O53:R53" si="7">O29</f>
        <v>8</v>
      </c>
      <c r="P53" s="5">
        <f t="shared" si="7"/>
        <v>0</v>
      </c>
      <c r="Q53" s="5">
        <f t="shared" si="7"/>
        <v>0</v>
      </c>
      <c r="R53" s="5">
        <f t="shared" si="7"/>
        <v>0</v>
      </c>
      <c r="U53" s="2" t="s">
        <v>156</v>
      </c>
      <c r="V53" s="5">
        <f>V29</f>
        <v>59.106694715300002</v>
      </c>
      <c r="W53" s="5">
        <f t="shared" ref="W53:Z53" si="8">W29</f>
        <v>1.9</v>
      </c>
      <c r="X53" s="5">
        <f t="shared" si="8"/>
        <v>0</v>
      </c>
      <c r="Y53" s="5">
        <f t="shared" si="8"/>
        <v>0</v>
      </c>
      <c r="Z53" s="5">
        <f t="shared" si="8"/>
        <v>0</v>
      </c>
      <c r="AC53" s="2" t="s">
        <v>156</v>
      </c>
      <c r="AD53" s="5">
        <f>AD29</f>
        <v>0</v>
      </c>
      <c r="AE53" s="5">
        <f t="shared" ref="AE53:AH53" si="9">AE29</f>
        <v>11.2</v>
      </c>
      <c r="AF53" s="5">
        <f t="shared" si="9"/>
        <v>15</v>
      </c>
      <c r="AG53" s="5">
        <f t="shared" si="9"/>
        <v>28</v>
      </c>
      <c r="AH53" s="5">
        <f t="shared" si="9"/>
        <v>28</v>
      </c>
      <c r="AJ53" s="2" t="s">
        <v>156</v>
      </c>
      <c r="AK53" s="5">
        <f>AK29</f>
        <v>0.32410950370000002</v>
      </c>
      <c r="AL53" s="5">
        <f t="shared" ref="AL53:AO53" si="10">AL29</f>
        <v>0.1</v>
      </c>
      <c r="AM53" s="5">
        <f t="shared" si="10"/>
        <v>0</v>
      </c>
      <c r="AN53" s="5">
        <f t="shared" si="10"/>
        <v>2</v>
      </c>
      <c r="AO53" s="5">
        <f t="shared" si="10"/>
        <v>2</v>
      </c>
      <c r="AQ53" s="2" t="s">
        <v>156</v>
      </c>
      <c r="AR53" s="5">
        <f>AR29</f>
        <v>0.84525525079999997</v>
      </c>
      <c r="AS53" s="5">
        <f t="shared" ref="AS53:AV53" si="11">AS29</f>
        <v>0</v>
      </c>
      <c r="AT53" s="5">
        <f t="shared" si="11"/>
        <v>0</v>
      </c>
      <c r="AU53" s="5">
        <f t="shared" si="11"/>
        <v>0</v>
      </c>
      <c r="AV53" s="5">
        <f t="shared" si="11"/>
        <v>0</v>
      </c>
    </row>
    <row r="54" spans="2:48" ht="15.75" thickTop="1" x14ac:dyDescent="0.25"/>
    <row r="56" spans="2:48" x14ac:dyDescent="0.25">
      <c r="F56" s="2" t="s">
        <v>136</v>
      </c>
      <c r="G56" s="2" t="s">
        <v>86</v>
      </c>
      <c r="H56" s="2" t="s">
        <v>86</v>
      </c>
      <c r="I56" s="2" t="s">
        <v>137</v>
      </c>
      <c r="J56" s="2" t="s">
        <v>137</v>
      </c>
      <c r="N56" s="2" t="s">
        <v>136</v>
      </c>
      <c r="O56" s="2" t="s">
        <v>86</v>
      </c>
      <c r="P56" s="2" t="s">
        <v>86</v>
      </c>
      <c r="Q56" s="2" t="s">
        <v>137</v>
      </c>
      <c r="R56" s="2" t="s">
        <v>137</v>
      </c>
      <c r="V56" s="2" t="s">
        <v>136</v>
      </c>
      <c r="W56" s="2" t="s">
        <v>86</v>
      </c>
      <c r="X56" s="2" t="s">
        <v>86</v>
      </c>
      <c r="Y56" s="2" t="s">
        <v>137</v>
      </c>
      <c r="Z56" s="2" t="s">
        <v>137</v>
      </c>
      <c r="AD56" s="2" t="s">
        <v>136</v>
      </c>
      <c r="AE56" s="2" t="s">
        <v>86</v>
      </c>
      <c r="AF56" s="2" t="s">
        <v>86</v>
      </c>
      <c r="AG56" s="2" t="s">
        <v>137</v>
      </c>
      <c r="AH56" s="2" t="s">
        <v>137</v>
      </c>
      <c r="AK56" s="2" t="s">
        <v>136</v>
      </c>
      <c r="AL56" s="2" t="s">
        <v>86</v>
      </c>
      <c r="AM56" s="2" t="s">
        <v>86</v>
      </c>
      <c r="AN56" s="2" t="s">
        <v>137</v>
      </c>
      <c r="AO56" s="2" t="s">
        <v>137</v>
      </c>
      <c r="AR56" s="2" t="s">
        <v>136</v>
      </c>
      <c r="AS56" s="2" t="s">
        <v>86</v>
      </c>
      <c r="AT56" s="2" t="s">
        <v>86</v>
      </c>
      <c r="AU56" s="2" t="s">
        <v>137</v>
      </c>
      <c r="AV56" s="2" t="s">
        <v>137</v>
      </c>
    </row>
    <row r="57" spans="2:48" ht="30" x14ac:dyDescent="0.25">
      <c r="E57" s="2" t="s">
        <v>143</v>
      </c>
      <c r="F57" s="2">
        <v>2019</v>
      </c>
      <c r="G57" s="2">
        <v>2040</v>
      </c>
      <c r="H57" s="2">
        <v>2050</v>
      </c>
      <c r="I57" s="2">
        <v>2040</v>
      </c>
      <c r="J57" s="2">
        <v>2050</v>
      </c>
      <c r="M57" s="2" t="s">
        <v>144</v>
      </c>
      <c r="N57" s="2">
        <v>2019</v>
      </c>
      <c r="O57" s="2">
        <v>2040</v>
      </c>
      <c r="P57" s="2">
        <v>2050</v>
      </c>
      <c r="Q57" s="2">
        <v>2040</v>
      </c>
      <c r="R57" s="2">
        <v>2050</v>
      </c>
      <c r="U57" s="2" t="s">
        <v>145</v>
      </c>
      <c r="V57" s="2">
        <v>2019</v>
      </c>
      <c r="W57" s="2">
        <v>2040</v>
      </c>
      <c r="X57" s="2">
        <v>2050</v>
      </c>
      <c r="Y57" s="2">
        <v>2040</v>
      </c>
      <c r="Z57" s="2">
        <v>2050</v>
      </c>
      <c r="AC57" s="2" t="s">
        <v>146</v>
      </c>
      <c r="AD57" s="2">
        <v>2019</v>
      </c>
      <c r="AE57" s="2">
        <v>2040</v>
      </c>
      <c r="AF57" s="2">
        <v>2050</v>
      </c>
      <c r="AG57" s="2">
        <v>2040</v>
      </c>
      <c r="AH57" s="2">
        <v>2050</v>
      </c>
      <c r="AJ57" s="2" t="s">
        <v>180</v>
      </c>
      <c r="AK57" s="2">
        <v>2019</v>
      </c>
      <c r="AL57" s="2">
        <v>2040</v>
      </c>
      <c r="AM57" s="2">
        <v>2050</v>
      </c>
      <c r="AN57" s="2">
        <v>2040</v>
      </c>
      <c r="AO57" s="2">
        <v>2050</v>
      </c>
      <c r="AQ57" s="2" t="s">
        <v>184</v>
      </c>
      <c r="AR57" s="2">
        <v>2019</v>
      </c>
      <c r="AS57" s="2">
        <v>2040</v>
      </c>
      <c r="AT57" s="2">
        <v>2050</v>
      </c>
      <c r="AU57" s="2">
        <v>2040</v>
      </c>
      <c r="AV57" s="2">
        <v>2050</v>
      </c>
    </row>
    <row r="58" spans="2:48" x14ac:dyDescent="0.25">
      <c r="B58" s="3" cm="1">
        <f t="array" ref="B58:B87">INDEX(Cars_split_GA_2050_Electricity,MATCH(Country_abbreviations,Fleet_split_country_abbreviations))/100</f>
        <v>0.8</v>
      </c>
      <c r="E58" s="2" t="s">
        <v>81</v>
      </c>
      <c r="F58" s="6">
        <v>0.20204307760000001</v>
      </c>
      <c r="G58" s="6">
        <v>95</v>
      </c>
      <c r="H58" s="6">
        <v>95</v>
      </c>
      <c r="I58" s="6">
        <v>80</v>
      </c>
      <c r="J58" s="6">
        <v>80</v>
      </c>
      <c r="M58" s="2" t="s">
        <v>81</v>
      </c>
      <c r="N58" s="6">
        <v>5.3121975000000002E-2</v>
      </c>
      <c r="O58" s="6">
        <v>0</v>
      </c>
      <c r="P58" s="6">
        <v>0</v>
      </c>
      <c r="Q58" s="6">
        <v>0</v>
      </c>
      <c r="R58" s="6">
        <v>0</v>
      </c>
      <c r="U58" s="2" t="s">
        <v>81</v>
      </c>
      <c r="V58" s="6">
        <v>91.966324565400001</v>
      </c>
      <c r="W58" s="6">
        <v>0</v>
      </c>
      <c r="X58" s="6">
        <v>0</v>
      </c>
      <c r="Y58" s="6">
        <v>0</v>
      </c>
      <c r="Z58" s="6">
        <v>0</v>
      </c>
      <c r="AC58" s="2" t="s">
        <v>81</v>
      </c>
      <c r="AD58" s="6">
        <v>0</v>
      </c>
      <c r="AE58" s="6">
        <v>5</v>
      </c>
      <c r="AF58" s="6">
        <v>5</v>
      </c>
      <c r="AG58" s="6">
        <v>20</v>
      </c>
      <c r="AH58" s="6">
        <v>20</v>
      </c>
      <c r="AJ58" s="2" t="s">
        <v>81</v>
      </c>
      <c r="AK58" s="6">
        <v>7.7785103822000004</v>
      </c>
      <c r="AL58" s="6">
        <v>0</v>
      </c>
      <c r="AM58" s="6">
        <v>0</v>
      </c>
      <c r="AN58" s="6">
        <v>0</v>
      </c>
      <c r="AO58" s="6">
        <v>0</v>
      </c>
      <c r="AQ58" s="2" t="s">
        <v>81</v>
      </c>
      <c r="AR58" s="6">
        <v>0</v>
      </c>
      <c r="AS58" s="6">
        <v>0</v>
      </c>
      <c r="AT58" s="6">
        <v>0</v>
      </c>
      <c r="AU58" s="6">
        <v>0</v>
      </c>
      <c r="AV58" s="6">
        <v>0</v>
      </c>
    </row>
    <row r="59" spans="2:48" x14ac:dyDescent="0.25">
      <c r="B59" s="3">
        <v>0.85</v>
      </c>
      <c r="E59" s="2" t="s">
        <v>82</v>
      </c>
      <c r="F59" s="6">
        <v>0.97224624449999997</v>
      </c>
      <c r="G59" s="6">
        <v>50.5</v>
      </c>
      <c r="H59" s="6">
        <v>95</v>
      </c>
      <c r="I59" s="6">
        <v>35.5</v>
      </c>
      <c r="J59" s="6">
        <v>70</v>
      </c>
      <c r="M59" s="2" t="s">
        <v>82</v>
      </c>
      <c r="N59" s="6">
        <v>0.29958306019999997</v>
      </c>
      <c r="O59" s="6">
        <v>0.2</v>
      </c>
      <c r="P59" s="6">
        <v>0</v>
      </c>
      <c r="Q59" s="6">
        <v>0.2</v>
      </c>
      <c r="R59" s="6">
        <v>0</v>
      </c>
      <c r="U59" s="2" t="s">
        <v>82</v>
      </c>
      <c r="V59" s="6">
        <v>93.5919382867</v>
      </c>
      <c r="W59" s="6">
        <v>46.8</v>
      </c>
      <c r="X59" s="6">
        <v>0</v>
      </c>
      <c r="Y59" s="6">
        <v>46.8</v>
      </c>
      <c r="Z59" s="6">
        <v>0</v>
      </c>
      <c r="AC59" s="2" t="s">
        <v>82</v>
      </c>
      <c r="AD59" s="6">
        <v>0</v>
      </c>
      <c r="AE59" s="6">
        <v>2.5</v>
      </c>
      <c r="AF59" s="6">
        <v>5</v>
      </c>
      <c r="AG59" s="6">
        <v>12.5</v>
      </c>
      <c r="AH59" s="6">
        <v>25</v>
      </c>
      <c r="AJ59" s="2" t="s">
        <v>82</v>
      </c>
      <c r="AK59" s="6">
        <v>5.1362324086999998</v>
      </c>
      <c r="AL59" s="6">
        <v>0</v>
      </c>
      <c r="AM59" s="6">
        <v>0</v>
      </c>
      <c r="AN59" s="6">
        <v>5</v>
      </c>
      <c r="AO59" s="6">
        <v>5</v>
      </c>
      <c r="AQ59" s="2" t="s">
        <v>82</v>
      </c>
      <c r="AR59" s="6">
        <v>0</v>
      </c>
      <c r="AS59" s="6">
        <v>0</v>
      </c>
      <c r="AT59" s="6">
        <v>0</v>
      </c>
      <c r="AU59" s="6">
        <v>0</v>
      </c>
      <c r="AV59" s="6">
        <v>0</v>
      </c>
    </row>
    <row r="60" spans="2:48" x14ac:dyDescent="0.25">
      <c r="B60" s="3">
        <v>0.69</v>
      </c>
      <c r="E60" s="2" t="s">
        <v>83</v>
      </c>
      <c r="F60" s="6">
        <v>3.0240860496000002</v>
      </c>
      <c r="G60" s="6">
        <v>28.25</v>
      </c>
      <c r="H60" s="6">
        <v>50.5</v>
      </c>
      <c r="I60" s="6">
        <v>21.3</v>
      </c>
      <c r="J60" s="6">
        <v>40</v>
      </c>
      <c r="M60" s="2" t="s">
        <v>83</v>
      </c>
      <c r="N60" s="6">
        <v>2.5827675899999999E-2</v>
      </c>
      <c r="O60" s="6">
        <v>0</v>
      </c>
      <c r="P60" s="6">
        <v>0</v>
      </c>
      <c r="Q60" s="6">
        <v>0</v>
      </c>
      <c r="R60" s="6">
        <v>0</v>
      </c>
      <c r="U60" s="2" t="s">
        <v>83</v>
      </c>
      <c r="V60" s="6">
        <v>79.552592462299998</v>
      </c>
      <c r="W60" s="6">
        <v>48.75</v>
      </c>
      <c r="X60" s="6">
        <v>16.5</v>
      </c>
      <c r="Y60" s="6">
        <v>45.2</v>
      </c>
      <c r="Z60" s="6">
        <v>14</v>
      </c>
      <c r="AC60" s="2" t="s">
        <v>83</v>
      </c>
      <c r="AD60" s="6">
        <v>0</v>
      </c>
      <c r="AE60" s="6">
        <v>20</v>
      </c>
      <c r="AF60" s="6">
        <v>28</v>
      </c>
      <c r="AG60" s="6">
        <v>28.5</v>
      </c>
      <c r="AH60" s="6">
        <v>40</v>
      </c>
      <c r="AJ60" s="2" t="s">
        <v>83</v>
      </c>
      <c r="AK60" s="6">
        <v>17.3974938124</v>
      </c>
      <c r="AL60" s="6">
        <v>3</v>
      </c>
      <c r="AM60" s="6">
        <v>5</v>
      </c>
      <c r="AN60" s="6">
        <v>5</v>
      </c>
      <c r="AO60" s="6">
        <v>6</v>
      </c>
      <c r="AQ60" s="2" t="s">
        <v>83</v>
      </c>
      <c r="AR60" s="6">
        <v>0</v>
      </c>
      <c r="AS60" s="6">
        <v>0</v>
      </c>
      <c r="AT60" s="6">
        <v>0</v>
      </c>
      <c r="AU60" s="6">
        <v>0</v>
      </c>
      <c r="AV60" s="6">
        <v>0</v>
      </c>
    </row>
    <row r="61" spans="2:48" x14ac:dyDescent="0.25">
      <c r="B61" s="3">
        <v>0.90500000000000003</v>
      </c>
      <c r="E61" s="2" t="s">
        <v>84</v>
      </c>
      <c r="F61" s="6">
        <v>0</v>
      </c>
      <c r="G61" s="6">
        <v>27.95</v>
      </c>
      <c r="H61" s="6">
        <v>50.7</v>
      </c>
      <c r="I61" s="6">
        <v>21.3</v>
      </c>
      <c r="J61" s="6">
        <v>40</v>
      </c>
      <c r="M61" s="2" t="s">
        <v>84</v>
      </c>
      <c r="N61" s="6">
        <v>0.36172612739999999</v>
      </c>
      <c r="O61" s="6">
        <v>11.012962999999999</v>
      </c>
      <c r="P61" s="6">
        <v>0</v>
      </c>
      <c r="Q61" s="6">
        <v>0</v>
      </c>
      <c r="R61" s="6">
        <v>0</v>
      </c>
      <c r="U61" s="2" t="s">
        <v>84</v>
      </c>
      <c r="V61" s="6">
        <v>99.638273872699997</v>
      </c>
      <c r="W61" s="6">
        <v>38.037036999999998</v>
      </c>
      <c r="X61" s="6">
        <v>16</v>
      </c>
      <c r="Y61" s="6">
        <v>45.2</v>
      </c>
      <c r="Z61" s="6">
        <v>14</v>
      </c>
      <c r="AC61" s="2" t="s">
        <v>84</v>
      </c>
      <c r="AD61" s="6">
        <v>0</v>
      </c>
      <c r="AE61" s="6">
        <v>20</v>
      </c>
      <c r="AF61" s="6">
        <v>28.3</v>
      </c>
      <c r="AG61" s="6">
        <v>28.5</v>
      </c>
      <c r="AH61" s="6">
        <v>40</v>
      </c>
      <c r="AJ61" s="2" t="s">
        <v>84</v>
      </c>
      <c r="AK61" s="6">
        <v>0</v>
      </c>
      <c r="AL61" s="6">
        <v>3</v>
      </c>
      <c r="AM61" s="6">
        <v>5</v>
      </c>
      <c r="AN61" s="6">
        <v>5</v>
      </c>
      <c r="AO61" s="6">
        <v>6</v>
      </c>
      <c r="AQ61" s="2" t="s">
        <v>84</v>
      </c>
      <c r="AR61" s="6">
        <v>0</v>
      </c>
      <c r="AS61" s="6">
        <v>0</v>
      </c>
      <c r="AT61" s="6">
        <v>0</v>
      </c>
      <c r="AU61" s="6">
        <v>0</v>
      </c>
      <c r="AV61" s="6">
        <v>0</v>
      </c>
    </row>
    <row r="62" spans="2:48" x14ac:dyDescent="0.25">
      <c r="B62" s="3">
        <v>0.69</v>
      </c>
      <c r="E62" s="2" t="s">
        <v>85</v>
      </c>
      <c r="F62" s="6">
        <v>2.5807955112999998</v>
      </c>
      <c r="G62" s="6">
        <v>35.75</v>
      </c>
      <c r="H62" s="6">
        <v>33.944444400000002</v>
      </c>
      <c r="I62" s="6">
        <v>21.3</v>
      </c>
      <c r="J62" s="6">
        <v>40</v>
      </c>
      <c r="M62" s="2" t="s">
        <v>85</v>
      </c>
      <c r="N62" s="6">
        <v>1.0339093458999999</v>
      </c>
      <c r="O62" s="6">
        <v>0</v>
      </c>
      <c r="P62" s="6">
        <v>0</v>
      </c>
      <c r="Q62" s="6">
        <v>0</v>
      </c>
      <c r="R62" s="6">
        <v>0</v>
      </c>
      <c r="U62" s="2" t="s">
        <v>85</v>
      </c>
      <c r="V62" s="6">
        <v>74.881424374000005</v>
      </c>
      <c r="W62" s="6">
        <v>56.25</v>
      </c>
      <c r="X62" s="6">
        <v>24.5</v>
      </c>
      <c r="Y62" s="6">
        <v>53.2</v>
      </c>
      <c r="Z62" s="6">
        <v>22</v>
      </c>
      <c r="AC62" s="2" t="s">
        <v>85</v>
      </c>
      <c r="AD62" s="6">
        <v>0</v>
      </c>
      <c r="AE62" s="6">
        <v>0</v>
      </c>
      <c r="AF62" s="6">
        <v>30.555555600000002</v>
      </c>
      <c r="AG62" s="6">
        <v>12.5</v>
      </c>
      <c r="AH62" s="6">
        <v>23</v>
      </c>
      <c r="AJ62" s="2" t="s">
        <v>85</v>
      </c>
      <c r="AK62" s="6">
        <v>21.503870768999999</v>
      </c>
      <c r="AL62" s="6">
        <v>8</v>
      </c>
      <c r="AM62" s="6">
        <v>11</v>
      </c>
      <c r="AN62" s="6">
        <v>13</v>
      </c>
      <c r="AO62" s="6">
        <v>15</v>
      </c>
      <c r="AQ62" s="2" t="s">
        <v>85</v>
      </c>
      <c r="AR62" s="6">
        <v>0</v>
      </c>
      <c r="AS62" s="6">
        <v>0</v>
      </c>
      <c r="AT62" s="6">
        <v>0</v>
      </c>
      <c r="AU62" s="6">
        <v>0</v>
      </c>
      <c r="AV62" s="6">
        <v>0</v>
      </c>
    </row>
    <row r="63" spans="2:48" x14ac:dyDescent="0.25">
      <c r="B63" s="3">
        <v>0.7</v>
      </c>
      <c r="E63" s="2" t="s">
        <v>86</v>
      </c>
      <c r="F63" s="6">
        <v>0.39383463400000002</v>
      </c>
      <c r="G63" s="6">
        <v>60</v>
      </c>
      <c r="H63" s="6">
        <v>70</v>
      </c>
      <c r="I63" s="6">
        <v>35</v>
      </c>
      <c r="J63" s="6">
        <v>35</v>
      </c>
      <c r="M63" s="2" t="s">
        <v>86</v>
      </c>
      <c r="N63" s="6">
        <v>5.28670844E-2</v>
      </c>
      <c r="O63" s="6">
        <v>0</v>
      </c>
      <c r="P63" s="6">
        <v>0</v>
      </c>
      <c r="Q63" s="6">
        <v>0</v>
      </c>
      <c r="R63" s="6">
        <v>0</v>
      </c>
      <c r="U63" s="2" t="s">
        <v>86</v>
      </c>
      <c r="V63" s="6">
        <v>96.840770186</v>
      </c>
      <c r="W63" s="6">
        <v>15</v>
      </c>
      <c r="X63" s="6">
        <v>0</v>
      </c>
      <c r="Y63" s="6">
        <v>30</v>
      </c>
      <c r="Z63" s="6">
        <v>30</v>
      </c>
      <c r="AC63" s="2" t="s">
        <v>86</v>
      </c>
      <c r="AD63" s="6">
        <v>0</v>
      </c>
      <c r="AE63" s="6">
        <v>25</v>
      </c>
      <c r="AF63" s="6">
        <v>30</v>
      </c>
      <c r="AG63" s="6">
        <v>30</v>
      </c>
      <c r="AH63" s="6">
        <v>30</v>
      </c>
      <c r="AJ63" s="2" t="s">
        <v>86</v>
      </c>
      <c r="AK63" s="6">
        <v>2.7125280960000002</v>
      </c>
      <c r="AL63" s="6">
        <v>0</v>
      </c>
      <c r="AM63" s="6">
        <v>0</v>
      </c>
      <c r="AN63" s="6">
        <v>5</v>
      </c>
      <c r="AO63" s="6">
        <v>5</v>
      </c>
      <c r="AQ63" s="2" t="s">
        <v>86</v>
      </c>
      <c r="AR63" s="6">
        <v>0</v>
      </c>
      <c r="AS63" s="6">
        <v>0</v>
      </c>
      <c r="AT63" s="6">
        <v>0</v>
      </c>
      <c r="AU63" s="6">
        <v>0</v>
      </c>
      <c r="AV63" s="6">
        <v>0</v>
      </c>
    </row>
    <row r="64" spans="2:48" x14ac:dyDescent="0.25">
      <c r="B64" s="3">
        <v>0.8</v>
      </c>
      <c r="E64" s="2" t="s">
        <v>87</v>
      </c>
      <c r="F64" s="6">
        <v>0.17844490690000001</v>
      </c>
      <c r="G64" s="6">
        <v>60</v>
      </c>
      <c r="H64" s="6">
        <v>80</v>
      </c>
      <c r="I64" s="6">
        <v>21.3</v>
      </c>
      <c r="J64" s="6">
        <v>50</v>
      </c>
      <c r="M64" s="2" t="s">
        <v>87</v>
      </c>
      <c r="N64" s="6">
        <v>7.6471178799999998E-2</v>
      </c>
      <c r="O64" s="6">
        <v>0</v>
      </c>
      <c r="P64" s="6">
        <v>0</v>
      </c>
      <c r="Q64" s="6">
        <v>0</v>
      </c>
      <c r="R64" s="6">
        <v>0</v>
      </c>
      <c r="U64" s="2" t="s">
        <v>87</v>
      </c>
      <c r="V64" s="6">
        <v>96.300210605800004</v>
      </c>
      <c r="W64" s="6">
        <v>10</v>
      </c>
      <c r="X64" s="6">
        <v>0</v>
      </c>
      <c r="Y64" s="6">
        <v>53.2</v>
      </c>
      <c r="Z64" s="6">
        <v>0</v>
      </c>
      <c r="AC64" s="2" t="s">
        <v>87</v>
      </c>
      <c r="AD64" s="6">
        <v>0</v>
      </c>
      <c r="AE64" s="6">
        <v>27</v>
      </c>
      <c r="AF64" s="6">
        <v>20</v>
      </c>
      <c r="AG64" s="6">
        <v>12.5</v>
      </c>
      <c r="AH64" s="6">
        <v>50</v>
      </c>
      <c r="AJ64" s="2" t="s">
        <v>87</v>
      </c>
      <c r="AK64" s="6">
        <v>3.4448733088000001</v>
      </c>
      <c r="AL64" s="6">
        <v>3</v>
      </c>
      <c r="AM64" s="6">
        <v>0</v>
      </c>
      <c r="AN64" s="6">
        <v>13</v>
      </c>
      <c r="AO64" s="6">
        <v>0</v>
      </c>
      <c r="AQ64" s="2" t="s">
        <v>87</v>
      </c>
      <c r="AR64" s="6">
        <v>0</v>
      </c>
      <c r="AS64" s="6">
        <v>0</v>
      </c>
      <c r="AT64" s="6">
        <v>0</v>
      </c>
      <c r="AU64" s="6">
        <v>0</v>
      </c>
      <c r="AV64" s="6">
        <v>0</v>
      </c>
    </row>
    <row r="65" spans="2:48" x14ac:dyDescent="0.25">
      <c r="B65" s="3">
        <v>0.7</v>
      </c>
      <c r="E65" s="2" t="s">
        <v>88</v>
      </c>
      <c r="F65" s="6">
        <v>3.4655096066</v>
      </c>
      <c r="G65" s="6">
        <v>39</v>
      </c>
      <c r="H65" s="6">
        <v>65</v>
      </c>
      <c r="I65" s="6">
        <v>39</v>
      </c>
      <c r="J65" s="6">
        <v>55</v>
      </c>
      <c r="M65" s="2" t="s">
        <v>88</v>
      </c>
      <c r="N65" s="6">
        <v>0.70651659919999998</v>
      </c>
      <c r="O65" s="6">
        <v>0</v>
      </c>
      <c r="P65" s="6">
        <v>0</v>
      </c>
      <c r="Q65" s="6">
        <v>0</v>
      </c>
      <c r="R65" s="6">
        <v>0</v>
      </c>
      <c r="U65" s="2" t="s">
        <v>88</v>
      </c>
      <c r="V65" s="6">
        <v>79.672668682999998</v>
      </c>
      <c r="W65" s="6">
        <v>25</v>
      </c>
      <c r="X65" s="6">
        <v>5</v>
      </c>
      <c r="Y65" s="6">
        <v>25</v>
      </c>
      <c r="Z65" s="6">
        <v>5</v>
      </c>
      <c r="AC65" s="2" t="s">
        <v>88</v>
      </c>
      <c r="AD65" s="6">
        <v>0</v>
      </c>
      <c r="AE65" s="6">
        <v>20</v>
      </c>
      <c r="AF65" s="6">
        <v>25</v>
      </c>
      <c r="AG65" s="6">
        <v>20</v>
      </c>
      <c r="AH65" s="6">
        <v>35</v>
      </c>
      <c r="AJ65" s="2" t="s">
        <v>88</v>
      </c>
      <c r="AK65" s="6">
        <v>16.155305111400001</v>
      </c>
      <c r="AL65" s="6">
        <v>15</v>
      </c>
      <c r="AM65" s="6">
        <v>5</v>
      </c>
      <c r="AN65" s="6">
        <v>15</v>
      </c>
      <c r="AO65" s="6">
        <v>5</v>
      </c>
      <c r="AQ65" s="2" t="s">
        <v>88</v>
      </c>
      <c r="AR65" s="6">
        <v>0</v>
      </c>
      <c r="AS65" s="6">
        <v>1</v>
      </c>
      <c r="AT65" s="6">
        <v>0</v>
      </c>
      <c r="AU65" s="6">
        <v>1</v>
      </c>
      <c r="AV65" s="6">
        <v>0</v>
      </c>
    </row>
    <row r="66" spans="2:48" x14ac:dyDescent="0.25">
      <c r="B66" s="3">
        <v>0.75574074099999999</v>
      </c>
      <c r="E66" s="2" t="s">
        <v>89</v>
      </c>
      <c r="F66" s="6">
        <v>0.68016594949999998</v>
      </c>
      <c r="G66" s="6">
        <v>20</v>
      </c>
      <c r="H66" s="6">
        <v>89</v>
      </c>
      <c r="I66" s="6">
        <v>20</v>
      </c>
      <c r="J66" s="6">
        <v>65</v>
      </c>
      <c r="M66" s="2" t="s">
        <v>89</v>
      </c>
      <c r="N66" s="6">
        <v>0.25607648620000001</v>
      </c>
      <c r="O66" s="6">
        <v>0</v>
      </c>
      <c r="P66" s="6">
        <v>0</v>
      </c>
      <c r="Q66" s="6">
        <v>0</v>
      </c>
      <c r="R66" s="6">
        <v>0</v>
      </c>
      <c r="U66" s="2" t="s">
        <v>89</v>
      </c>
      <c r="V66" s="6">
        <v>76.5703746258</v>
      </c>
      <c r="W66" s="6">
        <v>62</v>
      </c>
      <c r="X66" s="6">
        <v>0</v>
      </c>
      <c r="Y66" s="6">
        <v>45</v>
      </c>
      <c r="Z66" s="6">
        <v>0</v>
      </c>
      <c r="AC66" s="2" t="s">
        <v>89</v>
      </c>
      <c r="AD66" s="6">
        <v>0</v>
      </c>
      <c r="AE66" s="6">
        <v>0</v>
      </c>
      <c r="AF66" s="6">
        <v>0</v>
      </c>
      <c r="AG66" s="6">
        <v>0</v>
      </c>
      <c r="AH66" s="6">
        <v>20</v>
      </c>
      <c r="AJ66" s="2" t="s">
        <v>89</v>
      </c>
      <c r="AK66" s="6">
        <v>22.4933829388</v>
      </c>
      <c r="AL66" s="6">
        <v>18</v>
      </c>
      <c r="AM66" s="6">
        <v>11</v>
      </c>
      <c r="AN66" s="6">
        <v>35</v>
      </c>
      <c r="AO66" s="6">
        <v>15</v>
      </c>
      <c r="AQ66" s="2" t="s">
        <v>89</v>
      </c>
      <c r="AR66" s="6">
        <v>0</v>
      </c>
      <c r="AS66" s="6">
        <v>0</v>
      </c>
      <c r="AT66" s="6">
        <v>0</v>
      </c>
      <c r="AU66" s="6">
        <v>0</v>
      </c>
      <c r="AV66" s="6">
        <v>0</v>
      </c>
    </row>
    <row r="67" spans="2:48" x14ac:dyDescent="0.25">
      <c r="B67" s="3">
        <v>0.95</v>
      </c>
      <c r="E67" s="2" t="s">
        <v>90</v>
      </c>
      <c r="F67" s="6">
        <v>1.2049839984999999</v>
      </c>
      <c r="G67" s="6">
        <v>61.82333998</v>
      </c>
      <c r="H67" s="6">
        <v>82.203650929999995</v>
      </c>
      <c r="I67" s="6">
        <v>11.481481499999999</v>
      </c>
      <c r="J67" s="6">
        <v>15.740740799999999</v>
      </c>
      <c r="M67" s="2" t="s">
        <v>90</v>
      </c>
      <c r="N67" s="6">
        <v>8.5035547200000006E-2</v>
      </c>
      <c r="O67" s="6">
        <v>0</v>
      </c>
      <c r="P67" s="6">
        <v>0</v>
      </c>
      <c r="Q67" s="6">
        <v>0</v>
      </c>
      <c r="R67" s="6">
        <v>0</v>
      </c>
      <c r="U67" s="2" t="s">
        <v>90</v>
      </c>
      <c r="V67" s="6">
        <v>94.347967837799999</v>
      </c>
      <c r="W67" s="6">
        <v>29.79604355</v>
      </c>
      <c r="X67" s="6">
        <v>6.2389278289999996</v>
      </c>
      <c r="Y67" s="6">
        <v>20.370370399999999</v>
      </c>
      <c r="Z67" s="6">
        <v>0</v>
      </c>
      <c r="AC67" s="2" t="s">
        <v>90</v>
      </c>
      <c r="AD67" s="6">
        <v>0</v>
      </c>
      <c r="AE67" s="6">
        <v>8.3806164699999997</v>
      </c>
      <c r="AF67" s="6">
        <v>11.55742124</v>
      </c>
      <c r="AG67" s="6">
        <v>23.1481481</v>
      </c>
      <c r="AH67" s="6">
        <v>58.3333333</v>
      </c>
      <c r="AJ67" s="2" t="s">
        <v>90</v>
      </c>
      <c r="AK67" s="6">
        <v>4.3620126169000004</v>
      </c>
      <c r="AL67" s="6">
        <v>0</v>
      </c>
      <c r="AM67" s="6">
        <v>0</v>
      </c>
      <c r="AN67" s="6">
        <v>45</v>
      </c>
      <c r="AO67" s="6">
        <v>25.925925899999999</v>
      </c>
      <c r="AQ67" s="2" t="s">
        <v>90</v>
      </c>
      <c r="AR67" s="6">
        <v>0</v>
      </c>
      <c r="AS67" s="6">
        <v>0</v>
      </c>
      <c r="AT67" s="6">
        <v>0</v>
      </c>
      <c r="AU67" s="6">
        <v>0</v>
      </c>
      <c r="AV67" s="6">
        <v>0</v>
      </c>
    </row>
    <row r="68" spans="2:48" x14ac:dyDescent="0.25">
      <c r="B68" s="3">
        <v>0.7</v>
      </c>
      <c r="E68" s="2" t="s">
        <v>91</v>
      </c>
      <c r="F68" s="6">
        <v>0.41078577999999999</v>
      </c>
      <c r="G68" s="6">
        <v>49.985557999999997</v>
      </c>
      <c r="H68" s="6">
        <v>73</v>
      </c>
      <c r="I68" s="6">
        <v>48</v>
      </c>
      <c r="J68" s="6">
        <v>47</v>
      </c>
      <c r="M68" s="2" t="s">
        <v>91</v>
      </c>
      <c r="N68" s="6">
        <v>0.10012339269999999</v>
      </c>
      <c r="O68" s="6">
        <v>0</v>
      </c>
      <c r="P68" s="6">
        <v>0</v>
      </c>
      <c r="Q68" s="6">
        <v>0</v>
      </c>
      <c r="R68" s="6">
        <v>0</v>
      </c>
      <c r="U68" s="2" t="s">
        <v>91</v>
      </c>
      <c r="V68" s="6">
        <v>86.394912931700006</v>
      </c>
      <c r="W68" s="6">
        <v>33.777777800000003</v>
      </c>
      <c r="X68" s="6">
        <v>11.5</v>
      </c>
      <c r="Y68" s="6">
        <v>22</v>
      </c>
      <c r="Z68" s="6">
        <v>0</v>
      </c>
      <c r="AC68" s="2" t="s">
        <v>91</v>
      </c>
      <c r="AD68" s="6">
        <v>0</v>
      </c>
      <c r="AE68" s="6">
        <v>5.2</v>
      </c>
      <c r="AF68" s="6">
        <v>7</v>
      </c>
      <c r="AG68" s="6">
        <v>0</v>
      </c>
      <c r="AH68" s="6">
        <v>8</v>
      </c>
      <c r="AJ68" s="2" t="s">
        <v>91</v>
      </c>
      <c r="AK68" s="6">
        <v>13.0941778959</v>
      </c>
      <c r="AL68" s="6">
        <v>11.036664200000001</v>
      </c>
      <c r="AM68" s="6">
        <v>8.5</v>
      </c>
      <c r="AN68" s="6">
        <v>30</v>
      </c>
      <c r="AO68" s="6">
        <v>45</v>
      </c>
      <c r="AQ68" s="2" t="s">
        <v>91</v>
      </c>
      <c r="AR68" s="6">
        <v>0</v>
      </c>
      <c r="AS68" s="6">
        <v>0</v>
      </c>
      <c r="AT68" s="6">
        <v>0</v>
      </c>
      <c r="AU68" s="6">
        <v>0</v>
      </c>
      <c r="AV68" s="6">
        <v>0</v>
      </c>
    </row>
    <row r="69" spans="2:48" x14ac:dyDescent="0.25">
      <c r="B69" s="3">
        <v>0.64814814799999998</v>
      </c>
      <c r="E69" s="2" t="s">
        <v>93</v>
      </c>
      <c r="F69" s="6">
        <v>0.28152451950000001</v>
      </c>
      <c r="G69" s="6">
        <v>28.25</v>
      </c>
      <c r="H69" s="6">
        <v>50.5</v>
      </c>
      <c r="I69" s="6">
        <v>6.0962962999999997</v>
      </c>
      <c r="J69" s="6">
        <v>29.629629600000001</v>
      </c>
      <c r="M69" s="2" t="s">
        <v>93</v>
      </c>
      <c r="N69" s="6">
        <v>4.4173921300000002E-2</v>
      </c>
      <c r="O69" s="6">
        <v>0</v>
      </c>
      <c r="P69" s="6">
        <v>0</v>
      </c>
      <c r="Q69" s="6">
        <v>0</v>
      </c>
      <c r="R69" s="6">
        <v>0</v>
      </c>
      <c r="U69" s="2" t="s">
        <v>93</v>
      </c>
      <c r="V69" s="6">
        <v>93.413948710200003</v>
      </c>
      <c r="W69" s="6">
        <v>48.75</v>
      </c>
      <c r="X69" s="6">
        <v>16.5</v>
      </c>
      <c r="Y69" s="6">
        <v>60.2</v>
      </c>
      <c r="Z69" s="6">
        <v>0</v>
      </c>
      <c r="AC69" s="2" t="s">
        <v>93</v>
      </c>
      <c r="AD69" s="6">
        <v>0</v>
      </c>
      <c r="AE69" s="6">
        <v>20</v>
      </c>
      <c r="AF69" s="6">
        <v>28</v>
      </c>
      <c r="AG69" s="6">
        <v>28.703703699999998</v>
      </c>
      <c r="AH69" s="6">
        <v>70.370370399999999</v>
      </c>
      <c r="AJ69" s="2" t="s">
        <v>93</v>
      </c>
      <c r="AK69" s="6">
        <v>6.2603528492000002</v>
      </c>
      <c r="AL69" s="6">
        <v>3</v>
      </c>
      <c r="AM69" s="6">
        <v>5</v>
      </c>
      <c r="AN69" s="6">
        <v>5</v>
      </c>
      <c r="AO69" s="6">
        <v>0</v>
      </c>
      <c r="AQ69" s="2" t="s">
        <v>93</v>
      </c>
      <c r="AR69" s="6">
        <v>0</v>
      </c>
      <c r="AS69" s="6">
        <v>0</v>
      </c>
      <c r="AT69" s="6">
        <v>0</v>
      </c>
      <c r="AU69" s="6">
        <v>0</v>
      </c>
      <c r="AV69" s="6">
        <v>0</v>
      </c>
    </row>
    <row r="70" spans="2:48" x14ac:dyDescent="0.25">
      <c r="B70" s="3">
        <v>0.69</v>
      </c>
      <c r="E70" s="2" t="s">
        <v>94</v>
      </c>
      <c r="F70" s="6">
        <v>8.7693918900000001E-2</v>
      </c>
      <c r="G70" s="6">
        <v>16.600000000000001</v>
      </c>
      <c r="H70" s="6">
        <v>44.3</v>
      </c>
      <c r="I70" s="6">
        <v>5</v>
      </c>
      <c r="J70" s="6">
        <v>69</v>
      </c>
      <c r="M70" s="2" t="s">
        <v>94</v>
      </c>
      <c r="N70" s="6">
        <v>0.11547122579999999</v>
      </c>
      <c r="O70" s="6">
        <v>0</v>
      </c>
      <c r="P70" s="6">
        <v>0</v>
      </c>
      <c r="Q70" s="6">
        <v>0</v>
      </c>
      <c r="R70" s="6">
        <v>0</v>
      </c>
      <c r="U70" s="2" t="s">
        <v>94</v>
      </c>
      <c r="V70" s="6">
        <v>97.009698015300003</v>
      </c>
      <c r="W70" s="6">
        <v>83</v>
      </c>
      <c r="X70" s="6">
        <v>52</v>
      </c>
      <c r="Y70" s="6">
        <v>94</v>
      </c>
      <c r="Z70" s="6">
        <v>27</v>
      </c>
      <c r="AC70" s="2" t="s">
        <v>94</v>
      </c>
      <c r="AD70" s="6">
        <v>0</v>
      </c>
      <c r="AE70" s="6">
        <v>0</v>
      </c>
      <c r="AF70" s="6">
        <v>0</v>
      </c>
      <c r="AG70" s="6">
        <v>0</v>
      </c>
      <c r="AH70" s="6">
        <v>0</v>
      </c>
      <c r="AJ70" s="2" t="s">
        <v>94</v>
      </c>
      <c r="AK70" s="6">
        <v>2.7871368403000001</v>
      </c>
      <c r="AL70" s="6">
        <v>0.4</v>
      </c>
      <c r="AM70" s="6">
        <v>3.7</v>
      </c>
      <c r="AN70" s="6">
        <v>1</v>
      </c>
      <c r="AO70" s="6">
        <v>4</v>
      </c>
      <c r="AQ70" s="2" t="s">
        <v>94</v>
      </c>
      <c r="AR70" s="6">
        <v>0</v>
      </c>
      <c r="AS70" s="6">
        <v>0</v>
      </c>
      <c r="AT70" s="6">
        <v>0</v>
      </c>
      <c r="AU70" s="6">
        <v>0</v>
      </c>
      <c r="AV70" s="6">
        <v>0</v>
      </c>
    </row>
    <row r="71" spans="2:48" x14ac:dyDescent="0.25">
      <c r="B71" s="3">
        <v>0.85</v>
      </c>
      <c r="E71" s="2" t="s">
        <v>95</v>
      </c>
      <c r="F71" s="6">
        <v>2.099528023</v>
      </c>
      <c r="G71" s="6">
        <v>28.25</v>
      </c>
      <c r="H71" s="6">
        <v>50.5</v>
      </c>
      <c r="I71" s="6">
        <v>21.3</v>
      </c>
      <c r="J71" s="6">
        <v>40</v>
      </c>
      <c r="M71" s="2" t="s">
        <v>95</v>
      </c>
      <c r="N71" s="6">
        <v>0.17712520209999999</v>
      </c>
      <c r="O71" s="6">
        <v>0</v>
      </c>
      <c r="P71" s="6">
        <v>0</v>
      </c>
      <c r="Q71" s="6">
        <v>0</v>
      </c>
      <c r="R71" s="6">
        <v>0</v>
      </c>
      <c r="U71" s="2" t="s">
        <v>95</v>
      </c>
      <c r="V71" s="6">
        <v>94.630449629699996</v>
      </c>
      <c r="W71" s="6">
        <v>48.75</v>
      </c>
      <c r="X71" s="6">
        <v>16.5</v>
      </c>
      <c r="Y71" s="6">
        <v>45.2</v>
      </c>
      <c r="Z71" s="6">
        <v>14</v>
      </c>
      <c r="AC71" s="2" t="s">
        <v>95</v>
      </c>
      <c r="AD71" s="6">
        <v>0</v>
      </c>
      <c r="AE71" s="6">
        <v>20</v>
      </c>
      <c r="AF71" s="6">
        <v>28</v>
      </c>
      <c r="AG71" s="6">
        <v>28.5</v>
      </c>
      <c r="AH71" s="6">
        <v>40</v>
      </c>
      <c r="AJ71" s="2" t="s">
        <v>95</v>
      </c>
      <c r="AK71" s="6">
        <v>3.0928971452999998</v>
      </c>
      <c r="AL71" s="6">
        <v>3</v>
      </c>
      <c r="AM71" s="6">
        <v>5</v>
      </c>
      <c r="AN71" s="6">
        <v>5</v>
      </c>
      <c r="AO71" s="6">
        <v>6</v>
      </c>
      <c r="AQ71" s="2" t="s">
        <v>95</v>
      </c>
      <c r="AR71" s="6">
        <v>0</v>
      </c>
      <c r="AS71" s="6">
        <v>0</v>
      </c>
      <c r="AT71" s="6">
        <v>0</v>
      </c>
      <c r="AU71" s="6">
        <v>0</v>
      </c>
      <c r="AV71" s="6">
        <v>0</v>
      </c>
    </row>
    <row r="72" spans="2:48" x14ac:dyDescent="0.25">
      <c r="B72" s="3">
        <v>0.85</v>
      </c>
      <c r="E72" s="2" t="s">
        <v>96</v>
      </c>
      <c r="F72" s="6">
        <v>1.2885085575999999</v>
      </c>
      <c r="G72" s="6">
        <v>90</v>
      </c>
      <c r="H72" s="6">
        <v>84</v>
      </c>
      <c r="I72" s="6">
        <v>55</v>
      </c>
      <c r="J72" s="6">
        <v>80</v>
      </c>
      <c r="M72" s="2" t="s">
        <v>96</v>
      </c>
      <c r="N72" s="6">
        <v>7.7564955699999993E-2</v>
      </c>
      <c r="O72" s="6">
        <v>0</v>
      </c>
      <c r="P72" s="6">
        <v>0</v>
      </c>
      <c r="Q72" s="6">
        <v>0</v>
      </c>
      <c r="R72" s="6">
        <v>0</v>
      </c>
      <c r="U72" s="2" t="s">
        <v>96</v>
      </c>
      <c r="V72" s="6">
        <v>98.633926486799993</v>
      </c>
      <c r="W72" s="6">
        <v>0</v>
      </c>
      <c r="X72" s="6">
        <v>0</v>
      </c>
      <c r="Y72" s="6">
        <v>30</v>
      </c>
      <c r="Z72" s="6">
        <v>0</v>
      </c>
      <c r="AC72" s="2" t="s">
        <v>96</v>
      </c>
      <c r="AD72" s="6">
        <v>0</v>
      </c>
      <c r="AE72" s="6">
        <v>0</v>
      </c>
      <c r="AF72" s="6">
        <v>5</v>
      </c>
      <c r="AG72" s="6">
        <v>5</v>
      </c>
      <c r="AH72" s="6">
        <v>10</v>
      </c>
      <c r="AJ72" s="2" t="s">
        <v>96</v>
      </c>
      <c r="AK72" s="6">
        <v>0</v>
      </c>
      <c r="AL72" s="6">
        <v>4</v>
      </c>
      <c r="AM72" s="6">
        <v>5</v>
      </c>
      <c r="AN72" s="6">
        <v>0</v>
      </c>
      <c r="AO72" s="6">
        <v>0</v>
      </c>
      <c r="AQ72" s="2" t="s">
        <v>96</v>
      </c>
      <c r="AR72" s="6">
        <v>0</v>
      </c>
      <c r="AS72" s="6">
        <v>6</v>
      </c>
      <c r="AT72" s="6">
        <v>6</v>
      </c>
      <c r="AU72" s="6">
        <v>10</v>
      </c>
      <c r="AV72" s="6">
        <v>10</v>
      </c>
    </row>
    <row r="73" spans="2:48" x14ac:dyDescent="0.25">
      <c r="B73" s="3">
        <v>0.69</v>
      </c>
      <c r="E73" s="2" t="s">
        <v>98</v>
      </c>
      <c r="F73" s="6">
        <v>0.44115678009999998</v>
      </c>
      <c r="G73" s="6">
        <v>21.5</v>
      </c>
      <c r="H73" s="6">
        <v>61</v>
      </c>
      <c r="I73" s="6">
        <v>16</v>
      </c>
      <c r="J73" s="6">
        <v>40</v>
      </c>
      <c r="M73" s="2" t="s">
        <v>98</v>
      </c>
      <c r="N73" s="6">
        <v>8.6062977900000004E-2</v>
      </c>
      <c r="O73" s="6">
        <v>0</v>
      </c>
      <c r="P73" s="6">
        <v>0</v>
      </c>
      <c r="Q73" s="6">
        <v>0</v>
      </c>
      <c r="R73" s="6">
        <v>0</v>
      </c>
      <c r="U73" s="2" t="s">
        <v>98</v>
      </c>
      <c r="V73" s="6">
        <v>86.971287639699995</v>
      </c>
      <c r="W73" s="6">
        <v>39</v>
      </c>
      <c r="X73" s="6">
        <v>5</v>
      </c>
      <c r="Y73" s="6">
        <v>39</v>
      </c>
      <c r="Z73" s="6">
        <v>5</v>
      </c>
      <c r="AC73" s="2" t="s">
        <v>98</v>
      </c>
      <c r="AD73" s="6">
        <v>0</v>
      </c>
      <c r="AE73" s="6">
        <v>12.5</v>
      </c>
      <c r="AF73" s="6">
        <v>20</v>
      </c>
      <c r="AG73" s="6">
        <v>15</v>
      </c>
      <c r="AH73" s="6">
        <v>37</v>
      </c>
      <c r="AJ73" s="2" t="s">
        <v>98</v>
      </c>
      <c r="AK73" s="6">
        <v>12.501492602600001</v>
      </c>
      <c r="AL73" s="6">
        <v>5</v>
      </c>
      <c r="AM73" s="6">
        <v>2</v>
      </c>
      <c r="AN73" s="6">
        <v>7</v>
      </c>
      <c r="AO73" s="6">
        <v>4</v>
      </c>
      <c r="AQ73" s="2" t="s">
        <v>98</v>
      </c>
      <c r="AR73" s="6">
        <v>0</v>
      </c>
      <c r="AS73" s="6">
        <v>22</v>
      </c>
      <c r="AT73" s="6">
        <v>12</v>
      </c>
      <c r="AU73" s="6">
        <v>23</v>
      </c>
      <c r="AV73" s="6">
        <v>14</v>
      </c>
    </row>
    <row r="74" spans="2:48" x14ac:dyDescent="0.25">
      <c r="B74" s="3">
        <v>0.69</v>
      </c>
      <c r="E74" s="2" t="s">
        <v>99</v>
      </c>
      <c r="F74" s="6">
        <v>13.9044731576</v>
      </c>
      <c r="G74" s="6">
        <v>28.25</v>
      </c>
      <c r="H74" s="6">
        <v>50.5</v>
      </c>
      <c r="I74" s="6">
        <v>21.3</v>
      </c>
      <c r="J74" s="6">
        <v>40</v>
      </c>
      <c r="M74" s="2" t="s">
        <v>99</v>
      </c>
      <c r="N74" s="6">
        <v>0.4663875864</v>
      </c>
      <c r="O74" s="6">
        <v>0</v>
      </c>
      <c r="P74" s="6">
        <v>0</v>
      </c>
      <c r="Q74" s="6">
        <v>0</v>
      </c>
      <c r="R74" s="6">
        <v>0</v>
      </c>
      <c r="U74" s="2" t="s">
        <v>99</v>
      </c>
      <c r="V74" s="6">
        <v>65.124631469500002</v>
      </c>
      <c r="W74" s="6">
        <v>48.75</v>
      </c>
      <c r="X74" s="6">
        <v>16.5</v>
      </c>
      <c r="Y74" s="6">
        <v>45.2</v>
      </c>
      <c r="Z74" s="6">
        <v>14</v>
      </c>
      <c r="AC74" s="2" t="s">
        <v>99</v>
      </c>
      <c r="AD74" s="6">
        <v>0</v>
      </c>
      <c r="AE74" s="6">
        <v>20</v>
      </c>
      <c r="AF74" s="6">
        <v>28</v>
      </c>
      <c r="AG74" s="6">
        <v>28.5</v>
      </c>
      <c r="AH74" s="6">
        <v>40</v>
      </c>
      <c r="AJ74" s="2" t="s">
        <v>99</v>
      </c>
      <c r="AK74" s="6">
        <v>20.5045077867</v>
      </c>
      <c r="AL74" s="6">
        <v>3</v>
      </c>
      <c r="AM74" s="6">
        <v>5</v>
      </c>
      <c r="AN74" s="6">
        <v>5</v>
      </c>
      <c r="AO74" s="6">
        <v>6</v>
      </c>
      <c r="AQ74" s="2" t="s">
        <v>99</v>
      </c>
      <c r="AR74" s="6">
        <v>0</v>
      </c>
      <c r="AS74" s="6">
        <v>0</v>
      </c>
      <c r="AT74" s="6">
        <v>0</v>
      </c>
      <c r="AU74" s="6">
        <v>0</v>
      </c>
      <c r="AV74" s="6">
        <v>0</v>
      </c>
    </row>
    <row r="75" spans="2:48" x14ac:dyDescent="0.25">
      <c r="B75" s="3">
        <v>0.88</v>
      </c>
      <c r="E75" s="2" t="s">
        <v>100</v>
      </c>
      <c r="F75" s="6">
        <v>2.8159697391999998</v>
      </c>
      <c r="G75" s="6">
        <v>92.992592599999995</v>
      </c>
      <c r="H75" s="6">
        <v>94.444444399999995</v>
      </c>
      <c r="I75" s="6">
        <v>95</v>
      </c>
      <c r="J75" s="6">
        <v>87.962963000000002</v>
      </c>
      <c r="M75" s="2" t="s">
        <v>100</v>
      </c>
      <c r="N75" s="6">
        <v>5.9544973100000002E-2</v>
      </c>
      <c r="O75" s="6">
        <v>0</v>
      </c>
      <c r="P75" s="6">
        <v>0</v>
      </c>
      <c r="Q75" s="6">
        <v>0</v>
      </c>
      <c r="R75" s="6">
        <v>0</v>
      </c>
      <c r="U75" s="2" t="s">
        <v>100</v>
      </c>
      <c r="V75" s="6">
        <v>97.124485287900001</v>
      </c>
      <c r="W75" s="6">
        <v>2.0037037</v>
      </c>
      <c r="X75" s="6">
        <v>0</v>
      </c>
      <c r="Y75" s="6">
        <v>2</v>
      </c>
      <c r="Z75" s="6">
        <v>0</v>
      </c>
      <c r="AC75" s="2" t="s">
        <v>100</v>
      </c>
      <c r="AD75" s="6">
        <v>0</v>
      </c>
      <c r="AE75" s="6">
        <v>5.0037037</v>
      </c>
      <c r="AF75" s="6">
        <v>5.5555555999999999</v>
      </c>
      <c r="AG75" s="6">
        <v>3</v>
      </c>
      <c r="AH75" s="6">
        <v>12.037037</v>
      </c>
      <c r="AJ75" s="2" t="s">
        <v>100</v>
      </c>
      <c r="AK75" s="6">
        <v>0</v>
      </c>
      <c r="AL75" s="6">
        <v>0</v>
      </c>
      <c r="AM75" s="6">
        <v>0</v>
      </c>
      <c r="AN75" s="6">
        <v>0</v>
      </c>
      <c r="AO75" s="6">
        <v>0</v>
      </c>
      <c r="AQ75" s="2" t="s">
        <v>100</v>
      </c>
      <c r="AR75" s="6">
        <v>0</v>
      </c>
      <c r="AS75" s="6">
        <v>0</v>
      </c>
      <c r="AT75" s="6">
        <v>0</v>
      </c>
      <c r="AU75" s="6">
        <v>0</v>
      </c>
      <c r="AV75" s="6">
        <v>0</v>
      </c>
    </row>
    <row r="76" spans="2:48" x14ac:dyDescent="0.25">
      <c r="B76" s="3">
        <v>0.69</v>
      </c>
      <c r="E76" s="2" t="s">
        <v>101</v>
      </c>
      <c r="F76" s="6">
        <v>10.108160365</v>
      </c>
      <c r="G76" s="6">
        <v>28.25</v>
      </c>
      <c r="H76" s="6">
        <v>50.5</v>
      </c>
      <c r="I76" s="6">
        <v>21.3</v>
      </c>
      <c r="J76" s="6">
        <v>40</v>
      </c>
      <c r="M76" s="2" t="s">
        <v>101</v>
      </c>
      <c r="N76" s="6">
        <v>0.33948133679999998</v>
      </c>
      <c r="O76" s="6">
        <v>0</v>
      </c>
      <c r="P76" s="6">
        <v>0</v>
      </c>
      <c r="Q76" s="6">
        <v>0</v>
      </c>
      <c r="R76" s="6">
        <v>0</v>
      </c>
      <c r="U76" s="2" t="s">
        <v>101</v>
      </c>
      <c r="V76" s="6">
        <v>89.342684146899998</v>
      </c>
      <c r="W76" s="6">
        <v>48.75</v>
      </c>
      <c r="X76" s="6">
        <v>16.5</v>
      </c>
      <c r="Y76" s="6">
        <v>45.2</v>
      </c>
      <c r="Z76" s="6">
        <v>14</v>
      </c>
      <c r="AC76" s="2" t="s">
        <v>101</v>
      </c>
      <c r="AD76" s="6">
        <v>0</v>
      </c>
      <c r="AE76" s="6">
        <v>20</v>
      </c>
      <c r="AF76" s="6">
        <v>28</v>
      </c>
      <c r="AG76" s="6">
        <v>28.5</v>
      </c>
      <c r="AH76" s="6">
        <v>40</v>
      </c>
      <c r="AJ76" s="2" t="s">
        <v>101</v>
      </c>
      <c r="AK76" s="6">
        <v>0.20967415140000001</v>
      </c>
      <c r="AL76" s="6">
        <v>3</v>
      </c>
      <c r="AM76" s="6">
        <v>5</v>
      </c>
      <c r="AN76" s="6">
        <v>5</v>
      </c>
      <c r="AO76" s="6">
        <v>6</v>
      </c>
      <c r="AQ76" s="2" t="s">
        <v>101</v>
      </c>
      <c r="AR76" s="6">
        <v>0</v>
      </c>
      <c r="AS76" s="6">
        <v>0</v>
      </c>
      <c r="AT76" s="6">
        <v>0</v>
      </c>
      <c r="AU76" s="6">
        <v>0</v>
      </c>
      <c r="AV76" s="6">
        <v>0</v>
      </c>
    </row>
    <row r="77" spans="2:48" x14ac:dyDescent="0.25">
      <c r="B77" s="3">
        <v>0.7</v>
      </c>
      <c r="E77" s="2" t="s">
        <v>102</v>
      </c>
      <c r="F77" s="6">
        <v>0.12590372329999999</v>
      </c>
      <c r="G77" s="6">
        <v>10.3</v>
      </c>
      <c r="H77" s="6">
        <v>50.5</v>
      </c>
      <c r="I77" s="6">
        <v>10.3</v>
      </c>
      <c r="J77" s="6">
        <v>40</v>
      </c>
      <c r="M77" s="2" t="s">
        <v>102</v>
      </c>
      <c r="N77" s="6">
        <v>0.19975005900000001</v>
      </c>
      <c r="O77" s="6">
        <v>0</v>
      </c>
      <c r="P77" s="6">
        <v>0</v>
      </c>
      <c r="Q77" s="6">
        <v>0</v>
      </c>
      <c r="R77" s="6">
        <v>0</v>
      </c>
      <c r="U77" s="2" t="s">
        <v>102</v>
      </c>
      <c r="V77" s="6">
        <v>99.674346217799993</v>
      </c>
      <c r="W77" s="6">
        <v>89.7</v>
      </c>
      <c r="X77" s="6">
        <v>16.5</v>
      </c>
      <c r="Y77" s="6">
        <v>89.7</v>
      </c>
      <c r="Z77" s="6">
        <v>14</v>
      </c>
      <c r="AC77" s="2" t="s">
        <v>102</v>
      </c>
      <c r="AD77" s="6">
        <v>0</v>
      </c>
      <c r="AE77" s="6">
        <v>0</v>
      </c>
      <c r="AF77" s="6">
        <v>28</v>
      </c>
      <c r="AG77" s="6">
        <v>0</v>
      </c>
      <c r="AH77" s="6">
        <v>40</v>
      </c>
      <c r="AJ77" s="2" t="s">
        <v>102</v>
      </c>
      <c r="AK77" s="6">
        <v>0</v>
      </c>
      <c r="AL77" s="6">
        <v>0</v>
      </c>
      <c r="AM77" s="6">
        <v>5</v>
      </c>
      <c r="AN77" s="6">
        <v>0</v>
      </c>
      <c r="AO77" s="6">
        <v>6</v>
      </c>
      <c r="AQ77" s="2" t="s">
        <v>102</v>
      </c>
      <c r="AR77" s="6">
        <v>0</v>
      </c>
      <c r="AS77" s="6">
        <v>0</v>
      </c>
      <c r="AT77" s="6">
        <v>0</v>
      </c>
      <c r="AU77" s="6">
        <v>0</v>
      </c>
      <c r="AV77" s="6">
        <v>0</v>
      </c>
    </row>
    <row r="78" spans="2:48" x14ac:dyDescent="0.25">
      <c r="B78" s="3">
        <v>0.7</v>
      </c>
      <c r="E78" s="2" t="s">
        <v>103</v>
      </c>
      <c r="F78" s="6">
        <v>13.4740944364</v>
      </c>
      <c r="G78" s="6">
        <v>91.14</v>
      </c>
      <c r="H78" s="6">
        <v>75</v>
      </c>
      <c r="I78" s="6">
        <v>72.8</v>
      </c>
      <c r="J78" s="6">
        <v>50</v>
      </c>
      <c r="M78" s="2" t="s">
        <v>103</v>
      </c>
      <c r="N78" s="6">
        <v>0.20708298829999999</v>
      </c>
      <c r="O78" s="6">
        <v>0</v>
      </c>
      <c r="P78" s="6">
        <v>0</v>
      </c>
      <c r="Q78" s="6">
        <v>3.33</v>
      </c>
      <c r="R78" s="6">
        <v>10</v>
      </c>
      <c r="U78" s="2" t="s">
        <v>103</v>
      </c>
      <c r="V78" s="6">
        <v>61.414738594500001</v>
      </c>
      <c r="W78" s="6">
        <v>0</v>
      </c>
      <c r="X78" s="6">
        <v>0</v>
      </c>
      <c r="Y78" s="6">
        <v>0</v>
      </c>
      <c r="Z78" s="6">
        <v>0</v>
      </c>
      <c r="AC78" s="2" t="s">
        <v>103</v>
      </c>
      <c r="AD78" s="6">
        <v>0</v>
      </c>
      <c r="AE78" s="6">
        <v>8.86</v>
      </c>
      <c r="AF78" s="6">
        <v>25</v>
      </c>
      <c r="AG78" s="6">
        <v>23.87</v>
      </c>
      <c r="AH78" s="6">
        <v>40</v>
      </c>
      <c r="AJ78" s="2" t="s">
        <v>103</v>
      </c>
      <c r="AK78" s="6">
        <v>24.8302941026</v>
      </c>
      <c r="AL78" s="6">
        <v>0</v>
      </c>
      <c r="AM78" s="6">
        <v>0</v>
      </c>
      <c r="AN78" s="6">
        <v>0</v>
      </c>
      <c r="AO78" s="6">
        <v>0</v>
      </c>
      <c r="AQ78" s="2" t="s">
        <v>103</v>
      </c>
      <c r="AR78" s="6">
        <v>7.3789878500000003E-2</v>
      </c>
      <c r="AS78" s="6">
        <v>0</v>
      </c>
      <c r="AT78" s="6">
        <v>0</v>
      </c>
      <c r="AU78" s="6">
        <v>0</v>
      </c>
      <c r="AV78" s="6">
        <v>0</v>
      </c>
    </row>
    <row r="79" spans="2:48" x14ac:dyDescent="0.25">
      <c r="B79" s="3">
        <v>0.73</v>
      </c>
      <c r="E79" s="2" t="s">
        <v>105</v>
      </c>
      <c r="F79" s="6">
        <v>0.58286525</v>
      </c>
      <c r="G79" s="6">
        <v>34.5</v>
      </c>
      <c r="H79" s="6">
        <v>62</v>
      </c>
      <c r="I79" s="6">
        <v>20</v>
      </c>
      <c r="J79" s="6">
        <v>39</v>
      </c>
      <c r="M79" s="2" t="s">
        <v>105</v>
      </c>
      <c r="N79" s="6">
        <v>2.0034111E-2</v>
      </c>
      <c r="O79" s="6">
        <v>0</v>
      </c>
      <c r="P79" s="6">
        <v>0</v>
      </c>
      <c r="Q79" s="6">
        <v>0</v>
      </c>
      <c r="R79" s="6">
        <v>0</v>
      </c>
      <c r="U79" s="2" t="s">
        <v>105</v>
      </c>
      <c r="V79" s="6">
        <v>97.302044918899995</v>
      </c>
      <c r="W79" s="6">
        <v>50</v>
      </c>
      <c r="X79" s="6">
        <v>15</v>
      </c>
      <c r="Y79" s="6">
        <v>53.5</v>
      </c>
      <c r="Z79" s="6">
        <v>22</v>
      </c>
      <c r="AC79" s="2" t="s">
        <v>105</v>
      </c>
      <c r="AD79" s="6">
        <v>0</v>
      </c>
      <c r="AE79" s="6">
        <v>7.5</v>
      </c>
      <c r="AF79" s="6">
        <v>12</v>
      </c>
      <c r="AG79" s="6">
        <v>12.5</v>
      </c>
      <c r="AH79" s="6">
        <v>23</v>
      </c>
      <c r="AJ79" s="2" t="s">
        <v>105</v>
      </c>
      <c r="AK79" s="6">
        <v>2.0950557204</v>
      </c>
      <c r="AL79" s="6">
        <v>8</v>
      </c>
      <c r="AM79" s="6">
        <v>11</v>
      </c>
      <c r="AN79" s="6">
        <v>14</v>
      </c>
      <c r="AO79" s="6">
        <v>16</v>
      </c>
      <c r="AQ79" s="2" t="s">
        <v>105</v>
      </c>
      <c r="AR79" s="6">
        <v>0</v>
      </c>
      <c r="AS79" s="6">
        <v>0</v>
      </c>
      <c r="AT79" s="6">
        <v>0</v>
      </c>
      <c r="AU79" s="6">
        <v>0</v>
      </c>
      <c r="AV79" s="6">
        <v>0</v>
      </c>
    </row>
    <row r="80" spans="2:48" x14ac:dyDescent="0.25">
      <c r="B80" s="3">
        <v>0.81666666669999999</v>
      </c>
      <c r="E80" s="2" t="s">
        <v>106</v>
      </c>
      <c r="F80" s="6">
        <v>0.35008026619999999</v>
      </c>
      <c r="G80" s="6">
        <v>50</v>
      </c>
      <c r="H80" s="6">
        <v>90</v>
      </c>
      <c r="I80" s="6">
        <v>30</v>
      </c>
      <c r="J80" s="6">
        <v>60</v>
      </c>
      <c r="M80" s="2" t="s">
        <v>106</v>
      </c>
      <c r="N80" s="6">
        <v>6.9896966699999993E-2</v>
      </c>
      <c r="O80" s="6">
        <v>0</v>
      </c>
      <c r="P80" s="6">
        <v>0</v>
      </c>
      <c r="Q80" s="6">
        <v>0</v>
      </c>
      <c r="R80" s="6">
        <v>0</v>
      </c>
      <c r="U80" s="2" t="s">
        <v>106</v>
      </c>
      <c r="V80" s="6">
        <v>89.222667745400003</v>
      </c>
      <c r="W80" s="6">
        <v>40</v>
      </c>
      <c r="X80" s="6">
        <v>0</v>
      </c>
      <c r="Y80" s="6">
        <v>47.5</v>
      </c>
      <c r="Z80" s="6">
        <v>5</v>
      </c>
      <c r="AC80" s="2" t="s">
        <v>106</v>
      </c>
      <c r="AD80" s="6">
        <v>0</v>
      </c>
      <c r="AE80" s="6">
        <v>5</v>
      </c>
      <c r="AF80" s="6">
        <v>5</v>
      </c>
      <c r="AG80" s="6">
        <v>12.5</v>
      </c>
      <c r="AH80" s="6">
        <v>25</v>
      </c>
      <c r="AJ80" s="2" t="s">
        <v>106</v>
      </c>
      <c r="AK80" s="6">
        <v>10.3573550219</v>
      </c>
      <c r="AL80" s="6">
        <v>5</v>
      </c>
      <c r="AM80" s="6">
        <v>5</v>
      </c>
      <c r="AN80" s="6">
        <v>10</v>
      </c>
      <c r="AO80" s="6">
        <v>10</v>
      </c>
      <c r="AQ80" s="2" t="s">
        <v>106</v>
      </c>
      <c r="AR80" s="6">
        <v>0</v>
      </c>
      <c r="AS80" s="6">
        <v>0</v>
      </c>
      <c r="AT80" s="6">
        <v>0</v>
      </c>
      <c r="AU80" s="6">
        <v>0</v>
      </c>
      <c r="AV80" s="6">
        <v>0</v>
      </c>
    </row>
    <row r="81" spans="2:48" x14ac:dyDescent="0.25">
      <c r="B81" s="3">
        <v>0.69</v>
      </c>
      <c r="E81" s="2" t="s">
        <v>107</v>
      </c>
      <c r="F81" s="6">
        <v>0.23702300509999999</v>
      </c>
      <c r="G81" s="6">
        <v>28.25</v>
      </c>
      <c r="H81" s="6">
        <v>50.5</v>
      </c>
      <c r="I81" s="6">
        <v>21.3</v>
      </c>
      <c r="J81" s="6">
        <v>40</v>
      </c>
      <c r="M81" s="2" t="s">
        <v>107</v>
      </c>
      <c r="N81" s="6">
        <v>0.1107679417</v>
      </c>
      <c r="O81" s="6">
        <v>0</v>
      </c>
      <c r="P81" s="6">
        <v>0</v>
      </c>
      <c r="Q81" s="6">
        <v>0</v>
      </c>
      <c r="R81" s="6">
        <v>0</v>
      </c>
      <c r="U81" s="2" t="s">
        <v>107</v>
      </c>
      <c r="V81" s="6">
        <v>99.652209053299998</v>
      </c>
      <c r="W81" s="6">
        <v>48.75</v>
      </c>
      <c r="X81" s="6">
        <v>16.5</v>
      </c>
      <c r="Y81" s="6">
        <v>45.2</v>
      </c>
      <c r="Z81" s="6">
        <v>14</v>
      </c>
      <c r="AC81" s="2" t="s">
        <v>107</v>
      </c>
      <c r="AD81" s="6">
        <v>0</v>
      </c>
      <c r="AE81" s="6">
        <v>20</v>
      </c>
      <c r="AF81" s="6">
        <v>28</v>
      </c>
      <c r="AG81" s="6">
        <v>28.5</v>
      </c>
      <c r="AH81" s="6">
        <v>40</v>
      </c>
      <c r="AJ81" s="2" t="s">
        <v>107</v>
      </c>
      <c r="AK81" s="6">
        <v>0</v>
      </c>
      <c r="AL81" s="6">
        <v>3</v>
      </c>
      <c r="AM81" s="6">
        <v>5</v>
      </c>
      <c r="AN81" s="6">
        <v>5</v>
      </c>
      <c r="AO81" s="6">
        <v>6</v>
      </c>
      <c r="AQ81" s="2" t="s">
        <v>107</v>
      </c>
      <c r="AR81" s="6">
        <v>0</v>
      </c>
      <c r="AS81" s="6">
        <v>0</v>
      </c>
      <c r="AT81" s="6">
        <v>0</v>
      </c>
      <c r="AU81" s="6">
        <v>0</v>
      </c>
      <c r="AV81" s="6">
        <v>0</v>
      </c>
    </row>
    <row r="82" spans="2:48" x14ac:dyDescent="0.25">
      <c r="B82" s="3">
        <v>0.74</v>
      </c>
      <c r="E82" s="2" t="s">
        <v>108</v>
      </c>
      <c r="F82" s="6">
        <v>1.3682019537000001</v>
      </c>
      <c r="G82" s="6">
        <v>36.25</v>
      </c>
      <c r="H82" s="6">
        <v>64.5</v>
      </c>
      <c r="I82" s="6">
        <v>9.8000000000000007</v>
      </c>
      <c r="J82" s="6">
        <v>20</v>
      </c>
      <c r="M82" s="2" t="s">
        <v>108</v>
      </c>
      <c r="N82" s="6">
        <v>0.14433972219999999</v>
      </c>
      <c r="O82" s="6">
        <v>0</v>
      </c>
      <c r="P82" s="6">
        <v>0</v>
      </c>
      <c r="Q82" s="6">
        <v>0</v>
      </c>
      <c r="R82" s="6">
        <v>0</v>
      </c>
      <c r="U82" s="2" t="s">
        <v>108</v>
      </c>
      <c r="V82" s="6">
        <v>72.869944349299999</v>
      </c>
      <c r="W82" s="6">
        <v>48.75</v>
      </c>
      <c r="X82" s="6">
        <v>16.5</v>
      </c>
      <c r="Y82" s="6">
        <v>45.2</v>
      </c>
      <c r="Z82" s="6">
        <v>14</v>
      </c>
      <c r="AC82" s="2" t="s">
        <v>108</v>
      </c>
      <c r="AD82" s="6">
        <v>0</v>
      </c>
      <c r="AE82" s="6">
        <v>0</v>
      </c>
      <c r="AF82" s="6">
        <v>0</v>
      </c>
      <c r="AG82" s="6">
        <v>40</v>
      </c>
      <c r="AH82" s="6">
        <v>60</v>
      </c>
      <c r="AJ82" s="2" t="s">
        <v>108</v>
      </c>
      <c r="AK82" s="6">
        <v>25.617513975000001</v>
      </c>
      <c r="AL82" s="6">
        <v>15</v>
      </c>
      <c r="AM82" s="6">
        <v>19</v>
      </c>
      <c r="AN82" s="6">
        <v>5</v>
      </c>
      <c r="AO82" s="6">
        <v>6</v>
      </c>
      <c r="AQ82" s="2" t="s">
        <v>108</v>
      </c>
      <c r="AR82" s="6">
        <v>0</v>
      </c>
      <c r="AS82" s="6">
        <v>0</v>
      </c>
      <c r="AT82" s="6">
        <v>0</v>
      </c>
      <c r="AU82" s="6">
        <v>0</v>
      </c>
      <c r="AV82" s="6">
        <v>0</v>
      </c>
    </row>
    <row r="83" spans="2:48" x14ac:dyDescent="0.25">
      <c r="B83" s="3">
        <v>0.72</v>
      </c>
      <c r="E83" s="2" t="s">
        <v>109</v>
      </c>
      <c r="F83" s="6">
        <v>0.20792929909999999</v>
      </c>
      <c r="G83" s="6">
        <v>28.25</v>
      </c>
      <c r="H83" s="6">
        <v>50.5</v>
      </c>
      <c r="I83" s="6">
        <v>21.3</v>
      </c>
      <c r="J83" s="6">
        <v>40</v>
      </c>
      <c r="M83" s="2" t="s">
        <v>109</v>
      </c>
      <c r="N83" s="6">
        <v>6.9128261999999996E-2</v>
      </c>
      <c r="O83" s="6">
        <v>0</v>
      </c>
      <c r="P83" s="6">
        <v>0</v>
      </c>
      <c r="Q83" s="6">
        <v>0</v>
      </c>
      <c r="R83" s="6">
        <v>0</v>
      </c>
      <c r="U83" s="2" t="s">
        <v>109</v>
      </c>
      <c r="V83" s="6">
        <v>90.656729912499998</v>
      </c>
      <c r="W83" s="6">
        <v>48.75</v>
      </c>
      <c r="X83" s="6">
        <v>16.5</v>
      </c>
      <c r="Y83" s="6">
        <v>45.2</v>
      </c>
      <c r="Z83" s="6">
        <v>14</v>
      </c>
      <c r="AC83" s="2" t="s">
        <v>109</v>
      </c>
      <c r="AD83" s="6">
        <v>0</v>
      </c>
      <c r="AE83" s="6">
        <v>20</v>
      </c>
      <c r="AF83" s="6">
        <v>28</v>
      </c>
      <c r="AG83" s="6">
        <v>28.5</v>
      </c>
      <c r="AH83" s="6">
        <v>40</v>
      </c>
      <c r="AJ83" s="2" t="s">
        <v>109</v>
      </c>
      <c r="AK83" s="6">
        <v>9.0662125265999993</v>
      </c>
      <c r="AL83" s="6">
        <v>3</v>
      </c>
      <c r="AM83" s="6">
        <v>5</v>
      </c>
      <c r="AN83" s="6">
        <v>5</v>
      </c>
      <c r="AO83" s="6">
        <v>6</v>
      </c>
      <c r="AQ83" s="2" t="s">
        <v>109</v>
      </c>
      <c r="AR83" s="6">
        <v>0</v>
      </c>
      <c r="AS83" s="6">
        <v>0</v>
      </c>
      <c r="AT83" s="6">
        <v>0</v>
      </c>
      <c r="AU83" s="6">
        <v>0</v>
      </c>
      <c r="AV83" s="6">
        <v>0</v>
      </c>
    </row>
    <row r="84" spans="2:48" ht="15.75" thickBot="1" x14ac:dyDescent="0.3">
      <c r="B84" s="3">
        <v>0.95</v>
      </c>
      <c r="E84" s="2" t="s">
        <v>110</v>
      </c>
      <c r="F84" s="6">
        <v>3.7577758351999999</v>
      </c>
      <c r="G84" s="6">
        <v>28.25</v>
      </c>
      <c r="H84" s="6">
        <v>50.5</v>
      </c>
      <c r="I84" s="6">
        <v>21.3</v>
      </c>
      <c r="J84" s="6">
        <v>40</v>
      </c>
      <c r="M84" s="2" t="s">
        <v>110</v>
      </c>
      <c r="N84" s="6">
        <v>5.23577208E-2</v>
      </c>
      <c r="O84" s="6">
        <v>0</v>
      </c>
      <c r="P84" s="6">
        <v>0</v>
      </c>
      <c r="Q84" s="6">
        <v>0</v>
      </c>
      <c r="R84" s="6">
        <v>0</v>
      </c>
      <c r="U84" s="2" t="s">
        <v>110</v>
      </c>
      <c r="V84" s="6">
        <v>96.189866444100005</v>
      </c>
      <c r="W84" s="6">
        <v>56.25</v>
      </c>
      <c r="X84" s="6">
        <v>24.5</v>
      </c>
      <c r="Y84" s="6">
        <v>53.2</v>
      </c>
      <c r="Z84" s="6">
        <v>22</v>
      </c>
      <c r="AC84" s="2" t="s">
        <v>110</v>
      </c>
      <c r="AD84" s="6">
        <v>0</v>
      </c>
      <c r="AE84" s="6">
        <v>7.5</v>
      </c>
      <c r="AF84" s="6">
        <v>14</v>
      </c>
      <c r="AG84" s="6">
        <v>12.5</v>
      </c>
      <c r="AH84" s="6">
        <v>23</v>
      </c>
      <c r="AJ84" s="2" t="s">
        <v>110</v>
      </c>
      <c r="AK84" s="6">
        <v>0</v>
      </c>
      <c r="AL84" s="6">
        <v>8</v>
      </c>
      <c r="AM84" s="6">
        <v>11</v>
      </c>
      <c r="AN84" s="6">
        <v>13</v>
      </c>
      <c r="AO84" s="6">
        <v>15</v>
      </c>
      <c r="AQ84" s="2" t="s">
        <v>110</v>
      </c>
      <c r="AR84" s="6">
        <v>0</v>
      </c>
      <c r="AS84" s="6">
        <v>0</v>
      </c>
      <c r="AT84" s="6">
        <v>0</v>
      </c>
      <c r="AU84" s="6">
        <v>0</v>
      </c>
      <c r="AV84" s="6">
        <v>0</v>
      </c>
    </row>
    <row r="85" spans="2:48" ht="16.5" thickTop="1" thickBot="1" x14ac:dyDescent="0.3">
      <c r="B85" s="3">
        <v>0.5</v>
      </c>
      <c r="E85" s="2" t="s">
        <v>104</v>
      </c>
      <c r="F85" s="22">
        <f>F79</f>
        <v>0.58286525</v>
      </c>
      <c r="G85" s="22">
        <f t="shared" ref="G85:J85" si="12">G79</f>
        <v>34.5</v>
      </c>
      <c r="H85" s="22">
        <f t="shared" si="12"/>
        <v>62</v>
      </c>
      <c r="I85" s="22">
        <f t="shared" si="12"/>
        <v>20</v>
      </c>
      <c r="J85" s="22">
        <f t="shared" si="12"/>
        <v>39</v>
      </c>
      <c r="M85" s="2" t="s">
        <v>104</v>
      </c>
      <c r="N85" s="22">
        <f>N79</f>
        <v>2.0034111E-2</v>
      </c>
      <c r="O85" s="22">
        <f t="shared" ref="O85:R85" si="13">O79</f>
        <v>0</v>
      </c>
      <c r="P85" s="22">
        <f t="shared" si="13"/>
        <v>0</v>
      </c>
      <c r="Q85" s="22">
        <f t="shared" si="13"/>
        <v>0</v>
      </c>
      <c r="R85" s="22">
        <f t="shared" si="13"/>
        <v>0</v>
      </c>
      <c r="U85" s="2" t="s">
        <v>104</v>
      </c>
      <c r="V85" s="22">
        <f>V79</f>
        <v>97.302044918899995</v>
      </c>
      <c r="W85" s="22">
        <f t="shared" ref="W85:Z85" si="14">W79</f>
        <v>50</v>
      </c>
      <c r="X85" s="22">
        <f t="shared" si="14"/>
        <v>15</v>
      </c>
      <c r="Y85" s="22">
        <f t="shared" si="14"/>
        <v>53.5</v>
      </c>
      <c r="Z85" s="22">
        <f t="shared" si="14"/>
        <v>22</v>
      </c>
      <c r="AC85" s="2" t="s">
        <v>104</v>
      </c>
      <c r="AD85" s="22">
        <f>AD79</f>
        <v>0</v>
      </c>
      <c r="AE85" s="22">
        <f t="shared" ref="AE85:AH85" si="15">AE79</f>
        <v>7.5</v>
      </c>
      <c r="AF85" s="22">
        <f t="shared" si="15"/>
        <v>12</v>
      </c>
      <c r="AG85" s="22">
        <f t="shared" si="15"/>
        <v>12.5</v>
      </c>
      <c r="AH85" s="22">
        <f t="shared" si="15"/>
        <v>23</v>
      </c>
      <c r="AJ85" s="2" t="s">
        <v>104</v>
      </c>
      <c r="AK85" s="22">
        <f>AK79</f>
        <v>2.0950557204</v>
      </c>
      <c r="AL85" s="22">
        <f t="shared" ref="AL85:AO85" si="16">AL79</f>
        <v>8</v>
      </c>
      <c r="AM85" s="22">
        <f t="shared" si="16"/>
        <v>11</v>
      </c>
      <c r="AN85" s="22">
        <f t="shared" si="16"/>
        <v>14</v>
      </c>
      <c r="AO85" s="22">
        <f t="shared" si="16"/>
        <v>16</v>
      </c>
      <c r="AQ85" s="2" t="s">
        <v>104</v>
      </c>
      <c r="AR85" s="22">
        <f>AR79</f>
        <v>0</v>
      </c>
      <c r="AS85" s="22">
        <f t="shared" ref="AS85:AV85" si="17">AS79</f>
        <v>0</v>
      </c>
      <c r="AT85" s="22">
        <f t="shared" si="17"/>
        <v>0</v>
      </c>
      <c r="AU85" s="22">
        <f t="shared" si="17"/>
        <v>0</v>
      </c>
      <c r="AV85" s="22">
        <f t="shared" si="17"/>
        <v>0</v>
      </c>
    </row>
    <row r="86" spans="2:48" ht="16.5" thickTop="1" thickBot="1" x14ac:dyDescent="0.3">
      <c r="B86" s="3">
        <v>0.69</v>
      </c>
      <c r="E86" s="2" t="s">
        <v>92</v>
      </c>
      <c r="F86" s="22">
        <f>F59</f>
        <v>0.97224624449999997</v>
      </c>
      <c r="G86" s="22">
        <f t="shared" ref="G86:J86" si="18">G59</f>
        <v>50.5</v>
      </c>
      <c r="H86" s="22">
        <f t="shared" si="18"/>
        <v>95</v>
      </c>
      <c r="I86" s="22">
        <f t="shared" si="18"/>
        <v>35.5</v>
      </c>
      <c r="J86" s="22">
        <f t="shared" si="18"/>
        <v>70</v>
      </c>
      <c r="M86" s="2" t="s">
        <v>155</v>
      </c>
      <c r="N86" s="22">
        <f>N59</f>
        <v>0.29958306019999997</v>
      </c>
      <c r="O86" s="22">
        <f t="shared" ref="O86:R86" si="19">O59</f>
        <v>0.2</v>
      </c>
      <c r="P86" s="22">
        <f t="shared" si="19"/>
        <v>0</v>
      </c>
      <c r="Q86" s="22">
        <f t="shared" si="19"/>
        <v>0.2</v>
      </c>
      <c r="R86" s="22">
        <f t="shared" si="19"/>
        <v>0</v>
      </c>
      <c r="U86" s="2" t="s">
        <v>155</v>
      </c>
      <c r="V86" s="22">
        <f>V59</f>
        <v>93.5919382867</v>
      </c>
      <c r="W86" s="22">
        <f t="shared" ref="W86:Z86" si="20">W59</f>
        <v>46.8</v>
      </c>
      <c r="X86" s="22">
        <f t="shared" si="20"/>
        <v>0</v>
      </c>
      <c r="Y86" s="22">
        <f t="shared" si="20"/>
        <v>46.8</v>
      </c>
      <c r="Z86" s="22">
        <f t="shared" si="20"/>
        <v>0</v>
      </c>
      <c r="AC86" s="2" t="s">
        <v>155</v>
      </c>
      <c r="AD86" s="22">
        <f>AD59</f>
        <v>0</v>
      </c>
      <c r="AE86" s="22">
        <f t="shared" ref="AE86:AH86" si="21">AE59</f>
        <v>2.5</v>
      </c>
      <c r="AF86" s="22">
        <f t="shared" si="21"/>
        <v>5</v>
      </c>
      <c r="AG86" s="22">
        <f t="shared" si="21"/>
        <v>12.5</v>
      </c>
      <c r="AH86" s="22">
        <f t="shared" si="21"/>
        <v>25</v>
      </c>
      <c r="AJ86" s="2" t="s">
        <v>155</v>
      </c>
      <c r="AK86" s="22">
        <f>AK59</f>
        <v>5.1362324086999998</v>
      </c>
      <c r="AL86" s="22">
        <f t="shared" ref="AL86:AO86" si="22">AL59</f>
        <v>0</v>
      </c>
      <c r="AM86" s="22">
        <f t="shared" si="22"/>
        <v>0</v>
      </c>
      <c r="AN86" s="22">
        <f t="shared" si="22"/>
        <v>5</v>
      </c>
      <c r="AO86" s="22">
        <f t="shared" si="22"/>
        <v>5</v>
      </c>
      <c r="AQ86" s="2" t="s">
        <v>155</v>
      </c>
      <c r="AR86" s="22">
        <f>AR59</f>
        <v>0</v>
      </c>
      <c r="AS86" s="22">
        <f t="shared" ref="AS86:AV86" si="23">AS59</f>
        <v>0</v>
      </c>
      <c r="AT86" s="22">
        <f t="shared" si="23"/>
        <v>0</v>
      </c>
      <c r="AU86" s="22">
        <f t="shared" si="23"/>
        <v>0</v>
      </c>
      <c r="AV86" s="22">
        <f t="shared" si="23"/>
        <v>0</v>
      </c>
    </row>
    <row r="87" spans="2:48" ht="16.5" thickTop="1" thickBot="1" x14ac:dyDescent="0.3">
      <c r="B87" s="3">
        <v>0.95</v>
      </c>
      <c r="E87" s="2" t="s">
        <v>156</v>
      </c>
      <c r="F87" s="22">
        <f>F60</f>
        <v>3.0240860496000002</v>
      </c>
      <c r="G87" s="22">
        <f t="shared" ref="G87:J87" si="24">G60</f>
        <v>28.25</v>
      </c>
      <c r="H87" s="22">
        <f t="shared" si="24"/>
        <v>50.5</v>
      </c>
      <c r="I87" s="22">
        <f t="shared" si="24"/>
        <v>21.3</v>
      </c>
      <c r="J87" s="22">
        <f t="shared" si="24"/>
        <v>40</v>
      </c>
      <c r="M87" s="2" t="s">
        <v>156</v>
      </c>
      <c r="N87" s="22">
        <f>N60</f>
        <v>2.5827675899999999E-2</v>
      </c>
      <c r="O87" s="22">
        <f t="shared" ref="O87:R87" si="25">O60</f>
        <v>0</v>
      </c>
      <c r="P87" s="22">
        <f t="shared" si="25"/>
        <v>0</v>
      </c>
      <c r="Q87" s="22">
        <f t="shared" si="25"/>
        <v>0</v>
      </c>
      <c r="R87" s="22">
        <f t="shared" si="25"/>
        <v>0</v>
      </c>
      <c r="U87" s="2" t="s">
        <v>156</v>
      </c>
      <c r="V87" s="22">
        <f>V60</f>
        <v>79.552592462299998</v>
      </c>
      <c r="W87" s="22">
        <f t="shared" ref="W87:Z87" si="26">W60</f>
        <v>48.75</v>
      </c>
      <c r="X87" s="22">
        <f t="shared" si="26"/>
        <v>16.5</v>
      </c>
      <c r="Y87" s="22">
        <f t="shared" si="26"/>
        <v>45.2</v>
      </c>
      <c r="Z87" s="22">
        <f t="shared" si="26"/>
        <v>14</v>
      </c>
      <c r="AC87" s="2" t="s">
        <v>156</v>
      </c>
      <c r="AD87" s="22">
        <f>AD60</f>
        <v>0</v>
      </c>
      <c r="AE87" s="22">
        <f t="shared" ref="AE87:AH87" si="27">AE60</f>
        <v>20</v>
      </c>
      <c r="AF87" s="22">
        <f t="shared" si="27"/>
        <v>28</v>
      </c>
      <c r="AG87" s="22">
        <f t="shared" si="27"/>
        <v>28.5</v>
      </c>
      <c r="AH87" s="22">
        <f t="shared" si="27"/>
        <v>40</v>
      </c>
      <c r="AJ87" s="2" t="s">
        <v>156</v>
      </c>
      <c r="AK87" s="22">
        <f>AK60</f>
        <v>17.3974938124</v>
      </c>
      <c r="AL87" s="22">
        <f t="shared" ref="AL87:AO87" si="28">AL60</f>
        <v>3</v>
      </c>
      <c r="AM87" s="22">
        <f t="shared" si="28"/>
        <v>5</v>
      </c>
      <c r="AN87" s="22">
        <f t="shared" si="28"/>
        <v>5</v>
      </c>
      <c r="AO87" s="22">
        <f t="shared" si="28"/>
        <v>6</v>
      </c>
      <c r="AQ87" s="2" t="s">
        <v>156</v>
      </c>
      <c r="AR87" s="22">
        <f>AR60</f>
        <v>0</v>
      </c>
      <c r="AS87" s="22">
        <f t="shared" ref="AS87:AV87" si="29">AS60</f>
        <v>0</v>
      </c>
      <c r="AT87" s="22">
        <f t="shared" si="29"/>
        <v>0</v>
      </c>
      <c r="AU87" s="22">
        <f t="shared" si="29"/>
        <v>0</v>
      </c>
      <c r="AV87" s="22">
        <f t="shared" si="29"/>
        <v>0</v>
      </c>
    </row>
    <row r="88" spans="2:48" ht="15.75" thickTop="1" x14ac:dyDescent="0.25"/>
    <row r="90" spans="2:48" x14ac:dyDescent="0.25">
      <c r="F90" s="2" t="s">
        <v>136</v>
      </c>
      <c r="G90" s="2" t="s">
        <v>86</v>
      </c>
      <c r="H90" s="2" t="s">
        <v>86</v>
      </c>
      <c r="I90" s="2" t="s">
        <v>137</v>
      </c>
      <c r="J90" s="2" t="s">
        <v>137</v>
      </c>
      <c r="N90" s="2" t="s">
        <v>136</v>
      </c>
      <c r="O90" s="2" t="s">
        <v>86</v>
      </c>
      <c r="P90" s="2" t="s">
        <v>86</v>
      </c>
      <c r="Q90" s="2" t="s">
        <v>137</v>
      </c>
      <c r="R90" s="2" t="s">
        <v>137</v>
      </c>
      <c r="V90" s="2" t="s">
        <v>136</v>
      </c>
      <c r="W90" s="2" t="s">
        <v>86</v>
      </c>
      <c r="X90" s="2" t="s">
        <v>86</v>
      </c>
      <c r="Y90" s="2" t="s">
        <v>137</v>
      </c>
      <c r="Z90" s="2" t="s">
        <v>137</v>
      </c>
      <c r="AD90" s="2" t="s">
        <v>136</v>
      </c>
      <c r="AE90" s="2" t="s">
        <v>86</v>
      </c>
      <c r="AF90" s="2" t="s">
        <v>86</v>
      </c>
      <c r="AG90" s="2" t="s">
        <v>137</v>
      </c>
      <c r="AH90" s="2" t="s">
        <v>137</v>
      </c>
      <c r="AK90" s="2" t="s">
        <v>136</v>
      </c>
      <c r="AL90" s="2" t="s">
        <v>86</v>
      </c>
      <c r="AM90" s="2" t="s">
        <v>86</v>
      </c>
      <c r="AN90" s="2" t="s">
        <v>137</v>
      </c>
      <c r="AO90" s="2" t="s">
        <v>137</v>
      </c>
      <c r="AR90" s="2" t="s">
        <v>136</v>
      </c>
      <c r="AS90" s="2" t="s">
        <v>86</v>
      </c>
      <c r="AT90" s="2" t="s">
        <v>86</v>
      </c>
      <c r="AU90" s="2" t="s">
        <v>137</v>
      </c>
      <c r="AV90" s="2" t="s">
        <v>137</v>
      </c>
    </row>
    <row r="91" spans="2:48" ht="30" x14ac:dyDescent="0.25">
      <c r="E91" s="2" t="s">
        <v>147</v>
      </c>
      <c r="F91" s="2">
        <v>2019</v>
      </c>
      <c r="G91" s="2">
        <v>2040</v>
      </c>
      <c r="H91" s="2">
        <v>2050</v>
      </c>
      <c r="I91" s="2">
        <v>2040</v>
      </c>
      <c r="J91" s="2">
        <v>2050</v>
      </c>
      <c r="M91" s="2" t="s">
        <v>148</v>
      </c>
      <c r="N91" s="2">
        <v>2019</v>
      </c>
      <c r="O91" s="2">
        <v>2040</v>
      </c>
      <c r="P91" s="2">
        <v>2050</v>
      </c>
      <c r="Q91" s="2">
        <v>2040</v>
      </c>
      <c r="R91" s="2">
        <v>2050</v>
      </c>
      <c r="U91" s="2" t="s">
        <v>149</v>
      </c>
      <c r="V91" s="2">
        <v>2019</v>
      </c>
      <c r="W91" s="2">
        <v>2040</v>
      </c>
      <c r="X91" s="2">
        <v>2050</v>
      </c>
      <c r="Y91" s="2">
        <v>2040</v>
      </c>
      <c r="Z91" s="2">
        <v>2050</v>
      </c>
      <c r="AC91" s="2" t="s">
        <v>150</v>
      </c>
      <c r="AD91" s="2">
        <v>2019</v>
      </c>
      <c r="AE91" s="2">
        <v>2040</v>
      </c>
      <c r="AF91" s="2">
        <v>2050</v>
      </c>
      <c r="AG91" s="2">
        <v>2040</v>
      </c>
      <c r="AH91" s="2">
        <v>2050</v>
      </c>
      <c r="AJ91" s="2" t="s">
        <v>181</v>
      </c>
      <c r="AK91" s="2">
        <v>2019</v>
      </c>
      <c r="AL91" s="2">
        <v>2040</v>
      </c>
      <c r="AM91" s="2">
        <v>2050</v>
      </c>
      <c r="AN91" s="2">
        <v>2040</v>
      </c>
      <c r="AO91" s="2">
        <v>2050</v>
      </c>
      <c r="AQ91" s="2" t="s">
        <v>185</v>
      </c>
      <c r="AR91" s="2">
        <v>2019</v>
      </c>
      <c r="AS91" s="2">
        <v>2040</v>
      </c>
      <c r="AT91" s="2">
        <v>2050</v>
      </c>
      <c r="AU91" s="2">
        <v>2040</v>
      </c>
      <c r="AV91" s="2">
        <v>2050</v>
      </c>
    </row>
    <row r="92" spans="2:48" x14ac:dyDescent="0.25">
      <c r="E92" s="2" t="s">
        <v>81</v>
      </c>
      <c r="F92" s="6">
        <v>0</v>
      </c>
      <c r="G92" s="6">
        <v>65</v>
      </c>
      <c r="H92" s="6">
        <v>95</v>
      </c>
      <c r="I92" s="6">
        <v>65</v>
      </c>
      <c r="J92" s="6">
        <v>70</v>
      </c>
      <c r="M92" s="2" t="s">
        <v>81</v>
      </c>
      <c r="N92" s="6">
        <v>1.0848432871</v>
      </c>
      <c r="O92" s="6">
        <v>0</v>
      </c>
      <c r="P92" s="6">
        <v>0</v>
      </c>
      <c r="Q92" s="6">
        <v>0</v>
      </c>
      <c r="R92" s="6">
        <v>0</v>
      </c>
      <c r="U92" s="2" t="s">
        <v>81</v>
      </c>
      <c r="V92" s="6">
        <v>98.896186997399994</v>
      </c>
      <c r="W92" s="6">
        <v>5</v>
      </c>
      <c r="X92" s="6">
        <v>0</v>
      </c>
      <c r="Y92" s="6">
        <v>5</v>
      </c>
      <c r="Z92" s="6">
        <v>0</v>
      </c>
      <c r="AC92" s="2" t="s">
        <v>81</v>
      </c>
      <c r="AD92" s="6">
        <v>0</v>
      </c>
      <c r="AE92" s="6">
        <v>30</v>
      </c>
      <c r="AF92" s="6">
        <v>5</v>
      </c>
      <c r="AG92" s="6">
        <v>30</v>
      </c>
      <c r="AH92" s="6">
        <v>30</v>
      </c>
      <c r="AJ92" s="2" t="s">
        <v>81</v>
      </c>
      <c r="AK92" s="6">
        <v>1.8969715700000001E-2</v>
      </c>
      <c r="AL92" s="6">
        <v>0</v>
      </c>
      <c r="AM92" s="6">
        <v>0</v>
      </c>
      <c r="AN92" s="6">
        <v>0</v>
      </c>
      <c r="AO92" s="6">
        <v>0</v>
      </c>
      <c r="AQ92" s="2" t="s">
        <v>81</v>
      </c>
      <c r="AR92" s="6">
        <v>0</v>
      </c>
      <c r="AS92" s="6">
        <v>0</v>
      </c>
      <c r="AT92" s="6">
        <v>0</v>
      </c>
      <c r="AU92" s="6">
        <v>0</v>
      </c>
      <c r="AV92" s="6">
        <v>0</v>
      </c>
    </row>
    <row r="93" spans="2:48" x14ac:dyDescent="0.25">
      <c r="E93" s="2" t="s">
        <v>82</v>
      </c>
      <c r="F93" s="6">
        <v>0</v>
      </c>
      <c r="G93" s="6">
        <v>58.1</v>
      </c>
      <c r="H93" s="6">
        <v>90</v>
      </c>
      <c r="I93" s="6">
        <v>28.7</v>
      </c>
      <c r="J93" s="6">
        <v>45</v>
      </c>
      <c r="M93" s="2" t="s">
        <v>82</v>
      </c>
      <c r="N93" s="6">
        <v>1.9868927194999999</v>
      </c>
      <c r="O93" s="6">
        <v>1.5</v>
      </c>
      <c r="P93" s="6">
        <v>0</v>
      </c>
      <c r="Q93" s="6">
        <v>1</v>
      </c>
      <c r="R93" s="6">
        <v>0</v>
      </c>
      <c r="U93" s="2" t="s">
        <v>82</v>
      </c>
      <c r="V93" s="6">
        <v>97.931709183899997</v>
      </c>
      <c r="W93" s="6">
        <v>36.75</v>
      </c>
      <c r="X93" s="6">
        <v>0</v>
      </c>
      <c r="Y93" s="6">
        <v>37</v>
      </c>
      <c r="Z93" s="6">
        <v>0</v>
      </c>
      <c r="AC93" s="2" t="s">
        <v>82</v>
      </c>
      <c r="AD93" s="6">
        <v>0</v>
      </c>
      <c r="AE93" s="6">
        <v>3.65</v>
      </c>
      <c r="AF93" s="6">
        <v>10</v>
      </c>
      <c r="AG93" s="6">
        <v>23</v>
      </c>
      <c r="AH93" s="6">
        <v>40</v>
      </c>
      <c r="AJ93" s="2" t="s">
        <v>82</v>
      </c>
      <c r="AK93" s="6">
        <v>8.13980968E-2</v>
      </c>
      <c r="AL93" s="6">
        <v>0</v>
      </c>
      <c r="AM93" s="6">
        <v>0</v>
      </c>
      <c r="AN93" s="6">
        <v>0.3</v>
      </c>
      <c r="AO93" s="6">
        <v>0</v>
      </c>
      <c r="AQ93" s="2" t="s">
        <v>82</v>
      </c>
      <c r="AR93" s="6">
        <v>0</v>
      </c>
      <c r="AS93" s="6">
        <v>0</v>
      </c>
      <c r="AT93" s="6">
        <v>0</v>
      </c>
      <c r="AU93" s="6">
        <v>10</v>
      </c>
      <c r="AV93" s="6">
        <v>15</v>
      </c>
    </row>
    <row r="94" spans="2:48" x14ac:dyDescent="0.25">
      <c r="E94" s="2" t="s">
        <v>83</v>
      </c>
      <c r="F94" s="6">
        <v>0</v>
      </c>
      <c r="G94" s="6">
        <v>15.5</v>
      </c>
      <c r="H94" s="6">
        <v>44</v>
      </c>
      <c r="I94" s="6">
        <v>5</v>
      </c>
      <c r="J94" s="6">
        <v>10</v>
      </c>
      <c r="M94" s="2" t="s">
        <v>83</v>
      </c>
      <c r="N94" s="6">
        <v>2.3202268278</v>
      </c>
      <c r="O94" s="6">
        <v>0</v>
      </c>
      <c r="P94" s="6">
        <v>0</v>
      </c>
      <c r="Q94" s="6">
        <v>0</v>
      </c>
      <c r="R94" s="6">
        <v>0</v>
      </c>
      <c r="U94" s="2" t="s">
        <v>83</v>
      </c>
      <c r="V94" s="6">
        <v>97.671336070099997</v>
      </c>
      <c r="W94" s="6">
        <v>55</v>
      </c>
      <c r="X94" s="6">
        <v>9</v>
      </c>
      <c r="Y94" s="6">
        <v>53.5</v>
      </c>
      <c r="Z94" s="6">
        <v>28</v>
      </c>
      <c r="AC94" s="2" t="s">
        <v>83</v>
      </c>
      <c r="AD94" s="6">
        <v>0</v>
      </c>
      <c r="AE94" s="6">
        <v>24.5</v>
      </c>
      <c r="AF94" s="6">
        <v>39</v>
      </c>
      <c r="AG94" s="6">
        <v>31</v>
      </c>
      <c r="AH94" s="6">
        <v>46</v>
      </c>
      <c r="AJ94" s="2" t="s">
        <v>83</v>
      </c>
      <c r="AK94" s="6">
        <v>8.4371021999999993E-3</v>
      </c>
      <c r="AL94" s="6">
        <v>5</v>
      </c>
      <c r="AM94" s="6">
        <v>8</v>
      </c>
      <c r="AN94" s="6">
        <v>10.5</v>
      </c>
      <c r="AO94" s="6">
        <v>16</v>
      </c>
      <c r="AQ94" s="2" t="s">
        <v>83</v>
      </c>
      <c r="AR94" s="6">
        <v>0</v>
      </c>
      <c r="AS94" s="6">
        <v>0</v>
      </c>
      <c r="AT94" s="6">
        <v>0</v>
      </c>
      <c r="AU94" s="6">
        <v>0</v>
      </c>
      <c r="AV94" s="6">
        <v>0</v>
      </c>
    </row>
    <row r="95" spans="2:48" x14ac:dyDescent="0.25">
      <c r="E95" s="2" t="s">
        <v>84</v>
      </c>
      <c r="F95" s="6">
        <v>0</v>
      </c>
      <c r="G95" s="6">
        <v>18</v>
      </c>
      <c r="H95" s="6">
        <v>44</v>
      </c>
      <c r="I95" s="6">
        <v>5</v>
      </c>
      <c r="J95" s="6">
        <v>10</v>
      </c>
      <c r="M95" s="2" t="s">
        <v>84</v>
      </c>
      <c r="N95" s="6">
        <v>14.137450988499999</v>
      </c>
      <c r="O95" s="6">
        <v>0</v>
      </c>
      <c r="P95" s="6">
        <v>0</v>
      </c>
      <c r="Q95" s="6">
        <v>0</v>
      </c>
      <c r="R95" s="6">
        <v>0</v>
      </c>
      <c r="U95" s="2" t="s">
        <v>84</v>
      </c>
      <c r="V95" s="6">
        <v>85.862549011599995</v>
      </c>
      <c r="W95" s="6">
        <v>52</v>
      </c>
      <c r="X95" s="6">
        <v>9</v>
      </c>
      <c r="Y95" s="6">
        <v>53.5</v>
      </c>
      <c r="Z95" s="6">
        <v>28</v>
      </c>
      <c r="AC95" s="2" t="s">
        <v>84</v>
      </c>
      <c r="AD95" s="6">
        <v>0</v>
      </c>
      <c r="AE95" s="6">
        <v>25</v>
      </c>
      <c r="AF95" s="6">
        <v>39</v>
      </c>
      <c r="AG95" s="6">
        <v>31</v>
      </c>
      <c r="AH95" s="6">
        <v>46</v>
      </c>
      <c r="AJ95" s="2" t="s">
        <v>84</v>
      </c>
      <c r="AK95" s="6">
        <v>0</v>
      </c>
      <c r="AL95" s="6">
        <v>5</v>
      </c>
      <c r="AM95" s="6">
        <v>8</v>
      </c>
      <c r="AN95" s="6">
        <v>10.5</v>
      </c>
      <c r="AO95" s="6">
        <v>16</v>
      </c>
      <c r="AQ95" s="2" t="s">
        <v>84</v>
      </c>
      <c r="AR95" s="6">
        <v>0</v>
      </c>
      <c r="AS95" s="6">
        <v>0</v>
      </c>
      <c r="AT95" s="6">
        <v>0</v>
      </c>
      <c r="AU95" s="6">
        <v>0</v>
      </c>
      <c r="AV95" s="6">
        <v>0</v>
      </c>
    </row>
    <row r="96" spans="2:48" x14ac:dyDescent="0.25">
      <c r="E96" s="2" t="s">
        <v>85</v>
      </c>
      <c r="F96" s="6">
        <v>0</v>
      </c>
      <c r="G96" s="6">
        <v>26</v>
      </c>
      <c r="H96" s="6">
        <v>66.7</v>
      </c>
      <c r="I96" s="6">
        <v>5</v>
      </c>
      <c r="J96" s="6">
        <v>10</v>
      </c>
      <c r="M96" s="2" t="s">
        <v>85</v>
      </c>
      <c r="N96" s="6">
        <v>4.0496322995999998</v>
      </c>
      <c r="O96" s="6">
        <v>0</v>
      </c>
      <c r="P96" s="6">
        <v>0</v>
      </c>
      <c r="Q96" s="6">
        <v>0</v>
      </c>
      <c r="R96" s="6">
        <v>0</v>
      </c>
      <c r="U96" s="2" t="s">
        <v>85</v>
      </c>
      <c r="V96" s="6">
        <v>95.920638247499994</v>
      </c>
      <c r="W96" s="6">
        <v>58.5</v>
      </c>
      <c r="X96" s="6">
        <v>10</v>
      </c>
      <c r="Y96" s="6">
        <v>61.5</v>
      </c>
      <c r="Z96" s="6">
        <v>36</v>
      </c>
      <c r="AC96" s="2" t="s">
        <v>85</v>
      </c>
      <c r="AD96" s="6">
        <v>0</v>
      </c>
      <c r="AE96" s="6">
        <v>15.5</v>
      </c>
      <c r="AF96" s="6">
        <v>23.3</v>
      </c>
      <c r="AG96" s="6">
        <v>17</v>
      </c>
      <c r="AH96" s="6">
        <v>37</v>
      </c>
      <c r="AJ96" s="2" t="s">
        <v>85</v>
      </c>
      <c r="AK96" s="6">
        <v>2.9729453100000001E-2</v>
      </c>
      <c r="AL96" s="6">
        <v>0</v>
      </c>
      <c r="AM96" s="6">
        <v>0</v>
      </c>
      <c r="AN96" s="6">
        <v>9.5</v>
      </c>
      <c r="AO96" s="6">
        <v>12</v>
      </c>
      <c r="AQ96" s="2" t="s">
        <v>85</v>
      </c>
      <c r="AR96" s="6">
        <v>0</v>
      </c>
      <c r="AS96" s="6">
        <v>0</v>
      </c>
      <c r="AT96" s="6">
        <v>0</v>
      </c>
      <c r="AU96" s="6">
        <v>7</v>
      </c>
      <c r="AV96" s="6">
        <v>5</v>
      </c>
    </row>
    <row r="97" spans="5:48" x14ac:dyDescent="0.25">
      <c r="E97" s="2" t="s">
        <v>86</v>
      </c>
      <c r="F97" s="6">
        <v>1.8410099999999998E-5</v>
      </c>
      <c r="G97" s="6">
        <v>78</v>
      </c>
      <c r="H97" s="6">
        <v>80</v>
      </c>
      <c r="I97" s="6">
        <v>40</v>
      </c>
      <c r="J97" s="6">
        <v>50</v>
      </c>
      <c r="M97" s="2" t="s">
        <v>86</v>
      </c>
      <c r="N97" s="6">
        <v>0.9505557523</v>
      </c>
      <c r="O97" s="6">
        <v>0</v>
      </c>
      <c r="P97" s="6">
        <v>0</v>
      </c>
      <c r="Q97" s="6">
        <v>0</v>
      </c>
      <c r="R97" s="6">
        <v>0</v>
      </c>
      <c r="U97" s="2" t="s">
        <v>86</v>
      </c>
      <c r="V97" s="6">
        <v>99.035347099399999</v>
      </c>
      <c r="W97" s="6">
        <v>3</v>
      </c>
      <c r="X97" s="6">
        <v>0</v>
      </c>
      <c r="Y97" s="6">
        <v>0</v>
      </c>
      <c r="Z97" s="6">
        <v>0</v>
      </c>
      <c r="AC97" s="2" t="s">
        <v>86</v>
      </c>
      <c r="AD97" s="6">
        <v>0</v>
      </c>
      <c r="AE97" s="6">
        <v>19</v>
      </c>
      <c r="AF97" s="6">
        <v>20</v>
      </c>
      <c r="AG97" s="6">
        <v>20</v>
      </c>
      <c r="AH97" s="6">
        <v>48</v>
      </c>
      <c r="AJ97" s="2" t="s">
        <v>86</v>
      </c>
      <c r="AK97" s="6">
        <v>1.40787384E-2</v>
      </c>
      <c r="AL97" s="6">
        <v>0</v>
      </c>
      <c r="AM97" s="6">
        <v>0</v>
      </c>
      <c r="AN97" s="6">
        <v>0</v>
      </c>
      <c r="AO97" s="6">
        <v>0</v>
      </c>
      <c r="AQ97" s="2" t="s">
        <v>86</v>
      </c>
      <c r="AR97" s="6">
        <v>0</v>
      </c>
      <c r="AS97" s="6">
        <v>0</v>
      </c>
      <c r="AT97" s="6">
        <v>0</v>
      </c>
      <c r="AU97" s="6">
        <v>40</v>
      </c>
      <c r="AV97" s="6">
        <v>2</v>
      </c>
    </row>
    <row r="98" spans="5:48" x14ac:dyDescent="0.25">
      <c r="E98" s="2" t="s">
        <v>87</v>
      </c>
      <c r="F98" s="6">
        <v>0</v>
      </c>
      <c r="G98" s="6">
        <v>30</v>
      </c>
      <c r="H98" s="6">
        <v>50</v>
      </c>
      <c r="I98" s="6">
        <v>5</v>
      </c>
      <c r="J98" s="6">
        <v>0</v>
      </c>
      <c r="M98" s="2" t="s">
        <v>87</v>
      </c>
      <c r="N98" s="6">
        <v>3.1850286850999998</v>
      </c>
      <c r="O98" s="6">
        <v>0</v>
      </c>
      <c r="P98" s="6">
        <v>0</v>
      </c>
      <c r="Q98" s="6">
        <v>0</v>
      </c>
      <c r="R98" s="6">
        <v>0</v>
      </c>
      <c r="U98" s="2" t="s">
        <v>87</v>
      </c>
      <c r="V98" s="6">
        <v>96.783186212000004</v>
      </c>
      <c r="W98" s="6">
        <v>15</v>
      </c>
      <c r="X98" s="6">
        <v>0</v>
      </c>
      <c r="Y98" s="6">
        <v>61.5</v>
      </c>
      <c r="Z98" s="6">
        <v>0</v>
      </c>
      <c r="AC98" s="2" t="s">
        <v>87</v>
      </c>
      <c r="AD98" s="6">
        <v>0</v>
      </c>
      <c r="AE98" s="6">
        <v>55</v>
      </c>
      <c r="AF98" s="6">
        <v>50</v>
      </c>
      <c r="AG98" s="6">
        <v>17</v>
      </c>
      <c r="AH98" s="6">
        <v>70.044444400000003</v>
      </c>
      <c r="AJ98" s="2" t="s">
        <v>87</v>
      </c>
      <c r="AK98" s="6">
        <v>3.1785103000000002E-2</v>
      </c>
      <c r="AL98" s="6">
        <v>0</v>
      </c>
      <c r="AM98" s="6">
        <v>0</v>
      </c>
      <c r="AN98" s="6">
        <v>16.5</v>
      </c>
      <c r="AO98" s="6">
        <v>29.9555556</v>
      </c>
      <c r="AQ98" s="2" t="s">
        <v>87</v>
      </c>
      <c r="AR98" s="6">
        <v>0</v>
      </c>
      <c r="AS98" s="6">
        <v>0</v>
      </c>
      <c r="AT98" s="6">
        <v>0</v>
      </c>
      <c r="AU98" s="6">
        <v>0</v>
      </c>
      <c r="AV98" s="6">
        <v>0</v>
      </c>
    </row>
    <row r="99" spans="5:48" x14ac:dyDescent="0.25">
      <c r="E99" s="2" t="s">
        <v>88</v>
      </c>
      <c r="F99" s="6">
        <v>0</v>
      </c>
      <c r="G99" s="6">
        <v>16</v>
      </c>
      <c r="H99" s="6">
        <v>40</v>
      </c>
      <c r="I99" s="6">
        <v>13</v>
      </c>
      <c r="J99" s="6">
        <v>32</v>
      </c>
      <c r="M99" s="2" t="s">
        <v>88</v>
      </c>
      <c r="N99" s="6">
        <v>10.0591992589</v>
      </c>
      <c r="O99" s="6">
        <v>0</v>
      </c>
      <c r="P99" s="6">
        <v>0</v>
      </c>
      <c r="Q99" s="6">
        <v>0</v>
      </c>
      <c r="R99" s="6">
        <v>0</v>
      </c>
      <c r="U99" s="2" t="s">
        <v>88</v>
      </c>
      <c r="V99" s="6">
        <v>89.940800741199993</v>
      </c>
      <c r="W99" s="6">
        <v>55</v>
      </c>
      <c r="X99" s="6">
        <v>20</v>
      </c>
      <c r="Y99" s="6">
        <v>55</v>
      </c>
      <c r="Z99" s="6">
        <v>20</v>
      </c>
      <c r="AC99" s="2" t="s">
        <v>88</v>
      </c>
      <c r="AD99" s="6">
        <v>0</v>
      </c>
      <c r="AE99" s="6">
        <v>12</v>
      </c>
      <c r="AF99" s="6">
        <v>32</v>
      </c>
      <c r="AG99" s="6">
        <v>15</v>
      </c>
      <c r="AH99" s="6">
        <v>40</v>
      </c>
      <c r="AJ99" s="2" t="s">
        <v>88</v>
      </c>
      <c r="AK99" s="6">
        <v>0</v>
      </c>
      <c r="AL99" s="6">
        <v>8</v>
      </c>
      <c r="AM99" s="6">
        <v>4</v>
      </c>
      <c r="AN99" s="6">
        <v>8</v>
      </c>
      <c r="AO99" s="6">
        <v>4</v>
      </c>
      <c r="AQ99" s="2" t="s">
        <v>88</v>
      </c>
      <c r="AR99" s="6">
        <v>0</v>
      </c>
      <c r="AS99" s="6">
        <v>9</v>
      </c>
      <c r="AT99" s="6">
        <v>4</v>
      </c>
      <c r="AU99" s="6">
        <v>9</v>
      </c>
      <c r="AV99" s="6">
        <v>4</v>
      </c>
    </row>
    <row r="100" spans="5:48" x14ac:dyDescent="0.25">
      <c r="E100" s="2" t="s">
        <v>89</v>
      </c>
      <c r="F100" s="6">
        <v>0</v>
      </c>
      <c r="G100" s="6">
        <v>70</v>
      </c>
      <c r="H100" s="6">
        <v>87</v>
      </c>
      <c r="I100" s="6">
        <v>40</v>
      </c>
      <c r="J100" s="6">
        <v>85</v>
      </c>
      <c r="M100" s="2" t="s">
        <v>89</v>
      </c>
      <c r="N100" s="6">
        <v>1.4068470719999999</v>
      </c>
      <c r="O100" s="6">
        <v>0</v>
      </c>
      <c r="P100" s="6">
        <v>13</v>
      </c>
      <c r="Q100" s="6">
        <v>0</v>
      </c>
      <c r="R100" s="6">
        <v>0</v>
      </c>
      <c r="U100" s="2" t="s">
        <v>89</v>
      </c>
      <c r="V100" s="6">
        <v>98.587575912399998</v>
      </c>
      <c r="W100" s="6">
        <v>18</v>
      </c>
      <c r="X100" s="6">
        <v>0</v>
      </c>
      <c r="Y100" s="6">
        <v>20</v>
      </c>
      <c r="Z100" s="6">
        <v>0</v>
      </c>
      <c r="AC100" s="2" t="s">
        <v>89</v>
      </c>
      <c r="AD100" s="6">
        <v>0</v>
      </c>
      <c r="AE100" s="6">
        <v>0</v>
      </c>
      <c r="AF100" s="6">
        <v>0</v>
      </c>
      <c r="AG100" s="6">
        <v>15</v>
      </c>
      <c r="AH100" s="6">
        <v>15</v>
      </c>
      <c r="AJ100" s="2" t="s">
        <v>89</v>
      </c>
      <c r="AK100" s="6">
        <v>5.5770157000000001E-3</v>
      </c>
      <c r="AL100" s="6">
        <v>0</v>
      </c>
      <c r="AM100" s="6">
        <v>0</v>
      </c>
      <c r="AN100" s="6">
        <v>0</v>
      </c>
      <c r="AO100" s="6">
        <v>0</v>
      </c>
      <c r="AQ100" s="2" t="s">
        <v>89</v>
      </c>
      <c r="AR100" s="6">
        <v>0</v>
      </c>
      <c r="AS100" s="6">
        <v>12</v>
      </c>
      <c r="AT100" s="6">
        <v>0</v>
      </c>
      <c r="AU100" s="6">
        <v>25</v>
      </c>
      <c r="AV100" s="6">
        <v>0</v>
      </c>
    </row>
    <row r="101" spans="5:48" x14ac:dyDescent="0.25">
      <c r="E101" s="2" t="s">
        <v>90</v>
      </c>
      <c r="F101" s="6">
        <v>0</v>
      </c>
      <c r="G101" s="6">
        <v>26.5</v>
      </c>
      <c r="H101" s="6">
        <v>61.092450040000003</v>
      </c>
      <c r="I101" s="6">
        <v>0</v>
      </c>
      <c r="J101" s="6">
        <v>2.7777778</v>
      </c>
      <c r="M101" s="2" t="s">
        <v>90</v>
      </c>
      <c r="N101" s="6">
        <v>2.7247464368999998</v>
      </c>
      <c r="O101" s="6">
        <v>0</v>
      </c>
      <c r="P101" s="6">
        <v>0</v>
      </c>
      <c r="Q101" s="6">
        <v>0</v>
      </c>
      <c r="R101" s="6">
        <v>0</v>
      </c>
      <c r="U101" s="2" t="s">
        <v>90</v>
      </c>
      <c r="V101" s="6">
        <v>97.241254292999997</v>
      </c>
      <c r="W101" s="6">
        <v>63.2</v>
      </c>
      <c r="X101" s="6">
        <v>15.931109559999999</v>
      </c>
      <c r="Y101" s="6">
        <v>39.814814800000001</v>
      </c>
      <c r="Z101" s="6">
        <v>0</v>
      </c>
      <c r="AC101" s="2" t="s">
        <v>90</v>
      </c>
      <c r="AD101" s="6">
        <v>0</v>
      </c>
      <c r="AE101" s="6">
        <v>8.3000000000000007</v>
      </c>
      <c r="AF101" s="6">
        <v>20.67879636</v>
      </c>
      <c r="AG101" s="6">
        <v>29.629629600000001</v>
      </c>
      <c r="AH101" s="6">
        <v>50.925925900000003</v>
      </c>
      <c r="AJ101" s="2" t="s">
        <v>90</v>
      </c>
      <c r="AK101" s="6">
        <v>3.3999270200000001E-2</v>
      </c>
      <c r="AL101" s="6">
        <v>2</v>
      </c>
      <c r="AM101" s="6">
        <v>2.2976440400999998</v>
      </c>
      <c r="AN101" s="6">
        <v>15.7407407</v>
      </c>
      <c r="AO101" s="6">
        <v>25</v>
      </c>
      <c r="AQ101" s="2" t="s">
        <v>90</v>
      </c>
      <c r="AR101" s="6">
        <v>0</v>
      </c>
      <c r="AS101" s="6">
        <v>0</v>
      </c>
      <c r="AT101" s="6">
        <v>0</v>
      </c>
      <c r="AU101" s="6">
        <v>14.8148149</v>
      </c>
      <c r="AV101" s="6">
        <v>21.2962963001</v>
      </c>
    </row>
    <row r="102" spans="5:48" x14ac:dyDescent="0.25">
      <c r="E102" s="2" t="s">
        <v>91</v>
      </c>
      <c r="F102" s="6">
        <v>6.3330000000000002E-6</v>
      </c>
      <c r="G102" s="6">
        <v>38.9</v>
      </c>
      <c r="H102" s="6">
        <v>68</v>
      </c>
      <c r="I102" s="6">
        <v>30</v>
      </c>
      <c r="J102" s="6">
        <v>47</v>
      </c>
      <c r="M102" s="2" t="s">
        <v>91</v>
      </c>
      <c r="N102" s="6">
        <v>2.7782810823999999</v>
      </c>
      <c r="O102" s="6">
        <v>0</v>
      </c>
      <c r="P102" s="6">
        <v>0</v>
      </c>
      <c r="Q102" s="6">
        <v>0</v>
      </c>
      <c r="R102" s="6">
        <v>0</v>
      </c>
      <c r="U102" s="2" t="s">
        <v>91</v>
      </c>
      <c r="V102" s="6">
        <v>97.204336853499996</v>
      </c>
      <c r="W102" s="6">
        <v>37.4</v>
      </c>
      <c r="X102" s="6">
        <v>0</v>
      </c>
      <c r="Y102" s="6">
        <v>35</v>
      </c>
      <c r="Z102" s="6">
        <v>3</v>
      </c>
      <c r="AC102" s="2" t="s">
        <v>91</v>
      </c>
      <c r="AD102" s="6">
        <v>0</v>
      </c>
      <c r="AE102" s="6">
        <v>6.7</v>
      </c>
      <c r="AF102" s="6">
        <v>10</v>
      </c>
      <c r="AG102" s="6">
        <v>10</v>
      </c>
      <c r="AH102" s="6">
        <v>15</v>
      </c>
      <c r="AJ102" s="2" t="s">
        <v>91</v>
      </c>
      <c r="AK102" s="6">
        <v>1.7375731299999999E-2</v>
      </c>
      <c r="AL102" s="6">
        <v>12</v>
      </c>
      <c r="AM102" s="6">
        <v>15</v>
      </c>
      <c r="AN102" s="6">
        <v>18</v>
      </c>
      <c r="AO102" s="6">
        <v>23</v>
      </c>
      <c r="AQ102" s="2" t="s">
        <v>91</v>
      </c>
      <c r="AR102" s="6">
        <v>0</v>
      </c>
      <c r="AS102" s="6">
        <v>5</v>
      </c>
      <c r="AT102" s="6">
        <v>7</v>
      </c>
      <c r="AU102" s="6">
        <v>7</v>
      </c>
      <c r="AV102" s="6">
        <v>12</v>
      </c>
    </row>
    <row r="103" spans="5:48" x14ac:dyDescent="0.25">
      <c r="E103" s="2" t="s">
        <v>93</v>
      </c>
      <c r="F103" s="6">
        <v>0</v>
      </c>
      <c r="G103" s="6">
        <v>15.5</v>
      </c>
      <c r="H103" s="6">
        <v>44</v>
      </c>
      <c r="I103" s="6">
        <v>3.7037037000000002</v>
      </c>
      <c r="J103" s="6">
        <v>7.4074074000000003</v>
      </c>
      <c r="M103" s="2" t="s">
        <v>93</v>
      </c>
      <c r="N103" s="6">
        <v>21.706774422100001</v>
      </c>
      <c r="O103" s="6">
        <v>0</v>
      </c>
      <c r="P103" s="6">
        <v>0</v>
      </c>
      <c r="Q103" s="6">
        <v>0</v>
      </c>
      <c r="R103" s="6">
        <v>0</v>
      </c>
      <c r="U103" s="2" t="s">
        <v>93</v>
      </c>
      <c r="V103" s="6">
        <v>78.278268463299995</v>
      </c>
      <c r="W103" s="6">
        <v>54.5</v>
      </c>
      <c r="X103" s="6">
        <v>9</v>
      </c>
      <c r="Y103" s="6">
        <v>18.518518499999999</v>
      </c>
      <c r="Z103" s="6">
        <v>0</v>
      </c>
      <c r="AC103" s="2" t="s">
        <v>93</v>
      </c>
      <c r="AD103" s="6">
        <v>0</v>
      </c>
      <c r="AE103" s="6">
        <v>25</v>
      </c>
      <c r="AF103" s="6">
        <v>39</v>
      </c>
      <c r="AG103" s="6">
        <v>35.185185199999999</v>
      </c>
      <c r="AH103" s="6">
        <v>87.037036999999998</v>
      </c>
      <c r="AJ103" s="2" t="s">
        <v>93</v>
      </c>
      <c r="AK103" s="6">
        <v>1.4957114699999999E-2</v>
      </c>
      <c r="AL103" s="6">
        <v>5</v>
      </c>
      <c r="AM103" s="6">
        <v>8</v>
      </c>
      <c r="AN103" s="6">
        <v>42.592592600099998</v>
      </c>
      <c r="AO103" s="6">
        <v>5.5555555999999999</v>
      </c>
      <c r="AQ103" s="2" t="s">
        <v>93</v>
      </c>
      <c r="AR103" s="6">
        <v>0</v>
      </c>
      <c r="AS103" s="6">
        <v>0</v>
      </c>
      <c r="AT103" s="6">
        <v>0</v>
      </c>
      <c r="AU103" s="6">
        <v>0</v>
      </c>
      <c r="AV103" s="6">
        <v>0</v>
      </c>
    </row>
    <row r="104" spans="5:48" x14ac:dyDescent="0.25">
      <c r="E104" s="2" t="s">
        <v>94</v>
      </c>
      <c r="F104" s="6">
        <v>0</v>
      </c>
      <c r="G104" s="6">
        <v>5</v>
      </c>
      <c r="H104" s="6">
        <v>30</v>
      </c>
      <c r="I104" s="6">
        <v>0</v>
      </c>
      <c r="J104" s="6">
        <v>0</v>
      </c>
      <c r="M104" s="2" t="s">
        <v>94</v>
      </c>
      <c r="N104" s="6">
        <v>0.93513539909999999</v>
      </c>
      <c r="O104" s="6">
        <v>0</v>
      </c>
      <c r="P104" s="6">
        <v>0</v>
      </c>
      <c r="Q104" s="6">
        <v>0</v>
      </c>
      <c r="R104" s="6">
        <v>0</v>
      </c>
      <c r="U104" s="2" t="s">
        <v>94</v>
      </c>
      <c r="V104" s="6">
        <v>99.060656960000003</v>
      </c>
      <c r="W104" s="6">
        <v>91.35</v>
      </c>
      <c r="X104" s="6">
        <v>51</v>
      </c>
      <c r="Y104" s="6">
        <v>91</v>
      </c>
      <c r="Z104" s="6">
        <v>39.5</v>
      </c>
      <c r="AC104" s="2" t="s">
        <v>94</v>
      </c>
      <c r="AD104" s="6">
        <v>0</v>
      </c>
      <c r="AE104" s="6">
        <v>0</v>
      </c>
      <c r="AF104" s="6">
        <v>1</v>
      </c>
      <c r="AG104" s="6">
        <v>7</v>
      </c>
      <c r="AH104" s="6">
        <v>15</v>
      </c>
      <c r="AJ104" s="2" t="s">
        <v>94</v>
      </c>
      <c r="AK104" s="6">
        <v>4.2076409999999998E-3</v>
      </c>
      <c r="AL104" s="6">
        <v>3.65</v>
      </c>
      <c r="AM104" s="6">
        <v>18</v>
      </c>
      <c r="AN104" s="6">
        <v>2</v>
      </c>
      <c r="AO104" s="6">
        <v>45.5</v>
      </c>
      <c r="AQ104" s="2" t="s">
        <v>94</v>
      </c>
      <c r="AR104" s="6">
        <v>0</v>
      </c>
      <c r="AS104" s="6">
        <v>0</v>
      </c>
      <c r="AT104" s="6">
        <v>0</v>
      </c>
      <c r="AU104" s="6">
        <v>0</v>
      </c>
      <c r="AV104" s="6">
        <v>0</v>
      </c>
    </row>
    <row r="105" spans="5:48" x14ac:dyDescent="0.25">
      <c r="E105" s="2" t="s">
        <v>95</v>
      </c>
      <c r="F105" s="6">
        <v>0</v>
      </c>
      <c r="G105" s="6">
        <v>18</v>
      </c>
      <c r="H105" s="6">
        <v>44</v>
      </c>
      <c r="I105" s="6">
        <v>5</v>
      </c>
      <c r="J105" s="6">
        <v>10</v>
      </c>
      <c r="M105" s="2" t="s">
        <v>95</v>
      </c>
      <c r="N105" s="6">
        <v>1.8940182101</v>
      </c>
      <c r="O105" s="6">
        <v>0</v>
      </c>
      <c r="P105" s="6">
        <v>0</v>
      </c>
      <c r="Q105" s="6">
        <v>0</v>
      </c>
      <c r="R105" s="6">
        <v>0</v>
      </c>
      <c r="U105" s="2" t="s">
        <v>95</v>
      </c>
      <c r="V105" s="6">
        <v>98.071702530400003</v>
      </c>
      <c r="W105" s="6">
        <v>52</v>
      </c>
      <c r="X105" s="6">
        <v>9</v>
      </c>
      <c r="Y105" s="6">
        <v>53.5</v>
      </c>
      <c r="Z105" s="6">
        <v>28</v>
      </c>
      <c r="AC105" s="2" t="s">
        <v>95</v>
      </c>
      <c r="AD105" s="6">
        <v>0</v>
      </c>
      <c r="AE105" s="6">
        <v>25</v>
      </c>
      <c r="AF105" s="6">
        <v>39</v>
      </c>
      <c r="AG105" s="6">
        <v>31</v>
      </c>
      <c r="AH105" s="6">
        <v>46</v>
      </c>
      <c r="AJ105" s="2" t="s">
        <v>95</v>
      </c>
      <c r="AK105" s="6">
        <v>3.42792596E-2</v>
      </c>
      <c r="AL105" s="6">
        <v>5</v>
      </c>
      <c r="AM105" s="6">
        <v>8</v>
      </c>
      <c r="AN105" s="6">
        <v>10.5</v>
      </c>
      <c r="AO105" s="6">
        <v>16</v>
      </c>
      <c r="AQ105" s="2" t="s">
        <v>95</v>
      </c>
      <c r="AR105" s="6">
        <v>0</v>
      </c>
      <c r="AS105" s="6">
        <v>0</v>
      </c>
      <c r="AT105" s="6">
        <v>0</v>
      </c>
      <c r="AU105" s="6">
        <v>0</v>
      </c>
      <c r="AV105" s="6">
        <v>0</v>
      </c>
    </row>
    <row r="106" spans="5:48" x14ac:dyDescent="0.25">
      <c r="E106" s="2" t="s">
        <v>96</v>
      </c>
      <c r="F106" s="6">
        <v>0</v>
      </c>
      <c r="G106" s="6">
        <v>73</v>
      </c>
      <c r="H106" s="6">
        <v>62</v>
      </c>
      <c r="I106" s="6">
        <v>11</v>
      </c>
      <c r="J106" s="6">
        <v>30</v>
      </c>
      <c r="M106" s="2" t="s">
        <v>96</v>
      </c>
      <c r="N106" s="6">
        <v>5.0199296499999997E-2</v>
      </c>
      <c r="O106" s="6">
        <v>0</v>
      </c>
      <c r="P106" s="6">
        <v>0</v>
      </c>
      <c r="Q106" s="6">
        <v>0</v>
      </c>
      <c r="R106" s="6">
        <v>0</v>
      </c>
      <c r="U106" s="2" t="s">
        <v>96</v>
      </c>
      <c r="V106" s="6">
        <v>99.949800703600005</v>
      </c>
      <c r="W106" s="6">
        <v>0</v>
      </c>
      <c r="X106" s="6">
        <v>0</v>
      </c>
      <c r="Y106" s="6">
        <v>30</v>
      </c>
      <c r="Z106" s="6">
        <v>0</v>
      </c>
      <c r="AC106" s="2" t="s">
        <v>96</v>
      </c>
      <c r="AD106" s="6">
        <v>0</v>
      </c>
      <c r="AE106" s="6">
        <v>12</v>
      </c>
      <c r="AF106" s="6">
        <v>23</v>
      </c>
      <c r="AG106" s="6">
        <v>44</v>
      </c>
      <c r="AH106" s="6">
        <v>55</v>
      </c>
      <c r="AJ106" s="2" t="s">
        <v>96</v>
      </c>
      <c r="AK106" s="6">
        <v>0</v>
      </c>
      <c r="AL106" s="6">
        <v>0</v>
      </c>
      <c r="AM106" s="6">
        <v>0</v>
      </c>
      <c r="AN106" s="6">
        <v>0</v>
      </c>
      <c r="AO106" s="6">
        <v>0</v>
      </c>
      <c r="AQ106" s="2" t="s">
        <v>96</v>
      </c>
      <c r="AR106" s="6">
        <v>0</v>
      </c>
      <c r="AS106" s="6">
        <v>15</v>
      </c>
      <c r="AT106" s="6">
        <v>15</v>
      </c>
      <c r="AU106" s="6">
        <v>15</v>
      </c>
      <c r="AV106" s="6">
        <v>15</v>
      </c>
    </row>
    <row r="107" spans="5:48" x14ac:dyDescent="0.25">
      <c r="E107" s="2" t="s">
        <v>98</v>
      </c>
      <c r="F107" s="6">
        <v>0</v>
      </c>
      <c r="G107" s="6">
        <v>18.989999999999998</v>
      </c>
      <c r="H107" s="6">
        <v>48</v>
      </c>
      <c r="I107" s="6">
        <v>12</v>
      </c>
      <c r="J107" s="6">
        <v>27</v>
      </c>
      <c r="M107" s="2" t="s">
        <v>98</v>
      </c>
      <c r="N107" s="6">
        <v>3.3036715498999998</v>
      </c>
      <c r="O107" s="6">
        <v>0</v>
      </c>
      <c r="P107" s="6">
        <v>0</v>
      </c>
      <c r="Q107" s="6">
        <v>0</v>
      </c>
      <c r="R107" s="6">
        <v>0</v>
      </c>
      <c r="U107" s="2" t="s">
        <v>98</v>
      </c>
      <c r="V107" s="6">
        <v>96.686549408399998</v>
      </c>
      <c r="W107" s="6">
        <v>20</v>
      </c>
      <c r="X107" s="6">
        <v>4.99</v>
      </c>
      <c r="Y107" s="6">
        <v>19</v>
      </c>
      <c r="Z107" s="6">
        <v>5</v>
      </c>
      <c r="AC107" s="2" t="s">
        <v>98</v>
      </c>
      <c r="AD107" s="6">
        <v>0</v>
      </c>
      <c r="AE107" s="6">
        <v>20</v>
      </c>
      <c r="AF107" s="6">
        <v>25</v>
      </c>
      <c r="AG107" s="6">
        <v>21</v>
      </c>
      <c r="AH107" s="6">
        <v>35</v>
      </c>
      <c r="AJ107" s="2" t="s">
        <v>98</v>
      </c>
      <c r="AK107" s="6">
        <v>9.7790419999999999E-3</v>
      </c>
      <c r="AL107" s="6">
        <v>0.01</v>
      </c>
      <c r="AM107" s="6">
        <v>0.01</v>
      </c>
      <c r="AN107" s="6">
        <v>0</v>
      </c>
      <c r="AO107" s="6">
        <v>0</v>
      </c>
      <c r="AQ107" s="2" t="s">
        <v>98</v>
      </c>
      <c r="AR107" s="6">
        <v>0</v>
      </c>
      <c r="AS107" s="6">
        <v>41</v>
      </c>
      <c r="AT107" s="6">
        <v>22</v>
      </c>
      <c r="AU107" s="6">
        <v>48</v>
      </c>
      <c r="AV107" s="6">
        <v>33</v>
      </c>
    </row>
    <row r="108" spans="5:48" x14ac:dyDescent="0.25">
      <c r="E108" s="2" t="s">
        <v>99</v>
      </c>
      <c r="F108" s="6">
        <v>0</v>
      </c>
      <c r="G108" s="6">
        <v>18</v>
      </c>
      <c r="H108" s="6">
        <v>44</v>
      </c>
      <c r="I108" s="6">
        <v>5</v>
      </c>
      <c r="J108" s="6">
        <v>10</v>
      </c>
      <c r="M108" s="2" t="s">
        <v>99</v>
      </c>
      <c r="N108" s="6">
        <v>0.47605515859999997</v>
      </c>
      <c r="O108" s="6">
        <v>0</v>
      </c>
      <c r="P108" s="6">
        <v>0</v>
      </c>
      <c r="Q108" s="6">
        <v>0</v>
      </c>
      <c r="R108" s="6">
        <v>0</v>
      </c>
      <c r="U108" s="2" t="s">
        <v>99</v>
      </c>
      <c r="V108" s="6">
        <v>99.522267018799994</v>
      </c>
      <c r="W108" s="6">
        <v>52</v>
      </c>
      <c r="X108" s="6">
        <v>9</v>
      </c>
      <c r="Y108" s="6">
        <v>53.5</v>
      </c>
      <c r="Z108" s="6">
        <v>28</v>
      </c>
      <c r="AC108" s="2" t="s">
        <v>99</v>
      </c>
      <c r="AD108" s="6">
        <v>0</v>
      </c>
      <c r="AE108" s="6">
        <v>25</v>
      </c>
      <c r="AF108" s="6">
        <v>39</v>
      </c>
      <c r="AG108" s="6">
        <v>31</v>
      </c>
      <c r="AH108" s="6">
        <v>46</v>
      </c>
      <c r="AJ108" s="2" t="s">
        <v>99</v>
      </c>
      <c r="AK108" s="6">
        <v>1.6778227000000001E-3</v>
      </c>
      <c r="AL108" s="6">
        <v>5</v>
      </c>
      <c r="AM108" s="6">
        <v>8</v>
      </c>
      <c r="AN108" s="6">
        <v>10.5</v>
      </c>
      <c r="AO108" s="6">
        <v>16</v>
      </c>
      <c r="AQ108" s="2" t="s">
        <v>99</v>
      </c>
      <c r="AR108" s="6">
        <v>0</v>
      </c>
      <c r="AS108" s="6">
        <v>0</v>
      </c>
      <c r="AT108" s="6">
        <v>0</v>
      </c>
      <c r="AU108" s="6">
        <v>0</v>
      </c>
      <c r="AV108" s="6">
        <v>0</v>
      </c>
    </row>
    <row r="109" spans="5:48" x14ac:dyDescent="0.25">
      <c r="E109" s="2" t="s">
        <v>100</v>
      </c>
      <c r="F109" s="6">
        <v>0</v>
      </c>
      <c r="G109" s="6">
        <v>69.992592599999995</v>
      </c>
      <c r="H109" s="6">
        <v>79.129629600000001</v>
      </c>
      <c r="I109" s="6">
        <v>83</v>
      </c>
      <c r="J109" s="6">
        <v>79.629629600000001</v>
      </c>
      <c r="M109" s="2" t="s">
        <v>100</v>
      </c>
      <c r="N109" s="6">
        <v>0.1267914923</v>
      </c>
      <c r="O109" s="6">
        <v>0</v>
      </c>
      <c r="P109" s="6">
        <v>0</v>
      </c>
      <c r="Q109" s="6">
        <v>0</v>
      </c>
      <c r="R109" s="6">
        <v>0</v>
      </c>
      <c r="U109" s="2" t="s">
        <v>100</v>
      </c>
      <c r="V109" s="6">
        <v>99.873208507800001</v>
      </c>
      <c r="W109" s="6">
        <v>15.033333300000001</v>
      </c>
      <c r="X109" s="6">
        <v>0.5</v>
      </c>
      <c r="Y109" s="6">
        <v>10</v>
      </c>
      <c r="Z109" s="6">
        <v>0</v>
      </c>
      <c r="AC109" s="2" t="s">
        <v>100</v>
      </c>
      <c r="AD109" s="6">
        <v>0</v>
      </c>
      <c r="AE109" s="6">
        <v>14.974074099999999</v>
      </c>
      <c r="AF109" s="6">
        <v>20.370370399999999</v>
      </c>
      <c r="AG109" s="6">
        <v>7</v>
      </c>
      <c r="AH109" s="6">
        <v>20.370370399999999</v>
      </c>
      <c r="AJ109" s="2" t="s">
        <v>100</v>
      </c>
      <c r="AK109" s="6">
        <v>0</v>
      </c>
      <c r="AL109" s="6">
        <v>0</v>
      </c>
      <c r="AM109" s="6">
        <v>0</v>
      </c>
      <c r="AN109" s="6">
        <v>0</v>
      </c>
      <c r="AO109" s="6">
        <v>0</v>
      </c>
      <c r="AQ109" s="2" t="s">
        <v>100</v>
      </c>
      <c r="AR109" s="6">
        <v>0</v>
      </c>
      <c r="AS109" s="6">
        <v>0</v>
      </c>
      <c r="AT109" s="6">
        <v>0</v>
      </c>
      <c r="AU109" s="6">
        <v>0</v>
      </c>
      <c r="AV109" s="6">
        <v>0</v>
      </c>
    </row>
    <row r="110" spans="5:48" x14ac:dyDescent="0.25">
      <c r="E110" s="2" t="s">
        <v>101</v>
      </c>
      <c r="F110" s="6">
        <v>0</v>
      </c>
      <c r="G110" s="6">
        <v>18</v>
      </c>
      <c r="H110" s="6">
        <v>44</v>
      </c>
      <c r="I110" s="6">
        <v>5</v>
      </c>
      <c r="J110" s="6">
        <v>10</v>
      </c>
      <c r="M110" s="2" t="s">
        <v>101</v>
      </c>
      <c r="N110" s="6">
        <v>0.64800661849999996</v>
      </c>
      <c r="O110" s="6">
        <v>0</v>
      </c>
      <c r="P110" s="6">
        <v>0</v>
      </c>
      <c r="Q110" s="6">
        <v>0</v>
      </c>
      <c r="R110" s="6">
        <v>0</v>
      </c>
      <c r="U110" s="2" t="s">
        <v>101</v>
      </c>
      <c r="V110" s="6">
        <v>99.350593394800001</v>
      </c>
      <c r="W110" s="6">
        <v>52</v>
      </c>
      <c r="X110" s="6">
        <v>9</v>
      </c>
      <c r="Y110" s="6">
        <v>53.5</v>
      </c>
      <c r="Z110" s="6">
        <v>28</v>
      </c>
      <c r="AC110" s="2" t="s">
        <v>101</v>
      </c>
      <c r="AD110" s="6">
        <v>0</v>
      </c>
      <c r="AE110" s="6">
        <v>25</v>
      </c>
      <c r="AF110" s="6">
        <v>39</v>
      </c>
      <c r="AG110" s="6">
        <v>31</v>
      </c>
      <c r="AH110" s="6">
        <v>46</v>
      </c>
      <c r="AJ110" s="2" t="s">
        <v>101</v>
      </c>
      <c r="AK110" s="6">
        <v>1.3999869000000001E-3</v>
      </c>
      <c r="AL110" s="6">
        <v>5</v>
      </c>
      <c r="AM110" s="6">
        <v>8</v>
      </c>
      <c r="AN110" s="6">
        <v>10.5</v>
      </c>
      <c r="AO110" s="6">
        <v>16</v>
      </c>
      <c r="AQ110" s="2" t="s">
        <v>101</v>
      </c>
      <c r="AR110" s="6">
        <v>0</v>
      </c>
      <c r="AS110" s="6">
        <v>0</v>
      </c>
      <c r="AT110" s="6">
        <v>0</v>
      </c>
      <c r="AU110" s="6">
        <v>0</v>
      </c>
      <c r="AV110" s="6">
        <v>0</v>
      </c>
    </row>
    <row r="111" spans="5:48" x14ac:dyDescent="0.25">
      <c r="E111" s="2" t="s">
        <v>102</v>
      </c>
      <c r="F111" s="6">
        <v>0</v>
      </c>
      <c r="G111" s="6">
        <v>9.3000000000000007</v>
      </c>
      <c r="H111" s="6">
        <v>44</v>
      </c>
      <c r="I111" s="6">
        <v>9.3000000000000007</v>
      </c>
      <c r="J111" s="6">
        <v>54</v>
      </c>
      <c r="M111" s="2" t="s">
        <v>102</v>
      </c>
      <c r="N111" s="6">
        <v>7.5673320799999999</v>
      </c>
      <c r="O111" s="6">
        <v>0.4</v>
      </c>
      <c r="P111" s="6">
        <v>0</v>
      </c>
      <c r="Q111" s="6">
        <v>0.4</v>
      </c>
      <c r="R111" s="6">
        <v>0</v>
      </c>
      <c r="U111" s="2" t="s">
        <v>102</v>
      </c>
      <c r="V111" s="6">
        <v>92.432667920100002</v>
      </c>
      <c r="W111" s="6">
        <v>89</v>
      </c>
      <c r="X111" s="6">
        <v>9</v>
      </c>
      <c r="Y111" s="6">
        <v>89</v>
      </c>
      <c r="Z111" s="6">
        <v>9</v>
      </c>
      <c r="AC111" s="2" t="s">
        <v>102</v>
      </c>
      <c r="AD111" s="6">
        <v>0</v>
      </c>
      <c r="AE111" s="6">
        <v>0</v>
      </c>
      <c r="AF111" s="6">
        <v>39</v>
      </c>
      <c r="AG111" s="6">
        <v>0</v>
      </c>
      <c r="AH111" s="6">
        <v>29</v>
      </c>
      <c r="AJ111" s="2" t="s">
        <v>102</v>
      </c>
      <c r="AK111" s="6">
        <v>0</v>
      </c>
      <c r="AL111" s="6">
        <v>1.3</v>
      </c>
      <c r="AM111" s="6">
        <v>8</v>
      </c>
      <c r="AN111" s="6">
        <v>1.3</v>
      </c>
      <c r="AO111" s="6">
        <v>8</v>
      </c>
      <c r="AQ111" s="2" t="s">
        <v>102</v>
      </c>
      <c r="AR111" s="6">
        <v>0</v>
      </c>
      <c r="AS111" s="6">
        <v>0</v>
      </c>
      <c r="AT111" s="6">
        <v>0</v>
      </c>
      <c r="AU111" s="6">
        <v>0</v>
      </c>
      <c r="AV111" s="6">
        <v>0</v>
      </c>
    </row>
    <row r="112" spans="5:48" x14ac:dyDescent="0.25">
      <c r="E112" s="2" t="s">
        <v>103</v>
      </c>
      <c r="F112" s="6">
        <v>0.1010934066</v>
      </c>
      <c r="G112" s="6">
        <v>66.59</v>
      </c>
      <c r="H112" s="6">
        <v>75</v>
      </c>
      <c r="I112" s="6">
        <v>27.27</v>
      </c>
      <c r="J112" s="6">
        <v>30</v>
      </c>
      <c r="M112" s="2" t="s">
        <v>103</v>
      </c>
      <c r="N112" s="6">
        <v>0</v>
      </c>
      <c r="O112" s="6">
        <v>0</v>
      </c>
      <c r="P112" s="6">
        <v>0</v>
      </c>
      <c r="Q112" s="6">
        <v>0</v>
      </c>
      <c r="R112" s="6">
        <v>0</v>
      </c>
      <c r="U112" s="2" t="s">
        <v>103</v>
      </c>
      <c r="V112" s="6">
        <v>99.898906593500001</v>
      </c>
      <c r="W112" s="6">
        <v>20.88</v>
      </c>
      <c r="X112" s="6">
        <v>0</v>
      </c>
      <c r="Y112" s="6">
        <v>32.22</v>
      </c>
      <c r="Z112" s="6">
        <v>20</v>
      </c>
      <c r="AC112" s="2" t="s">
        <v>103</v>
      </c>
      <c r="AD112" s="6">
        <v>0</v>
      </c>
      <c r="AE112" s="6">
        <v>12.53</v>
      </c>
      <c r="AF112" s="6">
        <v>25</v>
      </c>
      <c r="AG112" s="6">
        <v>40.51</v>
      </c>
      <c r="AH112" s="6">
        <v>50</v>
      </c>
      <c r="AJ112" s="2" t="s">
        <v>103</v>
      </c>
      <c r="AK112" s="6">
        <v>0</v>
      </c>
      <c r="AL112" s="6">
        <v>0</v>
      </c>
      <c r="AM112" s="6">
        <v>0</v>
      </c>
      <c r="AN112" s="6">
        <v>0</v>
      </c>
      <c r="AO112" s="6">
        <v>0</v>
      </c>
      <c r="AQ112" s="2" t="s">
        <v>103</v>
      </c>
      <c r="AR112" s="6">
        <v>0</v>
      </c>
      <c r="AS112" s="6">
        <v>0</v>
      </c>
      <c r="AT112" s="6">
        <v>0</v>
      </c>
      <c r="AU112" s="6">
        <v>0</v>
      </c>
      <c r="AV112" s="6">
        <v>0</v>
      </c>
    </row>
    <row r="113" spans="4:48" x14ac:dyDescent="0.25">
      <c r="E113" s="2" t="s">
        <v>105</v>
      </c>
      <c r="F113" s="6">
        <v>7.0437E-6</v>
      </c>
      <c r="G113" s="6">
        <v>21</v>
      </c>
      <c r="H113" s="6">
        <v>50</v>
      </c>
      <c r="I113" s="6">
        <v>3.5</v>
      </c>
      <c r="J113" s="6">
        <v>9</v>
      </c>
      <c r="M113" s="2" t="s">
        <v>105</v>
      </c>
      <c r="N113" s="6">
        <v>7.9040496624000003</v>
      </c>
      <c r="O113" s="6">
        <v>0</v>
      </c>
      <c r="P113" s="6">
        <v>0</v>
      </c>
      <c r="Q113" s="6">
        <v>0</v>
      </c>
      <c r="R113" s="6">
        <v>0</v>
      </c>
      <c r="U113" s="2" t="s">
        <v>105</v>
      </c>
      <c r="V113" s="6">
        <v>92.0852089885</v>
      </c>
      <c r="W113" s="6">
        <v>55</v>
      </c>
      <c r="X113" s="6">
        <v>12.5</v>
      </c>
      <c r="Y113" s="6">
        <v>63</v>
      </c>
      <c r="Z113" s="6">
        <v>36.5</v>
      </c>
      <c r="AC113" s="2" t="s">
        <v>105</v>
      </c>
      <c r="AD113" s="6">
        <v>0</v>
      </c>
      <c r="AE113" s="6">
        <v>13.5</v>
      </c>
      <c r="AF113" s="6">
        <v>21.5</v>
      </c>
      <c r="AG113" s="6">
        <v>17</v>
      </c>
      <c r="AH113" s="6">
        <v>32.5</v>
      </c>
      <c r="AJ113" s="2" t="s">
        <v>105</v>
      </c>
      <c r="AK113" s="6">
        <v>1.0734305600000001E-2</v>
      </c>
      <c r="AL113" s="6">
        <v>10.5</v>
      </c>
      <c r="AM113" s="6">
        <v>16</v>
      </c>
      <c r="AN113" s="6">
        <v>16.5</v>
      </c>
      <c r="AO113" s="6">
        <v>22</v>
      </c>
      <c r="AQ113" s="2" t="s">
        <v>105</v>
      </c>
      <c r="AR113" s="6">
        <v>0</v>
      </c>
      <c r="AS113" s="6">
        <v>0</v>
      </c>
      <c r="AT113" s="6">
        <v>0</v>
      </c>
      <c r="AU113" s="6">
        <v>0</v>
      </c>
      <c r="AV113" s="6">
        <v>0</v>
      </c>
    </row>
    <row r="114" spans="4:48" x14ac:dyDescent="0.25">
      <c r="E114" s="2" t="s">
        <v>106</v>
      </c>
      <c r="F114" s="6">
        <v>0</v>
      </c>
      <c r="G114" s="6">
        <v>35</v>
      </c>
      <c r="H114" s="6">
        <v>70</v>
      </c>
      <c r="I114" s="6">
        <v>20</v>
      </c>
      <c r="J114" s="6">
        <v>40</v>
      </c>
      <c r="M114" s="2" t="s">
        <v>106</v>
      </c>
      <c r="N114" s="6">
        <v>0.87994233879999995</v>
      </c>
      <c r="O114" s="6">
        <v>0</v>
      </c>
      <c r="P114" s="6">
        <v>0</v>
      </c>
      <c r="Q114" s="6">
        <v>0</v>
      </c>
      <c r="R114" s="6">
        <v>0</v>
      </c>
      <c r="U114" s="2" t="s">
        <v>106</v>
      </c>
      <c r="V114" s="6">
        <v>99.114413905399999</v>
      </c>
      <c r="W114" s="6">
        <v>45</v>
      </c>
      <c r="X114" s="6">
        <v>0</v>
      </c>
      <c r="Y114" s="6">
        <v>53</v>
      </c>
      <c r="Z114" s="6">
        <v>0</v>
      </c>
      <c r="AC114" s="2" t="s">
        <v>106</v>
      </c>
      <c r="AD114" s="6">
        <v>0</v>
      </c>
      <c r="AE114" s="6">
        <v>15</v>
      </c>
      <c r="AF114" s="6">
        <v>30</v>
      </c>
      <c r="AG114" s="6">
        <v>20</v>
      </c>
      <c r="AH114" s="6">
        <v>55</v>
      </c>
      <c r="AJ114" s="2" t="s">
        <v>106</v>
      </c>
      <c r="AK114" s="6">
        <v>5.6437559000000002E-3</v>
      </c>
      <c r="AL114" s="6">
        <v>5</v>
      </c>
      <c r="AM114" s="6">
        <v>0</v>
      </c>
      <c r="AN114" s="6">
        <v>7</v>
      </c>
      <c r="AO114" s="6">
        <v>5</v>
      </c>
      <c r="AQ114" s="2" t="s">
        <v>106</v>
      </c>
      <c r="AR114" s="6">
        <v>0</v>
      </c>
      <c r="AS114" s="6">
        <v>0</v>
      </c>
      <c r="AT114" s="6">
        <v>0</v>
      </c>
      <c r="AU114" s="6">
        <v>0</v>
      </c>
      <c r="AV114" s="6">
        <v>0</v>
      </c>
    </row>
    <row r="115" spans="4:48" x14ac:dyDescent="0.25">
      <c r="E115" s="2" t="s">
        <v>107</v>
      </c>
      <c r="F115" s="6">
        <v>0</v>
      </c>
      <c r="G115" s="6">
        <v>18</v>
      </c>
      <c r="H115" s="6">
        <v>44</v>
      </c>
      <c r="I115" s="6">
        <v>5</v>
      </c>
      <c r="J115" s="6">
        <v>10</v>
      </c>
      <c r="M115" s="2" t="s">
        <v>107</v>
      </c>
      <c r="N115" s="6">
        <v>12.7671404412</v>
      </c>
      <c r="O115" s="6">
        <v>0</v>
      </c>
      <c r="P115" s="6">
        <v>0</v>
      </c>
      <c r="Q115" s="6">
        <v>0</v>
      </c>
      <c r="R115" s="6">
        <v>0</v>
      </c>
      <c r="U115" s="2" t="s">
        <v>107</v>
      </c>
      <c r="V115" s="6">
        <v>87.232859558900003</v>
      </c>
      <c r="W115" s="6">
        <v>52</v>
      </c>
      <c r="X115" s="6">
        <v>9</v>
      </c>
      <c r="Y115" s="6">
        <v>53.5</v>
      </c>
      <c r="Z115" s="6">
        <v>28</v>
      </c>
      <c r="AC115" s="2" t="s">
        <v>107</v>
      </c>
      <c r="AD115" s="6">
        <v>0</v>
      </c>
      <c r="AE115" s="6">
        <v>25</v>
      </c>
      <c r="AF115" s="6">
        <v>39</v>
      </c>
      <c r="AG115" s="6">
        <v>31</v>
      </c>
      <c r="AH115" s="6">
        <v>46</v>
      </c>
      <c r="AJ115" s="2" t="s">
        <v>107</v>
      </c>
      <c r="AK115" s="6">
        <v>0</v>
      </c>
      <c r="AL115" s="6">
        <v>5</v>
      </c>
      <c r="AM115" s="6">
        <v>8</v>
      </c>
      <c r="AN115" s="6">
        <v>10.5</v>
      </c>
      <c r="AO115" s="6">
        <v>16</v>
      </c>
      <c r="AQ115" s="2" t="s">
        <v>107</v>
      </c>
      <c r="AR115" s="6">
        <v>0</v>
      </c>
      <c r="AS115" s="6">
        <v>0</v>
      </c>
      <c r="AT115" s="6">
        <v>0</v>
      </c>
      <c r="AU115" s="6">
        <v>0</v>
      </c>
      <c r="AV115" s="6">
        <v>0</v>
      </c>
    </row>
    <row r="116" spans="4:48" x14ac:dyDescent="0.25">
      <c r="E116" s="2" t="s">
        <v>108</v>
      </c>
      <c r="F116" s="6">
        <v>0</v>
      </c>
      <c r="G116" s="6">
        <v>43</v>
      </c>
      <c r="H116" s="6">
        <v>80</v>
      </c>
      <c r="I116" s="6">
        <v>13</v>
      </c>
      <c r="J116" s="6">
        <v>9</v>
      </c>
      <c r="M116" s="2" t="s">
        <v>108</v>
      </c>
      <c r="N116" s="6">
        <v>2.8078345668</v>
      </c>
      <c r="O116" s="6">
        <v>0</v>
      </c>
      <c r="P116" s="6">
        <v>0</v>
      </c>
      <c r="Q116" s="6">
        <v>0</v>
      </c>
      <c r="R116" s="6">
        <v>0</v>
      </c>
      <c r="U116" s="2" t="s">
        <v>108</v>
      </c>
      <c r="V116" s="6">
        <v>97.185046802900004</v>
      </c>
      <c r="W116" s="6">
        <v>52</v>
      </c>
      <c r="X116" s="6">
        <v>9</v>
      </c>
      <c r="Y116" s="6">
        <v>52</v>
      </c>
      <c r="Z116" s="6">
        <v>0</v>
      </c>
      <c r="AC116" s="2" t="s">
        <v>108</v>
      </c>
      <c r="AD116" s="6">
        <v>0</v>
      </c>
      <c r="AE116" s="6">
        <v>0</v>
      </c>
      <c r="AF116" s="6">
        <v>0</v>
      </c>
      <c r="AG116" s="6">
        <v>30</v>
      </c>
      <c r="AH116" s="6">
        <v>80</v>
      </c>
      <c r="AJ116" s="2" t="s">
        <v>108</v>
      </c>
      <c r="AK116" s="6">
        <v>7.1186304000000001E-3</v>
      </c>
      <c r="AL116" s="6">
        <v>5</v>
      </c>
      <c r="AM116" s="6">
        <v>11</v>
      </c>
      <c r="AN116" s="6">
        <v>5</v>
      </c>
      <c r="AO116" s="6">
        <v>11</v>
      </c>
      <c r="AQ116" s="2" t="s">
        <v>108</v>
      </c>
      <c r="AR116" s="6">
        <v>0</v>
      </c>
      <c r="AS116" s="6">
        <v>0</v>
      </c>
      <c r="AT116" s="6">
        <v>0</v>
      </c>
      <c r="AU116" s="6">
        <v>0</v>
      </c>
      <c r="AV116" s="6">
        <v>0</v>
      </c>
    </row>
    <row r="117" spans="4:48" x14ac:dyDescent="0.25">
      <c r="E117" s="2" t="s">
        <v>109</v>
      </c>
      <c r="F117" s="6">
        <v>0</v>
      </c>
      <c r="G117" s="6">
        <v>18</v>
      </c>
      <c r="H117" s="6">
        <v>53</v>
      </c>
      <c r="I117" s="6">
        <v>5</v>
      </c>
      <c r="J117" s="6">
        <v>10</v>
      </c>
      <c r="M117" s="2" t="s">
        <v>109</v>
      </c>
      <c r="N117" s="6">
        <v>0.91194002900000004</v>
      </c>
      <c r="O117" s="6">
        <v>0</v>
      </c>
      <c r="P117" s="6">
        <v>0</v>
      </c>
      <c r="Q117" s="6">
        <v>0</v>
      </c>
      <c r="R117" s="6">
        <v>0</v>
      </c>
      <c r="U117" s="2" t="s">
        <v>109</v>
      </c>
      <c r="V117" s="6">
        <v>99.088059971099995</v>
      </c>
      <c r="W117" s="6">
        <v>52</v>
      </c>
      <c r="X117" s="6">
        <v>9</v>
      </c>
      <c r="Y117" s="6">
        <v>53.5</v>
      </c>
      <c r="Z117" s="6">
        <v>28</v>
      </c>
      <c r="AC117" s="2" t="s">
        <v>109</v>
      </c>
      <c r="AD117" s="6">
        <v>0</v>
      </c>
      <c r="AE117" s="6">
        <v>25</v>
      </c>
      <c r="AF117" s="6">
        <v>30</v>
      </c>
      <c r="AG117" s="6">
        <v>31</v>
      </c>
      <c r="AH117" s="6">
        <v>46</v>
      </c>
      <c r="AJ117" s="2" t="s">
        <v>109</v>
      </c>
      <c r="AK117" s="6">
        <v>0</v>
      </c>
      <c r="AL117" s="6">
        <v>5</v>
      </c>
      <c r="AM117" s="6">
        <v>8</v>
      </c>
      <c r="AN117" s="6">
        <v>10.5</v>
      </c>
      <c r="AO117" s="6">
        <v>16</v>
      </c>
      <c r="AQ117" s="2" t="s">
        <v>109</v>
      </c>
      <c r="AR117" s="6">
        <v>0</v>
      </c>
      <c r="AS117" s="6">
        <v>0</v>
      </c>
      <c r="AT117" s="6">
        <v>0</v>
      </c>
      <c r="AU117" s="6">
        <v>0</v>
      </c>
      <c r="AV117" s="6">
        <v>0</v>
      </c>
    </row>
    <row r="118" spans="4:48" ht="15.75" thickBot="1" x14ac:dyDescent="0.3">
      <c r="E118" s="2" t="s">
        <v>110</v>
      </c>
      <c r="F118" s="6">
        <v>0</v>
      </c>
      <c r="G118" s="6">
        <v>15.5</v>
      </c>
      <c r="H118" s="6">
        <v>45</v>
      </c>
      <c r="I118" s="6">
        <v>5</v>
      </c>
      <c r="J118" s="6">
        <v>10</v>
      </c>
      <c r="M118" s="2" t="s">
        <v>110</v>
      </c>
      <c r="N118" s="6">
        <v>6.0389046648000004</v>
      </c>
      <c r="O118" s="6">
        <v>0</v>
      </c>
      <c r="P118" s="6">
        <v>0</v>
      </c>
      <c r="Q118" s="6">
        <v>0</v>
      </c>
      <c r="R118" s="6">
        <v>0</v>
      </c>
      <c r="U118" s="2" t="s">
        <v>110</v>
      </c>
      <c r="V118" s="6">
        <v>93.961095335500005</v>
      </c>
      <c r="W118" s="6">
        <v>62</v>
      </c>
      <c r="X118" s="6">
        <v>16</v>
      </c>
      <c r="Y118" s="6">
        <v>61.5</v>
      </c>
      <c r="Z118" s="6">
        <v>36</v>
      </c>
      <c r="AC118" s="2" t="s">
        <v>110</v>
      </c>
      <c r="AD118" s="6">
        <v>0</v>
      </c>
      <c r="AE118" s="6">
        <v>12</v>
      </c>
      <c r="AF118" s="6">
        <v>23</v>
      </c>
      <c r="AG118" s="6">
        <v>17</v>
      </c>
      <c r="AH118" s="6">
        <v>32</v>
      </c>
      <c r="AJ118" s="2" t="s">
        <v>110</v>
      </c>
      <c r="AK118" s="6">
        <v>0</v>
      </c>
      <c r="AL118" s="6">
        <v>10.5</v>
      </c>
      <c r="AM118" s="6">
        <v>16</v>
      </c>
      <c r="AN118" s="6">
        <v>16.5</v>
      </c>
      <c r="AO118" s="6">
        <v>22</v>
      </c>
      <c r="AQ118" s="2" t="s">
        <v>110</v>
      </c>
      <c r="AR118" s="6">
        <v>0</v>
      </c>
      <c r="AS118" s="6">
        <v>0</v>
      </c>
      <c r="AT118" s="6">
        <v>0</v>
      </c>
      <c r="AU118" s="6">
        <v>0</v>
      </c>
      <c r="AV118" s="6">
        <v>0</v>
      </c>
    </row>
    <row r="119" spans="4:48" ht="31.5" thickTop="1" thickBot="1" x14ac:dyDescent="0.3">
      <c r="D119" s="10" t="s">
        <v>320</v>
      </c>
      <c r="E119" s="2" t="s">
        <v>104</v>
      </c>
      <c r="F119" s="5">
        <f>F116</f>
        <v>0</v>
      </c>
      <c r="G119" s="5">
        <f t="shared" ref="G119:J119" si="30">G116</f>
        <v>43</v>
      </c>
      <c r="H119" s="5">
        <f t="shared" si="30"/>
        <v>80</v>
      </c>
      <c r="I119" s="5">
        <f t="shared" si="30"/>
        <v>13</v>
      </c>
      <c r="J119" s="5">
        <f t="shared" si="30"/>
        <v>9</v>
      </c>
      <c r="M119" s="2" t="s">
        <v>104</v>
      </c>
      <c r="N119" s="5">
        <f>N116</f>
        <v>2.8078345668</v>
      </c>
      <c r="O119" s="5">
        <f t="shared" ref="O119:R119" si="31">O116</f>
        <v>0</v>
      </c>
      <c r="P119" s="5">
        <f t="shared" si="31"/>
        <v>0</v>
      </c>
      <c r="Q119" s="5">
        <f t="shared" si="31"/>
        <v>0</v>
      </c>
      <c r="R119" s="5">
        <f t="shared" si="31"/>
        <v>0</v>
      </c>
      <c r="U119" s="2" t="s">
        <v>104</v>
      </c>
      <c r="V119" s="5">
        <f>V116</f>
        <v>97.185046802900004</v>
      </c>
      <c r="W119" s="5">
        <f t="shared" ref="W119:Z119" si="32">W116</f>
        <v>52</v>
      </c>
      <c r="X119" s="5">
        <f t="shared" si="32"/>
        <v>9</v>
      </c>
      <c r="Y119" s="5">
        <f t="shared" si="32"/>
        <v>52</v>
      </c>
      <c r="Z119" s="5">
        <f t="shared" si="32"/>
        <v>0</v>
      </c>
      <c r="AC119" s="2" t="s">
        <v>104</v>
      </c>
      <c r="AD119" s="5">
        <f>AD116</f>
        <v>0</v>
      </c>
      <c r="AE119" s="5">
        <f t="shared" ref="AE119:AH119" si="33">AE116</f>
        <v>0</v>
      </c>
      <c r="AF119" s="5">
        <f t="shared" si="33"/>
        <v>0</v>
      </c>
      <c r="AG119" s="5">
        <f t="shared" si="33"/>
        <v>30</v>
      </c>
      <c r="AH119" s="5">
        <f t="shared" si="33"/>
        <v>80</v>
      </c>
      <c r="AJ119" s="2" t="s">
        <v>104</v>
      </c>
      <c r="AK119" s="5">
        <f>AK116</f>
        <v>7.1186304000000001E-3</v>
      </c>
      <c r="AL119" s="5">
        <f t="shared" ref="AL119:AO119" si="34">AL116</f>
        <v>5</v>
      </c>
      <c r="AM119" s="5">
        <f t="shared" si="34"/>
        <v>11</v>
      </c>
      <c r="AN119" s="5">
        <f t="shared" si="34"/>
        <v>5</v>
      </c>
      <c r="AO119" s="5">
        <f t="shared" si="34"/>
        <v>11</v>
      </c>
      <c r="AQ119" s="2" t="s">
        <v>104</v>
      </c>
      <c r="AR119" s="5">
        <f>AR116</f>
        <v>0</v>
      </c>
      <c r="AS119" s="5">
        <f t="shared" ref="AS119:AV119" si="35">AS116</f>
        <v>0</v>
      </c>
      <c r="AT119" s="5">
        <f t="shared" si="35"/>
        <v>0</v>
      </c>
      <c r="AU119" s="5">
        <f t="shared" si="35"/>
        <v>0</v>
      </c>
      <c r="AV119" s="5">
        <f t="shared" si="35"/>
        <v>0</v>
      </c>
    </row>
    <row r="120" spans="4:48" ht="31.5" thickTop="1" thickBot="1" x14ac:dyDescent="0.3">
      <c r="D120" s="10" t="s">
        <v>320</v>
      </c>
      <c r="E120" s="2" t="s">
        <v>155</v>
      </c>
      <c r="F120" s="5">
        <f>F112</f>
        <v>0.1010934066</v>
      </c>
      <c r="G120" s="5">
        <f t="shared" ref="G120:J120" si="36">G112</f>
        <v>66.59</v>
      </c>
      <c r="H120" s="5">
        <f t="shared" si="36"/>
        <v>75</v>
      </c>
      <c r="I120" s="5">
        <f t="shared" si="36"/>
        <v>27.27</v>
      </c>
      <c r="J120" s="5">
        <f t="shared" si="36"/>
        <v>30</v>
      </c>
      <c r="M120" s="2" t="s">
        <v>155</v>
      </c>
      <c r="N120" s="5">
        <f>N112</f>
        <v>0</v>
      </c>
      <c r="O120" s="5">
        <f t="shared" ref="O120:R120" si="37">O112</f>
        <v>0</v>
      </c>
      <c r="P120" s="5">
        <f t="shared" si="37"/>
        <v>0</v>
      </c>
      <c r="Q120" s="5">
        <f t="shared" si="37"/>
        <v>0</v>
      </c>
      <c r="R120" s="5">
        <f t="shared" si="37"/>
        <v>0</v>
      </c>
      <c r="U120" s="2" t="s">
        <v>155</v>
      </c>
      <c r="V120" s="5">
        <f>V112</f>
        <v>99.898906593500001</v>
      </c>
      <c r="W120" s="5">
        <f t="shared" ref="W120:Z120" si="38">W112</f>
        <v>20.88</v>
      </c>
      <c r="X120" s="5">
        <f t="shared" si="38"/>
        <v>0</v>
      </c>
      <c r="Y120" s="5">
        <f t="shared" si="38"/>
        <v>32.22</v>
      </c>
      <c r="Z120" s="5">
        <f t="shared" si="38"/>
        <v>20</v>
      </c>
      <c r="AC120" s="2" t="s">
        <v>155</v>
      </c>
      <c r="AD120" s="5">
        <f>AD112</f>
        <v>0</v>
      </c>
      <c r="AE120" s="5">
        <f t="shared" ref="AE120:AH120" si="39">AE112</f>
        <v>12.53</v>
      </c>
      <c r="AF120" s="5">
        <f t="shared" si="39"/>
        <v>25</v>
      </c>
      <c r="AG120" s="5">
        <f t="shared" si="39"/>
        <v>40.51</v>
      </c>
      <c r="AH120" s="5">
        <f t="shared" si="39"/>
        <v>50</v>
      </c>
      <c r="AJ120" s="2" t="s">
        <v>155</v>
      </c>
      <c r="AK120" s="5">
        <f>AK112</f>
        <v>0</v>
      </c>
      <c r="AL120" s="5">
        <f t="shared" ref="AL120:AO120" si="40">AL112</f>
        <v>0</v>
      </c>
      <c r="AM120" s="5">
        <f t="shared" si="40"/>
        <v>0</v>
      </c>
      <c r="AN120" s="5">
        <f t="shared" si="40"/>
        <v>0</v>
      </c>
      <c r="AO120" s="5">
        <f t="shared" si="40"/>
        <v>0</v>
      </c>
      <c r="AQ120" s="2" t="s">
        <v>155</v>
      </c>
      <c r="AR120" s="5">
        <f>AR112</f>
        <v>0</v>
      </c>
      <c r="AS120" s="5">
        <f t="shared" ref="AS120:AV120" si="41">AS112</f>
        <v>0</v>
      </c>
      <c r="AT120" s="5">
        <f t="shared" si="41"/>
        <v>0</v>
      </c>
      <c r="AU120" s="5">
        <f t="shared" si="41"/>
        <v>0</v>
      </c>
      <c r="AV120" s="5">
        <f t="shared" si="41"/>
        <v>0</v>
      </c>
    </row>
    <row r="121" spans="4:48" ht="91.5" thickTop="1" thickBot="1" x14ac:dyDescent="0.3">
      <c r="D121" s="10" t="s">
        <v>321</v>
      </c>
      <c r="E121" s="2" t="s">
        <v>156</v>
      </c>
      <c r="F121" s="5">
        <f>F92</f>
        <v>0</v>
      </c>
      <c r="G121" s="5">
        <f t="shared" ref="G121:J121" si="42">G92</f>
        <v>65</v>
      </c>
      <c r="H121" s="5">
        <f t="shared" si="42"/>
        <v>95</v>
      </c>
      <c r="I121" s="5">
        <f t="shared" si="42"/>
        <v>65</v>
      </c>
      <c r="J121" s="5">
        <f t="shared" si="42"/>
        <v>70</v>
      </c>
      <c r="M121" s="2" t="s">
        <v>156</v>
      </c>
      <c r="N121" s="5">
        <f>N92</f>
        <v>1.0848432871</v>
      </c>
      <c r="O121" s="5">
        <f t="shared" ref="O121:R121" si="43">O92</f>
        <v>0</v>
      </c>
      <c r="P121" s="5">
        <f t="shared" si="43"/>
        <v>0</v>
      </c>
      <c r="Q121" s="5">
        <f t="shared" si="43"/>
        <v>0</v>
      </c>
      <c r="R121" s="5">
        <f t="shared" si="43"/>
        <v>0</v>
      </c>
      <c r="U121" s="2" t="s">
        <v>156</v>
      </c>
      <c r="V121" s="5">
        <f>V92</f>
        <v>98.896186997399994</v>
      </c>
      <c r="W121" s="5">
        <f t="shared" ref="W121:Z121" si="44">W92</f>
        <v>5</v>
      </c>
      <c r="X121" s="5">
        <f t="shared" si="44"/>
        <v>0</v>
      </c>
      <c r="Y121" s="5">
        <f t="shared" si="44"/>
        <v>5</v>
      </c>
      <c r="Z121" s="5">
        <f t="shared" si="44"/>
        <v>0</v>
      </c>
      <c r="AC121" s="2" t="s">
        <v>156</v>
      </c>
      <c r="AD121" s="5">
        <f>AD92</f>
        <v>0</v>
      </c>
      <c r="AE121" s="5">
        <f t="shared" ref="AE121:AH121" si="45">AE92</f>
        <v>30</v>
      </c>
      <c r="AF121" s="5">
        <f t="shared" si="45"/>
        <v>5</v>
      </c>
      <c r="AG121" s="5">
        <f t="shared" si="45"/>
        <v>30</v>
      </c>
      <c r="AH121" s="5">
        <f t="shared" si="45"/>
        <v>30</v>
      </c>
      <c r="AJ121" s="2" t="s">
        <v>156</v>
      </c>
      <c r="AK121" s="5">
        <f>AK92</f>
        <v>1.8969715700000001E-2</v>
      </c>
      <c r="AL121" s="5">
        <f t="shared" ref="AL121:AO121" si="46">AL92</f>
        <v>0</v>
      </c>
      <c r="AM121" s="5">
        <f t="shared" si="46"/>
        <v>0</v>
      </c>
      <c r="AN121" s="5">
        <f t="shared" si="46"/>
        <v>0</v>
      </c>
      <c r="AO121" s="5">
        <f t="shared" si="46"/>
        <v>0</v>
      </c>
      <c r="AQ121" s="2" t="s">
        <v>156</v>
      </c>
      <c r="AR121" s="5">
        <f>AR92</f>
        <v>0</v>
      </c>
      <c r="AS121" s="5">
        <f t="shared" ref="AS121:AV121" si="47">AS92</f>
        <v>0</v>
      </c>
      <c r="AT121" s="5">
        <f t="shared" si="47"/>
        <v>0</v>
      </c>
      <c r="AU121" s="5">
        <f t="shared" si="47"/>
        <v>0</v>
      </c>
      <c r="AV121" s="5">
        <f t="shared" si="47"/>
        <v>0</v>
      </c>
    </row>
    <row r="122" spans="4:48" ht="15.75" thickTop="1" x14ac:dyDescent="0.25"/>
    <row r="125" spans="4:48" x14ac:dyDescent="0.25">
      <c r="F125" s="2" t="s">
        <v>136</v>
      </c>
      <c r="G125" s="2" t="s">
        <v>86</v>
      </c>
      <c r="H125" s="2" t="s">
        <v>86</v>
      </c>
      <c r="I125" s="2" t="s">
        <v>137</v>
      </c>
      <c r="J125" s="2" t="s">
        <v>137</v>
      </c>
      <c r="N125" s="2" t="s">
        <v>136</v>
      </c>
      <c r="O125" s="2" t="s">
        <v>86</v>
      </c>
      <c r="P125" s="2" t="s">
        <v>86</v>
      </c>
      <c r="Q125" s="2" t="s">
        <v>137</v>
      </c>
      <c r="R125" s="2" t="s">
        <v>137</v>
      </c>
      <c r="V125" s="2" t="s">
        <v>136</v>
      </c>
      <c r="W125" s="2" t="s">
        <v>86</v>
      </c>
      <c r="X125" s="2" t="s">
        <v>86</v>
      </c>
      <c r="Y125" s="2" t="s">
        <v>137</v>
      </c>
      <c r="Z125" s="2" t="s">
        <v>137</v>
      </c>
      <c r="AD125" s="2" t="s">
        <v>136</v>
      </c>
      <c r="AE125" s="2" t="s">
        <v>86</v>
      </c>
      <c r="AF125" s="2" t="s">
        <v>86</v>
      </c>
      <c r="AG125" s="2" t="s">
        <v>137</v>
      </c>
      <c r="AH125" s="2" t="s">
        <v>137</v>
      </c>
      <c r="AK125" s="2" t="s">
        <v>136</v>
      </c>
      <c r="AL125" s="2" t="s">
        <v>86</v>
      </c>
      <c r="AM125" s="2" t="s">
        <v>86</v>
      </c>
      <c r="AN125" s="2" t="s">
        <v>137</v>
      </c>
      <c r="AO125" s="2" t="s">
        <v>137</v>
      </c>
      <c r="AR125" s="2" t="s">
        <v>136</v>
      </c>
      <c r="AS125" s="2" t="s">
        <v>86</v>
      </c>
      <c r="AT125" s="2" t="s">
        <v>86</v>
      </c>
      <c r="AU125" s="2" t="s">
        <v>137</v>
      </c>
      <c r="AV125" s="2" t="s">
        <v>137</v>
      </c>
    </row>
    <row r="126" spans="4:48" ht="30" x14ac:dyDescent="0.25">
      <c r="E126" s="2" t="s">
        <v>151</v>
      </c>
      <c r="F126" s="2">
        <v>2019</v>
      </c>
      <c r="G126" s="2">
        <v>2040</v>
      </c>
      <c r="H126" s="2">
        <v>2050</v>
      </c>
      <c r="I126" s="2">
        <v>2040</v>
      </c>
      <c r="J126" s="2">
        <v>2050</v>
      </c>
      <c r="M126" s="2" t="s">
        <v>152</v>
      </c>
      <c r="N126" s="2">
        <v>2019</v>
      </c>
      <c r="O126" s="2">
        <v>2040</v>
      </c>
      <c r="P126" s="2">
        <v>2050</v>
      </c>
      <c r="Q126" s="2">
        <v>2040</v>
      </c>
      <c r="R126" s="2">
        <v>2050</v>
      </c>
      <c r="U126" s="2" t="s">
        <v>153</v>
      </c>
      <c r="V126" s="2">
        <v>2019</v>
      </c>
      <c r="W126" s="2">
        <v>2040</v>
      </c>
      <c r="X126" s="2">
        <v>2050</v>
      </c>
      <c r="Y126" s="2">
        <v>2040</v>
      </c>
      <c r="Z126" s="2">
        <v>2050</v>
      </c>
      <c r="AC126" s="2" t="s">
        <v>154</v>
      </c>
      <c r="AD126" s="2">
        <v>2019</v>
      </c>
      <c r="AE126" s="2">
        <v>2040</v>
      </c>
      <c r="AF126" s="2">
        <v>2050</v>
      </c>
      <c r="AG126" s="2">
        <v>2040</v>
      </c>
      <c r="AH126" s="2">
        <v>2050</v>
      </c>
      <c r="AJ126" s="2" t="s">
        <v>182</v>
      </c>
      <c r="AK126" s="2">
        <v>2019</v>
      </c>
      <c r="AL126" s="2">
        <v>2040</v>
      </c>
      <c r="AM126" s="2">
        <v>2050</v>
      </c>
      <c r="AN126" s="2">
        <v>2040</v>
      </c>
      <c r="AO126" s="2">
        <v>2050</v>
      </c>
      <c r="AQ126" s="2" t="s">
        <v>186</v>
      </c>
      <c r="AR126" s="2">
        <v>2019</v>
      </c>
      <c r="AS126" s="2">
        <v>2040</v>
      </c>
      <c r="AT126" s="2">
        <v>2050</v>
      </c>
      <c r="AU126" s="2">
        <v>2040</v>
      </c>
      <c r="AV126" s="2">
        <v>2050</v>
      </c>
    </row>
    <row r="127" spans="4:48" x14ac:dyDescent="0.25">
      <c r="E127" s="2" t="s">
        <v>81</v>
      </c>
      <c r="F127" s="6">
        <v>9.2163470499999997E-2</v>
      </c>
      <c r="G127" s="6">
        <v>100</v>
      </c>
      <c r="H127" s="6">
        <v>100</v>
      </c>
      <c r="I127" s="6">
        <v>82</v>
      </c>
      <c r="J127" s="6">
        <v>85</v>
      </c>
      <c r="M127" s="2" t="s">
        <v>81</v>
      </c>
      <c r="N127" s="6">
        <v>9.4050650000000006E-3</v>
      </c>
      <c r="O127" s="6">
        <v>0</v>
      </c>
      <c r="P127" s="6">
        <v>0</v>
      </c>
      <c r="Q127" s="6">
        <v>0</v>
      </c>
      <c r="R127" s="6">
        <v>0</v>
      </c>
      <c r="U127" s="2" t="s">
        <v>81</v>
      </c>
      <c r="V127" s="6">
        <v>99.432905934499999</v>
      </c>
      <c r="W127" s="6">
        <v>0</v>
      </c>
      <c r="X127" s="6">
        <v>0</v>
      </c>
      <c r="Y127" s="6">
        <v>0</v>
      </c>
      <c r="Z127" s="6">
        <v>0</v>
      </c>
      <c r="AC127" s="2" t="s">
        <v>81</v>
      </c>
      <c r="AD127" s="6">
        <v>0</v>
      </c>
      <c r="AE127" s="6">
        <v>0</v>
      </c>
      <c r="AF127" s="6">
        <v>0</v>
      </c>
      <c r="AG127" s="6">
        <v>13</v>
      </c>
      <c r="AH127" s="6">
        <v>15</v>
      </c>
      <c r="AJ127" s="2" t="s">
        <v>81</v>
      </c>
      <c r="AK127" s="6">
        <v>0.42306416699999999</v>
      </c>
      <c r="AL127" s="6">
        <v>0</v>
      </c>
      <c r="AM127" s="6">
        <v>0</v>
      </c>
      <c r="AN127" s="6">
        <v>5</v>
      </c>
      <c r="AO127" s="6">
        <v>0</v>
      </c>
      <c r="AQ127" s="2" t="s">
        <v>81</v>
      </c>
      <c r="AR127" s="6">
        <v>4.2461363199999998E-2</v>
      </c>
      <c r="AS127" s="6">
        <v>0</v>
      </c>
      <c r="AT127" s="6">
        <v>0</v>
      </c>
      <c r="AU127" s="6">
        <v>0</v>
      </c>
      <c r="AV127" s="6">
        <v>0</v>
      </c>
    </row>
    <row r="128" spans="4:48" x14ac:dyDescent="0.25">
      <c r="E128" s="2" t="s">
        <v>82</v>
      </c>
      <c r="F128" s="6">
        <v>0.24440551890000001</v>
      </c>
      <c r="G128" s="6">
        <v>50.166666669999998</v>
      </c>
      <c r="H128" s="6">
        <v>100</v>
      </c>
      <c r="I128" s="6">
        <v>54.9</v>
      </c>
      <c r="J128" s="6">
        <v>85</v>
      </c>
      <c r="M128" s="2" t="s">
        <v>82</v>
      </c>
      <c r="N128" s="6">
        <v>1.13327666E-2</v>
      </c>
      <c r="O128" s="6">
        <v>0</v>
      </c>
      <c r="P128" s="6">
        <v>0</v>
      </c>
      <c r="Q128" s="6">
        <v>29.2</v>
      </c>
      <c r="R128" s="6">
        <v>0</v>
      </c>
      <c r="U128" s="2" t="s">
        <v>82</v>
      </c>
      <c r="V128" s="6">
        <v>97.628730466700006</v>
      </c>
      <c r="W128" s="6">
        <v>45.833333330000002</v>
      </c>
      <c r="X128" s="6">
        <v>0</v>
      </c>
      <c r="Y128" s="6">
        <v>7.3</v>
      </c>
      <c r="Z128" s="6">
        <v>0</v>
      </c>
      <c r="AC128" s="2" t="s">
        <v>82</v>
      </c>
      <c r="AD128" s="6">
        <v>0</v>
      </c>
      <c r="AE128" s="6">
        <v>3</v>
      </c>
      <c r="AF128" s="6">
        <v>0</v>
      </c>
      <c r="AG128" s="6">
        <v>8.3000000000000007</v>
      </c>
      <c r="AH128" s="6">
        <v>15</v>
      </c>
      <c r="AJ128" s="2" t="s">
        <v>82</v>
      </c>
      <c r="AK128" s="6">
        <v>0.53784368189999998</v>
      </c>
      <c r="AL128" s="6">
        <v>1</v>
      </c>
      <c r="AM128" s="6">
        <v>0</v>
      </c>
      <c r="AN128" s="6">
        <v>0.3</v>
      </c>
      <c r="AO128" s="6">
        <v>0</v>
      </c>
      <c r="AQ128" s="2" t="s">
        <v>82</v>
      </c>
      <c r="AR128" s="6">
        <v>1.5776875661</v>
      </c>
      <c r="AS128" s="6">
        <v>0</v>
      </c>
      <c r="AT128" s="6">
        <v>0</v>
      </c>
      <c r="AU128" s="6">
        <v>0</v>
      </c>
      <c r="AV128" s="6">
        <v>0</v>
      </c>
    </row>
    <row r="129" spans="5:48" x14ac:dyDescent="0.25">
      <c r="E129" s="2" t="s">
        <v>83</v>
      </c>
      <c r="F129" s="6">
        <v>5.4008205699999999E-2</v>
      </c>
      <c r="G129" s="6">
        <v>49.666666669999998</v>
      </c>
      <c r="H129" s="6">
        <v>84</v>
      </c>
      <c r="I129" s="6">
        <v>22.333333329999999</v>
      </c>
      <c r="J129" s="6">
        <v>40.666666669999998</v>
      </c>
      <c r="M129" s="2" t="s">
        <v>83</v>
      </c>
      <c r="N129" s="6">
        <v>1.0030031E-2</v>
      </c>
      <c r="O129" s="6">
        <v>0</v>
      </c>
      <c r="P129" s="6">
        <v>0</v>
      </c>
      <c r="Q129" s="6">
        <v>0</v>
      </c>
      <c r="R129" s="6">
        <v>0</v>
      </c>
      <c r="U129" s="2" t="s">
        <v>83</v>
      </c>
      <c r="V129" s="6">
        <v>99.766279025299994</v>
      </c>
      <c r="W129" s="6">
        <v>37.333333330000002</v>
      </c>
      <c r="X129" s="6">
        <v>4</v>
      </c>
      <c r="Y129" s="6">
        <v>51.666666669999998</v>
      </c>
      <c r="Z129" s="6">
        <v>23.333333329999999</v>
      </c>
      <c r="AC129" s="2" t="s">
        <v>83</v>
      </c>
      <c r="AD129" s="6">
        <v>0</v>
      </c>
      <c r="AE129" s="6">
        <v>12</v>
      </c>
      <c r="AF129" s="6">
        <v>12</v>
      </c>
      <c r="AG129" s="6">
        <v>24</v>
      </c>
      <c r="AH129" s="6">
        <v>33</v>
      </c>
      <c r="AJ129" s="2" t="s">
        <v>83</v>
      </c>
      <c r="AK129" s="6">
        <v>7.4676283900000001E-2</v>
      </c>
      <c r="AL129" s="6">
        <v>1</v>
      </c>
      <c r="AM129" s="6">
        <v>0</v>
      </c>
      <c r="AN129" s="6">
        <v>2</v>
      </c>
      <c r="AO129" s="6">
        <v>3</v>
      </c>
      <c r="AQ129" s="2" t="s">
        <v>83</v>
      </c>
      <c r="AR129" s="6">
        <v>9.5006454399999996E-2</v>
      </c>
      <c r="AS129" s="6">
        <v>0</v>
      </c>
      <c r="AT129" s="6">
        <v>0</v>
      </c>
      <c r="AU129" s="6">
        <v>0</v>
      </c>
      <c r="AV129" s="6">
        <v>0</v>
      </c>
    </row>
    <row r="130" spans="5:48" x14ac:dyDescent="0.25">
      <c r="E130" s="2" t="s">
        <v>84</v>
      </c>
      <c r="F130" s="6">
        <v>0</v>
      </c>
      <c r="G130" s="6">
        <v>49.666666669999998</v>
      </c>
      <c r="H130" s="6">
        <v>68</v>
      </c>
      <c r="I130" s="6">
        <v>22.333333329999999</v>
      </c>
      <c r="J130" s="6">
        <v>40.666666669999998</v>
      </c>
      <c r="M130" s="2" t="s">
        <v>84</v>
      </c>
      <c r="N130" s="6">
        <v>0</v>
      </c>
      <c r="O130" s="6">
        <v>0</v>
      </c>
      <c r="P130" s="6">
        <v>0</v>
      </c>
      <c r="Q130" s="6">
        <v>0</v>
      </c>
      <c r="R130" s="6">
        <v>0</v>
      </c>
      <c r="U130" s="2" t="s">
        <v>84</v>
      </c>
      <c r="V130" s="6">
        <v>99.951318837499997</v>
      </c>
      <c r="W130" s="6">
        <v>37.333333330000002</v>
      </c>
      <c r="X130" s="6">
        <v>20</v>
      </c>
      <c r="Y130" s="6">
        <v>51.666666669999998</v>
      </c>
      <c r="Z130" s="6">
        <v>23.333333329999999</v>
      </c>
      <c r="AC130" s="2" t="s">
        <v>84</v>
      </c>
      <c r="AD130" s="6">
        <v>0</v>
      </c>
      <c r="AE130" s="6">
        <v>12</v>
      </c>
      <c r="AF130" s="6">
        <v>12</v>
      </c>
      <c r="AG130" s="6">
        <v>24</v>
      </c>
      <c r="AH130" s="6">
        <v>33</v>
      </c>
      <c r="AJ130" s="2" t="s">
        <v>84</v>
      </c>
      <c r="AK130" s="6">
        <v>0</v>
      </c>
      <c r="AL130" s="6">
        <v>1</v>
      </c>
      <c r="AM130" s="6">
        <v>0</v>
      </c>
      <c r="AN130" s="6">
        <v>2</v>
      </c>
      <c r="AO130" s="6">
        <v>3</v>
      </c>
      <c r="AQ130" s="2" t="s">
        <v>84</v>
      </c>
      <c r="AR130" s="6">
        <v>4.8681162600000001E-2</v>
      </c>
      <c r="AS130" s="6">
        <v>0</v>
      </c>
      <c r="AT130" s="6">
        <v>0</v>
      </c>
      <c r="AU130" s="6">
        <v>0</v>
      </c>
      <c r="AV130" s="6">
        <v>0</v>
      </c>
    </row>
    <row r="131" spans="5:48" x14ac:dyDescent="0.25">
      <c r="E131" s="2" t="s">
        <v>85</v>
      </c>
      <c r="F131" s="6">
        <v>0.21604189979999999</v>
      </c>
      <c r="G131" s="6">
        <v>49.666666669999998</v>
      </c>
      <c r="H131" s="6">
        <v>84</v>
      </c>
      <c r="I131" s="6">
        <v>22.333333329999999</v>
      </c>
      <c r="J131" s="6">
        <v>40.666666669999998</v>
      </c>
      <c r="M131" s="2" t="s">
        <v>85</v>
      </c>
      <c r="N131" s="6">
        <v>8.2010685999999999E-3</v>
      </c>
      <c r="O131" s="6">
        <v>0</v>
      </c>
      <c r="P131" s="6">
        <v>0</v>
      </c>
      <c r="Q131" s="6">
        <v>0</v>
      </c>
      <c r="R131" s="6">
        <v>0</v>
      </c>
      <c r="U131" s="2" t="s">
        <v>85</v>
      </c>
      <c r="V131" s="6">
        <v>94.6910484</v>
      </c>
      <c r="W131" s="6">
        <v>44.833333330000002</v>
      </c>
      <c r="X131" s="6">
        <v>8</v>
      </c>
      <c r="Y131" s="6">
        <v>59.666666669999998</v>
      </c>
      <c r="Z131" s="6">
        <v>29.333333329999999</v>
      </c>
      <c r="AC131" s="2" t="s">
        <v>85</v>
      </c>
      <c r="AD131" s="6">
        <v>0</v>
      </c>
      <c r="AE131" s="6">
        <v>3</v>
      </c>
      <c r="AF131" s="6">
        <v>6</v>
      </c>
      <c r="AG131" s="6">
        <v>13</v>
      </c>
      <c r="AH131" s="6">
        <v>24</v>
      </c>
      <c r="AJ131" s="2" t="s">
        <v>85</v>
      </c>
      <c r="AK131" s="6">
        <v>2.5846609729000001</v>
      </c>
      <c r="AL131" s="6">
        <v>2.5</v>
      </c>
      <c r="AM131" s="6">
        <v>2</v>
      </c>
      <c r="AN131" s="6">
        <v>5</v>
      </c>
      <c r="AO131" s="6">
        <v>6</v>
      </c>
      <c r="AQ131" s="2" t="s">
        <v>85</v>
      </c>
      <c r="AR131" s="6">
        <v>2.5000476589999998</v>
      </c>
      <c r="AS131" s="6">
        <v>0</v>
      </c>
      <c r="AT131" s="6">
        <v>0</v>
      </c>
      <c r="AU131" s="6">
        <v>0</v>
      </c>
      <c r="AV131" s="6">
        <v>0</v>
      </c>
    </row>
    <row r="132" spans="5:48" x14ac:dyDescent="0.25">
      <c r="E132" s="2" t="s">
        <v>86</v>
      </c>
      <c r="F132" s="6">
        <v>0.20471867539999999</v>
      </c>
      <c r="G132" s="6">
        <v>85</v>
      </c>
      <c r="H132" s="6">
        <v>86.5</v>
      </c>
      <c r="I132" s="6">
        <v>80</v>
      </c>
      <c r="J132" s="6">
        <v>90</v>
      </c>
      <c r="M132" s="2" t="s">
        <v>86</v>
      </c>
      <c r="N132" s="6">
        <v>1.54391144E-2</v>
      </c>
      <c r="O132" s="6">
        <v>0</v>
      </c>
      <c r="P132" s="6">
        <v>0</v>
      </c>
      <c r="Q132" s="6">
        <v>3</v>
      </c>
      <c r="R132" s="6">
        <v>0.5</v>
      </c>
      <c r="U132" s="2" t="s">
        <v>86</v>
      </c>
      <c r="V132" s="6">
        <v>97.141478290500004</v>
      </c>
      <c r="W132" s="6">
        <v>3</v>
      </c>
      <c r="X132" s="6">
        <v>0</v>
      </c>
      <c r="Y132" s="6">
        <v>2</v>
      </c>
      <c r="Z132" s="6">
        <v>0.5</v>
      </c>
      <c r="AC132" s="2" t="s">
        <v>86</v>
      </c>
      <c r="AD132" s="6">
        <v>0</v>
      </c>
      <c r="AE132" s="6">
        <v>12</v>
      </c>
      <c r="AF132" s="6">
        <v>13.5</v>
      </c>
      <c r="AG132" s="6">
        <v>15</v>
      </c>
      <c r="AH132" s="6">
        <v>9</v>
      </c>
      <c r="AJ132" s="2" t="s">
        <v>86</v>
      </c>
      <c r="AK132" s="6">
        <v>2.1672304753999998</v>
      </c>
      <c r="AL132" s="6">
        <v>0</v>
      </c>
      <c r="AM132" s="6">
        <v>0</v>
      </c>
      <c r="AN132" s="6">
        <v>0</v>
      </c>
      <c r="AO132" s="6">
        <v>0</v>
      </c>
      <c r="AQ132" s="2" t="s">
        <v>86</v>
      </c>
      <c r="AR132" s="6">
        <v>0.47113344460000001</v>
      </c>
      <c r="AS132" s="6">
        <v>0</v>
      </c>
      <c r="AT132" s="6">
        <v>0</v>
      </c>
      <c r="AU132" s="6">
        <v>0</v>
      </c>
      <c r="AV132" s="6">
        <v>0</v>
      </c>
    </row>
    <row r="133" spans="5:48" x14ac:dyDescent="0.25">
      <c r="E133" s="2" t="s">
        <v>87</v>
      </c>
      <c r="F133" s="6">
        <v>0.1109694167</v>
      </c>
      <c r="G133" s="6">
        <v>70</v>
      </c>
      <c r="H133" s="6">
        <v>90</v>
      </c>
      <c r="I133" s="6">
        <v>22.333333329999999</v>
      </c>
      <c r="J133" s="6">
        <v>40</v>
      </c>
      <c r="M133" s="2" t="s">
        <v>87</v>
      </c>
      <c r="N133" s="6">
        <v>9.9667034000000005E-3</v>
      </c>
      <c r="O133" s="6">
        <v>0</v>
      </c>
      <c r="P133" s="6">
        <v>0</v>
      </c>
      <c r="Q133" s="6">
        <v>0</v>
      </c>
      <c r="R133" s="6">
        <v>0</v>
      </c>
      <c r="U133" s="2" t="s">
        <v>87</v>
      </c>
      <c r="V133" s="6">
        <v>99.431110808900002</v>
      </c>
      <c r="W133" s="6">
        <v>30</v>
      </c>
      <c r="X133" s="6">
        <v>0</v>
      </c>
      <c r="Y133" s="6">
        <v>59.666666669999998</v>
      </c>
      <c r="Z133" s="6">
        <v>0</v>
      </c>
      <c r="AC133" s="2" t="s">
        <v>87</v>
      </c>
      <c r="AD133" s="6">
        <v>0</v>
      </c>
      <c r="AE133" s="6">
        <v>0</v>
      </c>
      <c r="AF133" s="6">
        <v>10</v>
      </c>
      <c r="AG133" s="6">
        <v>13</v>
      </c>
      <c r="AH133" s="6">
        <v>60</v>
      </c>
      <c r="AJ133" s="2" t="s">
        <v>87</v>
      </c>
      <c r="AK133" s="6">
        <v>0.4479530712</v>
      </c>
      <c r="AL133" s="6">
        <v>0</v>
      </c>
      <c r="AM133" s="6">
        <v>0</v>
      </c>
      <c r="AN133" s="6">
        <v>5</v>
      </c>
      <c r="AO133" s="6">
        <v>0</v>
      </c>
      <c r="AQ133" s="2" t="s">
        <v>87</v>
      </c>
      <c r="AR133" s="6">
        <v>0</v>
      </c>
      <c r="AS133" s="6">
        <v>0</v>
      </c>
      <c r="AT133" s="6">
        <v>0</v>
      </c>
      <c r="AU133" s="6">
        <v>0</v>
      </c>
      <c r="AV133" s="6">
        <v>0</v>
      </c>
    </row>
    <row r="134" spans="5:48" x14ac:dyDescent="0.25">
      <c r="E134" s="2" t="s">
        <v>88</v>
      </c>
      <c r="F134" s="6">
        <v>0.13779972239999999</v>
      </c>
      <c r="G134" s="6">
        <v>34</v>
      </c>
      <c r="H134" s="6">
        <v>75</v>
      </c>
      <c r="I134" s="6">
        <v>34</v>
      </c>
      <c r="J134" s="6">
        <v>75</v>
      </c>
      <c r="M134" s="2" t="s">
        <v>88</v>
      </c>
      <c r="N134" s="6">
        <v>1.0122225699999999E-2</v>
      </c>
      <c r="O134" s="6">
        <v>0</v>
      </c>
      <c r="P134" s="6">
        <v>0</v>
      </c>
      <c r="Q134" s="6">
        <v>0</v>
      </c>
      <c r="R134" s="6">
        <v>0</v>
      </c>
      <c r="U134" s="2" t="s">
        <v>88</v>
      </c>
      <c r="V134" s="6">
        <v>98.071229786800004</v>
      </c>
      <c r="W134" s="6">
        <v>60</v>
      </c>
      <c r="X134" s="6">
        <v>15</v>
      </c>
      <c r="Y134" s="6">
        <v>60</v>
      </c>
      <c r="Z134" s="6">
        <v>15</v>
      </c>
      <c r="AC134" s="2" t="s">
        <v>88</v>
      </c>
      <c r="AD134" s="6">
        <v>0</v>
      </c>
      <c r="AE134" s="6">
        <v>5</v>
      </c>
      <c r="AF134" s="6">
        <v>5</v>
      </c>
      <c r="AG134" s="6">
        <v>5</v>
      </c>
      <c r="AH134" s="6">
        <v>5</v>
      </c>
      <c r="AJ134" s="2" t="s">
        <v>88</v>
      </c>
      <c r="AK134" s="6">
        <v>0.87208668420000002</v>
      </c>
      <c r="AL134" s="6">
        <v>1</v>
      </c>
      <c r="AM134" s="6">
        <v>5</v>
      </c>
      <c r="AN134" s="6">
        <v>1</v>
      </c>
      <c r="AO134" s="6">
        <v>5</v>
      </c>
      <c r="AQ134" s="2" t="s">
        <v>88</v>
      </c>
      <c r="AR134" s="6">
        <v>0.90876158119999995</v>
      </c>
      <c r="AS134" s="6">
        <v>0</v>
      </c>
      <c r="AT134" s="6">
        <v>0</v>
      </c>
      <c r="AU134" s="6">
        <v>0</v>
      </c>
      <c r="AV134" s="6">
        <v>0</v>
      </c>
    </row>
    <row r="135" spans="5:48" x14ac:dyDescent="0.25">
      <c r="E135" s="2" t="s">
        <v>89</v>
      </c>
      <c r="F135" s="6">
        <v>0.1576211676</v>
      </c>
      <c r="G135" s="6">
        <v>70</v>
      </c>
      <c r="H135" s="6">
        <v>100</v>
      </c>
      <c r="I135" s="6">
        <v>40</v>
      </c>
      <c r="J135" s="6">
        <v>60</v>
      </c>
      <c r="M135" s="2" t="s">
        <v>89</v>
      </c>
      <c r="N135" s="6">
        <v>1.51940442E-2</v>
      </c>
      <c r="O135" s="6">
        <v>0</v>
      </c>
      <c r="P135" s="6">
        <v>0</v>
      </c>
      <c r="Q135" s="6">
        <v>0</v>
      </c>
      <c r="R135" s="6">
        <v>0</v>
      </c>
      <c r="U135" s="2" t="s">
        <v>89</v>
      </c>
      <c r="V135" s="6">
        <v>99.744316702500001</v>
      </c>
      <c r="W135" s="6">
        <v>30</v>
      </c>
      <c r="X135" s="6">
        <v>0</v>
      </c>
      <c r="Y135" s="6">
        <v>25</v>
      </c>
      <c r="Z135" s="6">
        <v>0</v>
      </c>
      <c r="AC135" s="2" t="s">
        <v>89</v>
      </c>
      <c r="AD135" s="6">
        <v>0</v>
      </c>
      <c r="AE135" s="6">
        <v>0</v>
      </c>
      <c r="AF135" s="6">
        <v>0</v>
      </c>
      <c r="AG135" s="6">
        <v>0</v>
      </c>
      <c r="AH135" s="6">
        <v>19</v>
      </c>
      <c r="AJ135" s="2" t="s">
        <v>89</v>
      </c>
      <c r="AK135" s="6">
        <v>2.3884152200000001E-2</v>
      </c>
      <c r="AL135" s="6">
        <v>0</v>
      </c>
      <c r="AM135" s="6">
        <v>0</v>
      </c>
      <c r="AN135" s="6">
        <v>35</v>
      </c>
      <c r="AO135" s="6">
        <v>21</v>
      </c>
      <c r="AQ135" s="2" t="s">
        <v>89</v>
      </c>
      <c r="AR135" s="6">
        <v>5.8983933799999999E-2</v>
      </c>
      <c r="AS135" s="6">
        <v>0</v>
      </c>
      <c r="AT135" s="6">
        <v>0</v>
      </c>
      <c r="AU135" s="6">
        <v>0</v>
      </c>
      <c r="AV135" s="6">
        <v>0</v>
      </c>
    </row>
    <row r="136" spans="5:48" x14ac:dyDescent="0.25">
      <c r="E136" s="2" t="s">
        <v>90</v>
      </c>
      <c r="F136" s="6">
        <v>0.62077846479999998</v>
      </c>
      <c r="G136" s="6">
        <v>33.299999999999997</v>
      </c>
      <c r="H136" s="6">
        <v>71.321043869999997</v>
      </c>
      <c r="I136" s="6">
        <v>14.814814800000001</v>
      </c>
      <c r="J136" s="6">
        <v>40.740740700099998</v>
      </c>
      <c r="M136" s="2" t="s">
        <v>90</v>
      </c>
      <c r="N136" s="6">
        <v>8.4024374000000006E-3</v>
      </c>
      <c r="O136" s="6">
        <v>0</v>
      </c>
      <c r="P136" s="6">
        <v>0</v>
      </c>
      <c r="Q136" s="6">
        <v>0</v>
      </c>
      <c r="R136" s="6">
        <v>0</v>
      </c>
      <c r="U136" s="2" t="s">
        <v>90</v>
      </c>
      <c r="V136" s="6">
        <v>99.246001344500002</v>
      </c>
      <c r="W136" s="6">
        <v>60.883211699999997</v>
      </c>
      <c r="X136" s="6">
        <v>19.704404459999999</v>
      </c>
      <c r="Y136" s="6">
        <v>30.555555600000002</v>
      </c>
      <c r="Z136" s="6">
        <v>0</v>
      </c>
      <c r="AC136" s="2" t="s">
        <v>90</v>
      </c>
      <c r="AD136" s="6">
        <v>0</v>
      </c>
      <c r="AE136" s="6">
        <v>3.5</v>
      </c>
      <c r="AF136" s="6">
        <v>6.7309137530000003</v>
      </c>
      <c r="AG136" s="6">
        <v>18.518518499999999</v>
      </c>
      <c r="AH136" s="6">
        <v>27.777777799999999</v>
      </c>
      <c r="AJ136" s="2" t="s">
        <v>90</v>
      </c>
      <c r="AK136" s="6">
        <v>0.1248177535</v>
      </c>
      <c r="AL136" s="6">
        <v>2.3167883429999998</v>
      </c>
      <c r="AM136" s="6">
        <v>2.2436379180000001</v>
      </c>
      <c r="AN136" s="6">
        <v>36.111111100000002</v>
      </c>
      <c r="AO136" s="6">
        <v>31.481481500000001</v>
      </c>
      <c r="AQ136" s="2" t="s">
        <v>90</v>
      </c>
      <c r="AR136" s="6">
        <v>0</v>
      </c>
      <c r="AS136" s="6">
        <v>0</v>
      </c>
      <c r="AT136" s="6">
        <v>0</v>
      </c>
      <c r="AU136" s="6">
        <v>0</v>
      </c>
      <c r="AV136" s="6">
        <v>0</v>
      </c>
    </row>
    <row r="137" spans="5:48" x14ac:dyDescent="0.25">
      <c r="E137" s="2" t="s">
        <v>91</v>
      </c>
      <c r="F137" s="6">
        <v>0.19913712389999999</v>
      </c>
      <c r="G137" s="6">
        <v>55</v>
      </c>
      <c r="H137" s="6">
        <v>89</v>
      </c>
      <c r="I137" s="6">
        <v>55</v>
      </c>
      <c r="J137" s="6">
        <v>86</v>
      </c>
      <c r="M137" s="2" t="s">
        <v>91</v>
      </c>
      <c r="N137" s="6">
        <v>1.3794003000000001E-2</v>
      </c>
      <c r="O137" s="6">
        <v>0</v>
      </c>
      <c r="P137" s="6">
        <v>0</v>
      </c>
      <c r="Q137" s="6">
        <v>0</v>
      </c>
      <c r="R137" s="6">
        <v>0</v>
      </c>
      <c r="U137" s="2" t="s">
        <v>91</v>
      </c>
      <c r="V137" s="6">
        <v>99.594366477799994</v>
      </c>
      <c r="W137" s="6">
        <v>39</v>
      </c>
      <c r="X137" s="6">
        <v>0</v>
      </c>
      <c r="Y137" s="6">
        <v>39</v>
      </c>
      <c r="Z137" s="6">
        <v>3</v>
      </c>
      <c r="AC137" s="2" t="s">
        <v>91</v>
      </c>
      <c r="AD137" s="6">
        <v>0</v>
      </c>
      <c r="AE137" s="6">
        <v>1</v>
      </c>
      <c r="AF137" s="6">
        <v>3</v>
      </c>
      <c r="AG137" s="6">
        <v>1</v>
      </c>
      <c r="AH137" s="6">
        <v>3</v>
      </c>
      <c r="AJ137" s="2" t="s">
        <v>91</v>
      </c>
      <c r="AK137" s="6">
        <v>7.5481726400000004E-2</v>
      </c>
      <c r="AL137" s="6">
        <v>5</v>
      </c>
      <c r="AM137" s="6">
        <v>8</v>
      </c>
      <c r="AN137" s="6">
        <v>5</v>
      </c>
      <c r="AO137" s="6">
        <v>8</v>
      </c>
      <c r="AQ137" s="2" t="s">
        <v>91</v>
      </c>
      <c r="AR137" s="6">
        <v>0.11722066909999999</v>
      </c>
      <c r="AS137" s="6">
        <v>0</v>
      </c>
      <c r="AT137" s="6">
        <v>0</v>
      </c>
      <c r="AU137" s="6">
        <v>0</v>
      </c>
      <c r="AV137" s="6">
        <v>0</v>
      </c>
    </row>
    <row r="138" spans="5:48" x14ac:dyDescent="0.25">
      <c r="E138" s="2" t="s">
        <v>93</v>
      </c>
      <c r="F138" s="6">
        <v>8.5622247900000004E-2</v>
      </c>
      <c r="G138" s="6">
        <v>49.3</v>
      </c>
      <c r="H138" s="6">
        <v>83.540000000099994</v>
      </c>
      <c r="I138" s="6">
        <v>10.185185199999999</v>
      </c>
      <c r="J138" s="6">
        <v>44.222222199999997</v>
      </c>
      <c r="M138" s="2" t="s">
        <v>93</v>
      </c>
      <c r="N138" s="6">
        <v>1.3149789199999999E-2</v>
      </c>
      <c r="O138" s="6">
        <v>0</v>
      </c>
      <c r="P138" s="6">
        <v>0</v>
      </c>
      <c r="Q138" s="6">
        <v>0</v>
      </c>
      <c r="R138" s="6">
        <v>0</v>
      </c>
      <c r="U138" s="2" t="s">
        <v>93</v>
      </c>
      <c r="V138" s="6">
        <v>99.590924655799995</v>
      </c>
      <c r="W138" s="6">
        <v>37.333333330000002</v>
      </c>
      <c r="X138" s="6">
        <v>4.46</v>
      </c>
      <c r="Y138" s="6">
        <v>62.814814800000001</v>
      </c>
      <c r="Z138" s="6">
        <v>0</v>
      </c>
      <c r="AC138" s="2" t="s">
        <v>93</v>
      </c>
      <c r="AD138" s="6">
        <v>0</v>
      </c>
      <c r="AE138" s="6">
        <v>12.3666667</v>
      </c>
      <c r="AF138" s="6">
        <v>12</v>
      </c>
      <c r="AG138" s="6">
        <v>25</v>
      </c>
      <c r="AH138" s="6">
        <v>52.777777800000003</v>
      </c>
      <c r="AJ138" s="2" t="s">
        <v>93</v>
      </c>
      <c r="AK138" s="6">
        <v>0.16000539229999999</v>
      </c>
      <c r="AL138" s="6">
        <v>1</v>
      </c>
      <c r="AM138" s="6">
        <v>0</v>
      </c>
      <c r="AN138" s="6">
        <v>2</v>
      </c>
      <c r="AO138" s="6">
        <v>3</v>
      </c>
      <c r="AQ138" s="2" t="s">
        <v>93</v>
      </c>
      <c r="AR138" s="6">
        <v>0.15029791519999999</v>
      </c>
      <c r="AS138" s="6">
        <v>0</v>
      </c>
      <c r="AT138" s="6">
        <v>0</v>
      </c>
      <c r="AU138" s="6">
        <v>0</v>
      </c>
      <c r="AV138" s="6">
        <v>0</v>
      </c>
    </row>
    <row r="139" spans="5:48" x14ac:dyDescent="0.25">
      <c r="E139" s="2" t="s">
        <v>94</v>
      </c>
      <c r="F139" s="6">
        <v>2.0877630899999999E-2</v>
      </c>
      <c r="G139" s="6">
        <v>3.6</v>
      </c>
      <c r="H139" s="6">
        <v>24</v>
      </c>
      <c r="I139" s="6">
        <v>11.6</v>
      </c>
      <c r="J139" s="6">
        <v>55.2</v>
      </c>
      <c r="M139" s="2" t="s">
        <v>94</v>
      </c>
      <c r="N139" s="6">
        <v>7.3754381999999999E-3</v>
      </c>
      <c r="O139" s="6">
        <v>0</v>
      </c>
      <c r="P139" s="6">
        <v>0</v>
      </c>
      <c r="Q139" s="6">
        <v>0</v>
      </c>
      <c r="R139" s="6">
        <v>0</v>
      </c>
      <c r="U139" s="2" t="s">
        <v>94</v>
      </c>
      <c r="V139" s="6">
        <v>99.508541382299995</v>
      </c>
      <c r="W139" s="6">
        <v>94.28</v>
      </c>
      <c r="X139" s="6">
        <v>60.95</v>
      </c>
      <c r="Y139" s="6">
        <v>83.8</v>
      </c>
      <c r="Z139" s="6">
        <v>22.7</v>
      </c>
      <c r="AC139" s="2" t="s">
        <v>94</v>
      </c>
      <c r="AD139" s="6">
        <v>0</v>
      </c>
      <c r="AE139" s="6">
        <v>0.02</v>
      </c>
      <c r="AF139" s="6">
        <v>3.02</v>
      </c>
      <c r="AG139" s="6">
        <v>0</v>
      </c>
      <c r="AH139" s="6">
        <v>5.5</v>
      </c>
      <c r="AJ139" s="2" t="s">
        <v>94</v>
      </c>
      <c r="AK139" s="6">
        <v>7.1032284000000001E-2</v>
      </c>
      <c r="AL139" s="6">
        <v>2.1</v>
      </c>
      <c r="AM139" s="6">
        <v>12.03</v>
      </c>
      <c r="AN139" s="6">
        <v>4.5999999999999996</v>
      </c>
      <c r="AO139" s="6">
        <v>16.600000000000001</v>
      </c>
      <c r="AQ139" s="2" t="s">
        <v>94</v>
      </c>
      <c r="AR139" s="6">
        <v>0.39217326489999998</v>
      </c>
      <c r="AS139" s="6">
        <v>0</v>
      </c>
      <c r="AT139" s="6">
        <v>0</v>
      </c>
      <c r="AU139" s="6">
        <v>0</v>
      </c>
      <c r="AV139" s="6">
        <v>0</v>
      </c>
    </row>
    <row r="140" spans="5:48" x14ac:dyDescent="0.25">
      <c r="E140" s="2" t="s">
        <v>95</v>
      </c>
      <c r="F140" s="6">
        <v>0.20259188559999999</v>
      </c>
      <c r="G140" s="6">
        <v>49.666666669999998</v>
      </c>
      <c r="H140" s="6">
        <v>84</v>
      </c>
      <c r="I140" s="6">
        <v>22.333333329999999</v>
      </c>
      <c r="J140" s="6">
        <v>40.666666669999998</v>
      </c>
      <c r="M140" s="2" t="s">
        <v>95</v>
      </c>
      <c r="N140" s="6">
        <v>1.1505032300000001E-2</v>
      </c>
      <c r="O140" s="6">
        <v>0</v>
      </c>
      <c r="P140" s="6">
        <v>0</v>
      </c>
      <c r="Q140" s="6">
        <v>0</v>
      </c>
      <c r="R140" s="6">
        <v>0</v>
      </c>
      <c r="U140" s="2" t="s">
        <v>95</v>
      </c>
      <c r="V140" s="6">
        <v>99.659056652499999</v>
      </c>
      <c r="W140" s="6">
        <v>37.333333330000002</v>
      </c>
      <c r="X140" s="6">
        <v>4</v>
      </c>
      <c r="Y140" s="6">
        <v>51.666666669999998</v>
      </c>
      <c r="Z140" s="6">
        <v>23.333333329999999</v>
      </c>
      <c r="AC140" s="2" t="s">
        <v>95</v>
      </c>
      <c r="AD140" s="6">
        <v>0</v>
      </c>
      <c r="AE140" s="6">
        <v>12</v>
      </c>
      <c r="AF140" s="6">
        <v>12</v>
      </c>
      <c r="AG140" s="6">
        <v>24</v>
      </c>
      <c r="AH140" s="6">
        <v>33</v>
      </c>
      <c r="AJ140" s="2" t="s">
        <v>95</v>
      </c>
      <c r="AK140" s="6">
        <v>0.1190297446</v>
      </c>
      <c r="AL140" s="6">
        <v>1</v>
      </c>
      <c r="AM140" s="6">
        <v>0</v>
      </c>
      <c r="AN140" s="6">
        <v>2</v>
      </c>
      <c r="AO140" s="6">
        <v>3</v>
      </c>
      <c r="AQ140" s="2" t="s">
        <v>95</v>
      </c>
      <c r="AR140" s="6">
        <v>7.8166854000000004E-3</v>
      </c>
      <c r="AS140" s="6">
        <v>0</v>
      </c>
      <c r="AT140" s="6">
        <v>0</v>
      </c>
      <c r="AU140" s="6">
        <v>0</v>
      </c>
      <c r="AV140" s="6">
        <v>0</v>
      </c>
    </row>
    <row r="141" spans="5:48" x14ac:dyDescent="0.25">
      <c r="E141" s="2" t="s">
        <v>96</v>
      </c>
      <c r="F141" s="6">
        <v>0.1385414673</v>
      </c>
      <c r="G141" s="6">
        <v>49.666666669999998</v>
      </c>
      <c r="H141" s="6">
        <v>57.077777699999999</v>
      </c>
      <c r="I141" s="6">
        <v>22.333333329999999</v>
      </c>
      <c r="J141" s="6">
        <v>40.666666669999998</v>
      </c>
      <c r="M141" s="2" t="s">
        <v>96</v>
      </c>
      <c r="N141" s="6">
        <v>9.0142212999999999E-3</v>
      </c>
      <c r="O141" s="6">
        <v>0</v>
      </c>
      <c r="P141" s="6">
        <v>0</v>
      </c>
      <c r="Q141" s="6">
        <v>0</v>
      </c>
      <c r="R141" s="6">
        <v>0</v>
      </c>
      <c r="U141" s="2" t="s">
        <v>96</v>
      </c>
      <c r="V141" s="6">
        <v>99.850704838200002</v>
      </c>
      <c r="W141" s="6">
        <v>44.833333330000002</v>
      </c>
      <c r="X141" s="6">
        <v>0</v>
      </c>
      <c r="Y141" s="6">
        <v>59.666666669999998</v>
      </c>
      <c r="Z141" s="6">
        <v>29.333333329999999</v>
      </c>
      <c r="AC141" s="2" t="s">
        <v>96</v>
      </c>
      <c r="AD141" s="6">
        <v>0</v>
      </c>
      <c r="AE141" s="6">
        <v>3</v>
      </c>
      <c r="AF141" s="6">
        <v>20</v>
      </c>
      <c r="AG141" s="6">
        <v>13</v>
      </c>
      <c r="AH141" s="6">
        <v>24</v>
      </c>
      <c r="AJ141" s="2" t="s">
        <v>96</v>
      </c>
      <c r="AK141" s="6">
        <v>0</v>
      </c>
      <c r="AL141" s="6">
        <v>2.5</v>
      </c>
      <c r="AM141" s="6">
        <v>9.9592592999999994</v>
      </c>
      <c r="AN141" s="6">
        <v>5</v>
      </c>
      <c r="AO141" s="6">
        <v>6</v>
      </c>
      <c r="AQ141" s="2" t="s">
        <v>96</v>
      </c>
      <c r="AR141" s="6">
        <v>1.7394734E-3</v>
      </c>
      <c r="AS141" s="6">
        <v>0</v>
      </c>
      <c r="AT141" s="6">
        <v>12.962963</v>
      </c>
      <c r="AU141" s="6">
        <v>0</v>
      </c>
      <c r="AV141" s="6">
        <v>0</v>
      </c>
    </row>
    <row r="142" spans="5:48" x14ac:dyDescent="0.25">
      <c r="E142" s="2" t="s">
        <v>98</v>
      </c>
      <c r="F142" s="6">
        <v>6.1294887899999997E-2</v>
      </c>
      <c r="G142" s="6">
        <v>53</v>
      </c>
      <c r="H142" s="6">
        <v>84</v>
      </c>
      <c r="I142" s="6">
        <v>38</v>
      </c>
      <c r="J142" s="6">
        <v>75</v>
      </c>
      <c r="M142" s="2" t="s">
        <v>98</v>
      </c>
      <c r="N142" s="6">
        <v>7.8001648999999999E-3</v>
      </c>
      <c r="O142" s="6">
        <v>0</v>
      </c>
      <c r="P142" s="6">
        <v>0</v>
      </c>
      <c r="Q142" s="6">
        <v>0</v>
      </c>
      <c r="R142" s="6">
        <v>0</v>
      </c>
      <c r="U142" s="2" t="s">
        <v>98</v>
      </c>
      <c r="V142" s="6">
        <v>94.819839226799999</v>
      </c>
      <c r="W142" s="6">
        <v>31</v>
      </c>
      <c r="X142" s="6">
        <v>0</v>
      </c>
      <c r="Y142" s="6">
        <v>31</v>
      </c>
      <c r="Z142" s="6">
        <v>0</v>
      </c>
      <c r="AC142" s="2" t="s">
        <v>98</v>
      </c>
      <c r="AD142" s="6">
        <v>0</v>
      </c>
      <c r="AE142" s="6">
        <v>10</v>
      </c>
      <c r="AF142" s="6">
        <v>16</v>
      </c>
      <c r="AG142" s="6">
        <v>17</v>
      </c>
      <c r="AH142" s="6">
        <v>24</v>
      </c>
      <c r="AJ142" s="2" t="s">
        <v>98</v>
      </c>
      <c r="AK142" s="6">
        <v>3.8136876635000001</v>
      </c>
      <c r="AL142" s="6">
        <v>3</v>
      </c>
      <c r="AM142" s="6">
        <v>0</v>
      </c>
      <c r="AN142" s="6">
        <v>13</v>
      </c>
      <c r="AO142" s="6">
        <v>1</v>
      </c>
      <c r="AQ142" s="2" t="s">
        <v>98</v>
      </c>
      <c r="AR142" s="6">
        <v>1.2973780572</v>
      </c>
      <c r="AS142" s="6">
        <v>3</v>
      </c>
      <c r="AT142" s="6">
        <v>0</v>
      </c>
      <c r="AU142" s="6">
        <v>1</v>
      </c>
      <c r="AV142" s="6">
        <v>0</v>
      </c>
    </row>
    <row r="143" spans="5:48" x14ac:dyDescent="0.25">
      <c r="E143" s="2" t="s">
        <v>99</v>
      </c>
      <c r="F143" s="6">
        <v>6.4853738499999994E-2</v>
      </c>
      <c r="G143" s="6">
        <v>49.666666669999998</v>
      </c>
      <c r="H143" s="6">
        <v>84</v>
      </c>
      <c r="I143" s="6">
        <v>22.333333329999999</v>
      </c>
      <c r="J143" s="6">
        <v>40.666666669999998</v>
      </c>
      <c r="M143" s="2" t="s">
        <v>99</v>
      </c>
      <c r="N143" s="6">
        <v>5.5506803999999998E-3</v>
      </c>
      <c r="O143" s="6">
        <v>0</v>
      </c>
      <c r="P143" s="6">
        <v>0</v>
      </c>
      <c r="Q143" s="6">
        <v>0</v>
      </c>
      <c r="R143" s="6">
        <v>0</v>
      </c>
      <c r="U143" s="2" t="s">
        <v>99</v>
      </c>
      <c r="V143" s="6">
        <v>99.833778552400005</v>
      </c>
      <c r="W143" s="6">
        <v>37.333333330000002</v>
      </c>
      <c r="X143" s="6">
        <v>4</v>
      </c>
      <c r="Y143" s="6">
        <v>51.666666669999998</v>
      </c>
      <c r="Z143" s="6">
        <v>23.333333329999999</v>
      </c>
      <c r="AC143" s="2" t="s">
        <v>99</v>
      </c>
      <c r="AD143" s="6">
        <v>0</v>
      </c>
      <c r="AE143" s="6">
        <v>12</v>
      </c>
      <c r="AF143" s="6">
        <v>12</v>
      </c>
      <c r="AG143" s="6">
        <v>24</v>
      </c>
      <c r="AH143" s="6">
        <v>33</v>
      </c>
      <c r="AJ143" s="2" t="s">
        <v>99</v>
      </c>
      <c r="AK143" s="6">
        <v>4.2854194999999998E-2</v>
      </c>
      <c r="AL143" s="6">
        <v>1</v>
      </c>
      <c r="AM143" s="6">
        <v>0</v>
      </c>
      <c r="AN143" s="6">
        <v>2</v>
      </c>
      <c r="AO143" s="6">
        <v>3</v>
      </c>
      <c r="AQ143" s="2" t="s">
        <v>99</v>
      </c>
      <c r="AR143" s="6">
        <v>5.2962834E-2</v>
      </c>
      <c r="AS143" s="6">
        <v>0</v>
      </c>
      <c r="AT143" s="6">
        <v>0</v>
      </c>
      <c r="AU143" s="6">
        <v>0</v>
      </c>
      <c r="AV143" s="6">
        <v>0</v>
      </c>
    </row>
    <row r="144" spans="5:48" x14ac:dyDescent="0.25">
      <c r="E144" s="2" t="s">
        <v>100</v>
      </c>
      <c r="F144" s="6">
        <v>0.53361627649999999</v>
      </c>
      <c r="G144" s="6">
        <v>81.099999999999994</v>
      </c>
      <c r="H144" s="6">
        <v>97.222222200000004</v>
      </c>
      <c r="I144" s="6">
        <v>85</v>
      </c>
      <c r="J144" s="6">
        <v>93.518518499999999</v>
      </c>
      <c r="M144" s="2" t="s">
        <v>100</v>
      </c>
      <c r="N144" s="6">
        <v>1.17771284E-2</v>
      </c>
      <c r="O144" s="6">
        <v>0</v>
      </c>
      <c r="P144" s="6">
        <v>0</v>
      </c>
      <c r="Q144" s="6">
        <v>0</v>
      </c>
      <c r="R144" s="6">
        <v>0</v>
      </c>
      <c r="U144" s="2" t="s">
        <v>100</v>
      </c>
      <c r="V144" s="6">
        <v>99.351495237099996</v>
      </c>
      <c r="W144" s="6">
        <v>14.9</v>
      </c>
      <c r="X144" s="6">
        <v>0</v>
      </c>
      <c r="Y144" s="6">
        <v>14.9</v>
      </c>
      <c r="Z144" s="6">
        <v>0</v>
      </c>
      <c r="AC144" s="2" t="s">
        <v>100</v>
      </c>
      <c r="AD144" s="6">
        <v>0</v>
      </c>
      <c r="AE144" s="6">
        <v>4</v>
      </c>
      <c r="AF144" s="6">
        <v>2.7777778</v>
      </c>
      <c r="AG144" s="6">
        <v>0.1</v>
      </c>
      <c r="AH144" s="6">
        <v>6.4814815000000001</v>
      </c>
      <c r="AJ144" s="2" t="s">
        <v>100</v>
      </c>
      <c r="AK144" s="6">
        <v>0</v>
      </c>
      <c r="AL144" s="6">
        <v>0</v>
      </c>
      <c r="AM144" s="6">
        <v>0</v>
      </c>
      <c r="AN144" s="6">
        <v>0</v>
      </c>
      <c r="AO144" s="6">
        <v>0</v>
      </c>
      <c r="AQ144" s="2" t="s">
        <v>100</v>
      </c>
      <c r="AR144" s="6">
        <v>0.10311135809999999</v>
      </c>
      <c r="AS144" s="6">
        <v>0</v>
      </c>
      <c r="AT144" s="6">
        <v>0</v>
      </c>
      <c r="AU144" s="6">
        <v>0</v>
      </c>
      <c r="AV144" s="6">
        <v>0</v>
      </c>
    </row>
    <row r="145" spans="4:48" x14ac:dyDescent="0.25">
      <c r="E145" s="2" t="s">
        <v>101</v>
      </c>
      <c r="F145" s="6">
        <v>7.6264657E-2</v>
      </c>
      <c r="G145" s="6">
        <v>49.666666669999998</v>
      </c>
      <c r="H145" s="6">
        <v>84</v>
      </c>
      <c r="I145" s="6">
        <v>22.333333329999999</v>
      </c>
      <c r="J145" s="6">
        <v>40.666666669999998</v>
      </c>
      <c r="M145" s="2" t="s">
        <v>101</v>
      </c>
      <c r="N145" s="6">
        <v>7.4546116999999997E-3</v>
      </c>
      <c r="O145" s="6">
        <v>0</v>
      </c>
      <c r="P145" s="6">
        <v>0</v>
      </c>
      <c r="Q145" s="6">
        <v>0</v>
      </c>
      <c r="R145" s="6">
        <v>0</v>
      </c>
      <c r="U145" s="2" t="s">
        <v>101</v>
      </c>
      <c r="V145" s="6">
        <v>99.866154756499995</v>
      </c>
      <c r="W145" s="6">
        <v>37.333333330000002</v>
      </c>
      <c r="X145" s="6">
        <v>4</v>
      </c>
      <c r="Y145" s="6">
        <v>51.666666669999998</v>
      </c>
      <c r="Z145" s="6">
        <v>23.333333329999999</v>
      </c>
      <c r="AC145" s="2" t="s">
        <v>101</v>
      </c>
      <c r="AD145" s="6">
        <v>0</v>
      </c>
      <c r="AE145" s="6">
        <v>12</v>
      </c>
      <c r="AF145" s="6">
        <v>12</v>
      </c>
      <c r="AG145" s="6">
        <v>24</v>
      </c>
      <c r="AH145" s="6">
        <v>33</v>
      </c>
      <c r="AJ145" s="2" t="s">
        <v>101</v>
      </c>
      <c r="AK145" s="6">
        <v>1.1123419799999999E-2</v>
      </c>
      <c r="AL145" s="6">
        <v>1</v>
      </c>
      <c r="AM145" s="6">
        <v>0</v>
      </c>
      <c r="AN145" s="6">
        <v>2</v>
      </c>
      <c r="AO145" s="6">
        <v>3</v>
      </c>
      <c r="AQ145" s="2" t="s">
        <v>101</v>
      </c>
      <c r="AR145" s="6">
        <v>3.9002555199999997E-2</v>
      </c>
      <c r="AS145" s="6">
        <v>0</v>
      </c>
      <c r="AT145" s="6">
        <v>0</v>
      </c>
      <c r="AU145" s="6">
        <v>0</v>
      </c>
      <c r="AV145" s="6">
        <v>0</v>
      </c>
    </row>
    <row r="146" spans="4:48" x14ac:dyDescent="0.25">
      <c r="E146" s="2" t="s">
        <v>102</v>
      </c>
      <c r="F146" s="6">
        <v>0.1105653192</v>
      </c>
      <c r="G146" s="6">
        <v>30.5</v>
      </c>
      <c r="H146" s="6">
        <v>84</v>
      </c>
      <c r="I146" s="6">
        <v>30.5</v>
      </c>
      <c r="J146" s="6">
        <v>40.666666669999998</v>
      </c>
      <c r="M146" s="2" t="s">
        <v>102</v>
      </c>
      <c r="N146" s="6">
        <v>0</v>
      </c>
      <c r="O146" s="6">
        <v>1.8</v>
      </c>
      <c r="P146" s="6">
        <v>0</v>
      </c>
      <c r="Q146" s="6">
        <v>1.8</v>
      </c>
      <c r="R146" s="6">
        <v>0</v>
      </c>
      <c r="U146" s="2" t="s">
        <v>102</v>
      </c>
      <c r="V146" s="6">
        <v>99.646677365599999</v>
      </c>
      <c r="W146" s="6">
        <v>67.400000000000006</v>
      </c>
      <c r="X146" s="6">
        <v>4</v>
      </c>
      <c r="Y146" s="6">
        <v>67.400000000000006</v>
      </c>
      <c r="Z146" s="6">
        <v>23.333333329999999</v>
      </c>
      <c r="AC146" s="2" t="s">
        <v>102</v>
      </c>
      <c r="AD146" s="6">
        <v>0</v>
      </c>
      <c r="AE146" s="6">
        <v>0</v>
      </c>
      <c r="AF146" s="6">
        <v>12</v>
      </c>
      <c r="AG146" s="6">
        <v>0</v>
      </c>
      <c r="AH146" s="6">
        <v>33</v>
      </c>
      <c r="AJ146" s="2" t="s">
        <v>102</v>
      </c>
      <c r="AK146" s="6">
        <v>0</v>
      </c>
      <c r="AL146" s="6">
        <v>0.3</v>
      </c>
      <c r="AM146" s="6">
        <v>0</v>
      </c>
      <c r="AN146" s="6">
        <v>0.3</v>
      </c>
      <c r="AO146" s="6">
        <v>3</v>
      </c>
      <c r="AQ146" s="2" t="s">
        <v>102</v>
      </c>
      <c r="AR146" s="6">
        <v>0.24275731540000001</v>
      </c>
      <c r="AS146" s="6">
        <v>0</v>
      </c>
      <c r="AT146" s="6">
        <v>0</v>
      </c>
      <c r="AU146" s="6">
        <v>0</v>
      </c>
      <c r="AV146" s="6">
        <v>0</v>
      </c>
    </row>
    <row r="147" spans="4:48" x14ac:dyDescent="0.25">
      <c r="E147" s="2" t="s">
        <v>103</v>
      </c>
      <c r="F147" s="6">
        <v>1.5947545167999999</v>
      </c>
      <c r="G147" s="6">
        <v>85.81</v>
      </c>
      <c r="H147" s="6">
        <v>100</v>
      </c>
      <c r="I147" s="6">
        <v>52.4</v>
      </c>
      <c r="J147" s="6">
        <v>70</v>
      </c>
      <c r="M147" s="2" t="s">
        <v>103</v>
      </c>
      <c r="N147" s="6">
        <v>0.65991881779999995</v>
      </c>
      <c r="O147" s="6">
        <v>0.44</v>
      </c>
      <c r="P147" s="6">
        <v>0</v>
      </c>
      <c r="Q147" s="6">
        <v>0.44</v>
      </c>
      <c r="R147" s="6">
        <v>0</v>
      </c>
      <c r="U147" s="2" t="s">
        <v>103</v>
      </c>
      <c r="V147" s="6">
        <v>95.419139574300004</v>
      </c>
      <c r="W147" s="6">
        <v>12.2</v>
      </c>
      <c r="X147" s="6">
        <v>0</v>
      </c>
      <c r="Y147" s="6">
        <v>27.28</v>
      </c>
      <c r="Z147" s="6">
        <v>5</v>
      </c>
      <c r="AC147" s="2" t="s">
        <v>103</v>
      </c>
      <c r="AD147" s="6">
        <v>0</v>
      </c>
      <c r="AE147" s="6">
        <v>0</v>
      </c>
      <c r="AF147" s="6">
        <v>0</v>
      </c>
      <c r="AG147" s="6">
        <v>18.329999999999998</v>
      </c>
      <c r="AH147" s="6">
        <v>25</v>
      </c>
      <c r="AJ147" s="2" t="s">
        <v>103</v>
      </c>
      <c r="AK147" s="6">
        <v>0</v>
      </c>
      <c r="AL147" s="6">
        <v>0</v>
      </c>
      <c r="AM147" s="6">
        <v>0</v>
      </c>
      <c r="AN147" s="6">
        <v>0</v>
      </c>
      <c r="AO147" s="6">
        <v>0</v>
      </c>
      <c r="AQ147" s="2" t="s">
        <v>103</v>
      </c>
      <c r="AR147" s="6">
        <v>2.3261870914</v>
      </c>
      <c r="AS147" s="6">
        <v>1.55</v>
      </c>
      <c r="AT147" s="6">
        <v>0</v>
      </c>
      <c r="AU147" s="6">
        <v>1.55</v>
      </c>
      <c r="AV147" s="6">
        <v>0</v>
      </c>
    </row>
    <row r="148" spans="4:48" x14ac:dyDescent="0.25">
      <c r="E148" s="2" t="s">
        <v>105</v>
      </c>
      <c r="F148" s="6">
        <v>4.98361093E-2</v>
      </c>
      <c r="G148" s="6">
        <v>54.5</v>
      </c>
      <c r="H148" s="6">
        <v>87.5</v>
      </c>
      <c r="I148" s="6">
        <v>22.333333329999999</v>
      </c>
      <c r="J148" s="6">
        <v>39.666666669999998</v>
      </c>
      <c r="M148" s="2" t="s">
        <v>105</v>
      </c>
      <c r="N148" s="6">
        <v>1.28573291E-2</v>
      </c>
      <c r="O148" s="6">
        <v>0</v>
      </c>
      <c r="P148" s="6">
        <v>0</v>
      </c>
      <c r="Q148" s="6">
        <v>0</v>
      </c>
      <c r="R148" s="6">
        <v>0</v>
      </c>
      <c r="U148" s="2" t="s">
        <v>105</v>
      </c>
      <c r="V148" s="6">
        <v>93.759678510800001</v>
      </c>
      <c r="W148" s="6">
        <v>40</v>
      </c>
      <c r="X148" s="6">
        <v>6</v>
      </c>
      <c r="Y148" s="6">
        <v>58.666666669999998</v>
      </c>
      <c r="Z148" s="6">
        <v>29.333333329999999</v>
      </c>
      <c r="AC148" s="2" t="s">
        <v>105</v>
      </c>
      <c r="AD148" s="6">
        <v>0</v>
      </c>
      <c r="AE148" s="6">
        <v>3</v>
      </c>
      <c r="AF148" s="6">
        <v>4.5</v>
      </c>
      <c r="AG148" s="6">
        <v>14</v>
      </c>
      <c r="AH148" s="6">
        <v>25</v>
      </c>
      <c r="AJ148" s="2" t="s">
        <v>105</v>
      </c>
      <c r="AK148" s="6">
        <v>0.25235083050000001</v>
      </c>
      <c r="AL148" s="6">
        <v>2.5</v>
      </c>
      <c r="AM148" s="6">
        <v>2</v>
      </c>
      <c r="AN148" s="6">
        <v>5</v>
      </c>
      <c r="AO148" s="6">
        <v>6</v>
      </c>
      <c r="AQ148" s="2" t="s">
        <v>105</v>
      </c>
      <c r="AR148" s="6">
        <v>5.9252772204999999</v>
      </c>
      <c r="AS148" s="6">
        <v>0</v>
      </c>
      <c r="AT148" s="6">
        <v>0</v>
      </c>
      <c r="AU148" s="6">
        <v>0</v>
      </c>
      <c r="AV148" s="6">
        <v>0</v>
      </c>
    </row>
    <row r="149" spans="4:48" x14ac:dyDescent="0.25">
      <c r="E149" s="2" t="s">
        <v>106</v>
      </c>
      <c r="F149" s="6">
        <v>3.1862270200000001E-2</v>
      </c>
      <c r="G149" s="6">
        <v>50.75</v>
      </c>
      <c r="H149" s="6">
        <v>90</v>
      </c>
      <c r="I149" s="6">
        <v>41.333333330000002</v>
      </c>
      <c r="J149" s="6">
        <v>71.666666669999998</v>
      </c>
      <c r="M149" s="2" t="s">
        <v>106</v>
      </c>
      <c r="N149" s="6">
        <v>8.6152590000000001E-3</v>
      </c>
      <c r="O149" s="6">
        <v>0</v>
      </c>
      <c r="P149" s="6">
        <v>0</v>
      </c>
      <c r="Q149" s="6">
        <v>0</v>
      </c>
      <c r="R149" s="6">
        <v>0</v>
      </c>
      <c r="U149" s="2" t="s">
        <v>106</v>
      </c>
      <c r="V149" s="6">
        <v>99.868239841800005</v>
      </c>
      <c r="W149" s="6">
        <v>43.75</v>
      </c>
      <c r="X149" s="6">
        <v>0</v>
      </c>
      <c r="Y149" s="6">
        <v>43.666666669999998</v>
      </c>
      <c r="Z149" s="6">
        <v>3.3333333330000001</v>
      </c>
      <c r="AC149" s="2" t="s">
        <v>106</v>
      </c>
      <c r="AD149" s="6">
        <v>0</v>
      </c>
      <c r="AE149" s="6">
        <v>3</v>
      </c>
      <c r="AF149" s="6">
        <v>7</v>
      </c>
      <c r="AG149" s="6">
        <v>10</v>
      </c>
      <c r="AH149" s="6">
        <v>20</v>
      </c>
      <c r="AJ149" s="2" t="s">
        <v>106</v>
      </c>
      <c r="AK149" s="6">
        <v>3.6866176999999999E-3</v>
      </c>
      <c r="AL149" s="6">
        <v>2.5</v>
      </c>
      <c r="AM149" s="6">
        <v>3</v>
      </c>
      <c r="AN149" s="6">
        <v>5</v>
      </c>
      <c r="AO149" s="6">
        <v>5</v>
      </c>
      <c r="AQ149" s="2" t="s">
        <v>106</v>
      </c>
      <c r="AR149" s="6">
        <v>8.7596011500000001E-2</v>
      </c>
      <c r="AS149" s="6">
        <v>0</v>
      </c>
      <c r="AT149" s="6">
        <v>0</v>
      </c>
      <c r="AU149" s="6">
        <v>0</v>
      </c>
      <c r="AV149" s="6">
        <v>0</v>
      </c>
    </row>
    <row r="150" spans="4:48" x14ac:dyDescent="0.25">
      <c r="E150" s="2" t="s">
        <v>107</v>
      </c>
      <c r="F150" s="6">
        <v>0.46332879830000001</v>
      </c>
      <c r="G150" s="6">
        <v>49.25</v>
      </c>
      <c r="H150" s="6">
        <v>83.5</v>
      </c>
      <c r="I150" s="6">
        <v>22.333333329999999</v>
      </c>
      <c r="J150" s="6">
        <v>40.666666669999998</v>
      </c>
      <c r="M150" s="2" t="s">
        <v>107</v>
      </c>
      <c r="N150" s="6">
        <v>8.1177446000000007E-3</v>
      </c>
      <c r="O150" s="6">
        <v>0</v>
      </c>
      <c r="P150" s="6">
        <v>0</v>
      </c>
      <c r="Q150" s="6">
        <v>0</v>
      </c>
      <c r="R150" s="6">
        <v>0</v>
      </c>
      <c r="U150" s="2" t="s">
        <v>107</v>
      </c>
      <c r="V150" s="6">
        <v>99.5237183558</v>
      </c>
      <c r="W150" s="6">
        <v>37.75</v>
      </c>
      <c r="X150" s="6">
        <v>4.5</v>
      </c>
      <c r="Y150" s="6">
        <v>51.666666669999998</v>
      </c>
      <c r="Z150" s="6">
        <v>23.333333329999999</v>
      </c>
      <c r="AC150" s="2" t="s">
        <v>107</v>
      </c>
      <c r="AD150" s="6">
        <v>0</v>
      </c>
      <c r="AE150" s="6">
        <v>12</v>
      </c>
      <c r="AF150" s="6">
        <v>12</v>
      </c>
      <c r="AG150" s="6">
        <v>24</v>
      </c>
      <c r="AH150" s="6">
        <v>33</v>
      </c>
      <c r="AJ150" s="2" t="s">
        <v>107</v>
      </c>
      <c r="AK150" s="6">
        <v>0</v>
      </c>
      <c r="AL150" s="6">
        <v>1</v>
      </c>
      <c r="AM150" s="6">
        <v>0</v>
      </c>
      <c r="AN150" s="6">
        <v>2</v>
      </c>
      <c r="AO150" s="6">
        <v>3</v>
      </c>
      <c r="AQ150" s="2" t="s">
        <v>107</v>
      </c>
      <c r="AR150" s="6">
        <v>4.8351013999999998E-3</v>
      </c>
      <c r="AS150" s="6">
        <v>0</v>
      </c>
      <c r="AT150" s="6">
        <v>0</v>
      </c>
      <c r="AU150" s="6">
        <v>0</v>
      </c>
      <c r="AV150" s="6">
        <v>0</v>
      </c>
    </row>
    <row r="151" spans="4:48" x14ac:dyDescent="0.25">
      <c r="E151" s="2" t="s">
        <v>108</v>
      </c>
      <c r="F151" s="6">
        <v>0.87653840999999999</v>
      </c>
      <c r="G151" s="6">
        <v>62.25</v>
      </c>
      <c r="H151" s="6">
        <v>100</v>
      </c>
      <c r="I151" s="6">
        <v>42.2</v>
      </c>
      <c r="J151" s="6">
        <v>67</v>
      </c>
      <c r="M151" s="2" t="s">
        <v>108</v>
      </c>
      <c r="N151" s="6">
        <v>8.9642776000000007E-3</v>
      </c>
      <c r="O151" s="6">
        <v>0</v>
      </c>
      <c r="P151" s="6">
        <v>0</v>
      </c>
      <c r="Q151" s="6">
        <v>0</v>
      </c>
      <c r="R151" s="6">
        <v>0</v>
      </c>
      <c r="U151" s="2" t="s">
        <v>108</v>
      </c>
      <c r="V151" s="6">
        <v>97.814145918299999</v>
      </c>
      <c r="W151" s="6">
        <v>37.75</v>
      </c>
      <c r="X151" s="6">
        <v>0</v>
      </c>
      <c r="Y151" s="6">
        <v>37.799999999999997</v>
      </c>
      <c r="Z151" s="6">
        <v>0</v>
      </c>
      <c r="AC151" s="2" t="s">
        <v>108</v>
      </c>
      <c r="AD151" s="6">
        <v>0</v>
      </c>
      <c r="AE151" s="6">
        <v>0</v>
      </c>
      <c r="AF151" s="6">
        <v>0</v>
      </c>
      <c r="AG151" s="6">
        <v>20</v>
      </c>
      <c r="AH151" s="6">
        <v>33</v>
      </c>
      <c r="AJ151" s="2" t="s">
        <v>108</v>
      </c>
      <c r="AK151" s="6">
        <v>1.3003513942</v>
      </c>
      <c r="AL151" s="6">
        <v>0</v>
      </c>
      <c r="AM151" s="6">
        <v>0</v>
      </c>
      <c r="AN151" s="6">
        <v>0</v>
      </c>
      <c r="AO151" s="6">
        <v>0</v>
      </c>
      <c r="AQ151" s="2" t="s">
        <v>108</v>
      </c>
      <c r="AR151" s="6">
        <v>0</v>
      </c>
      <c r="AS151" s="6">
        <v>0</v>
      </c>
      <c r="AT151" s="6">
        <v>0</v>
      </c>
      <c r="AU151" s="6">
        <v>0</v>
      </c>
      <c r="AV151" s="6">
        <v>0</v>
      </c>
    </row>
    <row r="152" spans="4:48" x14ac:dyDescent="0.25">
      <c r="E152" s="2" t="s">
        <v>109</v>
      </c>
      <c r="F152" s="6">
        <v>8.2324516400000006E-2</v>
      </c>
      <c r="G152" s="6">
        <v>48</v>
      </c>
      <c r="H152" s="6">
        <v>84</v>
      </c>
      <c r="I152" s="6">
        <v>22.333333329999999</v>
      </c>
      <c r="J152" s="6">
        <v>40.666666669999998</v>
      </c>
      <c r="M152" s="2" t="s">
        <v>109</v>
      </c>
      <c r="N152" s="6">
        <v>9.9514741999999993E-3</v>
      </c>
      <c r="O152" s="6">
        <v>0</v>
      </c>
      <c r="P152" s="6">
        <v>0</v>
      </c>
      <c r="Q152" s="6">
        <v>0</v>
      </c>
      <c r="R152" s="6">
        <v>0</v>
      </c>
      <c r="U152" s="2" t="s">
        <v>109</v>
      </c>
      <c r="V152" s="6">
        <v>98.446612592600005</v>
      </c>
      <c r="W152" s="6">
        <v>39</v>
      </c>
      <c r="X152" s="6">
        <v>4</v>
      </c>
      <c r="Y152" s="6">
        <v>51.666666669999998</v>
      </c>
      <c r="Z152" s="6">
        <v>23.333333329999999</v>
      </c>
      <c r="AC152" s="2" t="s">
        <v>109</v>
      </c>
      <c r="AD152" s="6">
        <v>0</v>
      </c>
      <c r="AE152" s="6">
        <v>12</v>
      </c>
      <c r="AF152" s="6">
        <v>12</v>
      </c>
      <c r="AG152" s="6">
        <v>24</v>
      </c>
      <c r="AH152" s="6">
        <v>33</v>
      </c>
      <c r="AJ152" s="2" t="s">
        <v>109</v>
      </c>
      <c r="AK152" s="6">
        <v>0.24553457149999999</v>
      </c>
      <c r="AL152" s="6">
        <v>1</v>
      </c>
      <c r="AM152" s="6">
        <v>0</v>
      </c>
      <c r="AN152" s="6">
        <v>2</v>
      </c>
      <c r="AO152" s="6">
        <v>3</v>
      </c>
      <c r="AQ152" s="2" t="s">
        <v>109</v>
      </c>
      <c r="AR152" s="6">
        <v>1.2155768455</v>
      </c>
      <c r="AS152" s="6">
        <v>0</v>
      </c>
      <c r="AT152" s="6">
        <v>0</v>
      </c>
      <c r="AU152" s="6">
        <v>0</v>
      </c>
      <c r="AV152" s="6">
        <v>0</v>
      </c>
    </row>
    <row r="153" spans="4:48" ht="15.75" thickBot="1" x14ac:dyDescent="0.3">
      <c r="E153" s="2" t="s">
        <v>110</v>
      </c>
      <c r="F153" s="6">
        <v>1.93619893E-2</v>
      </c>
      <c r="G153" s="6">
        <v>49.666666669999998</v>
      </c>
      <c r="H153" s="6">
        <v>84</v>
      </c>
      <c r="I153" s="6">
        <v>22.333333329999999</v>
      </c>
      <c r="J153" s="6">
        <v>40.666666669999998</v>
      </c>
      <c r="M153" s="2" t="s">
        <v>110</v>
      </c>
      <c r="N153" s="6">
        <v>8.5474265000000001E-3</v>
      </c>
      <c r="O153" s="6">
        <v>0</v>
      </c>
      <c r="P153" s="6">
        <v>0</v>
      </c>
      <c r="Q153" s="6">
        <v>0</v>
      </c>
      <c r="R153" s="6">
        <v>0</v>
      </c>
      <c r="U153" s="2" t="s">
        <v>110</v>
      </c>
      <c r="V153" s="6">
        <v>99.972090584399993</v>
      </c>
      <c r="W153" s="6">
        <v>44.833333330000002</v>
      </c>
      <c r="X153" s="6">
        <v>8</v>
      </c>
      <c r="Y153" s="6">
        <v>59.666666669999998</v>
      </c>
      <c r="Z153" s="6">
        <v>29.333333329999999</v>
      </c>
      <c r="AC153" s="2" t="s">
        <v>110</v>
      </c>
      <c r="AD153" s="6">
        <v>0</v>
      </c>
      <c r="AE153" s="6">
        <v>3</v>
      </c>
      <c r="AF153" s="6">
        <v>6</v>
      </c>
      <c r="AG153" s="6">
        <v>13</v>
      </c>
      <c r="AH153" s="6">
        <v>24</v>
      </c>
      <c r="AJ153" s="2" t="s">
        <v>110</v>
      </c>
      <c r="AK153" s="6">
        <v>0</v>
      </c>
      <c r="AL153" s="6">
        <v>2.5</v>
      </c>
      <c r="AM153" s="6">
        <v>2</v>
      </c>
      <c r="AN153" s="6">
        <v>5</v>
      </c>
      <c r="AO153" s="6">
        <v>6</v>
      </c>
      <c r="AQ153" s="2" t="s">
        <v>110</v>
      </c>
      <c r="AR153" s="6">
        <v>0</v>
      </c>
      <c r="AS153" s="6">
        <v>0</v>
      </c>
      <c r="AT153" s="6">
        <v>0</v>
      </c>
      <c r="AU153" s="6">
        <v>0</v>
      </c>
      <c r="AV153" s="6">
        <v>0</v>
      </c>
    </row>
    <row r="154" spans="4:48" ht="121.5" thickTop="1" thickBot="1" x14ac:dyDescent="0.3">
      <c r="D154" s="10" t="s">
        <v>317</v>
      </c>
      <c r="E154" s="2" t="s">
        <v>104</v>
      </c>
      <c r="F154" s="5">
        <v>100</v>
      </c>
      <c r="G154" s="5">
        <v>100</v>
      </c>
      <c r="H154" s="5">
        <v>100</v>
      </c>
      <c r="I154" s="5">
        <v>100</v>
      </c>
      <c r="J154" s="5">
        <v>100</v>
      </c>
      <c r="M154" s="2" t="s">
        <v>104</v>
      </c>
      <c r="N154" s="5">
        <v>0</v>
      </c>
      <c r="O154" s="5">
        <v>0</v>
      </c>
      <c r="P154" s="5">
        <v>0</v>
      </c>
      <c r="Q154" s="5">
        <v>0</v>
      </c>
      <c r="R154" s="5">
        <v>0</v>
      </c>
      <c r="U154" s="2" t="s">
        <v>104</v>
      </c>
      <c r="V154" s="5">
        <v>0</v>
      </c>
      <c r="W154" s="5">
        <v>0</v>
      </c>
      <c r="X154" s="5">
        <v>0</v>
      </c>
      <c r="Y154" s="5">
        <v>0</v>
      </c>
      <c r="Z154" s="5">
        <v>0</v>
      </c>
      <c r="AC154" s="2" t="s">
        <v>104</v>
      </c>
      <c r="AD154" s="5">
        <v>0</v>
      </c>
      <c r="AE154" s="5">
        <v>0</v>
      </c>
      <c r="AF154" s="5">
        <v>0</v>
      </c>
      <c r="AG154" s="5">
        <v>0</v>
      </c>
      <c r="AH154" s="5">
        <v>0</v>
      </c>
      <c r="AJ154" s="2" t="s">
        <v>104</v>
      </c>
      <c r="AK154" s="5">
        <v>0</v>
      </c>
      <c r="AL154" s="5">
        <v>0</v>
      </c>
      <c r="AM154" s="5">
        <v>0</v>
      </c>
      <c r="AN154" s="5">
        <v>0</v>
      </c>
      <c r="AO154" s="5">
        <v>0</v>
      </c>
      <c r="AQ154" s="2" t="s">
        <v>104</v>
      </c>
      <c r="AR154" s="5">
        <v>0</v>
      </c>
      <c r="AS154" s="5">
        <v>0</v>
      </c>
      <c r="AT154" s="5">
        <v>0</v>
      </c>
      <c r="AU154" s="5">
        <v>0</v>
      </c>
      <c r="AV154" s="5">
        <v>0</v>
      </c>
    </row>
    <row r="155" spans="4:48" ht="31.5" thickTop="1" thickBot="1" x14ac:dyDescent="0.3">
      <c r="D155" s="10" t="s">
        <v>303</v>
      </c>
      <c r="E155" s="2" t="s">
        <v>155</v>
      </c>
      <c r="F155" s="5">
        <f>F147</f>
        <v>1.5947545167999999</v>
      </c>
      <c r="G155" s="5">
        <f t="shared" ref="G155:J155" si="48">G147</f>
        <v>85.81</v>
      </c>
      <c r="H155" s="5">
        <f t="shared" si="48"/>
        <v>100</v>
      </c>
      <c r="I155" s="5">
        <f t="shared" si="48"/>
        <v>52.4</v>
      </c>
      <c r="J155" s="5">
        <f t="shared" si="48"/>
        <v>70</v>
      </c>
      <c r="M155" s="2" t="s">
        <v>155</v>
      </c>
      <c r="N155" s="5">
        <f>N147</f>
        <v>0.65991881779999995</v>
      </c>
      <c r="O155" s="5">
        <f t="shared" ref="O155:R155" si="49">O147</f>
        <v>0.44</v>
      </c>
      <c r="P155" s="5">
        <f t="shared" si="49"/>
        <v>0</v>
      </c>
      <c r="Q155" s="5">
        <f t="shared" si="49"/>
        <v>0.44</v>
      </c>
      <c r="R155" s="5">
        <f t="shared" si="49"/>
        <v>0</v>
      </c>
      <c r="U155" s="2" t="s">
        <v>155</v>
      </c>
      <c r="V155" s="5">
        <f>V147</f>
        <v>95.419139574300004</v>
      </c>
      <c r="W155" s="5">
        <f t="shared" ref="W155:Z155" si="50">W147</f>
        <v>12.2</v>
      </c>
      <c r="X155" s="5">
        <f t="shared" si="50"/>
        <v>0</v>
      </c>
      <c r="Y155" s="5">
        <f t="shared" si="50"/>
        <v>27.28</v>
      </c>
      <c r="Z155" s="5">
        <f t="shared" si="50"/>
        <v>5</v>
      </c>
      <c r="AC155" s="2" t="s">
        <v>155</v>
      </c>
      <c r="AD155" s="5">
        <f>AD147</f>
        <v>0</v>
      </c>
      <c r="AE155" s="5">
        <f t="shared" ref="AE155:AH155" si="51">AE147</f>
        <v>0</v>
      </c>
      <c r="AF155" s="5">
        <f t="shared" si="51"/>
        <v>0</v>
      </c>
      <c r="AG155" s="5">
        <f t="shared" si="51"/>
        <v>18.329999999999998</v>
      </c>
      <c r="AH155" s="5">
        <f t="shared" si="51"/>
        <v>25</v>
      </c>
      <c r="AJ155" s="2" t="s">
        <v>155</v>
      </c>
      <c r="AK155" s="5">
        <f>AK147</f>
        <v>0</v>
      </c>
      <c r="AL155" s="5">
        <f t="shared" ref="AL155:AO155" si="52">AL147</f>
        <v>0</v>
      </c>
      <c r="AM155" s="5">
        <f t="shared" si="52"/>
        <v>0</v>
      </c>
      <c r="AN155" s="5">
        <f t="shared" si="52"/>
        <v>0</v>
      </c>
      <c r="AO155" s="5">
        <f t="shared" si="52"/>
        <v>0</v>
      </c>
      <c r="AQ155" s="2" t="s">
        <v>155</v>
      </c>
      <c r="AR155" s="5">
        <f>AR147</f>
        <v>2.3261870914</v>
      </c>
      <c r="AS155" s="5">
        <f t="shared" ref="AS155:AV155" si="53">AS147</f>
        <v>1.55</v>
      </c>
      <c r="AT155" s="5">
        <f t="shared" si="53"/>
        <v>0</v>
      </c>
      <c r="AU155" s="5">
        <f t="shared" si="53"/>
        <v>1.55</v>
      </c>
      <c r="AV155" s="5">
        <f t="shared" si="53"/>
        <v>0</v>
      </c>
    </row>
    <row r="156" spans="4:48" ht="31.5" thickTop="1" thickBot="1" x14ac:dyDescent="0.3">
      <c r="D156" s="10" t="s">
        <v>303</v>
      </c>
      <c r="E156" s="2" t="s">
        <v>156</v>
      </c>
      <c r="F156" s="5">
        <f>F132</f>
        <v>0.20471867539999999</v>
      </c>
      <c r="G156" s="5">
        <f t="shared" ref="G156:J156" si="54">G132</f>
        <v>85</v>
      </c>
      <c r="H156" s="5">
        <f t="shared" si="54"/>
        <v>86.5</v>
      </c>
      <c r="I156" s="5">
        <f t="shared" si="54"/>
        <v>80</v>
      </c>
      <c r="J156" s="5">
        <f t="shared" si="54"/>
        <v>90</v>
      </c>
      <c r="M156" s="2" t="s">
        <v>156</v>
      </c>
      <c r="N156" s="5">
        <f>N132</f>
        <v>1.54391144E-2</v>
      </c>
      <c r="O156" s="5">
        <f t="shared" ref="O156:R156" si="55">O132</f>
        <v>0</v>
      </c>
      <c r="P156" s="5">
        <f t="shared" si="55"/>
        <v>0</v>
      </c>
      <c r="Q156" s="5">
        <f t="shared" si="55"/>
        <v>3</v>
      </c>
      <c r="R156" s="5">
        <f t="shared" si="55"/>
        <v>0.5</v>
      </c>
      <c r="U156" s="2" t="s">
        <v>156</v>
      </c>
      <c r="V156" s="5">
        <f>V132</f>
        <v>97.141478290500004</v>
      </c>
      <c r="W156" s="5">
        <f t="shared" ref="W156:Z156" si="56">W132</f>
        <v>3</v>
      </c>
      <c r="X156" s="5">
        <f t="shared" si="56"/>
        <v>0</v>
      </c>
      <c r="Y156" s="5">
        <f t="shared" si="56"/>
        <v>2</v>
      </c>
      <c r="Z156" s="5">
        <f t="shared" si="56"/>
        <v>0.5</v>
      </c>
      <c r="AC156" s="2" t="s">
        <v>156</v>
      </c>
      <c r="AD156" s="5">
        <f>AD132</f>
        <v>0</v>
      </c>
      <c r="AE156" s="5">
        <f t="shared" ref="AE156:AH156" si="57">AE132</f>
        <v>12</v>
      </c>
      <c r="AF156" s="5">
        <f t="shared" si="57"/>
        <v>13.5</v>
      </c>
      <c r="AG156" s="5">
        <f t="shared" si="57"/>
        <v>15</v>
      </c>
      <c r="AH156" s="5">
        <f t="shared" si="57"/>
        <v>9</v>
      </c>
      <c r="AJ156" s="2" t="s">
        <v>156</v>
      </c>
      <c r="AK156" s="5">
        <f>AK132</f>
        <v>2.1672304753999998</v>
      </c>
      <c r="AL156" s="5">
        <f t="shared" ref="AL156:AO156" si="58">AL132</f>
        <v>0</v>
      </c>
      <c r="AM156" s="5">
        <f t="shared" si="58"/>
        <v>0</v>
      </c>
      <c r="AN156" s="5">
        <f t="shared" si="58"/>
        <v>0</v>
      </c>
      <c r="AO156" s="5">
        <f t="shared" si="58"/>
        <v>0</v>
      </c>
      <c r="AQ156" s="2" t="s">
        <v>156</v>
      </c>
      <c r="AR156" s="5">
        <f>AR132</f>
        <v>0.47113344460000001</v>
      </c>
      <c r="AS156" s="5">
        <f t="shared" ref="AS156:AV156" si="59">AS132</f>
        <v>0</v>
      </c>
      <c r="AT156" s="5">
        <f t="shared" si="59"/>
        <v>0</v>
      </c>
      <c r="AU156" s="5">
        <f t="shared" si="59"/>
        <v>0</v>
      </c>
      <c r="AV156" s="5">
        <f t="shared" si="59"/>
        <v>0</v>
      </c>
    </row>
    <row r="157" spans="4:48"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FA0-0562-49BC-A16A-713DEA3C79FB}">
  <dimension ref="C7:L14"/>
  <sheetViews>
    <sheetView workbookViewId="0">
      <selection activeCell="L7" sqref="L7"/>
    </sheetView>
  </sheetViews>
  <sheetFormatPr defaultRowHeight="15" x14ac:dyDescent="0.25"/>
  <sheetData>
    <row r="7" spans="3:12" x14ac:dyDescent="0.25">
      <c r="C7" t="s">
        <v>306</v>
      </c>
      <c r="D7" t="s">
        <v>217</v>
      </c>
      <c r="E7" t="s">
        <v>159</v>
      </c>
      <c r="F7" t="s">
        <v>308</v>
      </c>
      <c r="G7" t="s">
        <v>309</v>
      </c>
      <c r="H7" t="s">
        <v>310</v>
      </c>
      <c r="I7" t="s">
        <v>311</v>
      </c>
      <c r="J7" t="s">
        <v>312</v>
      </c>
      <c r="K7" t="s">
        <v>313</v>
      </c>
      <c r="L7" t="s">
        <v>314</v>
      </c>
    </row>
    <row r="8" spans="3:12" x14ac:dyDescent="0.25">
      <c r="C8" t="s">
        <v>315</v>
      </c>
      <c r="D8" t="s">
        <v>307</v>
      </c>
      <c r="E8" t="s">
        <v>307</v>
      </c>
      <c r="F8" t="s">
        <v>307</v>
      </c>
      <c r="G8" t="s">
        <v>307</v>
      </c>
      <c r="H8" t="s">
        <v>307</v>
      </c>
      <c r="I8" t="s">
        <v>307</v>
      </c>
      <c r="J8" t="s">
        <v>307</v>
      </c>
      <c r="K8" t="s">
        <v>307</v>
      </c>
      <c r="L8" t="s">
        <v>307</v>
      </c>
    </row>
    <row r="9" spans="3:12" x14ac:dyDescent="0.25">
      <c r="C9" t="s">
        <v>37</v>
      </c>
      <c r="D9">
        <v>633.75900000000001</v>
      </c>
      <c r="E9">
        <v>0</v>
      </c>
      <c r="F9">
        <v>0</v>
      </c>
      <c r="G9">
        <v>43231.553</v>
      </c>
      <c r="H9">
        <v>34.499000000000002</v>
      </c>
      <c r="I9">
        <v>43129.756999999998</v>
      </c>
      <c r="J9">
        <v>3154.2350000000001</v>
      </c>
      <c r="K9">
        <v>2.052</v>
      </c>
      <c r="L9">
        <v>3152.183</v>
      </c>
    </row>
    <row r="10" spans="3:12" x14ac:dyDescent="0.25">
      <c r="C10" t="s">
        <v>41</v>
      </c>
      <c r="D10">
        <v>138.24700000000001</v>
      </c>
      <c r="E10">
        <v>0</v>
      </c>
      <c r="F10">
        <v>0</v>
      </c>
      <c r="G10">
        <v>21845.441999999999</v>
      </c>
      <c r="H10">
        <v>0</v>
      </c>
      <c r="I10">
        <v>21845.441999999999</v>
      </c>
      <c r="J10">
        <v>1726.279</v>
      </c>
      <c r="K10">
        <v>0</v>
      </c>
      <c r="L10">
        <v>1726.279</v>
      </c>
    </row>
    <row r="11" spans="3:12" x14ac:dyDescent="0.25">
      <c r="C11" t="s">
        <v>49</v>
      </c>
      <c r="D11">
        <v>0</v>
      </c>
      <c r="E11">
        <v>0</v>
      </c>
      <c r="F11">
        <v>0</v>
      </c>
      <c r="G11">
        <v>26853.496999999999</v>
      </c>
      <c r="H11">
        <v>0</v>
      </c>
      <c r="I11">
        <v>26853.496999999999</v>
      </c>
      <c r="J11">
        <v>1729.0450000000001</v>
      </c>
      <c r="K11">
        <v>0</v>
      </c>
      <c r="L11">
        <v>1729.0450000000001</v>
      </c>
    </row>
    <row r="12" spans="3:12" x14ac:dyDescent="0.25">
      <c r="C12" t="s">
        <v>35</v>
      </c>
      <c r="D12">
        <v>647.93399999999997</v>
      </c>
      <c r="E12">
        <v>0</v>
      </c>
      <c r="F12">
        <v>0</v>
      </c>
      <c r="G12">
        <v>71756.953999999998</v>
      </c>
      <c r="H12">
        <v>0</v>
      </c>
      <c r="I12">
        <v>71755.501000000004</v>
      </c>
      <c r="J12">
        <v>5397.5039999999999</v>
      </c>
      <c r="K12">
        <v>0</v>
      </c>
      <c r="L12">
        <v>4359.6819999999998</v>
      </c>
    </row>
    <row r="13" spans="3:12" x14ac:dyDescent="0.25">
      <c r="C13" t="s">
        <v>55</v>
      </c>
      <c r="D13">
        <v>154.74799999999999</v>
      </c>
      <c r="E13">
        <v>1.08</v>
      </c>
      <c r="F13">
        <v>0</v>
      </c>
      <c r="G13">
        <v>31813.977999999999</v>
      </c>
      <c r="H13">
        <v>57.420999999999999</v>
      </c>
      <c r="I13">
        <v>31756.557000000001</v>
      </c>
      <c r="J13">
        <v>4807.5429999999997</v>
      </c>
      <c r="K13">
        <v>23.102</v>
      </c>
      <c r="L13">
        <v>4784.442</v>
      </c>
    </row>
    <row r="14" spans="3:12" x14ac:dyDescent="0.25">
      <c r="C14" t="s">
        <v>316</v>
      </c>
      <c r="D14">
        <v>0</v>
      </c>
      <c r="E14">
        <v>0</v>
      </c>
      <c r="F14">
        <v>0</v>
      </c>
      <c r="G14">
        <v>4369.2330000000002</v>
      </c>
      <c r="H14">
        <v>0</v>
      </c>
      <c r="I14">
        <v>4369.2330000000002</v>
      </c>
      <c r="J14">
        <v>0</v>
      </c>
      <c r="K14">
        <v>0</v>
      </c>
      <c r="L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16DE9-4FF1-4404-960A-C731913ABE8A}">
  <sheetPr>
    <tabColor theme="7"/>
  </sheetPr>
  <dimension ref="H11:AH155"/>
  <sheetViews>
    <sheetView topLeftCell="A9" workbookViewId="0">
      <selection activeCell="D13" sqref="D13"/>
    </sheetView>
  </sheetViews>
  <sheetFormatPr defaultColWidth="8.7109375" defaultRowHeight="15" x14ac:dyDescent="0.25"/>
  <cols>
    <col min="1" max="7" width="8.7109375" style="3"/>
    <col min="8" max="8" width="14.7109375" style="3" bestFit="1" customWidth="1"/>
    <col min="9" max="10" width="11.42578125" style="3" bestFit="1" customWidth="1"/>
    <col min="11" max="11" width="11.42578125" style="3" customWidth="1"/>
    <col min="12" max="12" width="11.42578125" style="3" bestFit="1" customWidth="1"/>
    <col min="13" max="15" width="11.42578125" style="3" customWidth="1"/>
    <col min="16" max="16" width="8.7109375" style="3"/>
    <col min="17" max="17" width="15.42578125" style="3" customWidth="1"/>
    <col min="18" max="25" width="8.7109375" style="3"/>
    <col min="26" max="26" width="20.140625" style="3" customWidth="1"/>
    <col min="27" max="16384" width="8.7109375" style="3"/>
  </cols>
  <sheetData>
    <row r="11" spans="8:34" ht="30" x14ac:dyDescent="0.25">
      <c r="H11" s="2" t="s">
        <v>157</v>
      </c>
      <c r="I11" s="2" t="s">
        <v>159</v>
      </c>
      <c r="J11" s="2" t="s">
        <v>160</v>
      </c>
      <c r="K11" s="2" t="s">
        <v>161</v>
      </c>
      <c r="L11" s="2" t="s">
        <v>162</v>
      </c>
      <c r="M11" s="2" t="s">
        <v>187</v>
      </c>
      <c r="N11" s="2" t="s">
        <v>189</v>
      </c>
      <c r="O11" s="2" t="s">
        <v>188</v>
      </c>
      <c r="Q11" s="2" t="s">
        <v>158</v>
      </c>
      <c r="R11" s="2" t="s">
        <v>159</v>
      </c>
      <c r="S11" s="2" t="s">
        <v>160</v>
      </c>
      <c r="T11" s="2" t="s">
        <v>161</v>
      </c>
      <c r="U11" s="2" t="s">
        <v>162</v>
      </c>
      <c r="V11" s="2" t="s">
        <v>187</v>
      </c>
      <c r="W11" s="2" t="s">
        <v>189</v>
      </c>
      <c r="X11" s="2" t="s">
        <v>188</v>
      </c>
      <c r="Z11" s="2" t="s">
        <v>163</v>
      </c>
      <c r="AA11" s="2" t="s">
        <v>159</v>
      </c>
      <c r="AB11" s="2" t="s">
        <v>160</v>
      </c>
      <c r="AC11" s="2" t="s">
        <v>161</v>
      </c>
      <c r="AD11" s="2" t="s">
        <v>162</v>
      </c>
      <c r="AE11" s="2" t="s">
        <v>187</v>
      </c>
      <c r="AF11" s="2" t="s">
        <v>189</v>
      </c>
      <c r="AG11" s="2" t="s">
        <v>188</v>
      </c>
    </row>
    <row r="12" spans="8:34" x14ac:dyDescent="0.25">
      <c r="H12" s="2" t="str" cm="1">
        <f t="array" ref="H12:H41">countries</f>
        <v>Austria</v>
      </c>
      <c r="I12" s="14" cm="1">
        <f t="array" ref="I12:I41">INDEX(Cars_split_REF_2019_Electricity,MATCH(Country_abbreviations,Fleet_split_country_abbreviations,0))/100+(INDEX(Cars_split_GA_2040_Electricity,MATCH(Country_abbreviations,Fleet_split_country_abbreviations,0))/100-INDEX(Cars_split_REF_2019_Electricity,MATCH(Country_abbreviations,Fleet_split_country_abbreviations,0))/100)/2</f>
        <v>0.37523016055299996</v>
      </c>
      <c r="J12" s="14" cm="1">
        <f t="array" ref="J12:J41">INDEX(Cars_split_REF_2019_Gasoline,MATCH(Country_abbreviations,Fleet_split_country_abbreviations,0))/100+(INDEX(Cars_split_GA_2040_Gasoline,MATCH(Country_abbreviations,Fleet_split_country_abbreviations,0))/100-INDEX(Cars_split_REF_2019_Gasoline,MATCH(Country_abbreviations,Fleet_split_country_abbreviations,0))/100)/2</f>
        <v>0.13833523542800003</v>
      </c>
      <c r="K12" s="14" cm="1">
        <f t="array" ref="K12:K41">INDEX(Cars_split_REF_2019_Diesel,MATCH(Country_abbreviations,Fleet_split_country_abbreviations,0))/100+(INDEX(Cars_split_GA_2040_Diesel,MATCH(Country_abbreviations,Fleet_split_country_abbreviations,0))/100-INDEX(Cars_split_REF_2019_Diesel,MATCH(Country_abbreviations,Fleet_split_country_abbreviations,0))/100)/2</f>
        <v>0.38566206721599999</v>
      </c>
      <c r="L12" s="14" cm="1">
        <f t="array" ref="L12:L41">INDEX(Cars_split_REF_2019_Hydrogen,MATCH(Country_abbreviations,Fleet_split_country_abbreviations,0))/100+(INDEX(Cars_split_GA_2040_Hydrogen,MATCH(Country_abbreviations,Fleet_split_country_abbreviations,0))/100-INDEX(Cars_split_REF_2019_Hydrogen,MATCH(Country_abbreviations,Fleet_split_country_abbreviations,0))/100)/2</f>
        <v>0.1</v>
      </c>
      <c r="M12" s="14" cm="1">
        <f t="array" ref="M12:M41">INDEX(Cars_split_REF_2019_CNG,MATCH(Country_abbreviations,Fleet_split_country_abbreviations,0))/100+(INDEX(Cars_split_GA_2040_CNG,MATCH(Country_abbreviations,Fleet_split_country_abbreviations,0))/100-INDEX(Cars_split_REF_2019_CNG,MATCH(Country_abbreviations,Fleet_split_country_abbreviations,0))/100)/2</f>
        <v>3.3172397450000003E-4</v>
      </c>
      <c r="N12" s="14">
        <v>0</v>
      </c>
      <c r="O12" s="14" cm="1">
        <f t="array" ref="O12:O41">INDEX(Cars_split_REF_2019_LPG,MATCH(Country_abbreviations,Fleet_split_country_abbreviations,0))/100+(INDEX(Cars_split_GA_2040_LPG,MATCH(Country_abbreviations,Fleet_split_country_abbreviations,0))/100-INDEX(Cars_split_REF_2019_LPG,MATCH(Country_abbreviations,Fleet_split_country_abbreviations,0))/100)/2</f>
        <v>4.4081283E-4</v>
      </c>
      <c r="P12" s="15">
        <f>SUM(I12:O12)</f>
        <v>1.0000000000015001</v>
      </c>
      <c r="Q12" s="2" t="str" cm="1">
        <f t="array" ref="Q12:Q41">countries</f>
        <v>Austria</v>
      </c>
      <c r="R12" s="14" cm="1">
        <f t="array" ref="R12:R41">INDEX(Cars_split_GA_2040_Electricity,MATCH(Country_abbreviations,Fleet_split_country_abbreviations,0))/100</f>
        <v>0.75</v>
      </c>
      <c r="S12" s="14" cm="1">
        <f t="array" ref="S12:S41">INDEX(Cars_split_GA_2040_Gasoline,MATCH(Country_abbreviations,Fleet_split_country_abbreviations,0))/100</f>
        <v>2.5000000000000001E-2</v>
      </c>
      <c r="T12" s="14" cm="1">
        <f t="array" ref="T12:T41">INDEX(Cars_split_GA_2040_Diesel,MATCH(Country_abbreviations,Fleet_split_country_abbreviations,0))/100</f>
        <v>2.5000000000000001E-2</v>
      </c>
      <c r="U12" s="14" cm="1">
        <f t="array" ref="U12:U41">INDEX(Cars_split_GA_2040_Hydrogen,MATCH(Country_abbreviations,Fleet_split_country_abbreviations,0))/100</f>
        <v>0.2</v>
      </c>
      <c r="V12" s="14" cm="1">
        <f t="array" ref="V12:V41">INDEX(Cars_split_GA_2040_CNG,MATCH(Country_abbreviations,Fleet_split_country_abbreviations,0))/100</f>
        <v>0</v>
      </c>
      <c r="W12" s="14">
        <v>0</v>
      </c>
      <c r="X12" s="14" cm="1">
        <f t="array" ref="X12:X41">INDEX(Cars_split_GA_2040_LPG,MATCH(Country_abbreviations,Fleet_split_country_abbreviations,0))/100</f>
        <v>0</v>
      </c>
      <c r="Y12" s="15">
        <f>SUM(R12:X12)</f>
        <v>1</v>
      </c>
      <c r="Z12" s="2" t="str" cm="1">
        <f t="array" ref="Z12:Z41">countries</f>
        <v>Austria</v>
      </c>
      <c r="AA12" s="14" cm="1">
        <f t="array" ref="AA12:AA41">INDEX(Cars_split_GA_2050_Electricity,MATCH(Country_abbreviations,Fleet_split_country_abbreviations,0))/100</f>
        <v>0.8</v>
      </c>
      <c r="AB12" s="14" cm="1">
        <f t="array" ref="AB12:AB41">INDEX(Cars_split_GA_2050_Gasoline,MATCH(Country_abbreviations,Fleet_split_country_abbreviations,0))/100</f>
        <v>0</v>
      </c>
      <c r="AC12" s="14" cm="1">
        <f t="array" ref="AC12:AC41">INDEX(Cars_split_GA_2050_Diesel,MATCH(Country_abbreviations,Fleet_split_country_abbreviations,0))/100</f>
        <v>0</v>
      </c>
      <c r="AD12" s="14" cm="1">
        <f t="array" ref="AD12:AD41">INDEX(Cars_split_GA_2050_Hydrogen,MATCH(Country_abbreviations,Fleet_split_country_abbreviations,0))/100</f>
        <v>0.2</v>
      </c>
      <c r="AE12" s="14" cm="1">
        <f t="array" ref="AE12:AE41">INDEX(Cars_split_GA_2050_CNG,MATCH(Country_abbreviations,Fleet_split_country_abbreviations,0))/100</f>
        <v>0</v>
      </c>
      <c r="AF12" s="14">
        <v>0</v>
      </c>
      <c r="AG12" s="14" cm="1">
        <f t="array" ref="AG12:AG41">INDEX(Cars_split_GA_2050_LPG,MATCH(Country_abbreviations,Fleet_split_country_abbreviations,0))/100</f>
        <v>0</v>
      </c>
      <c r="AH12" s="15">
        <f>SUM(AA12:AG12)</f>
        <v>1</v>
      </c>
    </row>
    <row r="13" spans="8:34" x14ac:dyDescent="0.25">
      <c r="H13" s="2" t="str">
        <v>Belgium</v>
      </c>
      <c r="I13" s="14">
        <v>0.27606932095949993</v>
      </c>
      <c r="J13" s="14">
        <v>0.28306394157350001</v>
      </c>
      <c r="K13" s="14">
        <v>0.39333418392949998</v>
      </c>
      <c r="L13" s="14">
        <v>4.0999999999999995E-2</v>
      </c>
      <c r="M13" s="14">
        <v>3.0495416850000001E-3</v>
      </c>
      <c r="N13" s="14">
        <v>0</v>
      </c>
      <c r="O13" s="14">
        <v>3.4830118549999999E-3</v>
      </c>
      <c r="P13" s="15">
        <f t="shared" ref="P13:P41" si="0">SUM(I13:O13)</f>
        <v>1.0000000000025</v>
      </c>
      <c r="Q13" s="2" t="str">
        <v>Belgium</v>
      </c>
      <c r="R13" s="14">
        <v>0.54899999999999993</v>
      </c>
      <c r="S13" s="14">
        <v>0.29199999999999998</v>
      </c>
      <c r="T13" s="14">
        <v>7.2999999999999995E-2</v>
      </c>
      <c r="U13" s="14">
        <v>8.199999999999999E-2</v>
      </c>
      <c r="V13" s="14">
        <v>4.0000000000000001E-3</v>
      </c>
      <c r="W13" s="14">
        <v>0</v>
      </c>
      <c r="X13" s="14">
        <v>0</v>
      </c>
      <c r="Y13" s="15">
        <f t="shared" ref="Y13:Y41" si="1">SUM(R13:X13)</f>
        <v>0.99999999999999989</v>
      </c>
      <c r="Z13" s="2" t="str">
        <v>Belgium</v>
      </c>
      <c r="AA13" s="14">
        <v>0.85</v>
      </c>
      <c r="AB13" s="14">
        <v>0</v>
      </c>
      <c r="AC13" s="14">
        <v>0</v>
      </c>
      <c r="AD13" s="14">
        <v>0.15</v>
      </c>
      <c r="AE13" s="14">
        <v>0</v>
      </c>
      <c r="AF13" s="14">
        <v>0</v>
      </c>
      <c r="AG13" s="14">
        <v>0</v>
      </c>
      <c r="AH13" s="15">
        <f t="shared" ref="AH13:AH41" si="2">SUM(AA13:AG13)</f>
        <v>1</v>
      </c>
    </row>
    <row r="14" spans="8:34" x14ac:dyDescent="0.25">
      <c r="H14" s="2" t="str">
        <v>Bulgaria</v>
      </c>
      <c r="I14" s="14">
        <v>0.12362165331</v>
      </c>
      <c r="J14" s="14">
        <v>0.35884468389949997</v>
      </c>
      <c r="K14" s="14">
        <v>0.31496319068199996</v>
      </c>
      <c r="L14" s="14">
        <v>9.5000000000000001E-2</v>
      </c>
      <c r="M14" s="14">
        <v>2.0937571890500002E-2</v>
      </c>
      <c r="N14" s="14">
        <v>0</v>
      </c>
      <c r="O14" s="14">
        <v>8.6632900218999997E-2</v>
      </c>
      <c r="P14" s="15">
        <f t="shared" si="0"/>
        <v>1.0000000000009999</v>
      </c>
      <c r="Q14" s="2" t="str">
        <v>Bulgaria</v>
      </c>
      <c r="R14" s="14">
        <v>0.24666666670000001</v>
      </c>
      <c r="S14" s="14">
        <v>0.5433333333</v>
      </c>
      <c r="T14" s="14">
        <v>0</v>
      </c>
      <c r="U14" s="14">
        <v>0.19</v>
      </c>
      <c r="V14" s="14">
        <v>0.02</v>
      </c>
      <c r="W14" s="14">
        <v>0</v>
      </c>
      <c r="X14" s="14">
        <v>0</v>
      </c>
      <c r="Y14" s="15">
        <f t="shared" si="1"/>
        <v>1</v>
      </c>
      <c r="Z14" s="2" t="str">
        <v>Bulgaria</v>
      </c>
      <c r="AA14" s="14">
        <v>0.69</v>
      </c>
      <c r="AB14" s="14">
        <v>0.05</v>
      </c>
      <c r="AC14" s="14">
        <v>0</v>
      </c>
      <c r="AD14" s="14">
        <v>0.23</v>
      </c>
      <c r="AE14" s="14">
        <v>0.03</v>
      </c>
      <c r="AF14" s="14">
        <v>0</v>
      </c>
      <c r="AG14" s="14">
        <v>0</v>
      </c>
      <c r="AH14" s="15">
        <f t="shared" si="2"/>
        <v>1</v>
      </c>
    </row>
    <row r="15" spans="8:34" x14ac:dyDescent="0.25">
      <c r="H15" s="2" t="str">
        <v>Croatia</v>
      </c>
      <c r="I15" s="14">
        <v>4.7543146201500006E-2</v>
      </c>
      <c r="J15" s="14">
        <v>0.59342863698850001</v>
      </c>
      <c r="K15" s="14">
        <v>0.33482076542450001</v>
      </c>
      <c r="L15" s="14">
        <v>0</v>
      </c>
      <c r="M15" s="14">
        <v>1.5161531010000001E-3</v>
      </c>
      <c r="N15" s="14">
        <v>0</v>
      </c>
      <c r="O15" s="14">
        <v>2.2691298286500003E-2</v>
      </c>
      <c r="P15" s="15">
        <f t="shared" si="0"/>
        <v>1.000000000002</v>
      </c>
      <c r="Q15" s="2" t="str">
        <v>Croatia</v>
      </c>
      <c r="R15" s="14">
        <v>9.5000000000000001E-2</v>
      </c>
      <c r="S15" s="14">
        <v>0.90200000000000002</v>
      </c>
      <c r="T15" s="14">
        <v>0</v>
      </c>
      <c r="U15" s="14">
        <v>0</v>
      </c>
      <c r="V15" s="14">
        <v>3.0000000000000001E-3</v>
      </c>
      <c r="W15" s="14">
        <v>0</v>
      </c>
      <c r="X15" s="14">
        <v>0</v>
      </c>
      <c r="Y15" s="15">
        <f t="shared" si="1"/>
        <v>1</v>
      </c>
      <c r="Z15" s="2" t="str">
        <v>Croatia</v>
      </c>
      <c r="AA15" s="14">
        <v>0.90500000000000003</v>
      </c>
      <c r="AB15" s="14">
        <v>0.05</v>
      </c>
      <c r="AC15" s="14">
        <v>0</v>
      </c>
      <c r="AD15" s="14">
        <v>0.02</v>
      </c>
      <c r="AE15" s="14">
        <v>2.5000000000000001E-2</v>
      </c>
      <c r="AF15" s="14">
        <v>0</v>
      </c>
      <c r="AG15" s="14">
        <v>0</v>
      </c>
      <c r="AH15" s="15">
        <f t="shared" si="2"/>
        <v>1</v>
      </c>
    </row>
    <row r="16" spans="8:34" x14ac:dyDescent="0.25">
      <c r="H16" s="2" t="str">
        <v>Cyprus</v>
      </c>
      <c r="I16" s="14">
        <v>0.12333333335</v>
      </c>
      <c r="J16" s="14">
        <v>0.58770439970999999</v>
      </c>
      <c r="K16" s="14">
        <v>0.183483557899</v>
      </c>
      <c r="L16" s="14">
        <v>9.5000000000000001E-2</v>
      </c>
      <c r="M16" s="14">
        <v>0.01</v>
      </c>
      <c r="N16" s="14">
        <v>0</v>
      </c>
      <c r="O16" s="14">
        <v>4.7870904200000001E-4</v>
      </c>
      <c r="P16" s="15">
        <f t="shared" si="0"/>
        <v>1.0000000000009999</v>
      </c>
      <c r="Q16" s="2" t="str">
        <v>Cyprus</v>
      </c>
      <c r="R16" s="14">
        <v>0.24666666670000001</v>
      </c>
      <c r="S16" s="14">
        <v>0.5433333333</v>
      </c>
      <c r="T16" s="14">
        <v>0</v>
      </c>
      <c r="U16" s="14">
        <v>0.19</v>
      </c>
      <c r="V16" s="14">
        <v>0.02</v>
      </c>
      <c r="W16" s="14">
        <v>0</v>
      </c>
      <c r="X16" s="14">
        <v>0</v>
      </c>
      <c r="Y16" s="15">
        <f t="shared" si="1"/>
        <v>1</v>
      </c>
      <c r="Z16" s="2" t="str">
        <v>Cyprus</v>
      </c>
      <c r="AA16" s="14">
        <v>0.69</v>
      </c>
      <c r="AB16" s="14">
        <v>0.05</v>
      </c>
      <c r="AC16" s="14">
        <v>0</v>
      </c>
      <c r="AD16" s="14">
        <v>0.23</v>
      </c>
      <c r="AE16" s="14">
        <v>0.03</v>
      </c>
      <c r="AF16" s="14">
        <v>0</v>
      </c>
      <c r="AG16" s="14">
        <v>0</v>
      </c>
      <c r="AH16" s="15">
        <f t="shared" si="2"/>
        <v>1</v>
      </c>
    </row>
    <row r="17" spans="8:34" x14ac:dyDescent="0.25">
      <c r="H17" s="2" t="str">
        <v>Czechia</v>
      </c>
      <c r="I17" s="14">
        <v>9.3791870112500009E-2</v>
      </c>
      <c r="J17" s="14">
        <v>0.47787074342300007</v>
      </c>
      <c r="K17" s="14">
        <v>0.32272773393199999</v>
      </c>
      <c r="L17" s="14">
        <v>7.4999999999999997E-2</v>
      </c>
      <c r="M17" s="14">
        <v>2.1400413625500003E-2</v>
      </c>
      <c r="N17" s="14">
        <v>0</v>
      </c>
      <c r="O17" s="14">
        <v>9.2092389090000001E-3</v>
      </c>
      <c r="P17" s="15">
        <f t="shared" si="0"/>
        <v>1.0000000000020002</v>
      </c>
      <c r="Q17" s="2" t="str">
        <v>Czechia</v>
      </c>
      <c r="R17" s="14">
        <v>0.18666666670000001</v>
      </c>
      <c r="S17" s="14">
        <v>0.62333333330000007</v>
      </c>
      <c r="T17" s="14">
        <v>0</v>
      </c>
      <c r="U17" s="14">
        <v>0.15</v>
      </c>
      <c r="V17" s="14">
        <v>0.04</v>
      </c>
      <c r="W17" s="14">
        <v>0</v>
      </c>
      <c r="X17" s="14">
        <v>0</v>
      </c>
      <c r="Y17" s="15">
        <f t="shared" si="1"/>
        <v>1</v>
      </c>
      <c r="Z17" s="2" t="str">
        <v>Czechia</v>
      </c>
      <c r="AA17" s="14">
        <v>0.7</v>
      </c>
      <c r="AB17" s="14">
        <v>0.05</v>
      </c>
      <c r="AC17" s="14">
        <v>0</v>
      </c>
      <c r="AD17" s="14">
        <v>0.2</v>
      </c>
      <c r="AE17" s="14">
        <v>0.05</v>
      </c>
      <c r="AF17" s="14">
        <v>0</v>
      </c>
      <c r="AG17" s="14">
        <v>0</v>
      </c>
      <c r="AH17" s="15">
        <f t="shared" si="2"/>
        <v>1</v>
      </c>
    </row>
    <row r="18" spans="8:34" x14ac:dyDescent="0.25">
      <c r="H18" s="2" t="str">
        <v>Denmark</v>
      </c>
      <c r="I18" s="14">
        <v>0.1254320916495</v>
      </c>
      <c r="J18" s="14">
        <v>0.52775080441300004</v>
      </c>
      <c r="K18" s="14">
        <v>0.28181570405700002</v>
      </c>
      <c r="L18" s="14">
        <v>4.4999999999999998E-2</v>
      </c>
      <c r="M18" s="14">
        <v>2.0001399882E-2</v>
      </c>
      <c r="N18" s="14">
        <v>0</v>
      </c>
      <c r="O18" s="14">
        <v>0</v>
      </c>
      <c r="P18" s="15">
        <f t="shared" si="0"/>
        <v>1.0000000000015001</v>
      </c>
      <c r="Q18" s="2" t="str">
        <v>Denmark</v>
      </c>
      <c r="R18" s="14">
        <v>0.24666666670000001</v>
      </c>
      <c r="S18" s="14">
        <v>0.62333333330000007</v>
      </c>
      <c r="T18" s="14">
        <v>0</v>
      </c>
      <c r="U18" s="14">
        <v>0.09</v>
      </c>
      <c r="V18" s="14">
        <v>0.04</v>
      </c>
      <c r="W18" s="14">
        <v>0</v>
      </c>
      <c r="X18" s="14">
        <v>0</v>
      </c>
      <c r="Y18" s="15">
        <f t="shared" si="1"/>
        <v>1</v>
      </c>
      <c r="Z18" s="2" t="str">
        <v>Denmark</v>
      </c>
      <c r="AA18" s="14">
        <v>0.8</v>
      </c>
      <c r="AB18" s="14">
        <v>0</v>
      </c>
      <c r="AC18" s="14">
        <v>0</v>
      </c>
      <c r="AD18" s="14">
        <v>0.2</v>
      </c>
      <c r="AE18" s="14">
        <v>0</v>
      </c>
      <c r="AF18" s="14">
        <v>0</v>
      </c>
      <c r="AG18" s="14">
        <v>0</v>
      </c>
      <c r="AH18" s="15">
        <f t="shared" si="2"/>
        <v>1</v>
      </c>
    </row>
    <row r="19" spans="8:34" x14ac:dyDescent="0.25">
      <c r="H19" s="2" t="str">
        <v>Estonia</v>
      </c>
      <c r="I19" s="14">
        <v>0.17109732433200001</v>
      </c>
      <c r="J19" s="14">
        <v>0.41768500521500002</v>
      </c>
      <c r="K19" s="14">
        <v>0.37153920041499999</v>
      </c>
      <c r="L19" s="14">
        <v>5.0000000000000001E-3</v>
      </c>
      <c r="M19" s="14">
        <v>2.6517520411500003E-2</v>
      </c>
      <c r="N19" s="14">
        <v>0</v>
      </c>
      <c r="O19" s="14">
        <v>8.1609496279999999E-3</v>
      </c>
      <c r="P19" s="15">
        <f t="shared" si="0"/>
        <v>1.0000000000015001</v>
      </c>
      <c r="Q19" s="2" t="str">
        <v>Estonia</v>
      </c>
      <c r="R19" s="14">
        <v>0.34</v>
      </c>
      <c r="S19" s="14">
        <v>0.42599999999999999</v>
      </c>
      <c r="T19" s="14">
        <v>0.17399999999999999</v>
      </c>
      <c r="U19" s="14">
        <v>0.01</v>
      </c>
      <c r="V19" s="14">
        <v>0.05</v>
      </c>
      <c r="W19" s="14">
        <v>0</v>
      </c>
      <c r="X19" s="14">
        <v>0</v>
      </c>
      <c r="Y19" s="15">
        <f t="shared" si="1"/>
        <v>1</v>
      </c>
      <c r="Z19" s="2" t="str">
        <v>Estonia</v>
      </c>
      <c r="AA19" s="14">
        <v>0.7</v>
      </c>
      <c r="AB19" s="14">
        <v>0.1</v>
      </c>
      <c r="AC19" s="14">
        <v>0.05</v>
      </c>
      <c r="AD19" s="14">
        <v>0.1</v>
      </c>
      <c r="AE19" s="14">
        <v>0.05</v>
      </c>
      <c r="AF19" s="14">
        <v>0</v>
      </c>
      <c r="AG19" s="14">
        <v>0</v>
      </c>
      <c r="AH19" s="15">
        <f t="shared" si="2"/>
        <v>1</v>
      </c>
    </row>
    <row r="20" spans="8:34" x14ac:dyDescent="0.25">
      <c r="H20" s="2" t="str">
        <v>Finland</v>
      </c>
      <c r="I20" s="14">
        <v>0.315341835653</v>
      </c>
      <c r="J20" s="14">
        <v>0.33852015962750004</v>
      </c>
      <c r="K20" s="14">
        <v>0.28659342383149999</v>
      </c>
      <c r="L20" s="14">
        <v>4.4999999999999998E-2</v>
      </c>
      <c r="M20" s="14">
        <v>1.4544580988499999E-2</v>
      </c>
      <c r="N20" s="14">
        <v>0</v>
      </c>
      <c r="O20" s="14">
        <v>0</v>
      </c>
      <c r="P20" s="15">
        <f t="shared" si="0"/>
        <v>1.0000000001005001</v>
      </c>
      <c r="Q20" s="2" t="str">
        <v>Finland</v>
      </c>
      <c r="R20" s="14">
        <v>0.627070707</v>
      </c>
      <c r="S20" s="14">
        <v>0.25515151520000001</v>
      </c>
      <c r="T20" s="14">
        <v>0</v>
      </c>
      <c r="U20" s="14">
        <v>0.09</v>
      </c>
      <c r="V20" s="14">
        <v>2.7777777999999999E-2</v>
      </c>
      <c r="W20" s="14">
        <v>0</v>
      </c>
      <c r="X20" s="14">
        <v>0</v>
      </c>
      <c r="Y20" s="15">
        <f t="shared" si="1"/>
        <v>1.0000000002</v>
      </c>
      <c r="Z20" s="2" t="str">
        <v>Finland</v>
      </c>
      <c r="AA20" s="14">
        <v>0.75574074099999999</v>
      </c>
      <c r="AB20" s="14">
        <v>0</v>
      </c>
      <c r="AC20" s="14">
        <v>0</v>
      </c>
      <c r="AD20" s="14">
        <v>0.20722222200000001</v>
      </c>
      <c r="AE20" s="14">
        <v>3.7037037000000002E-2</v>
      </c>
      <c r="AF20" s="14">
        <v>0</v>
      </c>
      <c r="AG20" s="14">
        <v>0</v>
      </c>
      <c r="AH20" s="15">
        <f t="shared" si="2"/>
        <v>1</v>
      </c>
    </row>
    <row r="21" spans="8:34" x14ac:dyDescent="0.25">
      <c r="H21" s="2" t="str">
        <v>France</v>
      </c>
      <c r="I21" s="14">
        <v>0.35177531894450004</v>
      </c>
      <c r="J21" s="14">
        <v>0.195232592122</v>
      </c>
      <c r="K21" s="14">
        <v>0.40559090948150001</v>
      </c>
      <c r="L21" s="14">
        <v>1.2500000000000001E-2</v>
      </c>
      <c r="M21" s="14">
        <v>4.3954876000000003E-5</v>
      </c>
      <c r="N21" s="14">
        <v>0</v>
      </c>
      <c r="O21" s="14">
        <v>3.4857224577499998E-2</v>
      </c>
      <c r="P21" s="15">
        <f t="shared" si="0"/>
        <v>1.0000000000014999</v>
      </c>
      <c r="Q21" s="2" t="str">
        <v>France</v>
      </c>
      <c r="R21" s="14">
        <v>0.7016</v>
      </c>
      <c r="S21" s="14">
        <v>0.15039999999999998</v>
      </c>
      <c r="T21" s="14">
        <v>5.5E-2</v>
      </c>
      <c r="U21" s="14">
        <v>2.5000000000000001E-2</v>
      </c>
      <c r="V21" s="14">
        <v>0</v>
      </c>
      <c r="W21" s="14">
        <v>0</v>
      </c>
      <c r="X21" s="14">
        <v>6.8000000000000005E-2</v>
      </c>
      <c r="Y21" s="15">
        <f t="shared" si="1"/>
        <v>1</v>
      </c>
      <c r="Z21" s="2" t="str">
        <v>France</v>
      </c>
      <c r="AA21" s="14">
        <v>0.95</v>
      </c>
      <c r="AB21" s="14">
        <v>0</v>
      </c>
      <c r="AC21" s="14">
        <v>0</v>
      </c>
      <c r="AD21" s="14">
        <v>0.05</v>
      </c>
      <c r="AE21" s="14">
        <v>0</v>
      </c>
      <c r="AF21" s="14">
        <v>0</v>
      </c>
      <c r="AG21" s="14">
        <v>0</v>
      </c>
      <c r="AH21" s="15">
        <f t="shared" si="2"/>
        <v>1</v>
      </c>
    </row>
    <row r="22" spans="8:34" x14ac:dyDescent="0.25">
      <c r="H22" s="2" t="str">
        <v>Germany</v>
      </c>
      <c r="I22" s="14">
        <v>0.35089844041000001</v>
      </c>
      <c r="J22" s="14">
        <v>0.19772126224200001</v>
      </c>
      <c r="K22" s="14">
        <v>0.29553347357650001</v>
      </c>
      <c r="L22" s="14">
        <v>0.14000000000000001</v>
      </c>
      <c r="M22" s="14">
        <v>1.16205475185E-2</v>
      </c>
      <c r="N22" s="14">
        <v>0</v>
      </c>
      <c r="O22" s="14">
        <v>4.226276254E-3</v>
      </c>
      <c r="P22" s="15">
        <f t="shared" si="0"/>
        <v>1.0000000000009999</v>
      </c>
      <c r="Q22" s="2" t="str">
        <v>Germany</v>
      </c>
      <c r="R22" s="14">
        <v>0.7</v>
      </c>
      <c r="S22" s="14">
        <v>0</v>
      </c>
      <c r="T22" s="14">
        <v>0</v>
      </c>
      <c r="U22" s="14">
        <v>0.28000000000000003</v>
      </c>
      <c r="V22" s="14">
        <v>0.02</v>
      </c>
      <c r="W22" s="14">
        <v>0</v>
      </c>
      <c r="X22" s="14">
        <v>0</v>
      </c>
      <c r="Y22" s="15">
        <f t="shared" si="1"/>
        <v>1</v>
      </c>
      <c r="Z22" s="2" t="str">
        <v>Germany</v>
      </c>
      <c r="AA22" s="14">
        <v>0.7</v>
      </c>
      <c r="AB22" s="14">
        <v>0</v>
      </c>
      <c r="AC22" s="14">
        <v>0</v>
      </c>
      <c r="AD22" s="14">
        <v>0.28000000000000003</v>
      </c>
      <c r="AE22" s="14">
        <v>0.02</v>
      </c>
      <c r="AF22" s="14">
        <v>0</v>
      </c>
      <c r="AG22" s="14">
        <v>0</v>
      </c>
      <c r="AH22" s="15">
        <f t="shared" si="2"/>
        <v>1</v>
      </c>
    </row>
    <row r="23" spans="8:34" x14ac:dyDescent="0.25">
      <c r="H23" s="2" t="str">
        <v>Greece</v>
      </c>
      <c r="I23" s="14">
        <v>0.27096607537499995</v>
      </c>
      <c r="J23" s="14">
        <v>0.3382744740925</v>
      </c>
      <c r="K23" s="14">
        <v>0.20021417475949999</v>
      </c>
      <c r="L23" s="14">
        <v>0.15</v>
      </c>
      <c r="M23" s="14">
        <v>5.4426067585000007E-3</v>
      </c>
      <c r="N23" s="14">
        <v>0</v>
      </c>
      <c r="O23" s="14">
        <v>3.5102669016000003E-2</v>
      </c>
      <c r="P23" s="15">
        <f t="shared" si="0"/>
        <v>1.0000000000014999</v>
      </c>
      <c r="Q23" s="2" t="str">
        <v>Greece</v>
      </c>
      <c r="R23" s="14">
        <v>0.54185185199999997</v>
      </c>
      <c r="S23" s="14">
        <v>0.14814814800000001</v>
      </c>
      <c r="T23" s="14">
        <v>0</v>
      </c>
      <c r="U23" s="14">
        <v>0.3</v>
      </c>
      <c r="V23" s="14">
        <v>0.01</v>
      </c>
      <c r="W23" s="14">
        <v>0</v>
      </c>
      <c r="X23" s="14">
        <v>0</v>
      </c>
      <c r="Y23" s="15">
        <f t="shared" si="1"/>
        <v>1</v>
      </c>
      <c r="Z23" s="2" t="str">
        <v>Greece</v>
      </c>
      <c r="AA23" s="14">
        <v>0.64814814799999998</v>
      </c>
      <c r="AB23" s="14">
        <v>0</v>
      </c>
      <c r="AC23" s="14">
        <v>0</v>
      </c>
      <c r="AD23" s="14">
        <v>0.35185185200000002</v>
      </c>
      <c r="AE23" s="14">
        <v>0</v>
      </c>
      <c r="AF23" s="14">
        <v>0</v>
      </c>
      <c r="AG23" s="14">
        <v>0</v>
      </c>
      <c r="AH23" s="15">
        <f t="shared" si="2"/>
        <v>1</v>
      </c>
    </row>
    <row r="24" spans="8:34" x14ac:dyDescent="0.25">
      <c r="H24" s="2" t="str">
        <v>Hungary</v>
      </c>
      <c r="I24" s="14">
        <v>0.12362795610850001</v>
      </c>
      <c r="J24" s="14">
        <v>0.48146710712749996</v>
      </c>
      <c r="K24" s="14">
        <v>0.28677937260850001</v>
      </c>
      <c r="L24" s="14">
        <v>9.5000000000000001E-2</v>
      </c>
      <c r="M24" s="14">
        <v>1.02294235005E-2</v>
      </c>
      <c r="N24" s="14">
        <v>0</v>
      </c>
      <c r="O24" s="14">
        <v>2.8961406564999999E-3</v>
      </c>
      <c r="P24" s="15">
        <f t="shared" si="0"/>
        <v>1.0000000000014999</v>
      </c>
      <c r="Q24" s="2" t="str">
        <v>Hungary</v>
      </c>
      <c r="R24" s="14">
        <v>0.24666666670000001</v>
      </c>
      <c r="S24" s="14">
        <v>0.5433333333</v>
      </c>
      <c r="T24" s="14">
        <v>0</v>
      </c>
      <c r="U24" s="14">
        <v>0.19</v>
      </c>
      <c r="V24" s="14">
        <v>0.02</v>
      </c>
      <c r="W24" s="14">
        <v>0</v>
      </c>
      <c r="X24" s="14">
        <v>0</v>
      </c>
      <c r="Y24" s="15">
        <f t="shared" si="1"/>
        <v>1</v>
      </c>
      <c r="Z24" s="2" t="str">
        <v>Hungary</v>
      </c>
      <c r="AA24" s="14">
        <v>0.69</v>
      </c>
      <c r="AB24" s="14">
        <v>0.05</v>
      </c>
      <c r="AC24" s="14">
        <v>0</v>
      </c>
      <c r="AD24" s="14">
        <v>0.23</v>
      </c>
      <c r="AE24" s="14">
        <v>0.03</v>
      </c>
      <c r="AF24" s="14">
        <v>0</v>
      </c>
      <c r="AG24" s="14">
        <v>0</v>
      </c>
      <c r="AH24" s="15">
        <f t="shared" si="2"/>
        <v>1</v>
      </c>
    </row>
    <row r="25" spans="8:34" x14ac:dyDescent="0.25">
      <c r="H25" s="2" t="str">
        <v>Ireland</v>
      </c>
      <c r="I25" s="14">
        <v>0.26563954380600002</v>
      </c>
      <c r="J25" s="14">
        <v>0.3198767995315</v>
      </c>
      <c r="K25" s="14">
        <v>0.36419709166199998</v>
      </c>
      <c r="L25" s="14">
        <v>2.5000000000000001E-2</v>
      </c>
      <c r="M25" s="14">
        <v>2.5000000000000001E-2</v>
      </c>
      <c r="N25" s="14">
        <v>0</v>
      </c>
      <c r="O25" s="14">
        <v>2.8656500100000001E-4</v>
      </c>
      <c r="P25" s="15">
        <f t="shared" si="0"/>
        <v>1.0000000000005</v>
      </c>
      <c r="Q25" s="2" t="str">
        <v>Ireland</v>
      </c>
      <c r="R25" s="14">
        <v>0.53</v>
      </c>
      <c r="S25" s="14">
        <v>0.37</v>
      </c>
      <c r="T25" s="14">
        <v>0</v>
      </c>
      <c r="U25" s="14">
        <v>0.05</v>
      </c>
      <c r="V25" s="14">
        <v>0.05</v>
      </c>
      <c r="W25" s="14">
        <v>0</v>
      </c>
      <c r="X25" s="14">
        <v>0</v>
      </c>
      <c r="Y25" s="15">
        <f t="shared" si="1"/>
        <v>1</v>
      </c>
      <c r="Z25" s="2" t="str">
        <v>Ireland</v>
      </c>
      <c r="AA25" s="14">
        <v>0.85</v>
      </c>
      <c r="AB25" s="14">
        <v>0</v>
      </c>
      <c r="AC25" s="14">
        <v>0</v>
      </c>
      <c r="AD25" s="14">
        <v>0.1</v>
      </c>
      <c r="AE25" s="14">
        <v>0.05</v>
      </c>
      <c r="AF25" s="14">
        <v>0</v>
      </c>
      <c r="AG25" s="14">
        <v>0</v>
      </c>
      <c r="AH25" s="15">
        <f t="shared" si="2"/>
        <v>1</v>
      </c>
    </row>
    <row r="26" spans="8:34" x14ac:dyDescent="0.25">
      <c r="H26" s="2" t="str">
        <v>Italy</v>
      </c>
      <c r="I26" s="14">
        <v>0.24526298402400001</v>
      </c>
      <c r="J26" s="14">
        <v>0.21146121139399998</v>
      </c>
      <c r="K26" s="14">
        <v>0.38936230048699999</v>
      </c>
      <c r="L26" s="14">
        <v>0.05</v>
      </c>
      <c r="M26" s="14">
        <v>3.5624053923500001E-2</v>
      </c>
      <c r="N26" s="14">
        <v>0</v>
      </c>
      <c r="O26" s="14">
        <v>6.8289450173499994E-2</v>
      </c>
      <c r="P26" s="15">
        <f t="shared" si="0"/>
        <v>1.0000000000020002</v>
      </c>
      <c r="Q26" s="2" t="str">
        <v>Italy</v>
      </c>
      <c r="R26" s="14">
        <v>0.49</v>
      </c>
      <c r="S26" s="14">
        <v>0.17</v>
      </c>
      <c r="T26" s="14">
        <v>0.13</v>
      </c>
      <c r="U26" s="14">
        <v>0.1</v>
      </c>
      <c r="V26" s="14">
        <v>4.4999999999999998E-2</v>
      </c>
      <c r="W26" s="14">
        <v>0</v>
      </c>
      <c r="X26" s="14">
        <v>6.5000000000000002E-2</v>
      </c>
      <c r="Y26" s="15">
        <f t="shared" si="1"/>
        <v>1</v>
      </c>
      <c r="Z26" s="2" t="str">
        <v>Italy</v>
      </c>
      <c r="AA26" s="14">
        <v>0.85</v>
      </c>
      <c r="AB26" s="14">
        <v>0</v>
      </c>
      <c r="AC26" s="14">
        <v>0</v>
      </c>
      <c r="AD26" s="14">
        <v>0.15</v>
      </c>
      <c r="AE26" s="14">
        <v>0</v>
      </c>
      <c r="AF26" s="14">
        <v>0</v>
      </c>
      <c r="AG26" s="14">
        <v>0</v>
      </c>
      <c r="AH26" s="15">
        <f t="shared" si="2"/>
        <v>1</v>
      </c>
    </row>
    <row r="27" spans="8:34" x14ac:dyDescent="0.25">
      <c r="H27" s="2" t="str">
        <v>Latvia</v>
      </c>
      <c r="I27" s="14">
        <v>0.12347043277250001</v>
      </c>
      <c r="J27" s="14">
        <v>0.38259240327849997</v>
      </c>
      <c r="K27" s="14">
        <v>0.3570360310115</v>
      </c>
      <c r="L27" s="14">
        <v>9.5000000000000001E-2</v>
      </c>
      <c r="M27" s="14">
        <v>1.00524325715E-2</v>
      </c>
      <c r="N27" s="14">
        <v>0</v>
      </c>
      <c r="O27" s="14">
        <v>3.1848700367500003E-2</v>
      </c>
      <c r="P27" s="15">
        <f t="shared" si="0"/>
        <v>1.0000000000014999</v>
      </c>
      <c r="Q27" s="2" t="str">
        <v>Latvia</v>
      </c>
      <c r="R27" s="14">
        <v>0.24666666670000001</v>
      </c>
      <c r="S27" s="14">
        <v>0.5433333333</v>
      </c>
      <c r="T27" s="14">
        <v>0</v>
      </c>
      <c r="U27" s="14">
        <v>0.19</v>
      </c>
      <c r="V27" s="14">
        <v>0.02</v>
      </c>
      <c r="W27" s="14">
        <v>0</v>
      </c>
      <c r="X27" s="14">
        <v>0</v>
      </c>
      <c r="Y27" s="15">
        <f t="shared" si="1"/>
        <v>1</v>
      </c>
      <c r="Z27" s="2" t="str">
        <v>Latvia</v>
      </c>
      <c r="AA27" s="14">
        <v>0.69</v>
      </c>
      <c r="AB27" s="14">
        <v>0.05</v>
      </c>
      <c r="AC27" s="14">
        <v>0</v>
      </c>
      <c r="AD27" s="14">
        <v>0.23</v>
      </c>
      <c r="AE27" s="14">
        <v>0.03</v>
      </c>
      <c r="AF27" s="14">
        <v>0</v>
      </c>
      <c r="AG27" s="14">
        <v>0</v>
      </c>
      <c r="AH27" s="15">
        <f t="shared" si="2"/>
        <v>1</v>
      </c>
    </row>
    <row r="28" spans="8:34" x14ac:dyDescent="0.25">
      <c r="H28" s="2" t="str">
        <v>Lithuania</v>
      </c>
      <c r="I28" s="14">
        <v>0.12402284237449999</v>
      </c>
      <c r="J28" s="14">
        <v>0.34522400579099999</v>
      </c>
      <c r="K28" s="14">
        <v>0.39233034386050003</v>
      </c>
      <c r="L28" s="14">
        <v>9.5000000000000001E-2</v>
      </c>
      <c r="M28" s="14">
        <v>1.0006357616000001E-2</v>
      </c>
      <c r="N28" s="14">
        <v>0</v>
      </c>
      <c r="O28" s="14">
        <v>3.3416450359000004E-2</v>
      </c>
      <c r="P28" s="15">
        <f t="shared" si="0"/>
        <v>1.0000000000010001</v>
      </c>
      <c r="Q28" s="2" t="str">
        <v>Lithuania</v>
      </c>
      <c r="R28" s="14">
        <v>0.24666666670000001</v>
      </c>
      <c r="S28" s="14">
        <v>0.5433333333</v>
      </c>
      <c r="T28" s="14">
        <v>0</v>
      </c>
      <c r="U28" s="14">
        <v>0.19</v>
      </c>
      <c r="V28" s="14">
        <v>0.02</v>
      </c>
      <c r="W28" s="14">
        <v>0</v>
      </c>
      <c r="X28" s="14">
        <v>0</v>
      </c>
      <c r="Y28" s="15">
        <f t="shared" si="1"/>
        <v>1</v>
      </c>
      <c r="Z28" s="2" t="str">
        <v>Lithuania</v>
      </c>
      <c r="AA28" s="14">
        <v>0.69</v>
      </c>
      <c r="AB28" s="14">
        <v>0.05</v>
      </c>
      <c r="AC28" s="14">
        <v>0</v>
      </c>
      <c r="AD28" s="14">
        <v>0.23</v>
      </c>
      <c r="AE28" s="14">
        <v>0.03</v>
      </c>
      <c r="AF28" s="14">
        <v>0</v>
      </c>
      <c r="AG28" s="14">
        <v>0</v>
      </c>
      <c r="AH28" s="15">
        <f t="shared" si="2"/>
        <v>1</v>
      </c>
    </row>
    <row r="29" spans="8:34" x14ac:dyDescent="0.25">
      <c r="H29" s="2" t="str">
        <v>Luxembourg</v>
      </c>
      <c r="I29" s="14">
        <v>0.38547208636949998</v>
      </c>
      <c r="J29" s="14">
        <v>0.19468227517549999</v>
      </c>
      <c r="K29" s="14">
        <v>0.40474205714200001</v>
      </c>
      <c r="L29" s="14">
        <v>1.4999999999999999E-2</v>
      </c>
      <c r="M29" s="14">
        <v>0</v>
      </c>
      <c r="N29" s="14">
        <v>0</v>
      </c>
      <c r="O29" s="14">
        <v>1.035813145E-4</v>
      </c>
      <c r="P29" s="15">
        <f t="shared" si="0"/>
        <v>1.0000000000014999</v>
      </c>
      <c r="Q29" s="2" t="str">
        <v>Luxembourg</v>
      </c>
      <c r="R29" s="14">
        <v>0.77</v>
      </c>
      <c r="S29" s="14">
        <v>0.15</v>
      </c>
      <c r="T29" s="14">
        <v>0.05</v>
      </c>
      <c r="U29" s="14">
        <v>0.03</v>
      </c>
      <c r="V29" s="14">
        <v>0</v>
      </c>
      <c r="W29" s="14">
        <v>0</v>
      </c>
      <c r="X29" s="14">
        <v>0</v>
      </c>
      <c r="Y29" s="15">
        <f t="shared" si="1"/>
        <v>1</v>
      </c>
      <c r="Z29" s="2" t="str">
        <v>Luxembourg</v>
      </c>
      <c r="AA29" s="14">
        <v>0.88</v>
      </c>
      <c r="AB29" s="14">
        <v>0.05</v>
      </c>
      <c r="AC29" s="14">
        <v>0.01</v>
      </c>
      <c r="AD29" s="14">
        <v>0.06</v>
      </c>
      <c r="AE29" s="14">
        <v>0</v>
      </c>
      <c r="AF29" s="14">
        <v>0</v>
      </c>
      <c r="AG29" s="14">
        <v>0</v>
      </c>
      <c r="AH29" s="15">
        <f t="shared" si="2"/>
        <v>1</v>
      </c>
    </row>
    <row r="30" spans="8:34" x14ac:dyDescent="0.25">
      <c r="H30" s="2" t="str">
        <v>Malta</v>
      </c>
      <c r="I30" s="14">
        <v>0.25848330851649998</v>
      </c>
      <c r="J30" s="14">
        <v>0.40650291449050002</v>
      </c>
      <c r="K30" s="14">
        <v>0.33138820399649999</v>
      </c>
      <c r="L30" s="14">
        <v>0</v>
      </c>
      <c r="M30" s="14">
        <v>0</v>
      </c>
      <c r="N30" s="14">
        <v>0</v>
      </c>
      <c r="O30" s="14">
        <v>3.625572998E-3</v>
      </c>
      <c r="P30" s="15">
        <f t="shared" si="0"/>
        <v>1.0000000000014999</v>
      </c>
      <c r="Q30" s="2" t="str">
        <v>Malta</v>
      </c>
      <c r="R30" s="14">
        <v>0.51500000000000001</v>
      </c>
      <c r="S30" s="14">
        <v>0.36399999999999999</v>
      </c>
      <c r="T30" s="14">
        <v>0.11800000000000001</v>
      </c>
      <c r="U30" s="14">
        <v>0</v>
      </c>
      <c r="V30" s="14">
        <v>0</v>
      </c>
      <c r="W30" s="14">
        <v>0</v>
      </c>
      <c r="X30" s="14">
        <v>3.0000000000000001E-3</v>
      </c>
      <c r="Y30" s="15">
        <f t="shared" si="1"/>
        <v>1</v>
      </c>
      <c r="Z30" s="2" t="str">
        <v>Malta</v>
      </c>
      <c r="AA30" s="14">
        <v>0.69</v>
      </c>
      <c r="AB30" s="14">
        <v>0.05</v>
      </c>
      <c r="AC30" s="14">
        <v>0</v>
      </c>
      <c r="AD30" s="14">
        <v>0.23</v>
      </c>
      <c r="AE30" s="14">
        <v>0.03</v>
      </c>
      <c r="AF30" s="14">
        <v>0</v>
      </c>
      <c r="AG30" s="14">
        <v>0</v>
      </c>
      <c r="AH30" s="15">
        <f t="shared" si="2"/>
        <v>1</v>
      </c>
    </row>
    <row r="31" spans="8:34" x14ac:dyDescent="0.25">
      <c r="H31" s="2" t="str">
        <v>Netherlands</v>
      </c>
      <c r="I31" s="14">
        <v>0.21776823334249998</v>
      </c>
      <c r="J31" s="14">
        <v>0.51462264348800002</v>
      </c>
      <c r="K31" s="14">
        <v>0.17153447334250002</v>
      </c>
      <c r="L31" s="14">
        <v>7.8350000000000003E-2</v>
      </c>
      <c r="M31" s="14">
        <v>0</v>
      </c>
      <c r="N31" s="14">
        <v>0</v>
      </c>
      <c r="O31" s="14">
        <v>1.77246498285E-2</v>
      </c>
      <c r="P31" s="15">
        <f t="shared" si="0"/>
        <v>1.0000000000015001</v>
      </c>
      <c r="Q31" s="2" t="str">
        <v>Netherlands</v>
      </c>
      <c r="R31" s="14">
        <v>0.4199</v>
      </c>
      <c r="S31" s="14">
        <v>0.38369999999999999</v>
      </c>
      <c r="T31" s="14">
        <v>3.9699999999999999E-2</v>
      </c>
      <c r="U31" s="14">
        <v>0.15670000000000001</v>
      </c>
      <c r="V31" s="14">
        <v>0</v>
      </c>
      <c r="W31" s="14">
        <v>0</v>
      </c>
      <c r="X31" s="14">
        <v>0</v>
      </c>
      <c r="Y31" s="15">
        <f t="shared" si="1"/>
        <v>1</v>
      </c>
      <c r="Z31" s="2" t="str">
        <v>Netherlands</v>
      </c>
      <c r="AA31" s="14">
        <v>0.7</v>
      </c>
      <c r="AB31" s="14">
        <v>0.05</v>
      </c>
      <c r="AC31" s="14">
        <v>0</v>
      </c>
      <c r="AD31" s="14">
        <v>0.25</v>
      </c>
      <c r="AE31" s="14">
        <v>0</v>
      </c>
      <c r="AF31" s="14">
        <v>0</v>
      </c>
      <c r="AG31" s="14">
        <v>0</v>
      </c>
      <c r="AH31" s="15">
        <f t="shared" si="2"/>
        <v>1</v>
      </c>
    </row>
    <row r="32" spans="8:34" x14ac:dyDescent="0.25">
      <c r="H32" s="2" t="str">
        <v>Norway</v>
      </c>
      <c r="I32" s="14">
        <v>1</v>
      </c>
      <c r="J32" s="14">
        <v>0</v>
      </c>
      <c r="K32" s="14">
        <v>0</v>
      </c>
      <c r="L32" s="14">
        <v>0</v>
      </c>
      <c r="M32" s="14">
        <v>0</v>
      </c>
      <c r="N32" s="14">
        <v>0</v>
      </c>
      <c r="O32" s="14">
        <v>0</v>
      </c>
      <c r="P32" s="15">
        <f t="shared" si="0"/>
        <v>1</v>
      </c>
      <c r="Q32" s="2" t="str">
        <v>Norway</v>
      </c>
      <c r="R32" s="14">
        <v>1</v>
      </c>
      <c r="S32" s="14">
        <v>0</v>
      </c>
      <c r="T32" s="14">
        <v>0</v>
      </c>
      <c r="U32" s="14">
        <v>0</v>
      </c>
      <c r="V32" s="14">
        <v>0</v>
      </c>
      <c r="W32" s="14">
        <v>0</v>
      </c>
      <c r="X32" s="14">
        <v>0</v>
      </c>
      <c r="Y32" s="15">
        <f t="shared" si="1"/>
        <v>1</v>
      </c>
      <c r="Z32" s="2" t="str">
        <v>Norway</v>
      </c>
      <c r="AA32" s="14">
        <v>1</v>
      </c>
      <c r="AB32" s="14">
        <v>0</v>
      </c>
      <c r="AC32" s="14">
        <v>0</v>
      </c>
      <c r="AD32" s="14">
        <v>0</v>
      </c>
      <c r="AE32" s="14">
        <v>0</v>
      </c>
      <c r="AF32" s="14">
        <v>0</v>
      </c>
      <c r="AG32" s="14">
        <v>0</v>
      </c>
      <c r="AH32" s="15">
        <f t="shared" si="2"/>
        <v>1</v>
      </c>
    </row>
    <row r="33" spans="8:34" x14ac:dyDescent="0.25">
      <c r="H33" s="2" t="str">
        <v>Poland</v>
      </c>
      <c r="I33" s="14">
        <v>0.11335407589350001</v>
      </c>
      <c r="J33" s="14">
        <v>0.43964345419250006</v>
      </c>
      <c r="K33" s="14">
        <v>0.30707693351249998</v>
      </c>
      <c r="L33" s="14">
        <v>5.5E-2</v>
      </c>
      <c r="M33" s="14">
        <v>2.0061879296E-2</v>
      </c>
      <c r="N33" s="14">
        <v>0</v>
      </c>
      <c r="O33" s="14">
        <v>6.4863657106999997E-2</v>
      </c>
      <c r="P33" s="15">
        <f t="shared" si="0"/>
        <v>1.0000000000015001</v>
      </c>
      <c r="Q33" s="2" t="str">
        <v>Poland</v>
      </c>
      <c r="R33" s="14">
        <v>0.22666666670000002</v>
      </c>
      <c r="S33" s="14">
        <v>0.62333333330000007</v>
      </c>
      <c r="T33" s="14">
        <v>0</v>
      </c>
      <c r="U33" s="14">
        <v>0.11</v>
      </c>
      <c r="V33" s="14">
        <v>0.04</v>
      </c>
      <c r="W33" s="14">
        <v>0</v>
      </c>
      <c r="X33" s="14">
        <v>0</v>
      </c>
      <c r="Y33" s="15">
        <f t="shared" si="1"/>
        <v>1</v>
      </c>
      <c r="Z33" s="2" t="str">
        <v>Poland</v>
      </c>
      <c r="AA33" s="14">
        <v>0.73</v>
      </c>
      <c r="AB33" s="14">
        <v>0.05</v>
      </c>
      <c r="AC33" s="14">
        <v>0</v>
      </c>
      <c r="AD33" s="14">
        <v>0.17</v>
      </c>
      <c r="AE33" s="14">
        <v>0.05</v>
      </c>
      <c r="AF33" s="14">
        <v>0</v>
      </c>
      <c r="AG33" s="14">
        <v>0</v>
      </c>
      <c r="AH33" s="15">
        <f t="shared" si="2"/>
        <v>1</v>
      </c>
    </row>
    <row r="34" spans="8:34" x14ac:dyDescent="0.25">
      <c r="H34" s="2" t="str">
        <v>Portugal</v>
      </c>
      <c r="I34" s="14">
        <v>0.26018595554750001</v>
      </c>
      <c r="J34" s="14">
        <v>0.30180375040899998</v>
      </c>
      <c r="K34" s="14">
        <v>0.37829950498099996</v>
      </c>
      <c r="L34" s="14">
        <v>3.5000000000000003E-2</v>
      </c>
      <c r="M34" s="14">
        <v>2.0002984743999998E-2</v>
      </c>
      <c r="N34" s="14">
        <v>0</v>
      </c>
      <c r="O34" s="14">
        <v>4.7078043199999999E-3</v>
      </c>
      <c r="P34" s="15">
        <f t="shared" si="0"/>
        <v>1.0000000000014999</v>
      </c>
      <c r="Q34" s="2" t="str">
        <v>Portugal</v>
      </c>
      <c r="R34" s="14">
        <v>0.52</v>
      </c>
      <c r="S34" s="14">
        <v>0.37</v>
      </c>
      <c r="T34" s="14">
        <v>0</v>
      </c>
      <c r="U34" s="14">
        <v>7.0000000000000007E-2</v>
      </c>
      <c r="V34" s="14">
        <v>0.04</v>
      </c>
      <c r="W34" s="14">
        <v>0</v>
      </c>
      <c r="X34" s="14">
        <v>0</v>
      </c>
      <c r="Y34" s="15">
        <f t="shared" si="1"/>
        <v>1</v>
      </c>
      <c r="Z34" s="2" t="str">
        <v>Portugal</v>
      </c>
      <c r="AA34" s="14">
        <v>0.81666666669999999</v>
      </c>
      <c r="AB34" s="14">
        <v>3.3333333329999999E-2</v>
      </c>
      <c r="AC34" s="14">
        <v>0</v>
      </c>
      <c r="AD34" s="14">
        <v>0.1</v>
      </c>
      <c r="AE34" s="14">
        <v>0.05</v>
      </c>
      <c r="AF34" s="14">
        <v>0</v>
      </c>
      <c r="AG34" s="14">
        <v>0</v>
      </c>
      <c r="AH34" s="15">
        <f t="shared" si="2"/>
        <v>1.00000000003</v>
      </c>
    </row>
    <row r="35" spans="8:34" x14ac:dyDescent="0.25">
      <c r="H35" s="2" t="str">
        <v>Romania</v>
      </c>
      <c r="I35" s="14">
        <v>0.1235982319865</v>
      </c>
      <c r="J35" s="14">
        <v>0.41270309632300001</v>
      </c>
      <c r="K35" s="14">
        <v>0.34756694852249997</v>
      </c>
      <c r="L35" s="14">
        <v>9.5000000000000001E-2</v>
      </c>
      <c r="M35" s="14">
        <v>0.01</v>
      </c>
      <c r="N35" s="14">
        <v>0</v>
      </c>
      <c r="O35" s="14">
        <v>1.11317231695E-2</v>
      </c>
      <c r="P35" s="15">
        <f t="shared" si="0"/>
        <v>1.0000000000014999</v>
      </c>
      <c r="Q35" s="2" t="str">
        <v>Romania</v>
      </c>
      <c r="R35" s="14">
        <v>0.24666666670000001</v>
      </c>
      <c r="S35" s="14">
        <v>0.5433333333</v>
      </c>
      <c r="T35" s="14">
        <v>0</v>
      </c>
      <c r="U35" s="14">
        <v>0.19</v>
      </c>
      <c r="V35" s="14">
        <v>0.02</v>
      </c>
      <c r="W35" s="14">
        <v>0</v>
      </c>
      <c r="X35" s="14">
        <v>0</v>
      </c>
      <c r="Y35" s="15">
        <f t="shared" si="1"/>
        <v>1</v>
      </c>
      <c r="Z35" s="2" t="str">
        <v>Romania</v>
      </c>
      <c r="AA35" s="14">
        <v>0.69</v>
      </c>
      <c r="AB35" s="14">
        <v>0.05</v>
      </c>
      <c r="AC35" s="14">
        <v>0</v>
      </c>
      <c r="AD35" s="14">
        <v>0.23</v>
      </c>
      <c r="AE35" s="14">
        <v>0.03</v>
      </c>
      <c r="AF35" s="14">
        <v>0</v>
      </c>
      <c r="AG35" s="14">
        <v>0</v>
      </c>
      <c r="AH35" s="15">
        <f t="shared" si="2"/>
        <v>1</v>
      </c>
    </row>
    <row r="36" spans="8:34" x14ac:dyDescent="0.25">
      <c r="H36" s="2" t="str">
        <v>Slovakia</v>
      </c>
      <c r="I36" s="14">
        <v>0.12335051695200001</v>
      </c>
      <c r="J36" s="14">
        <v>0.46336961980800007</v>
      </c>
      <c r="K36" s="14">
        <v>0.34827986324050003</v>
      </c>
      <c r="L36" s="14">
        <v>4.4999999999999998E-2</v>
      </c>
      <c r="M36" s="14">
        <v>0.02</v>
      </c>
      <c r="N36" s="14">
        <v>0</v>
      </c>
      <c r="O36" s="14">
        <v>0</v>
      </c>
      <c r="P36" s="15">
        <f t="shared" si="0"/>
        <v>1.0000000000005</v>
      </c>
      <c r="Q36" s="2" t="str">
        <v>Slovakia</v>
      </c>
      <c r="R36" s="14">
        <v>0.24666666670000001</v>
      </c>
      <c r="S36" s="14">
        <v>0.62333333330000007</v>
      </c>
      <c r="T36" s="14">
        <v>0</v>
      </c>
      <c r="U36" s="14">
        <v>0.09</v>
      </c>
      <c r="V36" s="14">
        <v>0.04</v>
      </c>
      <c r="W36" s="14">
        <v>0</v>
      </c>
      <c r="X36" s="14">
        <v>0</v>
      </c>
      <c r="Y36" s="15">
        <f t="shared" si="1"/>
        <v>1</v>
      </c>
      <c r="Z36" s="2" t="str">
        <v>Slovakia</v>
      </c>
      <c r="AA36" s="14">
        <v>0.74</v>
      </c>
      <c r="AB36" s="14">
        <v>0.05</v>
      </c>
      <c r="AC36" s="14">
        <v>0</v>
      </c>
      <c r="AD36" s="14">
        <v>0.16</v>
      </c>
      <c r="AE36" s="14">
        <v>0.05</v>
      </c>
      <c r="AF36" s="14">
        <v>0</v>
      </c>
      <c r="AG36" s="14">
        <v>0</v>
      </c>
      <c r="AH36" s="15">
        <f t="shared" si="2"/>
        <v>1</v>
      </c>
    </row>
    <row r="37" spans="8:34" x14ac:dyDescent="0.25">
      <c r="H37" s="2" t="str">
        <v>Slovenia</v>
      </c>
      <c r="I37" s="14">
        <v>0.14841134837349998</v>
      </c>
      <c r="J37" s="14">
        <v>0.41099872312149999</v>
      </c>
      <c r="K37" s="14">
        <v>0.35561181369549999</v>
      </c>
      <c r="L37" s="14">
        <v>7.0000000000000007E-2</v>
      </c>
      <c r="M37" s="14">
        <v>1.0105884292499999E-2</v>
      </c>
      <c r="N37" s="14">
        <v>0</v>
      </c>
      <c r="O37" s="14">
        <v>4.8722306690000003E-3</v>
      </c>
      <c r="P37" s="15">
        <f t="shared" si="0"/>
        <v>1.000000000152</v>
      </c>
      <c r="Q37" s="2" t="str">
        <v>Slovenia</v>
      </c>
      <c r="R37" s="14">
        <v>0.296666667</v>
      </c>
      <c r="S37" s="14">
        <v>0.5433333333</v>
      </c>
      <c r="T37" s="14">
        <v>0</v>
      </c>
      <c r="U37" s="14">
        <v>0.14000000000000001</v>
      </c>
      <c r="V37" s="14">
        <v>0.02</v>
      </c>
      <c r="W37" s="14">
        <v>0</v>
      </c>
      <c r="X37" s="14">
        <v>0</v>
      </c>
      <c r="Y37" s="15">
        <f t="shared" si="1"/>
        <v>1.0000000003</v>
      </c>
      <c r="Z37" s="2" t="str">
        <v>Slovenia</v>
      </c>
      <c r="AA37" s="14">
        <v>0.72</v>
      </c>
      <c r="AB37" s="14">
        <v>0.05</v>
      </c>
      <c r="AC37" s="14">
        <v>0</v>
      </c>
      <c r="AD37" s="14">
        <v>0.2</v>
      </c>
      <c r="AE37" s="14">
        <v>0.03</v>
      </c>
      <c r="AF37" s="14">
        <v>0</v>
      </c>
      <c r="AG37" s="14">
        <v>0</v>
      </c>
      <c r="AH37" s="15">
        <f t="shared" si="2"/>
        <v>1</v>
      </c>
    </row>
    <row r="38" spans="8:34" x14ac:dyDescent="0.25">
      <c r="H38" s="2" t="str">
        <v>Spain</v>
      </c>
      <c r="I38" s="14">
        <v>0.35044618484099999</v>
      </c>
      <c r="J38" s="14">
        <v>0.20617728210149999</v>
      </c>
      <c r="K38" s="14">
        <v>0.44012377069049996</v>
      </c>
      <c r="L38" s="14">
        <v>0</v>
      </c>
      <c r="M38" s="14">
        <v>9.9696037949999986E-4</v>
      </c>
      <c r="N38" s="14">
        <v>0</v>
      </c>
      <c r="O38" s="14">
        <v>2.2558019889999999E-3</v>
      </c>
      <c r="P38" s="15">
        <f t="shared" si="0"/>
        <v>1.0000000000015001</v>
      </c>
      <c r="Q38" s="2" t="str">
        <v>Spain</v>
      </c>
      <c r="R38" s="14">
        <v>0.7</v>
      </c>
      <c r="S38" s="14">
        <v>0.2</v>
      </c>
      <c r="T38" s="14">
        <v>0.1</v>
      </c>
      <c r="U38" s="14">
        <v>0</v>
      </c>
      <c r="V38" s="14">
        <v>0</v>
      </c>
      <c r="W38" s="14">
        <v>0</v>
      </c>
      <c r="X38" s="14">
        <v>0</v>
      </c>
      <c r="Y38" s="15">
        <f t="shared" si="1"/>
        <v>0.99999999999999989</v>
      </c>
      <c r="Z38" s="2" t="str">
        <v>Spain</v>
      </c>
      <c r="AA38" s="14">
        <v>0.95</v>
      </c>
      <c r="AB38" s="14">
        <v>0</v>
      </c>
      <c r="AC38" s="14">
        <v>0</v>
      </c>
      <c r="AD38" s="14">
        <v>4.0999999999999995E-2</v>
      </c>
      <c r="AE38" s="14">
        <v>9.0000000000000011E-3</v>
      </c>
      <c r="AF38" s="14">
        <v>0</v>
      </c>
      <c r="AG38" s="14">
        <v>0</v>
      </c>
      <c r="AH38" s="15">
        <f t="shared" si="2"/>
        <v>1</v>
      </c>
    </row>
    <row r="39" spans="8:34" x14ac:dyDescent="0.25">
      <c r="H39" s="2" t="str">
        <v>Sweden</v>
      </c>
      <c r="I39" s="14">
        <v>0.25580480811450002</v>
      </c>
      <c r="J39" s="14">
        <v>0.28420036949549998</v>
      </c>
      <c r="K39" s="14">
        <v>0.35169384280749999</v>
      </c>
      <c r="L39" s="14">
        <v>0.1</v>
      </c>
      <c r="M39" s="14">
        <v>8.3009795835000001E-3</v>
      </c>
      <c r="N39" s="14">
        <v>0</v>
      </c>
      <c r="O39" s="14">
        <v>0</v>
      </c>
      <c r="P39" s="15">
        <f t="shared" si="0"/>
        <v>1.0000000000009999</v>
      </c>
      <c r="Q39" s="2" t="str">
        <v>Sweden</v>
      </c>
      <c r="R39" s="14">
        <v>0.5</v>
      </c>
      <c r="S39" s="14">
        <v>0.17399999999999999</v>
      </c>
      <c r="T39" s="14">
        <v>0.11599999999999999</v>
      </c>
      <c r="U39" s="14">
        <v>0.2</v>
      </c>
      <c r="V39" s="14">
        <v>0.01</v>
      </c>
      <c r="W39" s="14">
        <v>0</v>
      </c>
      <c r="X39" s="14">
        <v>0</v>
      </c>
      <c r="Y39" s="15">
        <f t="shared" si="1"/>
        <v>1</v>
      </c>
      <c r="Z39" s="2" t="str">
        <v>Sweden</v>
      </c>
      <c r="AA39" s="14">
        <v>0.5</v>
      </c>
      <c r="AB39" s="14">
        <v>0</v>
      </c>
      <c r="AC39" s="14">
        <v>0</v>
      </c>
      <c r="AD39" s="14">
        <v>0.5</v>
      </c>
      <c r="AE39" s="14">
        <v>0</v>
      </c>
      <c r="AF39" s="14">
        <v>0</v>
      </c>
      <c r="AG39" s="14">
        <v>0</v>
      </c>
      <c r="AH39" s="15">
        <f t="shared" si="2"/>
        <v>1</v>
      </c>
    </row>
    <row r="40" spans="8:34" x14ac:dyDescent="0.25">
      <c r="H40" s="2" t="str">
        <v>Switzerland</v>
      </c>
      <c r="I40" s="14">
        <v>0.35089844041000001</v>
      </c>
      <c r="J40" s="14">
        <v>0.19772126224200001</v>
      </c>
      <c r="K40" s="14">
        <v>0.29553347357650001</v>
      </c>
      <c r="L40" s="14">
        <v>0.14000000000000001</v>
      </c>
      <c r="M40" s="14">
        <v>1.16205475185E-2</v>
      </c>
      <c r="N40" s="14">
        <v>0</v>
      </c>
      <c r="O40" s="14">
        <v>4.226276254E-3</v>
      </c>
      <c r="P40" s="15">
        <f t="shared" si="0"/>
        <v>1.0000000000009999</v>
      </c>
      <c r="Q40" s="2" t="str">
        <v>Switzerland</v>
      </c>
      <c r="R40" s="14">
        <v>0.7</v>
      </c>
      <c r="S40" s="14">
        <v>0</v>
      </c>
      <c r="T40" s="14">
        <v>0</v>
      </c>
      <c r="U40" s="14">
        <v>0.28000000000000003</v>
      </c>
      <c r="V40" s="14">
        <v>0.02</v>
      </c>
      <c r="W40" s="14">
        <v>0</v>
      </c>
      <c r="X40" s="14">
        <v>0</v>
      </c>
      <c r="Y40" s="15">
        <f t="shared" si="1"/>
        <v>1</v>
      </c>
      <c r="Z40" s="2" t="str">
        <v>Switzerland</v>
      </c>
      <c r="AA40" s="14">
        <v>0.7</v>
      </c>
      <c r="AB40" s="14">
        <v>0</v>
      </c>
      <c r="AC40" s="14">
        <v>0</v>
      </c>
      <c r="AD40" s="14">
        <v>0.28000000000000003</v>
      </c>
      <c r="AE40" s="14">
        <v>0.02</v>
      </c>
      <c r="AF40" s="14">
        <v>0</v>
      </c>
      <c r="AG40" s="14">
        <v>0</v>
      </c>
      <c r="AH40" s="15">
        <f t="shared" si="2"/>
        <v>1</v>
      </c>
    </row>
    <row r="41" spans="8:34" ht="30" x14ac:dyDescent="0.25">
      <c r="H41" s="2" t="str">
        <v>United_Kingdom</v>
      </c>
      <c r="I41" s="14">
        <v>0.35089844041000001</v>
      </c>
      <c r="J41" s="14">
        <v>0.19772126224200001</v>
      </c>
      <c r="K41" s="14">
        <v>0.29553347357650001</v>
      </c>
      <c r="L41" s="14">
        <v>0.14000000000000001</v>
      </c>
      <c r="M41" s="14">
        <v>1.16205475185E-2</v>
      </c>
      <c r="N41" s="14">
        <v>0</v>
      </c>
      <c r="O41" s="14">
        <v>4.226276254E-3</v>
      </c>
      <c r="P41" s="15">
        <f t="shared" si="0"/>
        <v>1.0000000000009999</v>
      </c>
      <c r="Q41" s="2" t="str">
        <v>United_Kingdom</v>
      </c>
      <c r="R41" s="14">
        <v>0.7</v>
      </c>
      <c r="S41" s="14">
        <v>0</v>
      </c>
      <c r="T41" s="14">
        <v>0</v>
      </c>
      <c r="U41" s="14">
        <v>0.28000000000000003</v>
      </c>
      <c r="V41" s="14">
        <v>0.02</v>
      </c>
      <c r="W41" s="14">
        <v>0</v>
      </c>
      <c r="X41" s="14">
        <v>0</v>
      </c>
      <c r="Y41" s="15">
        <f t="shared" si="1"/>
        <v>1</v>
      </c>
      <c r="Z41" s="2" t="str">
        <v>United_Kingdom</v>
      </c>
      <c r="AA41" s="14">
        <v>0.7</v>
      </c>
      <c r="AB41" s="14">
        <v>0</v>
      </c>
      <c r="AC41" s="14">
        <v>0</v>
      </c>
      <c r="AD41" s="14">
        <v>0.28000000000000003</v>
      </c>
      <c r="AE41" s="14">
        <v>0.02</v>
      </c>
      <c r="AF41" s="14">
        <v>0</v>
      </c>
      <c r="AG41" s="14">
        <v>0</v>
      </c>
      <c r="AH41" s="15">
        <f t="shared" si="2"/>
        <v>1</v>
      </c>
    </row>
    <row r="46" spans="8:34" ht="30" x14ac:dyDescent="0.25">
      <c r="H46" s="2" t="s">
        <v>164</v>
      </c>
      <c r="I46" s="2" t="s">
        <v>159</v>
      </c>
      <c r="J46" s="2" t="s">
        <v>160</v>
      </c>
      <c r="K46" s="2" t="s">
        <v>161</v>
      </c>
      <c r="L46" s="2" t="s">
        <v>162</v>
      </c>
      <c r="M46" s="2" t="s">
        <v>187</v>
      </c>
      <c r="N46" s="2" t="s">
        <v>189</v>
      </c>
      <c r="O46" s="2" t="s">
        <v>188</v>
      </c>
      <c r="Q46" s="2" t="s">
        <v>165</v>
      </c>
      <c r="R46" s="2" t="s">
        <v>159</v>
      </c>
      <c r="S46" s="2" t="s">
        <v>160</v>
      </c>
      <c r="T46" s="2" t="s">
        <v>161</v>
      </c>
      <c r="U46" s="2" t="s">
        <v>162</v>
      </c>
      <c r="V46" s="2" t="s">
        <v>187</v>
      </c>
      <c r="W46" s="2" t="s">
        <v>189</v>
      </c>
      <c r="X46" s="2" t="s">
        <v>188</v>
      </c>
      <c r="Z46" s="2" t="s">
        <v>166</v>
      </c>
      <c r="AA46" s="2" t="s">
        <v>159</v>
      </c>
      <c r="AB46" s="2" t="s">
        <v>160</v>
      </c>
      <c r="AC46" s="2" t="s">
        <v>161</v>
      </c>
      <c r="AD46" s="2" t="s">
        <v>162</v>
      </c>
      <c r="AE46" s="2" t="s">
        <v>187</v>
      </c>
      <c r="AF46" s="2" t="s">
        <v>189</v>
      </c>
      <c r="AG46" s="2" t="s">
        <v>188</v>
      </c>
    </row>
    <row r="47" spans="8:34" x14ac:dyDescent="0.25">
      <c r="H47" s="2" t="str" cm="1">
        <f t="array" ref="H47:H76">countries</f>
        <v>Austria</v>
      </c>
      <c r="I47" s="14" cm="1">
        <f t="array" ref="I47:I76">INDEX(Bus_split_REF_2019_Electricity,MATCH(Country_abbreviations,Fleet_split_country_abbreviations,0))/100+(INDEX(Bus_split_GA_2040_Electricity,MATCH(Country_abbreviations,Fleet_split_country_abbreviations,0))/100-INDEX(Bus_split_REF_2019_Electricity,MATCH(Country_abbreviations,Fleet_split_country_abbreviations,0))/100)/2</f>
        <v>0.40101021538800002</v>
      </c>
      <c r="J47" s="14" cm="1">
        <f t="array" ref="J47:J76">INDEX(Bus_split_REF_2019_Gasoline,MATCH(Country_abbreviations,Fleet_split_country_abbreviations,0))/100+(INDEX(Bus_split_GA_2040_Gasoline,MATCH(Country_abbreviations,Fleet_split_country_abbreviations,0))/100-INDEX(Bus_split_REF_2019_Gasoline,MATCH(Country_abbreviations,Fleet_split_country_abbreviations,0))/100)/2</f>
        <v>2.6560987500000001E-4</v>
      </c>
      <c r="K47" s="14" cm="1">
        <f t="array" ref="K47:K76">INDEX(Bus_split_REF_2019_Diesel,MATCH(Country_abbreviations,Fleet_split_country_abbreviations,0))/100+(INDEX(Bus_split_GA_2040_Diesel,MATCH(Country_abbreviations,Fleet_split_country_abbreviations,0))/100-INDEX(Bus_split_REF_2019_Diesel,MATCH(Country_abbreviations,Fleet_split_country_abbreviations,0))/100)/2</f>
        <v>0.45983162282700002</v>
      </c>
      <c r="L47" s="14" cm="1">
        <f t="array" ref="L47:L76">INDEX(Bus_split_REF_2019_Hydrogen,MATCH(Country_abbreviations,Fleet_split_country_abbreviations,0))/100+(INDEX(Bus_split_GA_2040_Hydrogen,MATCH(Country_abbreviations,Fleet_split_country_abbreviations,0))/100-INDEX(Bus_split_REF_2019_Hydrogen,MATCH(Country_abbreviations,Fleet_split_country_abbreviations,0))/100)/2</f>
        <v>0.1</v>
      </c>
      <c r="M47" s="14" cm="1">
        <f t="array" ref="M47:M76">INDEX(Bus_split_REF_2019_CNG,MATCH(Country_abbreviations,Fleet_split_country_abbreviations,0))/100+(INDEX(Bus_split_GA_2040_CNG,MATCH(Country_abbreviations,Fleet_split_country_abbreviations,0))/100-INDEX(Bus_split_REF_2019_CNG,MATCH(Country_abbreviations,Fleet_split_country_abbreviations,0))/100)/2</f>
        <v>3.8892551911000002E-2</v>
      </c>
      <c r="N47" s="14" cm="1">
        <f t="array" ref="N47:N76">INDEX(Bus_split_REF_2019_LNG,MATCH(Country_abbreviations,Fleet_split_country_abbreviations,0))/100+(INDEX(Bus_split_GA_2040_LNG,MATCH(Country_abbreviations,Fleet_split_country_abbreviations,0))/100-INDEX(Bus_split_REF_2019_LNG,MATCH(Country_abbreviations,Fleet_split_country_abbreviations,0))/100)/2</f>
        <v>0</v>
      </c>
      <c r="O47" s="14">
        <v>0</v>
      </c>
      <c r="P47" s="15">
        <f>SUM(I47:O47)</f>
        <v>1.0000000000010001</v>
      </c>
      <c r="Q47" s="2" t="str" cm="1">
        <f t="array" ref="Q47:Q76">countries</f>
        <v>Austria</v>
      </c>
      <c r="R47" s="14" cm="1">
        <f t="array" ref="R47:R76">INDEX(Bus_split_GA_2040_Electricity,MATCH(Country_abbreviations,Fleet_split_country_abbreviations,0))/100</f>
        <v>0.8</v>
      </c>
      <c r="S47" s="14" cm="1">
        <f t="array" ref="S47:S76">INDEX(Bus_split_GA_2040_Gasoline,MATCH(Country_abbreviations,Fleet_split_country_abbreviations,0))/100</f>
        <v>0</v>
      </c>
      <c r="T47" s="14" cm="1">
        <f t="array" ref="T47:T76">INDEX(Bus_split_GA_2040_Diesel,MATCH(Country_abbreviations,Fleet_split_country_abbreviations,0))/100</f>
        <v>0</v>
      </c>
      <c r="U47" s="14" cm="1">
        <f t="array" ref="U47:U76">INDEX(Bus_split_GA_2040_Hydrogen,MATCH(Country_abbreviations,Fleet_split_country_abbreviations,0))/100</f>
        <v>0.2</v>
      </c>
      <c r="V47" s="14" cm="1">
        <f t="array" ref="V47:V76">INDEX(Bus_split_GA_2040_CNG,MATCH(Country_abbreviations,Fleet_split_country_abbreviations,0))/100</f>
        <v>0</v>
      </c>
      <c r="W47" s="14" cm="1">
        <f t="array" ref="W47:W76">INDEX(Bus_split_GA_2040_LNG,MATCH(Country_abbreviations,Fleet_split_country_abbreviations,0))/100</f>
        <v>0</v>
      </c>
      <c r="X47" s="14">
        <v>0</v>
      </c>
      <c r="Y47" s="15">
        <f>SUM(R47:X47)</f>
        <v>1</v>
      </c>
      <c r="Z47" s="2" t="str" cm="1">
        <f t="array" ref="Z47:Z76">countries</f>
        <v>Austria</v>
      </c>
      <c r="AA47" s="14" cm="1">
        <f t="array" ref="AA47:AA76">INDEX(Bus_split_GA_2050_Electricity,MATCH(Country_abbreviations,Fleet_split_country_abbreviations,0))/100</f>
        <v>0.8</v>
      </c>
      <c r="AB47" s="14" cm="1">
        <f t="array" ref="AB47:AB76">INDEX(Bus_split_GA_2050_Gasoline,MATCH(Country_abbreviations,Fleet_split_country_abbreviations,0))/100</f>
        <v>0</v>
      </c>
      <c r="AC47" s="14" cm="1">
        <f t="array" ref="AC47:AC76">INDEX(Bus_split_GA_2050_Diesel,MATCH(Country_abbreviations,Fleet_split_country_abbreviations,0))/100</f>
        <v>0</v>
      </c>
      <c r="AD47" s="14" cm="1">
        <f t="array" ref="AD47:AD76">INDEX(Bus_split_GA_2050_Hydrogen,MATCH(Country_abbreviations,Fleet_split_country_abbreviations,0))/100</f>
        <v>0.2</v>
      </c>
      <c r="AE47" s="14" cm="1">
        <f t="array" ref="AE47:AE76">INDEX(Bus_split_GA_2050_CNG,MATCH(Country_abbreviations,Fleet_split_country_abbreviations,0))/100</f>
        <v>0</v>
      </c>
      <c r="AF47" s="14" cm="1">
        <f t="array" ref="AF47:AF76">INDEX(Bus_split_GA_2050_LNG,MATCH(Country_abbreviations,Fleet_split_country_abbreviations,0))/100</f>
        <v>0</v>
      </c>
      <c r="AG47" s="14">
        <v>0</v>
      </c>
      <c r="AH47" s="15">
        <f>SUM(AA47:AG47)</f>
        <v>1</v>
      </c>
    </row>
    <row r="48" spans="8:34" x14ac:dyDescent="0.25">
      <c r="H48" s="2" t="str">
        <v>Belgium</v>
      </c>
      <c r="I48" s="14">
        <v>0.18236123122249998</v>
      </c>
      <c r="J48" s="14">
        <v>2.497915301E-3</v>
      </c>
      <c r="K48" s="14">
        <v>0.70195969143350001</v>
      </c>
      <c r="L48" s="14">
        <v>6.25E-2</v>
      </c>
      <c r="M48" s="14">
        <v>5.0681162043499997E-2</v>
      </c>
      <c r="N48" s="14">
        <v>0</v>
      </c>
      <c r="O48" s="14">
        <v>0</v>
      </c>
      <c r="P48" s="15">
        <f t="shared" ref="P48:P76" si="3">SUM(I48:O48)</f>
        <v>1.0000000000005</v>
      </c>
      <c r="Q48" s="2" t="str">
        <v>Belgium</v>
      </c>
      <c r="R48" s="14">
        <v>0.35499999999999998</v>
      </c>
      <c r="S48" s="14">
        <v>2E-3</v>
      </c>
      <c r="T48" s="14">
        <v>0.46799999999999997</v>
      </c>
      <c r="U48" s="14">
        <v>0.125</v>
      </c>
      <c r="V48" s="14">
        <v>0.05</v>
      </c>
      <c r="W48" s="14">
        <v>0</v>
      </c>
      <c r="X48" s="14">
        <v>0</v>
      </c>
      <c r="Y48" s="15">
        <f t="shared" ref="Y48:Y76" si="4">SUM(R48:X48)</f>
        <v>1</v>
      </c>
      <c r="Z48" s="2" t="str">
        <v>Belgium</v>
      </c>
      <c r="AA48" s="14">
        <v>0.7</v>
      </c>
      <c r="AB48" s="14">
        <v>0</v>
      </c>
      <c r="AC48" s="14">
        <v>0</v>
      </c>
      <c r="AD48" s="14">
        <v>0.25</v>
      </c>
      <c r="AE48" s="14">
        <v>0.05</v>
      </c>
      <c r="AF48" s="14">
        <v>0</v>
      </c>
      <c r="AG48" s="14">
        <v>0</v>
      </c>
      <c r="AH48" s="15">
        <f t="shared" ref="AH48:AH76" si="5">SUM(AA48:AG48)</f>
        <v>1</v>
      </c>
    </row>
    <row r="49" spans="8:34" x14ac:dyDescent="0.25">
      <c r="H49" s="2" t="str">
        <v>Bulgaria</v>
      </c>
      <c r="I49" s="14">
        <v>0.121620430248</v>
      </c>
      <c r="J49" s="14">
        <v>1.291383795E-4</v>
      </c>
      <c r="K49" s="14">
        <v>0.62376296231149997</v>
      </c>
      <c r="L49" s="14">
        <v>0.14249999999999999</v>
      </c>
      <c r="M49" s="14">
        <v>0.11198746906199999</v>
      </c>
      <c r="N49" s="14">
        <v>0</v>
      </c>
      <c r="O49" s="14">
        <v>0</v>
      </c>
      <c r="P49" s="15">
        <f t="shared" si="3"/>
        <v>1.0000000000009999</v>
      </c>
      <c r="Q49" s="2" t="str">
        <v>Bulgaria</v>
      </c>
      <c r="R49" s="14">
        <v>0.21299999999999999</v>
      </c>
      <c r="S49" s="14">
        <v>0</v>
      </c>
      <c r="T49" s="14">
        <v>0.45200000000000001</v>
      </c>
      <c r="U49" s="14">
        <v>0.28499999999999998</v>
      </c>
      <c r="V49" s="14">
        <v>0.05</v>
      </c>
      <c r="W49" s="14">
        <v>0</v>
      </c>
      <c r="X49" s="14">
        <v>0</v>
      </c>
      <c r="Y49" s="15">
        <f t="shared" si="4"/>
        <v>1</v>
      </c>
      <c r="Z49" s="2" t="str">
        <v>Bulgaria</v>
      </c>
      <c r="AA49" s="14">
        <v>0.4</v>
      </c>
      <c r="AB49" s="14">
        <v>0</v>
      </c>
      <c r="AC49" s="14">
        <v>0.14000000000000001</v>
      </c>
      <c r="AD49" s="14">
        <v>0.4</v>
      </c>
      <c r="AE49" s="14">
        <v>0.06</v>
      </c>
      <c r="AF49" s="14">
        <v>0</v>
      </c>
      <c r="AG49" s="14">
        <v>0</v>
      </c>
      <c r="AH49" s="15">
        <f t="shared" si="5"/>
        <v>1</v>
      </c>
    </row>
    <row r="50" spans="8:34" x14ac:dyDescent="0.25">
      <c r="H50" s="2" t="str">
        <v>Croatia</v>
      </c>
      <c r="I50" s="14">
        <v>2.54384695945E-2</v>
      </c>
      <c r="J50" s="14">
        <v>5.7735612899999992E-4</v>
      </c>
      <c r="K50" s="14">
        <v>0.95504849007649995</v>
      </c>
      <c r="L50" s="14">
        <v>0</v>
      </c>
      <c r="M50" s="14">
        <v>1.8935684201500002E-2</v>
      </c>
      <c r="N50" s="14">
        <v>0</v>
      </c>
      <c r="O50" s="14">
        <v>0</v>
      </c>
      <c r="P50" s="15">
        <f t="shared" si="3"/>
        <v>1.0000000000014999</v>
      </c>
      <c r="Q50" s="2" t="str">
        <v>Croatia</v>
      </c>
      <c r="R50" s="14">
        <v>0.05</v>
      </c>
      <c r="S50" s="14">
        <v>0</v>
      </c>
      <c r="T50" s="14">
        <v>0.94</v>
      </c>
      <c r="U50" s="14">
        <v>0</v>
      </c>
      <c r="V50" s="14">
        <v>0.01</v>
      </c>
      <c r="W50" s="14">
        <v>0</v>
      </c>
      <c r="X50" s="14">
        <v>0</v>
      </c>
      <c r="Y50" s="15">
        <f t="shared" si="4"/>
        <v>1</v>
      </c>
      <c r="Z50" s="2" t="str">
        <v>Croatia</v>
      </c>
      <c r="AA50" s="14">
        <v>0.69</v>
      </c>
      <c r="AB50" s="14">
        <v>0</v>
      </c>
      <c r="AC50" s="14">
        <v>0.27</v>
      </c>
      <c r="AD50" s="14">
        <v>0</v>
      </c>
      <c r="AE50" s="14">
        <v>0.04</v>
      </c>
      <c r="AF50" s="14">
        <v>0</v>
      </c>
      <c r="AG50" s="14">
        <v>0</v>
      </c>
      <c r="AH50" s="15">
        <f t="shared" si="5"/>
        <v>1</v>
      </c>
    </row>
    <row r="51" spans="8:34" x14ac:dyDescent="0.25">
      <c r="H51" s="2" t="str">
        <v>Cyprus</v>
      </c>
      <c r="I51" s="14">
        <v>0.1065</v>
      </c>
      <c r="J51" s="14">
        <v>1.8086306369999999E-3</v>
      </c>
      <c r="K51" s="14">
        <v>0.72419136936350004</v>
      </c>
      <c r="L51" s="14">
        <v>0.14249999999999999</v>
      </c>
      <c r="M51" s="14">
        <v>2.5000000000000001E-2</v>
      </c>
      <c r="N51" s="14">
        <v>0</v>
      </c>
      <c r="O51" s="14">
        <v>0</v>
      </c>
      <c r="P51" s="15">
        <f t="shared" si="3"/>
        <v>1.0000000000005</v>
      </c>
      <c r="Q51" s="2" t="str">
        <v>Cyprus</v>
      </c>
      <c r="R51" s="14">
        <v>0.21299999999999999</v>
      </c>
      <c r="S51" s="14">
        <v>0</v>
      </c>
      <c r="T51" s="14">
        <v>0.45200000000000001</v>
      </c>
      <c r="U51" s="14">
        <v>0.28499999999999998</v>
      </c>
      <c r="V51" s="14">
        <v>0.05</v>
      </c>
      <c r="W51" s="14">
        <v>0</v>
      </c>
      <c r="X51" s="14">
        <v>0</v>
      </c>
      <c r="Y51" s="15">
        <f t="shared" si="4"/>
        <v>1</v>
      </c>
      <c r="Z51" s="2" t="str">
        <v>Cyprus</v>
      </c>
      <c r="AA51" s="14">
        <v>0.4</v>
      </c>
      <c r="AB51" s="14">
        <v>0</v>
      </c>
      <c r="AC51" s="14">
        <v>0.14000000000000001</v>
      </c>
      <c r="AD51" s="14">
        <v>0.4</v>
      </c>
      <c r="AE51" s="14">
        <v>0.06</v>
      </c>
      <c r="AF51" s="14">
        <v>0</v>
      </c>
      <c r="AG51" s="14">
        <v>0</v>
      </c>
      <c r="AH51" s="15">
        <f t="shared" si="5"/>
        <v>1</v>
      </c>
    </row>
    <row r="52" spans="8:34" x14ac:dyDescent="0.25">
      <c r="H52" s="2" t="str">
        <v>Czechia</v>
      </c>
      <c r="I52" s="14">
        <v>0.11940397755650001</v>
      </c>
      <c r="J52" s="14">
        <v>5.1695467295E-3</v>
      </c>
      <c r="K52" s="14">
        <v>0.64040712187000004</v>
      </c>
      <c r="L52" s="14">
        <v>6.25E-2</v>
      </c>
      <c r="M52" s="14">
        <v>0.172519353845</v>
      </c>
      <c r="N52" s="14">
        <v>0</v>
      </c>
      <c r="O52" s="14">
        <v>0</v>
      </c>
      <c r="P52" s="15">
        <f t="shared" si="3"/>
        <v>1.0000000000010001</v>
      </c>
      <c r="Q52" s="2" t="str">
        <v>Czechia</v>
      </c>
      <c r="R52" s="14">
        <v>0.21299999999999999</v>
      </c>
      <c r="S52" s="14">
        <v>0</v>
      </c>
      <c r="T52" s="14">
        <v>0.53200000000000003</v>
      </c>
      <c r="U52" s="14">
        <v>0.125</v>
      </c>
      <c r="V52" s="14">
        <v>0.13</v>
      </c>
      <c r="W52" s="14">
        <v>0</v>
      </c>
      <c r="X52" s="14">
        <v>0</v>
      </c>
      <c r="Y52" s="15">
        <f t="shared" si="4"/>
        <v>1</v>
      </c>
      <c r="Z52" s="2" t="str">
        <v>Czechia</v>
      </c>
      <c r="AA52" s="14">
        <v>0.4</v>
      </c>
      <c r="AB52" s="14">
        <v>0</v>
      </c>
      <c r="AC52" s="14">
        <v>0.22</v>
      </c>
      <c r="AD52" s="14">
        <v>0.23</v>
      </c>
      <c r="AE52" s="14">
        <v>0.15</v>
      </c>
      <c r="AF52" s="14">
        <v>0</v>
      </c>
      <c r="AG52" s="14">
        <v>0</v>
      </c>
      <c r="AH52" s="15">
        <f t="shared" si="5"/>
        <v>1</v>
      </c>
    </row>
    <row r="53" spans="8:34" x14ac:dyDescent="0.25">
      <c r="H53" s="2" t="str">
        <v>Denmark</v>
      </c>
      <c r="I53" s="14">
        <v>0.10739222453449999</v>
      </c>
      <c r="J53" s="14">
        <v>3.8235589399999997E-4</v>
      </c>
      <c r="K53" s="14">
        <v>0.74750105302900005</v>
      </c>
      <c r="L53" s="14">
        <v>6.25E-2</v>
      </c>
      <c r="M53" s="14">
        <v>8.2224366544000005E-2</v>
      </c>
      <c r="N53" s="14">
        <v>0</v>
      </c>
      <c r="O53" s="14">
        <v>0</v>
      </c>
      <c r="P53" s="15">
        <f t="shared" si="3"/>
        <v>1.0000000000015001</v>
      </c>
      <c r="Q53" s="2" t="str">
        <v>Denmark</v>
      </c>
      <c r="R53" s="14">
        <v>0.21299999999999999</v>
      </c>
      <c r="S53" s="14">
        <v>0</v>
      </c>
      <c r="T53" s="14">
        <v>0.53200000000000003</v>
      </c>
      <c r="U53" s="14">
        <v>0.125</v>
      </c>
      <c r="V53" s="14">
        <v>0.13</v>
      </c>
      <c r="W53" s="14">
        <v>0</v>
      </c>
      <c r="X53" s="14">
        <v>0</v>
      </c>
      <c r="Y53" s="15">
        <f t="shared" si="4"/>
        <v>1</v>
      </c>
      <c r="Z53" s="2" t="str">
        <v>Denmark</v>
      </c>
      <c r="AA53" s="14">
        <v>0.5</v>
      </c>
      <c r="AB53" s="14">
        <v>0</v>
      </c>
      <c r="AC53" s="14">
        <v>0</v>
      </c>
      <c r="AD53" s="14">
        <v>0.5</v>
      </c>
      <c r="AE53" s="14">
        <v>0</v>
      </c>
      <c r="AF53" s="14">
        <v>0</v>
      </c>
      <c r="AG53" s="14">
        <v>0</v>
      </c>
      <c r="AH53" s="15">
        <f t="shared" si="5"/>
        <v>1</v>
      </c>
    </row>
    <row r="54" spans="8:34" x14ac:dyDescent="0.25">
      <c r="H54" s="2" t="str">
        <v>Estonia</v>
      </c>
      <c r="I54" s="14">
        <v>0.21232754803300002</v>
      </c>
      <c r="J54" s="14">
        <v>3.5325829959999997E-3</v>
      </c>
      <c r="K54" s="14">
        <v>0.52336334341500002</v>
      </c>
      <c r="L54" s="14">
        <v>0.1</v>
      </c>
      <c r="M54" s="14">
        <v>0.155776525557</v>
      </c>
      <c r="N54" s="14">
        <v>5.0000000000000001E-3</v>
      </c>
      <c r="O54" s="14">
        <v>0</v>
      </c>
      <c r="P54" s="15">
        <f t="shared" si="3"/>
        <v>1.0000000000009999</v>
      </c>
      <c r="Q54" s="2" t="str">
        <v>Estonia</v>
      </c>
      <c r="R54" s="14">
        <v>0.39</v>
      </c>
      <c r="S54" s="14">
        <v>0</v>
      </c>
      <c r="T54" s="14">
        <v>0.25</v>
      </c>
      <c r="U54" s="14">
        <v>0.2</v>
      </c>
      <c r="V54" s="14">
        <v>0.15</v>
      </c>
      <c r="W54" s="14">
        <v>0.01</v>
      </c>
      <c r="X54" s="14">
        <v>0</v>
      </c>
      <c r="Y54" s="15">
        <f t="shared" si="4"/>
        <v>1</v>
      </c>
      <c r="Z54" s="2" t="str">
        <v>Estonia</v>
      </c>
      <c r="AA54" s="14">
        <v>0.55000000000000004</v>
      </c>
      <c r="AB54" s="14">
        <v>0</v>
      </c>
      <c r="AC54" s="14">
        <v>0.05</v>
      </c>
      <c r="AD54" s="14">
        <v>0.35</v>
      </c>
      <c r="AE54" s="14">
        <v>0.05</v>
      </c>
      <c r="AF54" s="14">
        <v>0</v>
      </c>
      <c r="AG54" s="14">
        <v>0</v>
      </c>
      <c r="AH54" s="15">
        <f t="shared" si="5"/>
        <v>1</v>
      </c>
    </row>
    <row r="55" spans="8:34" x14ac:dyDescent="0.25">
      <c r="H55" s="2" t="str">
        <v>Finland</v>
      </c>
      <c r="I55" s="14">
        <v>6.3432327492499996E-2</v>
      </c>
      <c r="J55" s="14">
        <v>4.2517773600000004E-4</v>
      </c>
      <c r="K55" s="14">
        <v>0.573591691189</v>
      </c>
      <c r="L55" s="14">
        <v>0.11574074049999999</v>
      </c>
      <c r="M55" s="14">
        <v>0.24681006308449999</v>
      </c>
      <c r="N55" s="14">
        <v>0</v>
      </c>
      <c r="O55" s="14">
        <v>0</v>
      </c>
      <c r="P55" s="15">
        <f t="shared" si="3"/>
        <v>1.000000000002</v>
      </c>
      <c r="Q55" s="2" t="str">
        <v>Finland</v>
      </c>
      <c r="R55" s="14">
        <v>0.11481481499999999</v>
      </c>
      <c r="S55" s="14">
        <v>0</v>
      </c>
      <c r="T55" s="14">
        <v>0.20370370399999999</v>
      </c>
      <c r="U55" s="14">
        <v>0.23148148099999999</v>
      </c>
      <c r="V55" s="14">
        <v>0.45</v>
      </c>
      <c r="W55" s="14">
        <v>0</v>
      </c>
      <c r="X55" s="14">
        <v>0</v>
      </c>
      <c r="Y55" s="15">
        <f t="shared" si="4"/>
        <v>1</v>
      </c>
      <c r="Z55" s="2" t="str">
        <v>Finland</v>
      </c>
      <c r="AA55" s="14">
        <v>0.157407408</v>
      </c>
      <c r="AB55" s="14">
        <v>0</v>
      </c>
      <c r="AC55" s="14">
        <v>0</v>
      </c>
      <c r="AD55" s="14">
        <v>0.58333333300000001</v>
      </c>
      <c r="AE55" s="14">
        <v>0.25925925900000002</v>
      </c>
      <c r="AF55" s="14">
        <v>0</v>
      </c>
      <c r="AG55" s="14">
        <v>0</v>
      </c>
      <c r="AH55" s="15">
        <f t="shared" si="5"/>
        <v>1</v>
      </c>
    </row>
    <row r="56" spans="8:34" x14ac:dyDescent="0.25">
      <c r="H56" s="2" t="str">
        <v>France</v>
      </c>
      <c r="I56" s="14">
        <v>0.24205392889999999</v>
      </c>
      <c r="J56" s="14">
        <v>5.006169635E-4</v>
      </c>
      <c r="K56" s="14">
        <v>0.54197456465850002</v>
      </c>
      <c r="L56" s="14">
        <v>0</v>
      </c>
      <c r="M56" s="14">
        <v>0.21547088947949999</v>
      </c>
      <c r="N56" s="14">
        <v>0</v>
      </c>
      <c r="O56" s="14">
        <v>0</v>
      </c>
      <c r="P56" s="15">
        <f t="shared" si="3"/>
        <v>1.0000000000015001</v>
      </c>
      <c r="Q56" s="2" t="str">
        <v>France</v>
      </c>
      <c r="R56" s="14">
        <v>0.48</v>
      </c>
      <c r="S56" s="14">
        <v>0</v>
      </c>
      <c r="T56" s="14">
        <v>0.22</v>
      </c>
      <c r="U56" s="14">
        <v>0</v>
      </c>
      <c r="V56" s="14">
        <v>0.3</v>
      </c>
      <c r="W56" s="14">
        <v>0</v>
      </c>
      <c r="X56" s="14">
        <v>0</v>
      </c>
      <c r="Y56" s="15">
        <f t="shared" si="4"/>
        <v>1</v>
      </c>
      <c r="Z56" s="2" t="str">
        <v>France</v>
      </c>
      <c r="AA56" s="14">
        <v>0.47</v>
      </c>
      <c r="AB56" s="14">
        <v>0</v>
      </c>
      <c r="AC56" s="14">
        <v>0</v>
      </c>
      <c r="AD56" s="14">
        <v>0.08</v>
      </c>
      <c r="AE56" s="14">
        <v>0.45</v>
      </c>
      <c r="AF56" s="14">
        <v>0</v>
      </c>
      <c r="AG56" s="14">
        <v>0</v>
      </c>
      <c r="AH56" s="15">
        <f t="shared" si="5"/>
        <v>1</v>
      </c>
    </row>
    <row r="57" spans="8:34" x14ac:dyDescent="0.25">
      <c r="H57" s="2" t="str">
        <v>Germany</v>
      </c>
      <c r="I57" s="14">
        <v>0.17696917316999999</v>
      </c>
      <c r="J57" s="14">
        <v>2.6433542199999998E-4</v>
      </c>
      <c r="K57" s="14">
        <v>0.63420385092999998</v>
      </c>
      <c r="L57" s="14">
        <v>0.15</v>
      </c>
      <c r="M57" s="14">
        <v>3.856264048E-2</v>
      </c>
      <c r="N57" s="14">
        <v>0</v>
      </c>
      <c r="O57" s="14">
        <v>0</v>
      </c>
      <c r="P57" s="15">
        <f t="shared" si="3"/>
        <v>1.000000000002</v>
      </c>
      <c r="Q57" s="2" t="str">
        <v>Germany</v>
      </c>
      <c r="R57" s="14">
        <v>0.35</v>
      </c>
      <c r="S57" s="14">
        <v>0</v>
      </c>
      <c r="T57" s="14">
        <v>0.3</v>
      </c>
      <c r="U57" s="14">
        <v>0.3</v>
      </c>
      <c r="V57" s="14">
        <v>0.05</v>
      </c>
      <c r="W57" s="14">
        <v>0</v>
      </c>
      <c r="X57" s="14">
        <v>0</v>
      </c>
      <c r="Y57" s="15">
        <f t="shared" si="4"/>
        <v>1</v>
      </c>
      <c r="Z57" s="2" t="str">
        <v>Germany</v>
      </c>
      <c r="AA57" s="14">
        <v>0.35</v>
      </c>
      <c r="AB57" s="14">
        <v>0</v>
      </c>
      <c r="AC57" s="14">
        <v>0.3</v>
      </c>
      <c r="AD57" s="14">
        <v>0.3</v>
      </c>
      <c r="AE57" s="14">
        <v>0.05</v>
      </c>
      <c r="AF57" s="14">
        <v>0</v>
      </c>
      <c r="AG57" s="14">
        <v>0</v>
      </c>
      <c r="AH57" s="15">
        <f t="shared" si="5"/>
        <v>1</v>
      </c>
    </row>
    <row r="58" spans="8:34" x14ac:dyDescent="0.25">
      <c r="H58" s="2" t="str">
        <v>Greece</v>
      </c>
      <c r="I58" s="14">
        <v>3.1889104097499996E-2</v>
      </c>
      <c r="J58" s="14">
        <v>2.2086960650000002E-4</v>
      </c>
      <c r="K58" s="14">
        <v>0.76806974355099999</v>
      </c>
      <c r="L58" s="14">
        <v>0.1435185185</v>
      </c>
      <c r="M58" s="14">
        <v>5.6301764246000002E-2</v>
      </c>
      <c r="N58" s="14">
        <v>0</v>
      </c>
      <c r="O58" s="14">
        <v>0</v>
      </c>
      <c r="P58" s="15">
        <f t="shared" si="3"/>
        <v>1.0000000000010001</v>
      </c>
      <c r="Q58" s="2" t="str">
        <v>Greece</v>
      </c>
      <c r="R58" s="14">
        <v>6.0962962999999995E-2</v>
      </c>
      <c r="S58" s="14">
        <v>0</v>
      </c>
      <c r="T58" s="14">
        <v>0.60199999999999998</v>
      </c>
      <c r="U58" s="14">
        <v>0.28703703699999999</v>
      </c>
      <c r="V58" s="14">
        <v>0.05</v>
      </c>
      <c r="W58" s="14">
        <v>0</v>
      </c>
      <c r="X58" s="14">
        <v>0</v>
      </c>
      <c r="Y58" s="15">
        <f t="shared" si="4"/>
        <v>1</v>
      </c>
      <c r="Z58" s="2" t="str">
        <v>Greece</v>
      </c>
      <c r="AA58" s="14">
        <v>0.29629629600000001</v>
      </c>
      <c r="AB58" s="14">
        <v>0</v>
      </c>
      <c r="AC58" s="14">
        <v>0</v>
      </c>
      <c r="AD58" s="14">
        <v>0.70370370400000004</v>
      </c>
      <c r="AE58" s="14">
        <v>0</v>
      </c>
      <c r="AF58" s="14">
        <v>0</v>
      </c>
      <c r="AG58" s="14">
        <v>0</v>
      </c>
      <c r="AH58" s="15">
        <f t="shared" si="5"/>
        <v>1</v>
      </c>
    </row>
    <row r="59" spans="8:34" x14ac:dyDescent="0.25">
      <c r="H59" s="2" t="str">
        <v>Hungary</v>
      </c>
      <c r="I59" s="14">
        <v>0.116997640115</v>
      </c>
      <c r="J59" s="14">
        <v>8.8562601049999999E-4</v>
      </c>
      <c r="K59" s="14">
        <v>0.69915224814849997</v>
      </c>
      <c r="L59" s="14">
        <v>0.14249999999999999</v>
      </c>
      <c r="M59" s="14">
        <v>4.04644857265E-2</v>
      </c>
      <c r="N59" s="14">
        <v>0</v>
      </c>
      <c r="O59" s="14">
        <v>0</v>
      </c>
      <c r="P59" s="15">
        <f t="shared" si="3"/>
        <v>1.0000000000005</v>
      </c>
      <c r="Q59" s="2" t="str">
        <v>Hungary</v>
      </c>
      <c r="R59" s="14">
        <v>0.21299999999999999</v>
      </c>
      <c r="S59" s="14">
        <v>0</v>
      </c>
      <c r="T59" s="14">
        <v>0.45200000000000001</v>
      </c>
      <c r="U59" s="14">
        <v>0.28499999999999998</v>
      </c>
      <c r="V59" s="14">
        <v>0.05</v>
      </c>
      <c r="W59" s="14">
        <v>0</v>
      </c>
      <c r="X59" s="14">
        <v>0</v>
      </c>
      <c r="Y59" s="15">
        <f t="shared" si="4"/>
        <v>1</v>
      </c>
      <c r="Z59" s="2" t="str">
        <v>Hungary</v>
      </c>
      <c r="AA59" s="14">
        <v>0.4</v>
      </c>
      <c r="AB59" s="14">
        <v>0</v>
      </c>
      <c r="AC59" s="14">
        <v>0.14000000000000001</v>
      </c>
      <c r="AD59" s="14">
        <v>0.4</v>
      </c>
      <c r="AE59" s="14">
        <v>0.06</v>
      </c>
      <c r="AF59" s="14">
        <v>0</v>
      </c>
      <c r="AG59" s="14">
        <v>0</v>
      </c>
      <c r="AH59" s="15">
        <f t="shared" si="5"/>
        <v>1</v>
      </c>
    </row>
    <row r="60" spans="8:34" x14ac:dyDescent="0.25">
      <c r="H60" s="2" t="str">
        <v>Ireland</v>
      </c>
      <c r="I60" s="14">
        <v>0.28144254278800002</v>
      </c>
      <c r="J60" s="14">
        <v>3.8782477849999997E-4</v>
      </c>
      <c r="K60" s="14">
        <v>0.64316963243399994</v>
      </c>
      <c r="L60" s="14">
        <v>2.5000000000000001E-2</v>
      </c>
      <c r="M60" s="14">
        <v>0</v>
      </c>
      <c r="N60" s="14">
        <v>0.05</v>
      </c>
      <c r="O60" s="14">
        <v>0</v>
      </c>
      <c r="P60" s="15">
        <f t="shared" si="3"/>
        <v>1.0000000000005</v>
      </c>
      <c r="Q60" s="2" t="str">
        <v>Ireland</v>
      </c>
      <c r="R60" s="14">
        <v>0.55000000000000004</v>
      </c>
      <c r="S60" s="14">
        <v>0</v>
      </c>
      <c r="T60" s="14">
        <v>0.3</v>
      </c>
      <c r="U60" s="14">
        <v>0.05</v>
      </c>
      <c r="V60" s="14">
        <v>0</v>
      </c>
      <c r="W60" s="14">
        <v>0.1</v>
      </c>
      <c r="X60" s="14">
        <v>0</v>
      </c>
      <c r="Y60" s="15">
        <f t="shared" si="4"/>
        <v>1.0000000000000002</v>
      </c>
      <c r="Z60" s="2" t="str">
        <v>Ireland</v>
      </c>
      <c r="AA60" s="14">
        <v>0.8</v>
      </c>
      <c r="AB60" s="14">
        <v>0</v>
      </c>
      <c r="AC60" s="14">
        <v>0</v>
      </c>
      <c r="AD60" s="14">
        <v>0.1</v>
      </c>
      <c r="AE60" s="14">
        <v>0</v>
      </c>
      <c r="AF60" s="14">
        <v>0.1</v>
      </c>
      <c r="AG60" s="14">
        <v>0</v>
      </c>
      <c r="AH60" s="15">
        <f t="shared" si="5"/>
        <v>1</v>
      </c>
    </row>
    <row r="61" spans="8:34" x14ac:dyDescent="0.25">
      <c r="H61" s="2" t="str">
        <v>Italy</v>
      </c>
      <c r="I61" s="14">
        <v>8.2205783900499999E-2</v>
      </c>
      <c r="J61" s="14">
        <v>4.3031488950000002E-4</v>
      </c>
      <c r="K61" s="14">
        <v>0.6298564381984999</v>
      </c>
      <c r="L61" s="14">
        <v>7.4999999999999997E-2</v>
      </c>
      <c r="M61" s="14">
        <v>9.7507463013000006E-2</v>
      </c>
      <c r="N61" s="14">
        <v>0.115</v>
      </c>
      <c r="O61" s="14">
        <v>0</v>
      </c>
      <c r="P61" s="15">
        <f t="shared" si="3"/>
        <v>1.0000000000014999</v>
      </c>
      <c r="Q61" s="2" t="str">
        <v>Italy</v>
      </c>
      <c r="R61" s="14">
        <v>0.16</v>
      </c>
      <c r="S61" s="14">
        <v>0</v>
      </c>
      <c r="T61" s="14">
        <v>0.39</v>
      </c>
      <c r="U61" s="14">
        <v>0.15</v>
      </c>
      <c r="V61" s="14">
        <v>7.0000000000000007E-2</v>
      </c>
      <c r="W61" s="14">
        <v>0.23</v>
      </c>
      <c r="X61" s="14">
        <v>0</v>
      </c>
      <c r="Y61" s="15">
        <f t="shared" si="4"/>
        <v>1</v>
      </c>
      <c r="Z61" s="2" t="str">
        <v>Italy</v>
      </c>
      <c r="AA61" s="14">
        <v>0.4</v>
      </c>
      <c r="AB61" s="14">
        <v>0</v>
      </c>
      <c r="AC61" s="14">
        <v>0.05</v>
      </c>
      <c r="AD61" s="14">
        <v>0.37</v>
      </c>
      <c r="AE61" s="14">
        <v>0.04</v>
      </c>
      <c r="AF61" s="14">
        <v>0.14000000000000001</v>
      </c>
      <c r="AG61" s="14">
        <v>0</v>
      </c>
      <c r="AH61" s="15">
        <f t="shared" si="5"/>
        <v>1</v>
      </c>
    </row>
    <row r="62" spans="8:34" x14ac:dyDescent="0.25">
      <c r="H62" s="2" t="str">
        <v>Latvia</v>
      </c>
      <c r="I62" s="14">
        <v>0.15704080182499999</v>
      </c>
      <c r="J62" s="14">
        <v>1.6974066839999999E-3</v>
      </c>
      <c r="K62" s="14">
        <v>0.67271342073450002</v>
      </c>
      <c r="L62" s="14">
        <v>0.14249999999999999</v>
      </c>
      <c r="M62" s="14">
        <v>2.6048370757000002E-2</v>
      </c>
      <c r="N62" s="14">
        <v>0</v>
      </c>
      <c r="O62" s="14">
        <v>0</v>
      </c>
      <c r="P62" s="15">
        <f t="shared" si="3"/>
        <v>1.0000000000005</v>
      </c>
      <c r="Q62" s="2" t="str">
        <v>Latvia</v>
      </c>
      <c r="R62" s="14">
        <v>0.21299999999999999</v>
      </c>
      <c r="S62" s="14">
        <v>0</v>
      </c>
      <c r="T62" s="14">
        <v>0.45200000000000001</v>
      </c>
      <c r="U62" s="14">
        <v>0.28499999999999998</v>
      </c>
      <c r="V62" s="14">
        <v>0.05</v>
      </c>
      <c r="W62" s="14">
        <v>0</v>
      </c>
      <c r="X62" s="14">
        <v>0</v>
      </c>
      <c r="Y62" s="15">
        <f t="shared" si="4"/>
        <v>1</v>
      </c>
      <c r="Z62" s="2" t="str">
        <v>Latvia</v>
      </c>
      <c r="AA62" s="14">
        <v>0.4</v>
      </c>
      <c r="AB62" s="14">
        <v>0</v>
      </c>
      <c r="AC62" s="14">
        <v>0.14000000000000001</v>
      </c>
      <c r="AD62" s="14">
        <v>0.4</v>
      </c>
      <c r="AE62" s="14">
        <v>0.06</v>
      </c>
      <c r="AF62" s="14">
        <v>0</v>
      </c>
      <c r="AG62" s="14">
        <v>0</v>
      </c>
      <c r="AH62" s="15">
        <f t="shared" si="5"/>
        <v>1</v>
      </c>
    </row>
    <row r="63" spans="8:34" x14ac:dyDescent="0.25">
      <c r="H63" s="2" t="str">
        <v>Lithuania</v>
      </c>
      <c r="I63" s="14">
        <v>0.17602236578800001</v>
      </c>
      <c r="J63" s="14">
        <v>2.3319379319999998E-3</v>
      </c>
      <c r="K63" s="14">
        <v>0.5516231573475</v>
      </c>
      <c r="L63" s="14">
        <v>0.14249999999999999</v>
      </c>
      <c r="M63" s="14">
        <v>0.12752253893349999</v>
      </c>
      <c r="N63" s="14">
        <v>0</v>
      </c>
      <c r="O63" s="14">
        <v>0</v>
      </c>
      <c r="P63" s="15">
        <f t="shared" si="3"/>
        <v>1.0000000000010001</v>
      </c>
      <c r="Q63" s="2" t="str">
        <v>Lithuania</v>
      </c>
      <c r="R63" s="14">
        <v>0.21299999999999999</v>
      </c>
      <c r="S63" s="14">
        <v>0</v>
      </c>
      <c r="T63" s="14">
        <v>0.45200000000000001</v>
      </c>
      <c r="U63" s="14">
        <v>0.28499999999999998</v>
      </c>
      <c r="V63" s="14">
        <v>0.05</v>
      </c>
      <c r="W63" s="14">
        <v>0</v>
      </c>
      <c r="X63" s="14">
        <v>0</v>
      </c>
      <c r="Y63" s="15">
        <f t="shared" si="4"/>
        <v>1</v>
      </c>
      <c r="Z63" s="2" t="str">
        <v>Lithuania</v>
      </c>
      <c r="AA63" s="14">
        <v>0.4</v>
      </c>
      <c r="AB63" s="14">
        <v>0</v>
      </c>
      <c r="AC63" s="14">
        <v>0.14000000000000001</v>
      </c>
      <c r="AD63" s="14">
        <v>0.4</v>
      </c>
      <c r="AE63" s="14">
        <v>0.06</v>
      </c>
      <c r="AF63" s="14">
        <v>0</v>
      </c>
      <c r="AG63" s="14">
        <v>0</v>
      </c>
      <c r="AH63" s="15">
        <f t="shared" si="5"/>
        <v>1</v>
      </c>
    </row>
    <row r="64" spans="8:34" x14ac:dyDescent="0.25">
      <c r="H64" s="2" t="str">
        <v>Luxembourg</v>
      </c>
      <c r="I64" s="14">
        <v>0.48907984869599996</v>
      </c>
      <c r="J64" s="14">
        <v>2.9772486550000004E-4</v>
      </c>
      <c r="K64" s="14">
        <v>0.4956224264395</v>
      </c>
      <c r="L64" s="14">
        <v>1.4999999999999999E-2</v>
      </c>
      <c r="M64" s="14">
        <v>0</v>
      </c>
      <c r="N64" s="14">
        <v>0</v>
      </c>
      <c r="O64" s="14">
        <v>0</v>
      </c>
      <c r="P64" s="15">
        <f t="shared" si="3"/>
        <v>1.0000000000009999</v>
      </c>
      <c r="Q64" s="2" t="str">
        <v>Luxembourg</v>
      </c>
      <c r="R64" s="14">
        <v>0.95</v>
      </c>
      <c r="S64" s="14">
        <v>0</v>
      </c>
      <c r="T64" s="14">
        <v>0.02</v>
      </c>
      <c r="U64" s="14">
        <v>0.03</v>
      </c>
      <c r="V64" s="14">
        <v>0</v>
      </c>
      <c r="W64" s="14">
        <v>0</v>
      </c>
      <c r="X64" s="14">
        <v>0</v>
      </c>
      <c r="Y64" s="15">
        <f t="shared" si="4"/>
        <v>1</v>
      </c>
      <c r="Z64" s="2" t="str">
        <v>Luxembourg</v>
      </c>
      <c r="AA64" s="14">
        <v>0.87962963000000005</v>
      </c>
      <c r="AB64" s="14">
        <v>0</v>
      </c>
      <c r="AC64" s="14">
        <v>0</v>
      </c>
      <c r="AD64" s="14">
        <v>0.12037037</v>
      </c>
      <c r="AE64" s="14">
        <v>0</v>
      </c>
      <c r="AF64" s="14">
        <v>0</v>
      </c>
      <c r="AG64" s="14">
        <v>0</v>
      </c>
      <c r="AH64" s="15">
        <f t="shared" si="5"/>
        <v>1</v>
      </c>
    </row>
    <row r="65" spans="8:34" x14ac:dyDescent="0.25">
      <c r="H65" s="2" t="str">
        <v>Malta</v>
      </c>
      <c r="I65" s="14">
        <v>5.2129518616500004E-2</v>
      </c>
      <c r="J65" s="14">
        <v>9.9875029499999998E-4</v>
      </c>
      <c r="K65" s="14">
        <v>0.94687173108900002</v>
      </c>
      <c r="L65" s="14">
        <v>0</v>
      </c>
      <c r="M65" s="14">
        <v>0</v>
      </c>
      <c r="N65" s="14">
        <v>0</v>
      </c>
      <c r="O65" s="14">
        <v>0</v>
      </c>
      <c r="P65" s="15">
        <f t="shared" si="3"/>
        <v>1.0000000000005</v>
      </c>
      <c r="Q65" s="2" t="str">
        <v>Malta</v>
      </c>
      <c r="R65" s="14">
        <v>0.10300000000000001</v>
      </c>
      <c r="S65" s="14">
        <v>0</v>
      </c>
      <c r="T65" s="14">
        <v>0.89700000000000002</v>
      </c>
      <c r="U65" s="14">
        <v>0</v>
      </c>
      <c r="V65" s="14">
        <v>0</v>
      </c>
      <c r="W65" s="14">
        <v>0</v>
      </c>
      <c r="X65" s="14">
        <v>0</v>
      </c>
      <c r="Y65" s="15">
        <f t="shared" si="4"/>
        <v>1</v>
      </c>
      <c r="Z65" s="2" t="str">
        <v>Malta</v>
      </c>
      <c r="AA65" s="14">
        <v>0.4</v>
      </c>
      <c r="AB65" s="14">
        <v>0</v>
      </c>
      <c r="AC65" s="14">
        <v>0.14000000000000001</v>
      </c>
      <c r="AD65" s="14">
        <v>0.4</v>
      </c>
      <c r="AE65" s="14">
        <v>0.06</v>
      </c>
      <c r="AF65" s="14">
        <v>0</v>
      </c>
      <c r="AG65" s="14">
        <v>0</v>
      </c>
      <c r="AH65" s="15">
        <f t="shared" si="5"/>
        <v>1</v>
      </c>
    </row>
    <row r="66" spans="8:34" x14ac:dyDescent="0.25">
      <c r="H66" s="2" t="str">
        <v>Netherlands</v>
      </c>
      <c r="I66" s="14">
        <v>0.43137047218199998</v>
      </c>
      <c r="J66" s="14">
        <v>1.7685414941500003E-2</v>
      </c>
      <c r="K66" s="14">
        <v>0.30707369297249998</v>
      </c>
      <c r="L66" s="14">
        <v>0.11935000000000001</v>
      </c>
      <c r="M66" s="14">
        <v>0.124151470513</v>
      </c>
      <c r="N66" s="14">
        <v>3.6894939250000004E-4</v>
      </c>
      <c r="O66" s="14">
        <v>0</v>
      </c>
      <c r="P66" s="15">
        <f t="shared" si="3"/>
        <v>1.0000000000015001</v>
      </c>
      <c r="Q66" s="2" t="str">
        <v>Netherlands</v>
      </c>
      <c r="R66" s="14">
        <v>0.72799999999999998</v>
      </c>
      <c r="S66" s="14">
        <v>3.3300000000000003E-2</v>
      </c>
      <c r="T66" s="14">
        <v>0</v>
      </c>
      <c r="U66" s="14">
        <v>0.23870000000000002</v>
      </c>
      <c r="V66" s="14">
        <v>0</v>
      </c>
      <c r="W66" s="14">
        <v>0</v>
      </c>
      <c r="X66" s="14">
        <v>0</v>
      </c>
      <c r="Y66" s="15">
        <f t="shared" si="4"/>
        <v>1</v>
      </c>
      <c r="Z66" s="2" t="str">
        <v>Netherlands</v>
      </c>
      <c r="AA66" s="14">
        <v>0.5</v>
      </c>
      <c r="AB66" s="14">
        <v>0.1</v>
      </c>
      <c r="AC66" s="14">
        <v>0</v>
      </c>
      <c r="AD66" s="14">
        <v>0.4</v>
      </c>
      <c r="AE66" s="14">
        <v>0</v>
      </c>
      <c r="AF66" s="14">
        <v>0</v>
      </c>
      <c r="AG66" s="14">
        <v>0</v>
      </c>
      <c r="AH66" s="15">
        <f t="shared" si="5"/>
        <v>1</v>
      </c>
    </row>
    <row r="67" spans="8:34" x14ac:dyDescent="0.25">
      <c r="H67" s="2" t="str">
        <v>Norway</v>
      </c>
      <c r="I67" s="14">
        <v>0.10291432625000001</v>
      </c>
      <c r="J67" s="14">
        <v>1.00170555E-4</v>
      </c>
      <c r="K67" s="14">
        <v>0.75401022459449996</v>
      </c>
      <c r="L67" s="14">
        <v>6.25E-2</v>
      </c>
      <c r="M67" s="14">
        <v>8.0475278602000017E-2</v>
      </c>
      <c r="N67" s="14">
        <v>0</v>
      </c>
      <c r="O67" s="14">
        <v>0</v>
      </c>
      <c r="P67" s="15">
        <f t="shared" si="3"/>
        <v>1.0000000000014999</v>
      </c>
      <c r="Q67" s="2" t="str">
        <v>Norway</v>
      </c>
      <c r="R67" s="14">
        <v>0.2</v>
      </c>
      <c r="S67" s="14">
        <v>0</v>
      </c>
      <c r="T67" s="14">
        <v>0.53500000000000003</v>
      </c>
      <c r="U67" s="14">
        <v>0.125</v>
      </c>
      <c r="V67" s="14">
        <v>0.14000000000000001</v>
      </c>
      <c r="W67" s="14">
        <v>0</v>
      </c>
      <c r="X67" s="14">
        <v>0</v>
      </c>
      <c r="Y67" s="15">
        <f t="shared" si="4"/>
        <v>1</v>
      </c>
      <c r="Z67" s="2" t="str">
        <v>Norway</v>
      </c>
      <c r="AA67" s="14">
        <v>0.39</v>
      </c>
      <c r="AB67" s="14">
        <v>0</v>
      </c>
      <c r="AC67" s="14">
        <v>0.22</v>
      </c>
      <c r="AD67" s="14">
        <v>0.23</v>
      </c>
      <c r="AE67" s="14">
        <v>0.16</v>
      </c>
      <c r="AF67" s="14">
        <v>0</v>
      </c>
      <c r="AG67" s="14">
        <v>0</v>
      </c>
      <c r="AH67" s="15">
        <f t="shared" si="5"/>
        <v>1</v>
      </c>
    </row>
    <row r="68" spans="8:34" x14ac:dyDescent="0.25">
      <c r="H68" s="2" t="str">
        <v>Poland</v>
      </c>
      <c r="I68" s="14">
        <v>0.10291432625000001</v>
      </c>
      <c r="J68" s="14">
        <v>1.00170555E-4</v>
      </c>
      <c r="K68" s="14">
        <v>0.75401022459449996</v>
      </c>
      <c r="L68" s="14">
        <v>6.25E-2</v>
      </c>
      <c r="M68" s="14">
        <v>8.0475278602000017E-2</v>
      </c>
      <c r="N68" s="14">
        <v>0</v>
      </c>
      <c r="O68" s="14">
        <v>0</v>
      </c>
      <c r="P68" s="15">
        <f t="shared" si="3"/>
        <v>1.0000000000014999</v>
      </c>
      <c r="Q68" s="2" t="str">
        <v>Poland</v>
      </c>
      <c r="R68" s="14">
        <v>0.2</v>
      </c>
      <c r="S68" s="14">
        <v>0</v>
      </c>
      <c r="T68" s="14">
        <v>0.53500000000000003</v>
      </c>
      <c r="U68" s="14">
        <v>0.125</v>
      </c>
      <c r="V68" s="14">
        <v>0.14000000000000001</v>
      </c>
      <c r="W68" s="14">
        <v>0</v>
      </c>
      <c r="X68" s="14">
        <v>0</v>
      </c>
      <c r="Y68" s="15">
        <f t="shared" si="4"/>
        <v>1</v>
      </c>
      <c r="Z68" s="2" t="str">
        <v>Poland</v>
      </c>
      <c r="AA68" s="14">
        <v>0.39</v>
      </c>
      <c r="AB68" s="14">
        <v>0</v>
      </c>
      <c r="AC68" s="14">
        <v>0.22</v>
      </c>
      <c r="AD68" s="14">
        <v>0.23</v>
      </c>
      <c r="AE68" s="14">
        <v>0.16</v>
      </c>
      <c r="AF68" s="14">
        <v>0</v>
      </c>
      <c r="AG68" s="14">
        <v>0</v>
      </c>
      <c r="AH68" s="15">
        <f t="shared" si="5"/>
        <v>1</v>
      </c>
    </row>
    <row r="69" spans="8:34" x14ac:dyDescent="0.25">
      <c r="H69" s="2" t="str">
        <v>Portugal</v>
      </c>
      <c r="I69" s="14">
        <v>0.15175040133100001</v>
      </c>
      <c r="J69" s="14">
        <v>3.4948483349999998E-4</v>
      </c>
      <c r="K69" s="14">
        <v>0.68361333872700003</v>
      </c>
      <c r="L69" s="14">
        <v>6.25E-2</v>
      </c>
      <c r="M69" s="14">
        <v>0.1017867751095</v>
      </c>
      <c r="N69" s="14">
        <v>0</v>
      </c>
      <c r="O69" s="14">
        <v>0</v>
      </c>
      <c r="P69" s="15">
        <f t="shared" si="3"/>
        <v>1.0000000000010001</v>
      </c>
      <c r="Q69" s="2" t="str">
        <v>Portugal</v>
      </c>
      <c r="R69" s="14">
        <v>0.3</v>
      </c>
      <c r="S69" s="14">
        <v>0</v>
      </c>
      <c r="T69" s="14">
        <v>0.47499999999999998</v>
      </c>
      <c r="U69" s="14">
        <v>0.125</v>
      </c>
      <c r="V69" s="14">
        <v>0.1</v>
      </c>
      <c r="W69" s="14">
        <v>0</v>
      </c>
      <c r="X69" s="14">
        <v>0</v>
      </c>
      <c r="Y69" s="15">
        <f t="shared" si="4"/>
        <v>0.99999999999999989</v>
      </c>
      <c r="Z69" s="2" t="str">
        <v>Portugal</v>
      </c>
      <c r="AA69" s="14">
        <v>0.6</v>
      </c>
      <c r="AB69" s="14">
        <v>0</v>
      </c>
      <c r="AC69" s="14">
        <v>0.05</v>
      </c>
      <c r="AD69" s="14">
        <v>0.25</v>
      </c>
      <c r="AE69" s="14">
        <v>0.1</v>
      </c>
      <c r="AF69" s="14">
        <v>0</v>
      </c>
      <c r="AG69" s="14">
        <v>0</v>
      </c>
      <c r="AH69" s="15">
        <f t="shared" si="5"/>
        <v>1</v>
      </c>
    </row>
    <row r="70" spans="8:34" x14ac:dyDescent="0.25">
      <c r="H70" s="2" t="str">
        <v>Romania</v>
      </c>
      <c r="I70" s="14">
        <v>0.10768511502549999</v>
      </c>
      <c r="J70" s="14">
        <v>5.5383970849999997E-4</v>
      </c>
      <c r="K70" s="14">
        <v>0.72426104526650004</v>
      </c>
      <c r="L70" s="14">
        <v>0.14249999999999999</v>
      </c>
      <c r="M70" s="14">
        <v>2.5000000000000001E-2</v>
      </c>
      <c r="N70" s="14">
        <v>0</v>
      </c>
      <c r="O70" s="14">
        <v>0</v>
      </c>
      <c r="P70" s="15">
        <f t="shared" si="3"/>
        <v>1.0000000000005</v>
      </c>
      <c r="Q70" s="2" t="str">
        <v>Romania</v>
      </c>
      <c r="R70" s="14">
        <v>0.21299999999999999</v>
      </c>
      <c r="S70" s="14">
        <v>0</v>
      </c>
      <c r="T70" s="14">
        <v>0.45200000000000001</v>
      </c>
      <c r="U70" s="14">
        <v>0.28499999999999998</v>
      </c>
      <c r="V70" s="14">
        <v>0.05</v>
      </c>
      <c r="W70" s="14">
        <v>0</v>
      </c>
      <c r="X70" s="14">
        <v>0</v>
      </c>
      <c r="Y70" s="15">
        <f t="shared" si="4"/>
        <v>1</v>
      </c>
      <c r="Z70" s="2" t="str">
        <v>Romania</v>
      </c>
      <c r="AA70" s="14">
        <v>0.4</v>
      </c>
      <c r="AB70" s="14">
        <v>0</v>
      </c>
      <c r="AC70" s="14">
        <v>0.14000000000000001</v>
      </c>
      <c r="AD70" s="14">
        <v>0.4</v>
      </c>
      <c r="AE70" s="14">
        <v>0.06</v>
      </c>
      <c r="AF70" s="14">
        <v>0</v>
      </c>
      <c r="AG70" s="14">
        <v>0</v>
      </c>
      <c r="AH70" s="15">
        <f t="shared" si="5"/>
        <v>1</v>
      </c>
    </row>
    <row r="71" spans="8:34" x14ac:dyDescent="0.25">
      <c r="H71" s="2" t="str">
        <v>Slovakia</v>
      </c>
      <c r="I71" s="14">
        <v>0.12528887917600001</v>
      </c>
      <c r="J71" s="14">
        <v>2.6178860400000002E-4</v>
      </c>
      <c r="K71" s="14">
        <v>0.74694933222050008</v>
      </c>
      <c r="L71" s="14">
        <v>6.25E-2</v>
      </c>
      <c r="M71" s="14">
        <v>6.5000000000000002E-2</v>
      </c>
      <c r="N71" s="14">
        <v>0</v>
      </c>
      <c r="O71" s="14">
        <v>0</v>
      </c>
      <c r="P71" s="15">
        <f t="shared" si="3"/>
        <v>1.0000000000005</v>
      </c>
      <c r="Q71" s="2" t="str">
        <v>Slovakia</v>
      </c>
      <c r="R71" s="14">
        <v>0.21299999999999999</v>
      </c>
      <c r="S71" s="14">
        <v>0</v>
      </c>
      <c r="T71" s="14">
        <v>0.53200000000000003</v>
      </c>
      <c r="U71" s="14">
        <v>0.125</v>
      </c>
      <c r="V71" s="14">
        <v>0.13</v>
      </c>
      <c r="W71" s="14">
        <v>0</v>
      </c>
      <c r="X71" s="14">
        <v>0</v>
      </c>
      <c r="Y71" s="15">
        <f t="shared" si="4"/>
        <v>1</v>
      </c>
      <c r="Z71" s="2" t="str">
        <v>Slovakia</v>
      </c>
      <c r="AA71" s="14">
        <v>0.4</v>
      </c>
      <c r="AB71" s="14">
        <v>0</v>
      </c>
      <c r="AC71" s="14">
        <v>0.22</v>
      </c>
      <c r="AD71" s="14">
        <v>0.23</v>
      </c>
      <c r="AE71" s="14">
        <v>0.15</v>
      </c>
      <c r="AF71" s="14">
        <v>0</v>
      </c>
      <c r="AG71" s="14">
        <v>0</v>
      </c>
      <c r="AH71" s="15">
        <f t="shared" si="5"/>
        <v>1</v>
      </c>
    </row>
    <row r="72" spans="8:34" x14ac:dyDescent="0.25">
      <c r="H72" s="2" t="str">
        <v>Slovenia</v>
      </c>
      <c r="I72" s="14">
        <v>0.1075396464955</v>
      </c>
      <c r="J72" s="14">
        <v>3.4564131E-4</v>
      </c>
      <c r="K72" s="14">
        <v>0.67928364956249998</v>
      </c>
      <c r="L72" s="14">
        <v>0.14249999999999999</v>
      </c>
      <c r="M72" s="14">
        <v>7.0331062632999999E-2</v>
      </c>
      <c r="N72" s="14">
        <v>0</v>
      </c>
      <c r="O72" s="14">
        <v>0</v>
      </c>
      <c r="P72" s="15">
        <f t="shared" si="3"/>
        <v>1.0000000000009999</v>
      </c>
      <c r="Q72" s="2" t="str">
        <v>Slovenia</v>
      </c>
      <c r="R72" s="14">
        <v>0.21299999999999999</v>
      </c>
      <c r="S72" s="14">
        <v>0</v>
      </c>
      <c r="T72" s="14">
        <v>0.45200000000000001</v>
      </c>
      <c r="U72" s="14">
        <v>0.28499999999999998</v>
      </c>
      <c r="V72" s="14">
        <v>0.05</v>
      </c>
      <c r="W72" s="14">
        <v>0</v>
      </c>
      <c r="X72" s="14">
        <v>0</v>
      </c>
      <c r="Y72" s="15">
        <f t="shared" si="4"/>
        <v>1</v>
      </c>
      <c r="Z72" s="2" t="str">
        <v>Slovenia</v>
      </c>
      <c r="AA72" s="14">
        <v>0.4</v>
      </c>
      <c r="AB72" s="14">
        <v>0</v>
      </c>
      <c r="AC72" s="14">
        <v>0.14000000000000001</v>
      </c>
      <c r="AD72" s="14">
        <v>0.4</v>
      </c>
      <c r="AE72" s="14">
        <v>0.06</v>
      </c>
      <c r="AF72" s="14">
        <v>0</v>
      </c>
      <c r="AG72" s="14">
        <v>0</v>
      </c>
      <c r="AH72" s="15">
        <f t="shared" si="5"/>
        <v>1</v>
      </c>
    </row>
    <row r="73" spans="8:34" x14ac:dyDescent="0.25">
      <c r="H73" s="2" t="str">
        <v>Spain</v>
      </c>
      <c r="I73" s="14">
        <v>0.10340082974750001</v>
      </c>
      <c r="J73" s="14">
        <v>1.2803824310000001E-3</v>
      </c>
      <c r="K73" s="14">
        <v>0.60785187312900002</v>
      </c>
      <c r="L73" s="14">
        <v>0</v>
      </c>
      <c r="M73" s="14">
        <v>0.28746691469399999</v>
      </c>
      <c r="N73" s="14">
        <v>0</v>
      </c>
      <c r="O73" s="14">
        <v>0</v>
      </c>
      <c r="P73" s="15">
        <f t="shared" si="3"/>
        <v>1.0000000000015001</v>
      </c>
      <c r="Q73" s="2" t="str">
        <v>Spain</v>
      </c>
      <c r="R73" s="14">
        <v>0.2</v>
      </c>
      <c r="S73" s="14">
        <v>0</v>
      </c>
      <c r="T73" s="14">
        <v>0.45</v>
      </c>
      <c r="U73" s="14">
        <v>0</v>
      </c>
      <c r="V73" s="14">
        <v>0.35</v>
      </c>
      <c r="W73" s="14">
        <v>0</v>
      </c>
      <c r="X73" s="14">
        <v>0</v>
      </c>
      <c r="Y73" s="15">
        <f t="shared" si="4"/>
        <v>1</v>
      </c>
      <c r="Z73" s="2" t="str">
        <v>Spain</v>
      </c>
      <c r="AA73" s="14">
        <v>0.65</v>
      </c>
      <c r="AB73" s="14">
        <v>0</v>
      </c>
      <c r="AC73" s="14">
        <v>0</v>
      </c>
      <c r="AD73" s="14">
        <v>0.2</v>
      </c>
      <c r="AE73" s="14">
        <v>0.15</v>
      </c>
      <c r="AF73" s="14">
        <v>0</v>
      </c>
      <c r="AG73" s="14">
        <v>0</v>
      </c>
      <c r="AH73" s="15">
        <f t="shared" si="5"/>
        <v>1</v>
      </c>
    </row>
    <row r="74" spans="8:34" x14ac:dyDescent="0.25">
      <c r="H74" s="2" t="str">
        <v>Sweden</v>
      </c>
      <c r="I74" s="14">
        <v>5.5841009768499997E-2</v>
      </c>
      <c r="J74" s="14">
        <v>7.2169861099999994E-4</v>
      </c>
      <c r="K74" s="14">
        <v>0.59034972174650002</v>
      </c>
      <c r="L74" s="14">
        <v>0.2</v>
      </c>
      <c r="M74" s="14">
        <v>0.153087569875</v>
      </c>
      <c r="N74" s="14">
        <v>0</v>
      </c>
      <c r="O74" s="14">
        <v>0</v>
      </c>
      <c r="P74" s="15">
        <f t="shared" si="3"/>
        <v>1.0000000000010001</v>
      </c>
      <c r="Q74" s="2" t="str">
        <v>Sweden</v>
      </c>
      <c r="R74" s="14">
        <v>9.8000000000000004E-2</v>
      </c>
      <c r="S74" s="14">
        <v>0</v>
      </c>
      <c r="T74" s="14">
        <v>0.45200000000000001</v>
      </c>
      <c r="U74" s="14">
        <v>0.4</v>
      </c>
      <c r="V74" s="14">
        <v>0.05</v>
      </c>
      <c r="W74" s="14">
        <v>0</v>
      </c>
      <c r="X74" s="14">
        <v>0</v>
      </c>
      <c r="Y74" s="15">
        <f t="shared" si="4"/>
        <v>1</v>
      </c>
      <c r="Z74" s="2" t="str">
        <v>Sweden</v>
      </c>
      <c r="AA74" s="14">
        <v>0.2</v>
      </c>
      <c r="AB74" s="14">
        <v>0</v>
      </c>
      <c r="AC74" s="14">
        <v>0.14000000000000001</v>
      </c>
      <c r="AD74" s="14">
        <v>0.6</v>
      </c>
      <c r="AE74" s="14">
        <v>0.06</v>
      </c>
      <c r="AF74" s="14">
        <v>0</v>
      </c>
      <c r="AG74" s="14">
        <v>0</v>
      </c>
      <c r="AH74" s="15">
        <f t="shared" si="5"/>
        <v>1</v>
      </c>
    </row>
    <row r="75" spans="8:34" x14ac:dyDescent="0.25">
      <c r="H75" s="2" t="str">
        <v>Switzerland</v>
      </c>
      <c r="I75" s="14">
        <v>0.121620430248</v>
      </c>
      <c r="J75" s="14">
        <v>1.291383795E-4</v>
      </c>
      <c r="K75" s="14">
        <v>0.62376296231149997</v>
      </c>
      <c r="L75" s="14">
        <v>0.14249999999999999</v>
      </c>
      <c r="M75" s="14">
        <v>0.11198746906199999</v>
      </c>
      <c r="N75" s="14">
        <v>0</v>
      </c>
      <c r="O75" s="14">
        <v>0</v>
      </c>
      <c r="P75" s="15">
        <f t="shared" si="3"/>
        <v>1.0000000000009999</v>
      </c>
      <c r="Q75" s="2" t="str">
        <v>Switzerland</v>
      </c>
      <c r="R75" s="14">
        <v>0.21299999999999999</v>
      </c>
      <c r="S75" s="14">
        <v>0</v>
      </c>
      <c r="T75" s="14">
        <v>0.45200000000000001</v>
      </c>
      <c r="U75" s="14">
        <v>0.28499999999999998</v>
      </c>
      <c r="V75" s="14">
        <v>0.05</v>
      </c>
      <c r="W75" s="14">
        <v>0</v>
      </c>
      <c r="X75" s="14">
        <v>0</v>
      </c>
      <c r="Y75" s="15">
        <f t="shared" si="4"/>
        <v>1</v>
      </c>
      <c r="Z75" s="2" t="str">
        <v>Switzerland</v>
      </c>
      <c r="AA75" s="14">
        <v>0.4</v>
      </c>
      <c r="AB75" s="14">
        <v>0</v>
      </c>
      <c r="AC75" s="14">
        <v>0.14000000000000001</v>
      </c>
      <c r="AD75" s="14">
        <v>0.4</v>
      </c>
      <c r="AE75" s="14">
        <v>0.06</v>
      </c>
      <c r="AF75" s="14">
        <v>0</v>
      </c>
      <c r="AG75" s="14">
        <v>0</v>
      </c>
      <c r="AH75" s="15">
        <f t="shared" si="5"/>
        <v>1</v>
      </c>
    </row>
    <row r="76" spans="8:34" ht="30" x14ac:dyDescent="0.25">
      <c r="H76" s="2" t="str">
        <v>United_Kingdom</v>
      </c>
      <c r="I76" s="14">
        <v>0.18236123122249998</v>
      </c>
      <c r="J76" s="14">
        <v>2.497915301E-3</v>
      </c>
      <c r="K76" s="14">
        <v>0.70195969143350001</v>
      </c>
      <c r="L76" s="14">
        <v>6.25E-2</v>
      </c>
      <c r="M76" s="14">
        <v>5.0681162043499997E-2</v>
      </c>
      <c r="N76" s="14">
        <v>0</v>
      </c>
      <c r="O76" s="14">
        <v>0</v>
      </c>
      <c r="P76" s="15">
        <f t="shared" si="3"/>
        <v>1.0000000000005</v>
      </c>
      <c r="Q76" s="2" t="str">
        <v>United_Kingdom</v>
      </c>
      <c r="R76" s="14">
        <v>0.35499999999999998</v>
      </c>
      <c r="S76" s="14">
        <v>2E-3</v>
      </c>
      <c r="T76" s="14">
        <v>0.46799999999999997</v>
      </c>
      <c r="U76" s="14">
        <v>0.125</v>
      </c>
      <c r="V76" s="14">
        <v>0.05</v>
      </c>
      <c r="W76" s="14">
        <v>0</v>
      </c>
      <c r="X76" s="14">
        <v>0</v>
      </c>
      <c r="Y76" s="15">
        <f t="shared" si="4"/>
        <v>1</v>
      </c>
      <c r="Z76" s="2" t="str">
        <v>United_Kingdom</v>
      </c>
      <c r="AA76" s="14">
        <v>0.7</v>
      </c>
      <c r="AB76" s="14">
        <v>0</v>
      </c>
      <c r="AC76" s="14">
        <v>0</v>
      </c>
      <c r="AD76" s="14">
        <v>0.25</v>
      </c>
      <c r="AE76" s="14">
        <v>0.05</v>
      </c>
      <c r="AF76" s="14">
        <v>0</v>
      </c>
      <c r="AG76" s="14">
        <v>0</v>
      </c>
      <c r="AH76" s="15">
        <f t="shared" si="5"/>
        <v>1</v>
      </c>
    </row>
    <row r="84" spans="8:34" ht="30" x14ac:dyDescent="0.25">
      <c r="H84" s="2" t="s">
        <v>167</v>
      </c>
      <c r="I84" s="2" t="s">
        <v>159</v>
      </c>
      <c r="J84" s="2" t="s">
        <v>160</v>
      </c>
      <c r="K84" s="2" t="s">
        <v>161</v>
      </c>
      <c r="L84" s="2" t="s">
        <v>162</v>
      </c>
      <c r="M84" s="2" t="s">
        <v>187</v>
      </c>
      <c r="N84" s="2" t="s">
        <v>189</v>
      </c>
      <c r="O84" s="2" t="s">
        <v>188</v>
      </c>
      <c r="Q84" s="2" t="s">
        <v>168</v>
      </c>
      <c r="R84" s="2" t="s">
        <v>159</v>
      </c>
      <c r="S84" s="2" t="s">
        <v>160</v>
      </c>
      <c r="T84" s="2" t="s">
        <v>161</v>
      </c>
      <c r="U84" s="2" t="s">
        <v>162</v>
      </c>
      <c r="V84" s="2" t="s">
        <v>187</v>
      </c>
      <c r="W84" s="2" t="s">
        <v>189</v>
      </c>
      <c r="X84" s="2" t="s">
        <v>188</v>
      </c>
      <c r="Z84" s="2" t="s">
        <v>169</v>
      </c>
      <c r="AA84" s="2" t="s">
        <v>159</v>
      </c>
      <c r="AB84" s="2" t="s">
        <v>160</v>
      </c>
      <c r="AC84" s="2" t="s">
        <v>161</v>
      </c>
      <c r="AD84" s="2" t="s">
        <v>162</v>
      </c>
      <c r="AE84" s="2" t="s">
        <v>187</v>
      </c>
      <c r="AF84" s="2" t="s">
        <v>189</v>
      </c>
      <c r="AG84" s="2" t="s">
        <v>188</v>
      </c>
    </row>
    <row r="85" spans="8:34" x14ac:dyDescent="0.25">
      <c r="H85" s="2" t="str" cm="1">
        <f t="array" ref="H85:H114">countries</f>
        <v>Austria</v>
      </c>
      <c r="I85" s="14" cm="1">
        <f t="array" ref="I85:I114">INDEX(Truck_split_REF_2019_Electricity,MATCH(Country_abbreviations,Fleet_split_country_abbreviations,0))/100+(INDEX(Truck_split_GA_2040_Electricity,MATCH(Country_abbreviations,Fleet_split_country_abbreviations,0))/100-INDEX(Truck_split_REF_2019_Electricity,MATCH(Country_abbreviations,Fleet_split_country_abbreviations,0))/100)/2</f>
        <v>0.32500000000000001</v>
      </c>
      <c r="J85" s="14" cm="1">
        <f t="array" ref="J85:J114">INDEX(Truck_split_REF_2019_Gasoline,MATCH(Country_abbreviations,Fleet_split_country_abbreviations,0))/100+(INDEX(Truck_split_GA_2040_Gasoline,MATCH(Country_abbreviations,Fleet_split_country_abbreviations,0))/100-INDEX(Truck_split_REF_2019_Gasoline,MATCH(Country_abbreviations,Fleet_split_country_abbreviations,0))/100)/2</f>
        <v>5.4242164354999997E-3</v>
      </c>
      <c r="K85" s="14" cm="1">
        <f t="array" ref="K85:K114">INDEX(Truck_split_REF_2019_Diesel,MATCH(Country_abbreviations,Fleet_split_country_abbreviations,0))/100+(INDEX(Truck_split_GA_2040_Diesel,MATCH(Country_abbreviations,Fleet_split_country_abbreviations,0))/100-INDEX(Truck_split_REF_2019_Diesel,MATCH(Country_abbreviations,Fleet_split_country_abbreviations,0))/100)/2</f>
        <v>0.51948093498699999</v>
      </c>
      <c r="L85" s="14" cm="1">
        <f t="array" ref="L85:L114">INDEX(Truck_split_REF_2019_Hydrogen,MATCH(Country_abbreviations,Fleet_split_country_abbreviations,0))/100+(INDEX(Truck_split_GA_2040_Hydrogen,MATCH(Country_abbreviations,Fleet_split_country_abbreviations,0))/100-INDEX(Truck_split_REF_2019_Hydrogen,MATCH(Country_abbreviations,Fleet_split_country_abbreviations,0))/100)/2</f>
        <v>0.15</v>
      </c>
      <c r="M85" s="14" cm="1">
        <f t="array" ref="M85:M114">INDEX(Truck_split_REF_2019_CNG,MATCH(Country_abbreviations,Fleet_split_country_abbreviations,0))/100+(INDEX(Truck_split_GA_2040_CNG,MATCH(Country_abbreviations,Fleet_split_country_abbreviations,0))/100-INDEX(Truck_split_REF_2019_CNG,MATCH(Country_abbreviations,Fleet_split_country_abbreviations,0))/100)/2</f>
        <v>9.4848578500000003E-5</v>
      </c>
      <c r="N85" s="14" cm="1">
        <f t="array" ref="N85:N114">INDEX(Truck_split_REF_2019_LNG,MATCH(Country_abbreviations,Fleet_split_country_abbreviations,0))/100+(INDEX(Truck_split_GA_2040_LNG,MATCH(Country_abbreviations,Fleet_split_country_abbreviations,0))/100-INDEX(Truck_split_REF_2019_LNG,MATCH(Country_abbreviations,Fleet_split_country_abbreviations,0))/100)/2</f>
        <v>0</v>
      </c>
      <c r="O85" s="14">
        <v>0</v>
      </c>
      <c r="P85" s="15">
        <f>SUM(I85:O85)</f>
        <v>1.0000000000010001</v>
      </c>
      <c r="Q85" s="2" t="str" cm="1">
        <f t="array" ref="Q85:Q114">countries</f>
        <v>Austria</v>
      </c>
      <c r="R85" s="14" cm="1">
        <f t="array" ref="R85:R114">INDEX(Truck_split_GA_2040_Electricity,MATCH(Country_abbreviations,Fleet_split_country_abbreviations,0))/100</f>
        <v>0.65</v>
      </c>
      <c r="S85" s="14" cm="1">
        <f t="array" ref="S85:S114">INDEX(Truck_split_GA_2040_Gasoline,MATCH(Country_abbreviations,Fleet_split_country_abbreviations,0))/100</f>
        <v>0</v>
      </c>
      <c r="T85" s="14" cm="1">
        <f t="array" ref="T85:T114">INDEX(Truck_split_GA_2040_Diesel,MATCH(Country_abbreviations,Fleet_split_country_abbreviations,0))/100</f>
        <v>0.05</v>
      </c>
      <c r="U85" s="14" cm="1">
        <f t="array" ref="U85:U114">INDEX(Truck_split_GA_2040_Hydrogen,MATCH(Country_abbreviations,Fleet_split_country_abbreviations,0))/100</f>
        <v>0.3</v>
      </c>
      <c r="V85" s="14" cm="1">
        <f t="array" ref="V85:V114">INDEX(Truck_split_GA_2040_CNG,MATCH(Country_abbreviations,Fleet_split_country_abbreviations,0))/100</f>
        <v>0</v>
      </c>
      <c r="W85" s="14" cm="1">
        <f t="array" ref="W85:W114">INDEX(Truck_split_GA_2040_LNG,MATCH(Country_abbreviations,Fleet_split_country_abbreviations,0))/100</f>
        <v>0</v>
      </c>
      <c r="X85" s="14">
        <v>0</v>
      </c>
      <c r="Y85" s="15">
        <f>SUM(R85:X85)</f>
        <v>1</v>
      </c>
      <c r="Z85" s="2" t="str" cm="1">
        <f t="array" ref="Z85:Z114">countries</f>
        <v>Austria</v>
      </c>
      <c r="AA85" s="14" cm="1">
        <f t="array" ref="AA85:AA114">INDEX(Truck_split_GA_2050_Electricity,MATCH(Country_abbreviations,Fleet_split_country_abbreviations,0))/100</f>
        <v>0.7</v>
      </c>
      <c r="AB85" s="14" cm="1">
        <f t="array" ref="AB85:AB114">INDEX(Truck_split_GA_2050_Gasoline,MATCH(Country_abbreviations,Fleet_split_country_abbreviations,0))/100</f>
        <v>0</v>
      </c>
      <c r="AC85" s="14" cm="1">
        <f t="array" ref="AC85:AC114">INDEX(Truck_split_GA_2050_Diesel,MATCH(Country_abbreviations,Fleet_split_country_abbreviations,0))/100</f>
        <v>0</v>
      </c>
      <c r="AD85" s="14" cm="1">
        <f t="array" ref="AD85:AD114">INDEX(Truck_split_GA_2050_Hydrogen,MATCH(Country_abbreviations,Fleet_split_country_abbreviations,0))/100</f>
        <v>0.3</v>
      </c>
      <c r="AE85" s="14" cm="1">
        <f t="array" ref="AE85:AE114">INDEX(Truck_split_GA_2050_CNG,MATCH(Country_abbreviations,Fleet_split_country_abbreviations,0))/100</f>
        <v>0</v>
      </c>
      <c r="AF85" s="14" cm="1">
        <f t="array" ref="AF85:AF114">INDEX(Truck_split_GA_2050_LNG,MATCH(Country_abbreviations,Fleet_split_country_abbreviations,0))/100</f>
        <v>0</v>
      </c>
      <c r="AG85" s="14">
        <v>0</v>
      </c>
      <c r="AH85" s="15">
        <f>SUM(AA85:AG85)</f>
        <v>1</v>
      </c>
    </row>
    <row r="86" spans="8:34" x14ac:dyDescent="0.25">
      <c r="H86" s="2" t="str">
        <v>Belgium</v>
      </c>
      <c r="I86" s="14">
        <v>0.14349999999999999</v>
      </c>
      <c r="J86" s="14">
        <v>1.4934463597499999E-2</v>
      </c>
      <c r="K86" s="14">
        <v>0.67465854591950003</v>
      </c>
      <c r="L86" s="14">
        <v>0.115</v>
      </c>
      <c r="M86" s="14">
        <v>1.9069904839999999E-3</v>
      </c>
      <c r="N86" s="14">
        <v>0.05</v>
      </c>
      <c r="O86" s="14">
        <v>0</v>
      </c>
      <c r="P86" s="15">
        <f t="shared" ref="P86:P114" si="6">SUM(I86:O86)</f>
        <v>1.0000000000010001</v>
      </c>
      <c r="Q86" s="2" t="str">
        <v>Belgium</v>
      </c>
      <c r="R86" s="14">
        <v>0.28699999999999998</v>
      </c>
      <c r="S86" s="14">
        <v>0.01</v>
      </c>
      <c r="T86" s="14">
        <v>0.37</v>
      </c>
      <c r="U86" s="14">
        <v>0.23</v>
      </c>
      <c r="V86" s="14">
        <v>3.0000000000000001E-3</v>
      </c>
      <c r="W86" s="14">
        <v>0.1</v>
      </c>
      <c r="X86" s="14">
        <v>0</v>
      </c>
      <c r="Y86" s="15">
        <f t="shared" ref="Y86:Y114" si="7">SUM(R86:X86)</f>
        <v>1</v>
      </c>
      <c r="Z86" s="2" t="str">
        <v>Belgium</v>
      </c>
      <c r="AA86" s="14">
        <v>0.45</v>
      </c>
      <c r="AB86" s="14">
        <v>0</v>
      </c>
      <c r="AC86" s="14">
        <v>0</v>
      </c>
      <c r="AD86" s="14">
        <v>0.4</v>
      </c>
      <c r="AE86" s="14">
        <v>0</v>
      </c>
      <c r="AF86" s="14">
        <v>0.15</v>
      </c>
      <c r="AG86" s="14">
        <v>0</v>
      </c>
      <c r="AH86" s="15">
        <f t="shared" ref="AH86:AH114" si="8">SUM(AA86:AG86)</f>
        <v>1</v>
      </c>
    </row>
    <row r="87" spans="8:34" x14ac:dyDescent="0.25">
      <c r="H87" s="2" t="str">
        <v>Bulgaria</v>
      </c>
      <c r="I87" s="14">
        <v>2.5000000000000001E-2</v>
      </c>
      <c r="J87" s="14">
        <v>1.1601134139E-2</v>
      </c>
      <c r="K87" s="14">
        <v>0.75585668035050002</v>
      </c>
      <c r="L87" s="14">
        <v>0.155</v>
      </c>
      <c r="M87" s="14">
        <v>5.2542185510999997E-2</v>
      </c>
      <c r="N87" s="14">
        <v>0</v>
      </c>
      <c r="O87" s="14">
        <v>0</v>
      </c>
      <c r="P87" s="15">
        <f t="shared" si="6"/>
        <v>1.0000000000005</v>
      </c>
      <c r="Q87" s="2" t="str">
        <v>Bulgaria</v>
      </c>
      <c r="R87" s="14">
        <v>0.05</v>
      </c>
      <c r="S87" s="14">
        <v>0</v>
      </c>
      <c r="T87" s="14">
        <v>0.53500000000000003</v>
      </c>
      <c r="U87" s="14">
        <v>0.31</v>
      </c>
      <c r="V87" s="14">
        <v>0.105</v>
      </c>
      <c r="W87" s="14">
        <v>0</v>
      </c>
      <c r="X87" s="14">
        <v>0</v>
      </c>
      <c r="Y87" s="15">
        <f t="shared" si="7"/>
        <v>1</v>
      </c>
      <c r="Z87" s="2" t="str">
        <v>Bulgaria</v>
      </c>
      <c r="AA87" s="14">
        <v>0.1</v>
      </c>
      <c r="AB87" s="14">
        <v>0</v>
      </c>
      <c r="AC87" s="14">
        <v>0.28000000000000003</v>
      </c>
      <c r="AD87" s="14">
        <v>0.46</v>
      </c>
      <c r="AE87" s="14">
        <v>0.16</v>
      </c>
      <c r="AF87" s="14">
        <v>0</v>
      </c>
      <c r="AG87" s="14">
        <v>0</v>
      </c>
      <c r="AH87" s="15">
        <f t="shared" si="8"/>
        <v>1</v>
      </c>
    </row>
    <row r="88" spans="8:34" x14ac:dyDescent="0.25">
      <c r="H88" s="2" t="str">
        <v>Croatia</v>
      </c>
      <c r="I88" s="14">
        <v>0</v>
      </c>
      <c r="J88" s="14">
        <v>4.6756769955000003E-3</v>
      </c>
      <c r="K88" s="14">
        <v>0.95030328480000004</v>
      </c>
      <c r="L88" s="14">
        <v>3.5000000000000003E-2</v>
      </c>
      <c r="M88" s="14">
        <v>1.0021038204999999E-2</v>
      </c>
      <c r="N88" s="14">
        <v>0</v>
      </c>
      <c r="O88" s="14">
        <v>0</v>
      </c>
      <c r="P88" s="15">
        <f t="shared" si="6"/>
        <v>1.0000000000005</v>
      </c>
      <c r="Q88" s="2" t="str">
        <v>Croatia</v>
      </c>
      <c r="R88" s="14">
        <v>0</v>
      </c>
      <c r="S88" s="14">
        <v>0</v>
      </c>
      <c r="T88" s="14">
        <v>0.91</v>
      </c>
      <c r="U88" s="14">
        <v>7.0000000000000007E-2</v>
      </c>
      <c r="V88" s="14">
        <v>0.02</v>
      </c>
      <c r="W88" s="14">
        <v>0</v>
      </c>
      <c r="X88" s="14">
        <v>0</v>
      </c>
      <c r="Y88" s="15">
        <f t="shared" si="7"/>
        <v>1</v>
      </c>
      <c r="Z88" s="2" t="str">
        <v>Croatia</v>
      </c>
      <c r="AA88" s="14">
        <v>0</v>
      </c>
      <c r="AB88" s="14">
        <v>0</v>
      </c>
      <c r="AC88" s="14">
        <v>0.39500000000000002</v>
      </c>
      <c r="AD88" s="14">
        <v>0.15</v>
      </c>
      <c r="AE88" s="14">
        <v>0.45500000000000002</v>
      </c>
      <c r="AF88" s="14">
        <v>0</v>
      </c>
      <c r="AG88" s="14">
        <v>0</v>
      </c>
      <c r="AH88" s="15">
        <f t="shared" si="8"/>
        <v>1</v>
      </c>
    </row>
    <row r="89" spans="8:34" x14ac:dyDescent="0.25">
      <c r="H89" s="2" t="str">
        <v>Cyprus</v>
      </c>
      <c r="I89" s="14">
        <v>2.5000000000000001E-2</v>
      </c>
      <c r="J89" s="14">
        <v>7.06872549425E-2</v>
      </c>
      <c r="K89" s="14">
        <v>0.69681274505799995</v>
      </c>
      <c r="L89" s="14">
        <v>0.155</v>
      </c>
      <c r="M89" s="14">
        <v>5.2499999999999998E-2</v>
      </c>
      <c r="N89" s="14">
        <v>0</v>
      </c>
      <c r="O89" s="14">
        <v>0</v>
      </c>
      <c r="P89" s="15">
        <f t="shared" si="6"/>
        <v>1.0000000000005</v>
      </c>
      <c r="Q89" s="2" t="str">
        <v>Cyprus</v>
      </c>
      <c r="R89" s="14">
        <v>0.05</v>
      </c>
      <c r="S89" s="14">
        <v>0</v>
      </c>
      <c r="T89" s="14">
        <v>0.53500000000000003</v>
      </c>
      <c r="U89" s="14">
        <v>0.31</v>
      </c>
      <c r="V89" s="14">
        <v>0.105</v>
      </c>
      <c r="W89" s="14">
        <v>0</v>
      </c>
      <c r="X89" s="14">
        <v>0</v>
      </c>
      <c r="Y89" s="15">
        <f t="shared" si="7"/>
        <v>1</v>
      </c>
      <c r="Z89" s="2" t="str">
        <v>Cyprus</v>
      </c>
      <c r="AA89" s="14">
        <v>0.1</v>
      </c>
      <c r="AB89" s="14">
        <v>0</v>
      </c>
      <c r="AC89" s="14">
        <v>0.28000000000000003</v>
      </c>
      <c r="AD89" s="14">
        <v>0.46</v>
      </c>
      <c r="AE89" s="14">
        <v>0.16</v>
      </c>
      <c r="AF89" s="14">
        <v>0</v>
      </c>
      <c r="AG89" s="14">
        <v>0</v>
      </c>
      <c r="AH89" s="15">
        <f t="shared" si="8"/>
        <v>1</v>
      </c>
    </row>
    <row r="90" spans="8:34" x14ac:dyDescent="0.25">
      <c r="H90" s="2" t="str">
        <v>Czechia</v>
      </c>
      <c r="I90" s="14">
        <v>2.5000000000000001E-2</v>
      </c>
      <c r="J90" s="14">
        <v>2.0248161498E-2</v>
      </c>
      <c r="K90" s="14">
        <v>0.78710319123749994</v>
      </c>
      <c r="L90" s="14">
        <v>8.5000000000000006E-2</v>
      </c>
      <c r="M90" s="14">
        <v>4.7648647265499999E-2</v>
      </c>
      <c r="N90" s="14">
        <v>3.5000000000000003E-2</v>
      </c>
      <c r="O90" s="14">
        <v>0</v>
      </c>
      <c r="P90" s="15">
        <f t="shared" si="6"/>
        <v>1.0000000000009999</v>
      </c>
      <c r="Q90" s="2" t="str">
        <v>Czechia</v>
      </c>
      <c r="R90" s="14">
        <v>0.05</v>
      </c>
      <c r="S90" s="14">
        <v>0</v>
      </c>
      <c r="T90" s="14">
        <v>0.61499999999999999</v>
      </c>
      <c r="U90" s="14">
        <v>0.17</v>
      </c>
      <c r="V90" s="14">
        <v>9.5000000000000001E-2</v>
      </c>
      <c r="W90" s="14">
        <v>7.0000000000000007E-2</v>
      </c>
      <c r="X90" s="14">
        <v>0</v>
      </c>
      <c r="Y90" s="15">
        <f t="shared" si="7"/>
        <v>1</v>
      </c>
      <c r="Z90" s="2" t="str">
        <v>Czechia</v>
      </c>
      <c r="AA90" s="14">
        <v>0.1</v>
      </c>
      <c r="AB90" s="14">
        <v>0</v>
      </c>
      <c r="AC90" s="14">
        <v>0.36</v>
      </c>
      <c r="AD90" s="14">
        <v>0.37</v>
      </c>
      <c r="AE90" s="14">
        <v>0.12</v>
      </c>
      <c r="AF90" s="14">
        <v>0.05</v>
      </c>
      <c r="AG90" s="14">
        <v>0</v>
      </c>
      <c r="AH90" s="15">
        <f t="shared" si="8"/>
        <v>1</v>
      </c>
    </row>
    <row r="91" spans="8:34" x14ac:dyDescent="0.25">
      <c r="H91" s="2" t="str">
        <v>Denmark</v>
      </c>
      <c r="I91" s="14">
        <v>2.5000000000000001E-2</v>
      </c>
      <c r="J91" s="14">
        <v>1.5925143425499999E-2</v>
      </c>
      <c r="K91" s="14">
        <v>0.79141593105999997</v>
      </c>
      <c r="L91" s="14">
        <v>8.5000000000000006E-2</v>
      </c>
      <c r="M91" s="14">
        <v>8.2658925514999995E-2</v>
      </c>
      <c r="N91" s="14">
        <v>0</v>
      </c>
      <c r="O91" s="14">
        <v>0</v>
      </c>
      <c r="P91" s="15">
        <f t="shared" si="6"/>
        <v>1.0000000000005</v>
      </c>
      <c r="Q91" s="2" t="str">
        <v>Denmark</v>
      </c>
      <c r="R91" s="14">
        <v>0.05</v>
      </c>
      <c r="S91" s="14">
        <v>0</v>
      </c>
      <c r="T91" s="14">
        <v>0.61499999999999999</v>
      </c>
      <c r="U91" s="14">
        <v>0.17</v>
      </c>
      <c r="V91" s="14">
        <v>0.16500000000000001</v>
      </c>
      <c r="W91" s="14">
        <v>0</v>
      </c>
      <c r="X91" s="14">
        <v>0</v>
      </c>
      <c r="Y91" s="15">
        <f t="shared" si="7"/>
        <v>1</v>
      </c>
      <c r="Z91" s="2" t="str">
        <v>Denmark</v>
      </c>
      <c r="AA91" s="14">
        <v>0</v>
      </c>
      <c r="AB91" s="14">
        <v>0</v>
      </c>
      <c r="AC91" s="14">
        <v>0</v>
      </c>
      <c r="AD91" s="14">
        <v>0.70044444400000005</v>
      </c>
      <c r="AE91" s="14">
        <v>0.299555556</v>
      </c>
      <c r="AF91" s="14">
        <v>0</v>
      </c>
      <c r="AG91" s="14">
        <v>0</v>
      </c>
      <c r="AH91" s="15">
        <f t="shared" si="8"/>
        <v>1</v>
      </c>
    </row>
    <row r="92" spans="8:34" x14ac:dyDescent="0.25">
      <c r="H92" s="2" t="str">
        <v>Estonia</v>
      </c>
      <c r="I92" s="14">
        <v>6.5000000000000002E-2</v>
      </c>
      <c r="J92" s="14">
        <v>5.0295996294499996E-2</v>
      </c>
      <c r="K92" s="14">
        <v>0.72470400370599997</v>
      </c>
      <c r="L92" s="14">
        <v>7.4999999999999997E-2</v>
      </c>
      <c r="M92" s="14">
        <v>0.04</v>
      </c>
      <c r="N92" s="14">
        <v>4.4999999999999998E-2</v>
      </c>
      <c r="O92" s="14">
        <v>0</v>
      </c>
      <c r="P92" s="15">
        <f t="shared" si="6"/>
        <v>1.0000000000004998</v>
      </c>
      <c r="Q92" s="2" t="str">
        <v>Estonia</v>
      </c>
      <c r="R92" s="14">
        <v>0.13</v>
      </c>
      <c r="S92" s="14">
        <v>0</v>
      </c>
      <c r="T92" s="14">
        <v>0.55000000000000004</v>
      </c>
      <c r="U92" s="14">
        <v>0.15</v>
      </c>
      <c r="V92" s="14">
        <v>0.08</v>
      </c>
      <c r="W92" s="14">
        <v>0.09</v>
      </c>
      <c r="X92" s="14">
        <v>0</v>
      </c>
      <c r="Y92" s="15">
        <f t="shared" si="7"/>
        <v>1</v>
      </c>
      <c r="Z92" s="2" t="str">
        <v>Estonia</v>
      </c>
      <c r="AA92" s="14">
        <v>0.32</v>
      </c>
      <c r="AB92" s="14">
        <v>0</v>
      </c>
      <c r="AC92" s="14">
        <v>0.2</v>
      </c>
      <c r="AD92" s="14">
        <v>0.4</v>
      </c>
      <c r="AE92" s="14">
        <v>0.04</v>
      </c>
      <c r="AF92" s="14">
        <v>0.04</v>
      </c>
      <c r="AG92" s="14">
        <v>0</v>
      </c>
      <c r="AH92" s="15">
        <f t="shared" si="8"/>
        <v>1</v>
      </c>
    </row>
    <row r="93" spans="8:34" x14ac:dyDescent="0.25">
      <c r="H93" s="2" t="str">
        <v>Finland</v>
      </c>
      <c r="I93" s="14">
        <v>0</v>
      </c>
      <c r="J93" s="14">
        <v>1.36237321845E-2</v>
      </c>
      <c r="K93" s="14">
        <v>0.68528034546500005</v>
      </c>
      <c r="L93" s="14">
        <v>0.14814814800000001</v>
      </c>
      <c r="M93" s="14">
        <v>7.8873699850999998E-2</v>
      </c>
      <c r="N93" s="14">
        <v>7.4074074500000003E-2</v>
      </c>
      <c r="O93" s="14">
        <v>0</v>
      </c>
      <c r="P93" s="15">
        <f t="shared" si="6"/>
        <v>1.0000000000005</v>
      </c>
      <c r="Q93" s="2" t="str">
        <v>Finland</v>
      </c>
      <c r="R93" s="14">
        <v>0</v>
      </c>
      <c r="S93" s="14">
        <v>0</v>
      </c>
      <c r="T93" s="14">
        <v>0.39814814799999998</v>
      </c>
      <c r="U93" s="14">
        <v>0.29629629600000001</v>
      </c>
      <c r="V93" s="14">
        <v>0.157407407</v>
      </c>
      <c r="W93" s="14">
        <v>0.14814814900000001</v>
      </c>
      <c r="X93" s="14">
        <v>0</v>
      </c>
      <c r="Y93" s="15">
        <f t="shared" si="7"/>
        <v>1</v>
      </c>
      <c r="Z93" s="2" t="str">
        <v>Finland</v>
      </c>
      <c r="AA93" s="14">
        <v>2.7777777999999999E-2</v>
      </c>
      <c r="AB93" s="14">
        <v>0</v>
      </c>
      <c r="AC93" s="14">
        <v>0</v>
      </c>
      <c r="AD93" s="14">
        <v>0.50925925900000002</v>
      </c>
      <c r="AE93" s="14">
        <v>0.25</v>
      </c>
      <c r="AF93" s="14">
        <v>0.21296296300100001</v>
      </c>
      <c r="AG93" s="14">
        <v>0</v>
      </c>
      <c r="AH93" s="15">
        <f t="shared" si="8"/>
        <v>1.0000000000010001</v>
      </c>
    </row>
    <row r="94" spans="8:34" x14ac:dyDescent="0.25">
      <c r="H94" s="2" t="str">
        <v>France</v>
      </c>
      <c r="I94" s="14">
        <v>0.15000003166499998</v>
      </c>
      <c r="J94" s="14">
        <v>1.3891405411999999E-2</v>
      </c>
      <c r="K94" s="14">
        <v>0.66102168426749996</v>
      </c>
      <c r="L94" s="14">
        <v>0.05</v>
      </c>
      <c r="M94" s="14">
        <v>9.0086878656499988E-2</v>
      </c>
      <c r="N94" s="14">
        <v>3.5000000000000003E-2</v>
      </c>
      <c r="O94" s="14">
        <v>0</v>
      </c>
      <c r="P94" s="15">
        <f t="shared" si="6"/>
        <v>1.0000000000010001</v>
      </c>
      <c r="Q94" s="2" t="str">
        <v>France</v>
      </c>
      <c r="R94" s="14">
        <v>0.3</v>
      </c>
      <c r="S94" s="14">
        <v>0</v>
      </c>
      <c r="T94" s="14">
        <v>0.35</v>
      </c>
      <c r="U94" s="14">
        <v>0.1</v>
      </c>
      <c r="V94" s="14">
        <v>0.18</v>
      </c>
      <c r="W94" s="14">
        <v>7.0000000000000007E-2</v>
      </c>
      <c r="X94" s="14">
        <v>0</v>
      </c>
      <c r="Y94" s="15">
        <f t="shared" si="7"/>
        <v>1</v>
      </c>
      <c r="Z94" s="2" t="str">
        <v>France</v>
      </c>
      <c r="AA94" s="14">
        <v>0.47</v>
      </c>
      <c r="AB94" s="14">
        <v>0</v>
      </c>
      <c r="AC94" s="14">
        <v>0.03</v>
      </c>
      <c r="AD94" s="14">
        <v>0.15</v>
      </c>
      <c r="AE94" s="14">
        <v>0.23</v>
      </c>
      <c r="AF94" s="14">
        <v>0.12</v>
      </c>
      <c r="AG94" s="14">
        <v>0</v>
      </c>
      <c r="AH94" s="15">
        <f t="shared" si="8"/>
        <v>1</v>
      </c>
    </row>
    <row r="95" spans="8:34" x14ac:dyDescent="0.25">
      <c r="H95" s="2" t="str">
        <v>Germany</v>
      </c>
      <c r="I95" s="14">
        <v>0.20000009205050001</v>
      </c>
      <c r="J95" s="14">
        <v>4.7527787615000002E-3</v>
      </c>
      <c r="K95" s="14">
        <v>0.49517673549699998</v>
      </c>
      <c r="L95" s="14">
        <v>0.1</v>
      </c>
      <c r="M95" s="14">
        <v>7.0393692000000001E-5</v>
      </c>
      <c r="N95" s="14">
        <v>0.2</v>
      </c>
      <c r="O95" s="14">
        <v>0</v>
      </c>
      <c r="P95" s="15">
        <f t="shared" si="6"/>
        <v>1.0000000000009999</v>
      </c>
      <c r="Q95" s="2" t="str">
        <v>Germany</v>
      </c>
      <c r="R95" s="14">
        <v>0.4</v>
      </c>
      <c r="S95" s="14">
        <v>0</v>
      </c>
      <c r="T95" s="14">
        <v>0</v>
      </c>
      <c r="U95" s="14">
        <v>0.2</v>
      </c>
      <c r="V95" s="14">
        <v>0</v>
      </c>
      <c r="W95" s="14">
        <v>0.4</v>
      </c>
      <c r="X95" s="14">
        <v>0</v>
      </c>
      <c r="Y95" s="15">
        <f t="shared" si="7"/>
        <v>1</v>
      </c>
      <c r="Z95" s="2" t="str">
        <v>Germany</v>
      </c>
      <c r="AA95" s="14">
        <v>0.5</v>
      </c>
      <c r="AB95" s="14">
        <v>0</v>
      </c>
      <c r="AC95" s="14">
        <v>0</v>
      </c>
      <c r="AD95" s="14">
        <v>0.48</v>
      </c>
      <c r="AE95" s="14">
        <v>0</v>
      </c>
      <c r="AF95" s="14">
        <v>0.02</v>
      </c>
      <c r="AG95" s="14">
        <v>0</v>
      </c>
      <c r="AH95" s="15">
        <f t="shared" si="8"/>
        <v>1</v>
      </c>
    </row>
    <row r="96" spans="8:34" x14ac:dyDescent="0.25">
      <c r="H96" s="2" t="str">
        <v>Greece</v>
      </c>
      <c r="I96" s="14">
        <v>1.8518518500000001E-2</v>
      </c>
      <c r="J96" s="14">
        <v>0.1085338721105</v>
      </c>
      <c r="K96" s="14">
        <v>0.48398393481649998</v>
      </c>
      <c r="L96" s="14">
        <v>0.17592592600000001</v>
      </c>
      <c r="M96" s="14">
        <v>0.21303774857400001</v>
      </c>
      <c r="N96" s="14">
        <v>0</v>
      </c>
      <c r="O96" s="14">
        <v>0</v>
      </c>
      <c r="P96" s="15">
        <f t="shared" si="6"/>
        <v>1.0000000000009999</v>
      </c>
      <c r="Q96" s="2" t="str">
        <v>Greece</v>
      </c>
      <c r="R96" s="14">
        <v>3.7037037000000002E-2</v>
      </c>
      <c r="S96" s="14">
        <v>0</v>
      </c>
      <c r="T96" s="14">
        <v>0.185185185</v>
      </c>
      <c r="U96" s="14">
        <v>0.35185185200000002</v>
      </c>
      <c r="V96" s="14">
        <v>0.42592592600099999</v>
      </c>
      <c r="W96" s="14">
        <v>0</v>
      </c>
      <c r="X96" s="14">
        <v>0</v>
      </c>
      <c r="Y96" s="15">
        <f t="shared" si="7"/>
        <v>1.0000000000010001</v>
      </c>
      <c r="Z96" s="2" t="str">
        <v>Greece</v>
      </c>
      <c r="AA96" s="14">
        <v>7.4074074000000004E-2</v>
      </c>
      <c r="AB96" s="14">
        <v>0</v>
      </c>
      <c r="AC96" s="14">
        <v>0</v>
      </c>
      <c r="AD96" s="14">
        <v>0.87037036999999995</v>
      </c>
      <c r="AE96" s="14">
        <v>5.5555555999999999E-2</v>
      </c>
      <c r="AF96" s="14">
        <v>0</v>
      </c>
      <c r="AG96" s="14">
        <v>0</v>
      </c>
      <c r="AH96" s="15">
        <f t="shared" si="8"/>
        <v>0.99999999999999989</v>
      </c>
    </row>
    <row r="97" spans="8:34" x14ac:dyDescent="0.25">
      <c r="H97" s="2" t="str">
        <v>Hungary</v>
      </c>
      <c r="I97" s="14">
        <v>2.5000000000000001E-2</v>
      </c>
      <c r="J97" s="14">
        <v>9.4700910504999999E-3</v>
      </c>
      <c r="K97" s="14">
        <v>0.7578585126520001</v>
      </c>
      <c r="L97" s="14">
        <v>0.155</v>
      </c>
      <c r="M97" s="14">
        <v>5.2671396298000002E-2</v>
      </c>
      <c r="N97" s="14">
        <v>0</v>
      </c>
      <c r="O97" s="14">
        <v>0</v>
      </c>
      <c r="P97" s="15">
        <f t="shared" si="6"/>
        <v>1.0000000000005003</v>
      </c>
      <c r="Q97" s="2" t="str">
        <v>Hungary</v>
      </c>
      <c r="R97" s="14">
        <v>0.05</v>
      </c>
      <c r="S97" s="14">
        <v>0</v>
      </c>
      <c r="T97" s="14">
        <v>0.53500000000000003</v>
      </c>
      <c r="U97" s="14">
        <v>0.31</v>
      </c>
      <c r="V97" s="14">
        <v>0.105</v>
      </c>
      <c r="W97" s="14">
        <v>0</v>
      </c>
      <c r="X97" s="14">
        <v>0</v>
      </c>
      <c r="Y97" s="15">
        <f t="shared" si="7"/>
        <v>1</v>
      </c>
      <c r="Z97" s="2" t="str">
        <v>Hungary</v>
      </c>
      <c r="AA97" s="14">
        <v>0.1</v>
      </c>
      <c r="AB97" s="14">
        <v>0</v>
      </c>
      <c r="AC97" s="14">
        <v>0.28000000000000003</v>
      </c>
      <c r="AD97" s="14">
        <v>0.46</v>
      </c>
      <c r="AE97" s="14">
        <v>0.16</v>
      </c>
      <c r="AF97" s="14">
        <v>0</v>
      </c>
      <c r="AG97" s="14">
        <v>0</v>
      </c>
      <c r="AH97" s="15">
        <f t="shared" si="8"/>
        <v>1</v>
      </c>
    </row>
    <row r="98" spans="8:34" x14ac:dyDescent="0.25">
      <c r="H98" s="2" t="str">
        <v>Ireland</v>
      </c>
      <c r="I98" s="14">
        <v>5.5E-2</v>
      </c>
      <c r="J98" s="14">
        <v>2.5099648249999999E-4</v>
      </c>
      <c r="K98" s="14">
        <v>0.64974900351800002</v>
      </c>
      <c r="L98" s="14">
        <v>0.22</v>
      </c>
      <c r="M98" s="14">
        <v>0</v>
      </c>
      <c r="N98" s="14">
        <v>7.4999999999999997E-2</v>
      </c>
      <c r="O98" s="14">
        <v>0</v>
      </c>
      <c r="P98" s="15">
        <f t="shared" si="6"/>
        <v>1.0000000000005</v>
      </c>
      <c r="Q98" s="2" t="str">
        <v>Ireland</v>
      </c>
      <c r="R98" s="14">
        <v>0.11</v>
      </c>
      <c r="S98" s="14">
        <v>0</v>
      </c>
      <c r="T98" s="14">
        <v>0.3</v>
      </c>
      <c r="U98" s="14">
        <v>0.44</v>
      </c>
      <c r="V98" s="14">
        <v>0</v>
      </c>
      <c r="W98" s="14">
        <v>0.15</v>
      </c>
      <c r="X98" s="14">
        <v>0</v>
      </c>
      <c r="Y98" s="15">
        <f t="shared" si="7"/>
        <v>1</v>
      </c>
      <c r="Z98" s="2" t="str">
        <v>Ireland</v>
      </c>
      <c r="AA98" s="14">
        <v>0.3</v>
      </c>
      <c r="AB98" s="14">
        <v>0</v>
      </c>
      <c r="AC98" s="14">
        <v>0</v>
      </c>
      <c r="AD98" s="14">
        <v>0.55000000000000004</v>
      </c>
      <c r="AE98" s="14">
        <v>0</v>
      </c>
      <c r="AF98" s="14">
        <v>0.15</v>
      </c>
      <c r="AG98" s="14">
        <v>0</v>
      </c>
      <c r="AH98" s="15">
        <f t="shared" si="8"/>
        <v>1</v>
      </c>
    </row>
    <row r="99" spans="8:34" x14ac:dyDescent="0.25">
      <c r="H99" s="2" t="str">
        <v>Italy</v>
      </c>
      <c r="I99" s="14">
        <v>0.06</v>
      </c>
      <c r="J99" s="14">
        <v>1.6518357749499998E-2</v>
      </c>
      <c r="K99" s="14">
        <v>0.57843274704199998</v>
      </c>
      <c r="L99" s="14">
        <v>0.105</v>
      </c>
      <c r="M99" s="14">
        <v>4.889521E-5</v>
      </c>
      <c r="N99" s="14">
        <v>0.24</v>
      </c>
      <c r="O99" s="14">
        <v>0</v>
      </c>
      <c r="P99" s="15">
        <f t="shared" si="6"/>
        <v>1.0000000000014999</v>
      </c>
      <c r="Q99" s="2" t="str">
        <v>Italy</v>
      </c>
      <c r="R99" s="14">
        <v>0.12</v>
      </c>
      <c r="S99" s="14">
        <v>0</v>
      </c>
      <c r="T99" s="14">
        <v>0.19</v>
      </c>
      <c r="U99" s="14">
        <v>0.21</v>
      </c>
      <c r="V99" s="14">
        <v>0</v>
      </c>
      <c r="W99" s="14">
        <v>0.48</v>
      </c>
      <c r="X99" s="14">
        <v>0</v>
      </c>
      <c r="Y99" s="15">
        <f t="shared" si="7"/>
        <v>1</v>
      </c>
      <c r="Z99" s="2" t="str">
        <v>Italy</v>
      </c>
      <c r="AA99" s="14">
        <v>0.27</v>
      </c>
      <c r="AB99" s="14">
        <v>0</v>
      </c>
      <c r="AC99" s="14">
        <v>0.05</v>
      </c>
      <c r="AD99" s="14">
        <v>0.35</v>
      </c>
      <c r="AE99" s="14">
        <v>0</v>
      </c>
      <c r="AF99" s="14">
        <v>0.33</v>
      </c>
      <c r="AG99" s="14">
        <v>0</v>
      </c>
      <c r="AH99" s="15">
        <f t="shared" si="8"/>
        <v>1</v>
      </c>
    </row>
    <row r="100" spans="8:34" x14ac:dyDescent="0.25">
      <c r="H100" s="2" t="str">
        <v>Latvia</v>
      </c>
      <c r="I100" s="14">
        <v>2.5000000000000001E-2</v>
      </c>
      <c r="J100" s="14">
        <v>3.2400330924999996E-3</v>
      </c>
      <c r="K100" s="14">
        <v>0.76425296697400003</v>
      </c>
      <c r="L100" s="14">
        <v>0.155</v>
      </c>
      <c r="M100" s="14">
        <v>5.2506999934499997E-2</v>
      </c>
      <c r="N100" s="14">
        <v>0</v>
      </c>
      <c r="O100" s="14">
        <v>0</v>
      </c>
      <c r="P100" s="15">
        <f t="shared" si="6"/>
        <v>1.0000000000010001</v>
      </c>
      <c r="Q100" s="2" t="str">
        <v>Latvia</v>
      </c>
      <c r="R100" s="14">
        <v>0.05</v>
      </c>
      <c r="S100" s="14">
        <v>0</v>
      </c>
      <c r="T100" s="14">
        <v>0.53500000000000003</v>
      </c>
      <c r="U100" s="14">
        <v>0.31</v>
      </c>
      <c r="V100" s="14">
        <v>0.105</v>
      </c>
      <c r="W100" s="14">
        <v>0</v>
      </c>
      <c r="X100" s="14">
        <v>0</v>
      </c>
      <c r="Y100" s="15">
        <f t="shared" si="7"/>
        <v>1</v>
      </c>
      <c r="Z100" s="2" t="str">
        <v>Latvia</v>
      </c>
      <c r="AA100" s="14">
        <v>0.1</v>
      </c>
      <c r="AB100" s="14">
        <v>0</v>
      </c>
      <c r="AC100" s="14">
        <v>0.28000000000000003</v>
      </c>
      <c r="AD100" s="14">
        <v>0.46</v>
      </c>
      <c r="AE100" s="14">
        <v>0.16</v>
      </c>
      <c r="AF100" s="14">
        <v>0</v>
      </c>
      <c r="AG100" s="14">
        <v>0</v>
      </c>
      <c r="AH100" s="15">
        <f t="shared" si="8"/>
        <v>1</v>
      </c>
    </row>
    <row r="101" spans="8:34" x14ac:dyDescent="0.25">
      <c r="H101" s="2" t="str">
        <v>Lithuania</v>
      </c>
      <c r="I101" s="14">
        <v>2.5000000000000001E-2</v>
      </c>
      <c r="J101" s="14">
        <v>2.3802757929999997E-3</v>
      </c>
      <c r="K101" s="14">
        <v>0.76511133509399998</v>
      </c>
      <c r="L101" s="14">
        <v>0.155</v>
      </c>
      <c r="M101" s="14">
        <v>5.2508389113499997E-2</v>
      </c>
      <c r="N101" s="14">
        <v>0</v>
      </c>
      <c r="O101" s="14">
        <v>0</v>
      </c>
      <c r="P101" s="15">
        <f t="shared" si="6"/>
        <v>1.0000000000005</v>
      </c>
      <c r="Q101" s="2" t="str">
        <v>Lithuania</v>
      </c>
      <c r="R101" s="14">
        <v>0.05</v>
      </c>
      <c r="S101" s="14">
        <v>0</v>
      </c>
      <c r="T101" s="14">
        <v>0.53500000000000003</v>
      </c>
      <c r="U101" s="14">
        <v>0.31</v>
      </c>
      <c r="V101" s="14">
        <v>0.105</v>
      </c>
      <c r="W101" s="14">
        <v>0</v>
      </c>
      <c r="X101" s="14">
        <v>0</v>
      </c>
      <c r="Y101" s="15">
        <f t="shared" si="7"/>
        <v>1</v>
      </c>
      <c r="Z101" s="2" t="str">
        <v>Lithuania</v>
      </c>
      <c r="AA101" s="14">
        <v>0.1</v>
      </c>
      <c r="AB101" s="14">
        <v>0</v>
      </c>
      <c r="AC101" s="14">
        <v>0.28000000000000003</v>
      </c>
      <c r="AD101" s="14">
        <v>0.46</v>
      </c>
      <c r="AE101" s="14">
        <v>0.16</v>
      </c>
      <c r="AF101" s="14">
        <v>0</v>
      </c>
      <c r="AG101" s="14">
        <v>0</v>
      </c>
      <c r="AH101" s="15">
        <f t="shared" si="8"/>
        <v>1</v>
      </c>
    </row>
    <row r="102" spans="8:34" x14ac:dyDescent="0.25">
      <c r="H102" s="2" t="str">
        <v>Luxembourg</v>
      </c>
      <c r="I102" s="14">
        <v>0.41499999999999998</v>
      </c>
      <c r="J102" s="14">
        <v>6.3395746149999999E-4</v>
      </c>
      <c r="K102" s="14">
        <v>0.54936604253900001</v>
      </c>
      <c r="L102" s="14">
        <v>3.5000000000000003E-2</v>
      </c>
      <c r="M102" s="14">
        <v>0</v>
      </c>
      <c r="N102" s="14">
        <v>0</v>
      </c>
      <c r="O102" s="14">
        <v>0</v>
      </c>
      <c r="P102" s="15">
        <f t="shared" si="6"/>
        <v>1.0000000000005</v>
      </c>
      <c r="Q102" s="2" t="str">
        <v>Luxembourg</v>
      </c>
      <c r="R102" s="14">
        <v>0.83</v>
      </c>
      <c r="S102" s="14">
        <v>0</v>
      </c>
      <c r="T102" s="14">
        <v>0.1</v>
      </c>
      <c r="U102" s="14">
        <v>7.0000000000000007E-2</v>
      </c>
      <c r="V102" s="14">
        <v>0</v>
      </c>
      <c r="W102" s="14">
        <v>0</v>
      </c>
      <c r="X102" s="14">
        <v>0</v>
      </c>
      <c r="Y102" s="15">
        <f t="shared" si="7"/>
        <v>1</v>
      </c>
      <c r="Z102" s="2" t="str">
        <v>Luxembourg</v>
      </c>
      <c r="AA102" s="14">
        <v>0.79629629599999996</v>
      </c>
      <c r="AB102" s="14">
        <v>0</v>
      </c>
      <c r="AC102" s="14">
        <v>0</v>
      </c>
      <c r="AD102" s="14">
        <v>0.20370370399999999</v>
      </c>
      <c r="AE102" s="14">
        <v>0</v>
      </c>
      <c r="AF102" s="14">
        <v>0</v>
      </c>
      <c r="AG102" s="14">
        <v>0</v>
      </c>
      <c r="AH102" s="15">
        <f t="shared" si="8"/>
        <v>1</v>
      </c>
    </row>
    <row r="103" spans="8:34" x14ac:dyDescent="0.25">
      <c r="H103" s="2" t="str">
        <v>Malta</v>
      </c>
      <c r="I103" s="14">
        <v>4.6500000000000007E-2</v>
      </c>
      <c r="J103" s="14">
        <v>3.9836660400000001E-2</v>
      </c>
      <c r="K103" s="14">
        <v>0.9071633396005</v>
      </c>
      <c r="L103" s="14">
        <v>0</v>
      </c>
      <c r="M103" s="14">
        <v>6.5000000000000006E-3</v>
      </c>
      <c r="N103" s="14">
        <v>0</v>
      </c>
      <c r="O103" s="14">
        <v>0</v>
      </c>
      <c r="P103" s="15">
        <f t="shared" si="6"/>
        <v>1.0000000000005</v>
      </c>
      <c r="Q103" s="2" t="str">
        <v>Malta</v>
      </c>
      <c r="R103" s="14">
        <v>9.3000000000000013E-2</v>
      </c>
      <c r="S103" s="14">
        <v>4.0000000000000001E-3</v>
      </c>
      <c r="T103" s="14">
        <v>0.89</v>
      </c>
      <c r="U103" s="14">
        <v>0</v>
      </c>
      <c r="V103" s="14">
        <v>1.3000000000000001E-2</v>
      </c>
      <c r="W103" s="14">
        <v>0</v>
      </c>
      <c r="X103" s="14">
        <v>0</v>
      </c>
      <c r="Y103" s="15">
        <f t="shared" si="7"/>
        <v>1</v>
      </c>
      <c r="Z103" s="2" t="str">
        <v>Malta</v>
      </c>
      <c r="AA103" s="14">
        <v>0.54</v>
      </c>
      <c r="AB103" s="14">
        <v>0</v>
      </c>
      <c r="AC103" s="14">
        <v>0.09</v>
      </c>
      <c r="AD103" s="14">
        <v>0.28999999999999998</v>
      </c>
      <c r="AE103" s="14">
        <v>0.08</v>
      </c>
      <c r="AF103" s="14">
        <v>0</v>
      </c>
      <c r="AG103" s="14">
        <v>0</v>
      </c>
      <c r="AH103" s="15">
        <f t="shared" si="8"/>
        <v>0.99999999999999989</v>
      </c>
    </row>
    <row r="104" spans="8:34" x14ac:dyDescent="0.25">
      <c r="H104" s="2" t="str">
        <v>Netherlands</v>
      </c>
      <c r="I104" s="14">
        <v>0.136855467033</v>
      </c>
      <c r="J104" s="14">
        <v>0</v>
      </c>
      <c r="K104" s="14">
        <v>0.66059453296750004</v>
      </c>
      <c r="L104" s="14">
        <v>0.20254999999999998</v>
      </c>
      <c r="M104" s="14">
        <v>0</v>
      </c>
      <c r="N104" s="14">
        <v>0</v>
      </c>
      <c r="O104" s="14">
        <v>0</v>
      </c>
      <c r="P104" s="15">
        <f t="shared" si="6"/>
        <v>1.0000000000005</v>
      </c>
      <c r="Q104" s="2" t="str">
        <v>Netherlands</v>
      </c>
      <c r="R104" s="14">
        <v>0.2727</v>
      </c>
      <c r="S104" s="14">
        <v>0</v>
      </c>
      <c r="T104" s="14">
        <v>0.32219999999999999</v>
      </c>
      <c r="U104" s="14">
        <v>0.40509999999999996</v>
      </c>
      <c r="V104" s="14">
        <v>0</v>
      </c>
      <c r="W104" s="14">
        <v>0</v>
      </c>
      <c r="X104" s="14">
        <v>0</v>
      </c>
      <c r="Y104" s="15">
        <f t="shared" si="7"/>
        <v>1</v>
      </c>
      <c r="Z104" s="2" t="str">
        <v>Netherlands</v>
      </c>
      <c r="AA104" s="14">
        <v>0.3</v>
      </c>
      <c r="AB104" s="14">
        <v>0</v>
      </c>
      <c r="AC104" s="14">
        <v>0.2</v>
      </c>
      <c r="AD104" s="14">
        <v>0.5</v>
      </c>
      <c r="AE104" s="14">
        <v>0</v>
      </c>
      <c r="AF104" s="14">
        <v>0</v>
      </c>
      <c r="AG104" s="14">
        <v>0</v>
      </c>
      <c r="AH104" s="15">
        <f t="shared" si="8"/>
        <v>1</v>
      </c>
    </row>
    <row r="105" spans="8:34" x14ac:dyDescent="0.25">
      <c r="H105" s="2" t="str">
        <v>Norway</v>
      </c>
      <c r="I105" s="14">
        <v>6.5000000000000002E-2</v>
      </c>
      <c r="J105" s="14">
        <v>1.4039172834E-2</v>
      </c>
      <c r="K105" s="14">
        <v>0.74592523401449995</v>
      </c>
      <c r="L105" s="14">
        <v>0.15</v>
      </c>
      <c r="M105" s="14">
        <v>2.5035593152000001E-2</v>
      </c>
      <c r="N105" s="14">
        <v>0</v>
      </c>
      <c r="O105" s="14">
        <v>0</v>
      </c>
      <c r="P105" s="15">
        <f t="shared" si="6"/>
        <v>1.0000000000005</v>
      </c>
      <c r="Q105" s="2" t="str">
        <v>Norway</v>
      </c>
      <c r="R105" s="14">
        <v>0.13</v>
      </c>
      <c r="S105" s="14">
        <v>0</v>
      </c>
      <c r="T105" s="14">
        <v>0.52</v>
      </c>
      <c r="U105" s="14">
        <v>0.3</v>
      </c>
      <c r="V105" s="14">
        <v>0.05</v>
      </c>
      <c r="W105" s="14">
        <v>0</v>
      </c>
      <c r="X105" s="14">
        <v>0</v>
      </c>
      <c r="Y105" s="15">
        <f t="shared" si="7"/>
        <v>1</v>
      </c>
      <c r="Z105" s="2" t="str">
        <v>Norway</v>
      </c>
      <c r="AA105" s="14">
        <v>0.09</v>
      </c>
      <c r="AB105" s="14">
        <v>0</v>
      </c>
      <c r="AC105" s="14">
        <v>0</v>
      </c>
      <c r="AD105" s="14">
        <v>0.8</v>
      </c>
      <c r="AE105" s="14">
        <v>0.11</v>
      </c>
      <c r="AF105" s="14">
        <v>0</v>
      </c>
      <c r="AG105" s="14">
        <v>0</v>
      </c>
      <c r="AH105" s="15">
        <f t="shared" si="8"/>
        <v>1</v>
      </c>
    </row>
    <row r="106" spans="8:34" x14ac:dyDescent="0.25">
      <c r="H106" s="2" t="str">
        <v>Poland</v>
      </c>
      <c r="I106" s="14">
        <v>1.7500035218500003E-2</v>
      </c>
      <c r="J106" s="14">
        <v>3.9520248312000003E-2</v>
      </c>
      <c r="K106" s="14">
        <v>0.7754260449425</v>
      </c>
      <c r="L106" s="14">
        <v>8.5000000000000006E-2</v>
      </c>
      <c r="M106" s="14">
        <v>8.2553671528000014E-2</v>
      </c>
      <c r="N106" s="14">
        <v>0</v>
      </c>
      <c r="O106" s="14">
        <v>0</v>
      </c>
      <c r="P106" s="15">
        <f t="shared" si="6"/>
        <v>1.0000000000010001</v>
      </c>
      <c r="Q106" s="2" t="str">
        <v>Poland</v>
      </c>
      <c r="R106" s="14">
        <v>3.5000000000000003E-2</v>
      </c>
      <c r="S106" s="14">
        <v>0</v>
      </c>
      <c r="T106" s="14">
        <v>0.63</v>
      </c>
      <c r="U106" s="14">
        <v>0.17</v>
      </c>
      <c r="V106" s="14">
        <v>0.16500000000000001</v>
      </c>
      <c r="W106" s="14">
        <v>0</v>
      </c>
      <c r="X106" s="14">
        <v>0</v>
      </c>
      <c r="Y106" s="15">
        <f t="shared" si="7"/>
        <v>1</v>
      </c>
      <c r="Z106" s="2" t="str">
        <v>Poland</v>
      </c>
      <c r="AA106" s="14">
        <v>0.09</v>
      </c>
      <c r="AB106" s="14">
        <v>0</v>
      </c>
      <c r="AC106" s="14">
        <v>0.36499999999999999</v>
      </c>
      <c r="AD106" s="14">
        <v>0.32500000000000001</v>
      </c>
      <c r="AE106" s="14">
        <v>0.22</v>
      </c>
      <c r="AF106" s="14">
        <v>0</v>
      </c>
      <c r="AG106" s="14">
        <v>0</v>
      </c>
      <c r="AH106" s="15">
        <f t="shared" si="8"/>
        <v>1</v>
      </c>
    </row>
    <row r="107" spans="8:34" x14ac:dyDescent="0.25">
      <c r="H107" s="2" t="str">
        <v>Portugal</v>
      </c>
      <c r="I107" s="14">
        <v>0.1</v>
      </c>
      <c r="J107" s="14">
        <v>4.3997116939999996E-3</v>
      </c>
      <c r="K107" s="14">
        <v>0.76057206952699996</v>
      </c>
      <c r="L107" s="14">
        <v>0.1</v>
      </c>
      <c r="M107" s="14">
        <v>3.5028218779499999E-2</v>
      </c>
      <c r="N107" s="14">
        <v>0</v>
      </c>
      <c r="O107" s="14">
        <v>0</v>
      </c>
      <c r="P107" s="15">
        <f t="shared" si="6"/>
        <v>1.0000000000004998</v>
      </c>
      <c r="Q107" s="2" t="str">
        <v>Portugal</v>
      </c>
      <c r="R107" s="14">
        <v>0.2</v>
      </c>
      <c r="S107" s="14">
        <v>0</v>
      </c>
      <c r="T107" s="14">
        <v>0.53</v>
      </c>
      <c r="U107" s="14">
        <v>0.2</v>
      </c>
      <c r="V107" s="14">
        <v>7.0000000000000007E-2</v>
      </c>
      <c r="W107" s="14">
        <v>0</v>
      </c>
      <c r="X107" s="14">
        <v>0</v>
      </c>
      <c r="Y107" s="15">
        <f t="shared" si="7"/>
        <v>1</v>
      </c>
      <c r="Z107" s="2" t="str">
        <v>Portugal</v>
      </c>
      <c r="AA107" s="14">
        <v>0.4</v>
      </c>
      <c r="AB107" s="14">
        <v>0</v>
      </c>
      <c r="AC107" s="14">
        <v>0</v>
      </c>
      <c r="AD107" s="14">
        <v>0.55000000000000004</v>
      </c>
      <c r="AE107" s="14">
        <v>0.05</v>
      </c>
      <c r="AF107" s="14">
        <v>0</v>
      </c>
      <c r="AG107" s="14">
        <v>0</v>
      </c>
      <c r="AH107" s="15">
        <f t="shared" si="8"/>
        <v>1</v>
      </c>
    </row>
    <row r="108" spans="8:34" x14ac:dyDescent="0.25">
      <c r="H108" s="2" t="str">
        <v>Romania</v>
      </c>
      <c r="I108" s="14">
        <v>2.5000000000000001E-2</v>
      </c>
      <c r="J108" s="14">
        <v>6.3835702206000003E-2</v>
      </c>
      <c r="K108" s="14">
        <v>0.70366429779450002</v>
      </c>
      <c r="L108" s="14">
        <v>0.155</v>
      </c>
      <c r="M108" s="14">
        <v>5.2499999999999998E-2</v>
      </c>
      <c r="N108" s="14">
        <v>0</v>
      </c>
      <c r="O108" s="14">
        <v>0</v>
      </c>
      <c r="P108" s="15">
        <f t="shared" si="6"/>
        <v>1.0000000000005</v>
      </c>
      <c r="Q108" s="2" t="str">
        <v>Romania</v>
      </c>
      <c r="R108" s="14">
        <v>0.05</v>
      </c>
      <c r="S108" s="14">
        <v>0</v>
      </c>
      <c r="T108" s="14">
        <v>0.53500000000000003</v>
      </c>
      <c r="U108" s="14">
        <v>0.31</v>
      </c>
      <c r="V108" s="14">
        <v>0.105</v>
      </c>
      <c r="W108" s="14">
        <v>0</v>
      </c>
      <c r="X108" s="14">
        <v>0</v>
      </c>
      <c r="Y108" s="15">
        <f t="shared" si="7"/>
        <v>1</v>
      </c>
      <c r="Z108" s="2" t="str">
        <v>Romania</v>
      </c>
      <c r="AA108" s="14">
        <v>0.1</v>
      </c>
      <c r="AB108" s="14">
        <v>0</v>
      </c>
      <c r="AC108" s="14">
        <v>0.28000000000000003</v>
      </c>
      <c r="AD108" s="14">
        <v>0.46</v>
      </c>
      <c r="AE108" s="14">
        <v>0.16</v>
      </c>
      <c r="AF108" s="14">
        <v>0</v>
      </c>
      <c r="AG108" s="14">
        <v>0</v>
      </c>
      <c r="AH108" s="15">
        <f t="shared" si="8"/>
        <v>1</v>
      </c>
    </row>
    <row r="109" spans="8:34" x14ac:dyDescent="0.25">
      <c r="H109" s="2" t="str">
        <v>Slovakia</v>
      </c>
      <c r="I109" s="14">
        <v>2.5000000000000001E-2</v>
      </c>
      <c r="J109" s="14">
        <v>3.0194523324000001E-2</v>
      </c>
      <c r="K109" s="14">
        <v>0.77730547667750005</v>
      </c>
      <c r="L109" s="14">
        <v>8.5000000000000006E-2</v>
      </c>
      <c r="M109" s="14">
        <v>8.2500000000000004E-2</v>
      </c>
      <c r="N109" s="14">
        <v>0</v>
      </c>
      <c r="O109" s="14">
        <v>0</v>
      </c>
      <c r="P109" s="15">
        <f t="shared" si="6"/>
        <v>1.0000000000014999</v>
      </c>
      <c r="Q109" s="2" t="str">
        <v>Slovakia</v>
      </c>
      <c r="R109" s="14">
        <v>0.05</v>
      </c>
      <c r="S109" s="14">
        <v>0</v>
      </c>
      <c r="T109" s="14">
        <v>0.61499999999999999</v>
      </c>
      <c r="U109" s="14">
        <v>0.17</v>
      </c>
      <c r="V109" s="14">
        <v>0.16500000000000001</v>
      </c>
      <c r="W109" s="14">
        <v>0</v>
      </c>
      <c r="X109" s="14">
        <v>0</v>
      </c>
      <c r="Y109" s="15">
        <f t="shared" si="7"/>
        <v>1</v>
      </c>
      <c r="Z109" s="2" t="str">
        <v>Slovakia</v>
      </c>
      <c r="AA109" s="14">
        <v>0.1</v>
      </c>
      <c r="AB109" s="14">
        <v>0</v>
      </c>
      <c r="AC109" s="14">
        <v>0.36</v>
      </c>
      <c r="AD109" s="14">
        <v>0.32</v>
      </c>
      <c r="AE109" s="14">
        <v>0.22</v>
      </c>
      <c r="AF109" s="14">
        <v>0</v>
      </c>
      <c r="AG109" s="14">
        <v>0</v>
      </c>
      <c r="AH109" s="15">
        <f t="shared" si="8"/>
        <v>1</v>
      </c>
    </row>
    <row r="110" spans="8:34" x14ac:dyDescent="0.25">
      <c r="H110" s="2" t="str">
        <v>Slovenia</v>
      </c>
      <c r="I110" s="14">
        <v>2.5000000000000001E-2</v>
      </c>
      <c r="J110" s="14">
        <v>4.5597001450000006E-3</v>
      </c>
      <c r="K110" s="14">
        <v>0.76294029985549994</v>
      </c>
      <c r="L110" s="14">
        <v>0.155</v>
      </c>
      <c r="M110" s="14">
        <v>5.2499999999999998E-2</v>
      </c>
      <c r="N110" s="14">
        <v>0</v>
      </c>
      <c r="O110" s="14">
        <v>0</v>
      </c>
      <c r="P110" s="15">
        <f t="shared" si="6"/>
        <v>1.0000000000005</v>
      </c>
      <c r="Q110" s="2" t="str">
        <v>Slovenia</v>
      </c>
      <c r="R110" s="14">
        <v>0.05</v>
      </c>
      <c r="S110" s="14">
        <v>0</v>
      </c>
      <c r="T110" s="14">
        <v>0.53500000000000003</v>
      </c>
      <c r="U110" s="14">
        <v>0.31</v>
      </c>
      <c r="V110" s="14">
        <v>0.105</v>
      </c>
      <c r="W110" s="14">
        <v>0</v>
      </c>
      <c r="X110" s="14">
        <v>0</v>
      </c>
      <c r="Y110" s="15">
        <f t="shared" si="7"/>
        <v>1</v>
      </c>
      <c r="Z110" s="2" t="str">
        <v>Slovenia</v>
      </c>
      <c r="AA110" s="14">
        <v>0.1</v>
      </c>
      <c r="AB110" s="14">
        <v>0</v>
      </c>
      <c r="AC110" s="14">
        <v>0.28000000000000003</v>
      </c>
      <c r="AD110" s="14">
        <v>0.46</v>
      </c>
      <c r="AE110" s="14">
        <v>0.16</v>
      </c>
      <c r="AF110" s="14">
        <v>0</v>
      </c>
      <c r="AG110" s="14">
        <v>0</v>
      </c>
      <c r="AH110" s="15">
        <f t="shared" si="8"/>
        <v>1</v>
      </c>
    </row>
    <row r="111" spans="8:34" x14ac:dyDescent="0.25">
      <c r="H111" s="2" t="str">
        <v>Spain</v>
      </c>
      <c r="I111" s="14">
        <v>0.2</v>
      </c>
      <c r="J111" s="14">
        <v>7.0342353599999992E-3</v>
      </c>
      <c r="K111" s="14">
        <v>0.59293787956199995</v>
      </c>
      <c r="L111" s="14">
        <v>7.4999999999999997E-2</v>
      </c>
      <c r="M111" s="14">
        <v>2.78850785E-5</v>
      </c>
      <c r="N111" s="14">
        <v>0.125</v>
      </c>
      <c r="O111" s="14">
        <v>0</v>
      </c>
      <c r="P111" s="15">
        <f t="shared" si="6"/>
        <v>1.0000000000005</v>
      </c>
      <c r="Q111" s="2" t="str">
        <v>Spain</v>
      </c>
      <c r="R111" s="14">
        <v>0.4</v>
      </c>
      <c r="S111" s="14">
        <v>0</v>
      </c>
      <c r="T111" s="14">
        <v>0.2</v>
      </c>
      <c r="U111" s="14">
        <v>0.15</v>
      </c>
      <c r="V111" s="14">
        <v>0</v>
      </c>
      <c r="W111" s="14">
        <v>0.25</v>
      </c>
      <c r="X111" s="14">
        <v>0</v>
      </c>
      <c r="Y111" s="15">
        <f t="shared" si="7"/>
        <v>1</v>
      </c>
      <c r="Z111" s="2" t="str">
        <v>Spain</v>
      </c>
      <c r="AA111" s="14">
        <v>0.85</v>
      </c>
      <c r="AB111" s="14">
        <v>0</v>
      </c>
      <c r="AC111" s="14">
        <v>0</v>
      </c>
      <c r="AD111" s="14">
        <v>0.15</v>
      </c>
      <c r="AE111" s="14">
        <v>0</v>
      </c>
      <c r="AF111" s="14">
        <v>0</v>
      </c>
      <c r="AG111" s="14">
        <v>0</v>
      </c>
      <c r="AH111" s="15">
        <f t="shared" si="8"/>
        <v>1</v>
      </c>
    </row>
    <row r="112" spans="8:34" x14ac:dyDescent="0.25">
      <c r="H112" s="2" t="str">
        <v>Sweden</v>
      </c>
      <c r="I112" s="14">
        <v>6.5000000000000002E-2</v>
      </c>
      <c r="J112" s="14">
        <v>1.4039172834E-2</v>
      </c>
      <c r="K112" s="14">
        <v>0.74592523401449995</v>
      </c>
      <c r="L112" s="14">
        <v>0.15</v>
      </c>
      <c r="M112" s="14">
        <v>2.5035593152000001E-2</v>
      </c>
      <c r="N112" s="14">
        <v>0</v>
      </c>
      <c r="O112" s="14">
        <v>0</v>
      </c>
      <c r="P112" s="15">
        <f t="shared" si="6"/>
        <v>1.0000000000005</v>
      </c>
      <c r="Q112" s="2" t="str">
        <v>Sweden</v>
      </c>
      <c r="R112" s="14">
        <v>0.13</v>
      </c>
      <c r="S112" s="14">
        <v>0</v>
      </c>
      <c r="T112" s="14">
        <v>0.52</v>
      </c>
      <c r="U112" s="14">
        <v>0.3</v>
      </c>
      <c r="V112" s="14">
        <v>0.05</v>
      </c>
      <c r="W112" s="14">
        <v>0</v>
      </c>
      <c r="X112" s="14">
        <v>0</v>
      </c>
      <c r="Y112" s="15">
        <f t="shared" si="7"/>
        <v>1</v>
      </c>
      <c r="Z112" s="2" t="str">
        <v>Sweden</v>
      </c>
      <c r="AA112" s="14">
        <v>0.09</v>
      </c>
      <c r="AB112" s="14">
        <v>0</v>
      </c>
      <c r="AC112" s="14">
        <v>0</v>
      </c>
      <c r="AD112" s="14">
        <v>0.8</v>
      </c>
      <c r="AE112" s="14">
        <v>0.11</v>
      </c>
      <c r="AF112" s="14">
        <v>0</v>
      </c>
      <c r="AG112" s="14">
        <v>0</v>
      </c>
      <c r="AH112" s="15">
        <f t="shared" si="8"/>
        <v>1</v>
      </c>
    </row>
    <row r="113" spans="8:34" x14ac:dyDescent="0.25">
      <c r="H113" s="2" t="str">
        <v>Switzerland</v>
      </c>
      <c r="I113" s="14">
        <v>0.32500000000000001</v>
      </c>
      <c r="J113" s="14">
        <v>5.4242164354999997E-3</v>
      </c>
      <c r="K113" s="14">
        <v>0.51948093498699999</v>
      </c>
      <c r="L113" s="14">
        <v>0.15</v>
      </c>
      <c r="M113" s="14">
        <v>9.4848578500000003E-5</v>
      </c>
      <c r="N113" s="14">
        <v>0</v>
      </c>
      <c r="O113" s="14">
        <v>0</v>
      </c>
      <c r="P113" s="15">
        <f t="shared" si="6"/>
        <v>1.0000000000010001</v>
      </c>
      <c r="Q113" s="2" t="str">
        <v>Switzerland</v>
      </c>
      <c r="R113" s="14">
        <v>0.65</v>
      </c>
      <c r="S113" s="14">
        <v>0</v>
      </c>
      <c r="T113" s="14">
        <v>0.05</v>
      </c>
      <c r="U113" s="14">
        <v>0.3</v>
      </c>
      <c r="V113" s="14">
        <v>0</v>
      </c>
      <c r="W113" s="14">
        <v>0</v>
      </c>
      <c r="X113" s="14">
        <v>0</v>
      </c>
      <c r="Y113" s="15">
        <f t="shared" si="7"/>
        <v>1</v>
      </c>
      <c r="Z113" s="2" t="str">
        <v>Switzerland</v>
      </c>
      <c r="AA113" s="14">
        <v>0.7</v>
      </c>
      <c r="AB113" s="14">
        <v>0</v>
      </c>
      <c r="AC113" s="14">
        <v>0</v>
      </c>
      <c r="AD113" s="14">
        <v>0.3</v>
      </c>
      <c r="AE113" s="14">
        <v>0</v>
      </c>
      <c r="AF113" s="14">
        <v>0</v>
      </c>
      <c r="AG113" s="14">
        <v>0</v>
      </c>
      <c r="AH113" s="15">
        <f t="shared" si="8"/>
        <v>1</v>
      </c>
    </row>
    <row r="114" spans="8:34" ht="30" x14ac:dyDescent="0.25">
      <c r="H114" s="2" t="str">
        <v>United_Kingdom</v>
      </c>
      <c r="I114" s="14">
        <v>0.136855467033</v>
      </c>
      <c r="J114" s="14">
        <v>0</v>
      </c>
      <c r="K114" s="14">
        <v>0.66059453296750004</v>
      </c>
      <c r="L114" s="14">
        <v>0.20254999999999998</v>
      </c>
      <c r="M114" s="14">
        <v>0</v>
      </c>
      <c r="N114" s="14">
        <v>0</v>
      </c>
      <c r="O114" s="14">
        <v>0</v>
      </c>
      <c r="P114" s="15">
        <f t="shared" si="6"/>
        <v>1.0000000000005</v>
      </c>
      <c r="Q114" s="2" t="str">
        <v>United_Kingdom</v>
      </c>
      <c r="R114" s="14">
        <v>0.2727</v>
      </c>
      <c r="S114" s="14">
        <v>0</v>
      </c>
      <c r="T114" s="14">
        <v>0.32219999999999999</v>
      </c>
      <c r="U114" s="14">
        <v>0.40509999999999996</v>
      </c>
      <c r="V114" s="14">
        <v>0</v>
      </c>
      <c r="W114" s="14">
        <v>0</v>
      </c>
      <c r="X114" s="14">
        <v>0</v>
      </c>
      <c r="Y114" s="15">
        <f t="shared" si="7"/>
        <v>1</v>
      </c>
      <c r="Z114" s="2" t="str">
        <v>United_Kingdom</v>
      </c>
      <c r="AA114" s="14">
        <v>0.3</v>
      </c>
      <c r="AB114" s="14">
        <v>0</v>
      </c>
      <c r="AC114" s="14">
        <v>0.2</v>
      </c>
      <c r="AD114" s="14">
        <v>0.5</v>
      </c>
      <c r="AE114" s="14">
        <v>0</v>
      </c>
      <c r="AF114" s="14">
        <v>0</v>
      </c>
      <c r="AG114" s="14">
        <v>0</v>
      </c>
      <c r="AH114" s="15">
        <f t="shared" si="8"/>
        <v>1</v>
      </c>
    </row>
    <row r="125" spans="8:34" ht="30" x14ac:dyDescent="0.25">
      <c r="H125" s="2" t="s">
        <v>170</v>
      </c>
      <c r="I125" s="2" t="s">
        <v>159</v>
      </c>
      <c r="J125" s="2" t="s">
        <v>160</v>
      </c>
      <c r="K125" s="2" t="s">
        <v>161</v>
      </c>
      <c r="L125" s="2" t="s">
        <v>162</v>
      </c>
      <c r="M125" s="2" t="s">
        <v>187</v>
      </c>
      <c r="N125" s="2" t="s">
        <v>189</v>
      </c>
      <c r="O125" s="2" t="s">
        <v>188</v>
      </c>
      <c r="Q125" s="2" t="s">
        <v>171</v>
      </c>
      <c r="R125" s="2" t="s">
        <v>159</v>
      </c>
      <c r="S125" s="2" t="s">
        <v>160</v>
      </c>
      <c r="T125" s="2" t="s">
        <v>161</v>
      </c>
      <c r="U125" s="2" t="s">
        <v>162</v>
      </c>
      <c r="V125" s="2" t="s">
        <v>187</v>
      </c>
      <c r="W125" s="2" t="s">
        <v>189</v>
      </c>
      <c r="X125" s="2" t="s">
        <v>188</v>
      </c>
      <c r="Z125" s="2" t="s">
        <v>172</v>
      </c>
      <c r="AA125" s="2" t="s">
        <v>159</v>
      </c>
      <c r="AB125" s="2" t="s">
        <v>160</v>
      </c>
      <c r="AC125" s="2" t="s">
        <v>161</v>
      </c>
      <c r="AD125" s="2" t="s">
        <v>162</v>
      </c>
      <c r="AE125" s="2" t="s">
        <v>187</v>
      </c>
      <c r="AF125" s="2" t="s">
        <v>189</v>
      </c>
      <c r="AG125" s="2" t="s">
        <v>188</v>
      </c>
    </row>
    <row r="126" spans="8:34" x14ac:dyDescent="0.25">
      <c r="H126" s="2" t="str" cm="1">
        <f t="array" ref="H126:H155">countries</f>
        <v>Austria</v>
      </c>
      <c r="I126" s="14" cm="1">
        <f t="array" ref="I126:I155">INDEX(Van_split_REF_2019_Electricity,MATCH(Country_abbreviations,Fleet_split_country_abbreviations,0))/100+(INDEX(Van_split_GA_2040_Electricity,MATCH(Country_abbreviations,Fleet_split_country_abbreviations,0))/100-INDEX(Van_split_REF_2019_Electricity,MATCH(Country_abbreviations,Fleet_split_country_abbreviations,0))/100)/2</f>
        <v>0.41046081735250001</v>
      </c>
      <c r="J126" s="14" cm="1">
        <f t="array" ref="J126:J155">INDEX(Van_split_REF_2019_Gasoline,MATCH(Country_abbreviations,Fleet_split_country_abbreviations,0))/100+(INDEX(Van_split_GA_2040_Gasoline,MATCH(Country_abbreviations,Fleet_split_country_abbreviations,0))/100-INDEX(Van_split_REF_2019_Gasoline,MATCH(Country_abbreviations,Fleet_split_country_abbreviations,0))/100)/2</f>
        <v>4.7025325E-5</v>
      </c>
      <c r="K126" s="14" cm="1">
        <f t="array" ref="K126:K155">INDEX(Van_split_REF_2019_Diesel,MATCH(Country_abbreviations,Fleet_split_country_abbreviations,0))/100+(INDEX(Van_split_GA_2040_Diesel,MATCH(Country_abbreviations,Fleet_split_country_abbreviations,0))/100-INDEX(Van_split_REF_2019_Diesel,MATCH(Country_abbreviations,Fleet_split_country_abbreviations,0))/100)/2</f>
        <v>0.49716452967250002</v>
      </c>
      <c r="L126" s="14" cm="1">
        <f t="array" ref="L126:L155">INDEX(Van_split_REF_2019_Hydrogen,MATCH(Country_abbreviations,Fleet_split_country_abbreviations,0))/100+(INDEX(Van_split_GA_2040_Hydrogen,MATCH(Country_abbreviations,Fleet_split_country_abbreviations,0))/100-INDEX(Van_split_REF_2019_Hydrogen,MATCH(Country_abbreviations,Fleet_split_country_abbreviations,0))/100)/2</f>
        <v>6.5000000000000002E-2</v>
      </c>
      <c r="M126" s="14" cm="1">
        <f t="array" ref="M126:M155">INDEX(Van_split_REF_2019_CNG,MATCH(Country_abbreviations,Fleet_split_country_abbreviations,0))/100+(INDEX(Van_split_GA_2040_CNG,MATCH(Country_abbreviations,Fleet_split_country_abbreviations,0))/100-INDEX(Van_split_REF_2019_CNG,MATCH(Country_abbreviations,Fleet_split_country_abbreviations,0))/100)/2</f>
        <v>2.7115320835000001E-2</v>
      </c>
      <c r="N126" s="14">
        <v>0</v>
      </c>
      <c r="O126" s="14" cm="1">
        <f t="array" ref="O126:O155">INDEX(Van_split_REF_2019_LPG,MATCH(Country_abbreviations,Fleet_split_country_abbreviations,0))/100+(INDEX(Van_split_GA_2040_LPG,MATCH(Country_abbreviations,Fleet_split_country_abbreviations,0))/100-INDEX(Van_split_REF_2019_LPG,MATCH(Country_abbreviations,Fleet_split_country_abbreviations,0))/100)/2</f>
        <v>2.1230681599999999E-4</v>
      </c>
      <c r="P126" s="15">
        <f>SUM(I126:O126)</f>
        <v>1.0000000000009999</v>
      </c>
      <c r="Q126" s="2" t="str" cm="1">
        <f t="array" ref="Q126:Q155">countries</f>
        <v>Austria</v>
      </c>
      <c r="R126" s="14" cm="1">
        <f t="array" ref="R126:R155">INDEX(Van_split_GA_2040_Electricity,MATCH(Country_abbreviations,Fleet_split_country_abbreviations,0))/100</f>
        <v>0.82</v>
      </c>
      <c r="S126" s="14" cm="1">
        <f t="array" ref="S126:S155">INDEX(Van_split_GA_2040_Gasoline,MATCH(Country_abbreviations,Fleet_split_country_abbreviations,0))/100</f>
        <v>0</v>
      </c>
      <c r="T126" s="14" cm="1">
        <f t="array" ref="T126:T155">INDEX(Van_split_GA_2040_Diesel,MATCH(Country_abbreviations,Fleet_split_country_abbreviations,0))/100</f>
        <v>0</v>
      </c>
      <c r="U126" s="14" cm="1">
        <f t="array" ref="U126:U155">INDEX(Van_split_GA_2040_Hydrogen,MATCH(Country_abbreviations,Fleet_split_country_abbreviations,0))/100</f>
        <v>0.13</v>
      </c>
      <c r="V126" s="14" cm="1">
        <f t="array" ref="V126:V155">INDEX(Van_split_GA_2040_CNG,MATCH(Country_abbreviations,Fleet_split_country_abbreviations,0))/100</f>
        <v>0.05</v>
      </c>
      <c r="W126" s="14">
        <v>0</v>
      </c>
      <c r="X126" s="14" cm="1">
        <f t="array" ref="X126:X155">INDEX(Van_split_GA_2040_LPG,MATCH(Country_abbreviations,Fleet_split_country_abbreviations,0))/100</f>
        <v>0</v>
      </c>
      <c r="Y126" s="15">
        <f>SUM(R126:X126)</f>
        <v>1</v>
      </c>
      <c r="Z126" s="2" t="str" cm="1">
        <f t="array" ref="Z126:Z155">countries</f>
        <v>Austria</v>
      </c>
      <c r="AA126" s="14" cm="1">
        <f t="array" ref="AA126:AA155">INDEX(Van_split_GA_2050_Electricity,MATCH(Country_abbreviations,Fleet_split_country_abbreviations,0))/100</f>
        <v>0.85</v>
      </c>
      <c r="AB126" s="14" cm="1">
        <f t="array" ref="AB126:AB155">INDEX(Van_split_GA_2050_Gasoline,MATCH(Country_abbreviations,Fleet_split_country_abbreviations,0))/100</f>
        <v>0</v>
      </c>
      <c r="AC126" s="14" cm="1">
        <f t="array" ref="AC126:AC155">INDEX(Van_split_GA_2050_Diesel,MATCH(Country_abbreviations,Fleet_split_country_abbreviations,0))/100</f>
        <v>0</v>
      </c>
      <c r="AD126" s="14" cm="1">
        <f t="array" ref="AD126:AD155">INDEX(Van_split_GA_2050_Hydrogen,MATCH(Country_abbreviations,Fleet_split_country_abbreviations,0))/100</f>
        <v>0.15</v>
      </c>
      <c r="AE126" s="14" cm="1">
        <f t="array" ref="AE126:AE155">INDEX(Van_split_GA_2050_CNG,MATCH(Country_abbreviations,Fleet_split_country_abbreviations,0))/100</f>
        <v>0</v>
      </c>
      <c r="AF126" s="14">
        <v>0</v>
      </c>
      <c r="AG126" s="14" cm="1">
        <f t="array" ref="AG126:AG155">INDEX(Van_split_GA_2050_LPG,MATCH(Country_abbreviations,Fleet_split_country_abbreviations,0))/100</f>
        <v>0</v>
      </c>
      <c r="AH126" s="15">
        <f>SUM(AA126:AG126)</f>
        <v>1</v>
      </c>
    </row>
    <row r="127" spans="8:34" x14ac:dyDescent="0.25">
      <c r="H127" s="2" t="str">
        <v>Belgium</v>
      </c>
      <c r="I127" s="14">
        <v>0.27572202759449993</v>
      </c>
      <c r="J127" s="14">
        <v>0.14605666383300001</v>
      </c>
      <c r="K127" s="14">
        <v>0.52464365233350008</v>
      </c>
      <c r="L127" s="14">
        <v>4.1500000000000002E-2</v>
      </c>
      <c r="M127" s="14">
        <v>4.1892184094999996E-3</v>
      </c>
      <c r="N127" s="14">
        <v>0</v>
      </c>
      <c r="O127" s="14">
        <v>7.8884378305000002E-3</v>
      </c>
      <c r="P127" s="15">
        <f t="shared" ref="P127:P155" si="9">SUM(I127:O127)</f>
        <v>1.0000000000010001</v>
      </c>
      <c r="Q127" s="2" t="str">
        <v>Belgium</v>
      </c>
      <c r="R127" s="14">
        <v>0.54899999999999993</v>
      </c>
      <c r="S127" s="14">
        <v>0.29199999999999998</v>
      </c>
      <c r="T127" s="14">
        <v>7.2999999999999995E-2</v>
      </c>
      <c r="U127" s="14">
        <v>8.3000000000000004E-2</v>
      </c>
      <c r="V127" s="14">
        <v>3.0000000000000001E-3</v>
      </c>
      <c r="W127" s="14">
        <v>0</v>
      </c>
      <c r="X127" s="14">
        <v>0</v>
      </c>
      <c r="Y127" s="15">
        <f t="shared" ref="Y127:Y155" si="10">SUM(R127:X127)</f>
        <v>0.99999999999999989</v>
      </c>
      <c r="Z127" s="2" t="str">
        <v>Belgium</v>
      </c>
      <c r="AA127" s="14">
        <v>0.85</v>
      </c>
      <c r="AB127" s="14">
        <v>0</v>
      </c>
      <c r="AC127" s="14">
        <v>0</v>
      </c>
      <c r="AD127" s="14">
        <v>0.15</v>
      </c>
      <c r="AE127" s="14">
        <v>0</v>
      </c>
      <c r="AF127" s="14">
        <v>0</v>
      </c>
      <c r="AG127" s="14">
        <v>0</v>
      </c>
      <c r="AH127" s="15">
        <f t="shared" ref="AH127:AH155" si="11">SUM(AA127:AG127)</f>
        <v>1</v>
      </c>
    </row>
    <row r="128" spans="8:34" x14ac:dyDescent="0.25">
      <c r="H128" s="2" t="str">
        <v>Bulgaria</v>
      </c>
      <c r="I128" s="14">
        <v>0.11193670767849999</v>
      </c>
      <c r="J128" s="14">
        <v>5.0150155000000003E-5</v>
      </c>
      <c r="K128" s="14">
        <v>0.75716472847649996</v>
      </c>
      <c r="L128" s="14">
        <v>0.12</v>
      </c>
      <c r="M128" s="14">
        <v>1.03733814195E-2</v>
      </c>
      <c r="N128" s="14">
        <v>0</v>
      </c>
      <c r="O128" s="14">
        <v>4.7503227199999996E-4</v>
      </c>
      <c r="P128" s="15">
        <f t="shared" si="9"/>
        <v>1.0000000000014999</v>
      </c>
      <c r="Q128" s="2" t="str">
        <v>Bulgaria</v>
      </c>
      <c r="R128" s="14">
        <v>0.22333333329999999</v>
      </c>
      <c r="S128" s="14">
        <v>0</v>
      </c>
      <c r="T128" s="14">
        <v>0.51666666669999994</v>
      </c>
      <c r="U128" s="14">
        <v>0.24</v>
      </c>
      <c r="V128" s="14">
        <v>0.02</v>
      </c>
      <c r="W128" s="14">
        <v>0</v>
      </c>
      <c r="X128" s="14">
        <v>0</v>
      </c>
      <c r="Y128" s="15">
        <f t="shared" si="10"/>
        <v>1</v>
      </c>
      <c r="Z128" s="2" t="str">
        <v>Bulgaria</v>
      </c>
      <c r="AA128" s="14">
        <v>0.40666666669999996</v>
      </c>
      <c r="AB128" s="14">
        <v>0</v>
      </c>
      <c r="AC128" s="14">
        <v>0.23333333329999997</v>
      </c>
      <c r="AD128" s="14">
        <v>0.33</v>
      </c>
      <c r="AE128" s="14">
        <v>0.03</v>
      </c>
      <c r="AF128" s="14">
        <v>0</v>
      </c>
      <c r="AG128" s="14">
        <v>0</v>
      </c>
      <c r="AH128" s="15">
        <f t="shared" si="11"/>
        <v>1</v>
      </c>
    </row>
    <row r="129" spans="8:34" x14ac:dyDescent="0.25">
      <c r="H129" s="2" t="str">
        <v>Croatia</v>
      </c>
      <c r="I129" s="14">
        <v>5.8104388154499996E-2</v>
      </c>
      <c r="J129" s="14">
        <v>3.6877191000000002E-5</v>
      </c>
      <c r="K129" s="14">
        <v>0.91654270691149997</v>
      </c>
      <c r="L129" s="14">
        <v>0</v>
      </c>
      <c r="M129" s="14">
        <v>2.3355161419999999E-2</v>
      </c>
      <c r="N129" s="14">
        <v>0</v>
      </c>
      <c r="O129" s="14">
        <v>1.9608663245000001E-3</v>
      </c>
      <c r="P129" s="15">
        <f t="shared" si="9"/>
        <v>1.0000000000015001</v>
      </c>
      <c r="Q129" s="2" t="str">
        <v>Croatia</v>
      </c>
      <c r="R129" s="14">
        <v>0.11599999999999999</v>
      </c>
      <c r="S129" s="14">
        <v>0</v>
      </c>
      <c r="T129" s="14">
        <v>0.83799999999999997</v>
      </c>
      <c r="U129" s="14">
        <v>0</v>
      </c>
      <c r="V129" s="14">
        <v>4.5999999999999999E-2</v>
      </c>
      <c r="W129" s="14">
        <v>0</v>
      </c>
      <c r="X129" s="14">
        <v>0</v>
      </c>
      <c r="Y129" s="15">
        <f t="shared" si="10"/>
        <v>1</v>
      </c>
      <c r="Z129" s="2" t="str">
        <v>Croatia</v>
      </c>
      <c r="AA129" s="14">
        <v>0.55200000000000005</v>
      </c>
      <c r="AB129" s="14">
        <v>0</v>
      </c>
      <c r="AC129" s="14">
        <v>0.22699999999999998</v>
      </c>
      <c r="AD129" s="14">
        <v>5.5E-2</v>
      </c>
      <c r="AE129" s="14">
        <v>0.16600000000000001</v>
      </c>
      <c r="AF129" s="14">
        <v>0</v>
      </c>
      <c r="AG129" s="14">
        <v>0</v>
      </c>
      <c r="AH129" s="15">
        <f t="shared" si="11"/>
        <v>1</v>
      </c>
    </row>
    <row r="130" spans="8:34" x14ac:dyDescent="0.25">
      <c r="H130" s="2" t="str">
        <v>Cyprus</v>
      </c>
      <c r="I130" s="14">
        <v>0.11166666665</v>
      </c>
      <c r="J130" s="14">
        <v>0</v>
      </c>
      <c r="K130" s="14">
        <v>0.75808992753749993</v>
      </c>
      <c r="L130" s="14">
        <v>0.12</v>
      </c>
      <c r="M130" s="14">
        <v>0.01</v>
      </c>
      <c r="N130" s="14">
        <v>0</v>
      </c>
      <c r="O130" s="14">
        <v>2.4340581300000001E-4</v>
      </c>
      <c r="P130" s="15">
        <f t="shared" si="9"/>
        <v>1.0000000000005</v>
      </c>
      <c r="Q130" s="2" t="str">
        <v>Cyprus</v>
      </c>
      <c r="R130" s="14">
        <v>0.22333333329999999</v>
      </c>
      <c r="S130" s="14">
        <v>0</v>
      </c>
      <c r="T130" s="14">
        <v>0.51666666669999994</v>
      </c>
      <c r="U130" s="14">
        <v>0.24</v>
      </c>
      <c r="V130" s="14">
        <v>0.02</v>
      </c>
      <c r="W130" s="14">
        <v>0</v>
      </c>
      <c r="X130" s="14">
        <v>0</v>
      </c>
      <c r="Y130" s="15">
        <f t="shared" si="10"/>
        <v>1</v>
      </c>
      <c r="Z130" s="2" t="str">
        <v>Cyprus</v>
      </c>
      <c r="AA130" s="14">
        <v>0.40666666669999996</v>
      </c>
      <c r="AB130" s="14">
        <v>0</v>
      </c>
      <c r="AC130" s="14">
        <v>0.23333333329999997</v>
      </c>
      <c r="AD130" s="14">
        <v>0.33</v>
      </c>
      <c r="AE130" s="14">
        <v>0.03</v>
      </c>
      <c r="AF130" s="14">
        <v>0</v>
      </c>
      <c r="AG130" s="14">
        <v>0</v>
      </c>
      <c r="AH130" s="15">
        <f t="shared" si="11"/>
        <v>1</v>
      </c>
    </row>
    <row r="131" spans="8:34" x14ac:dyDescent="0.25">
      <c r="H131" s="2" t="str">
        <v>Czechia</v>
      </c>
      <c r="I131" s="14">
        <v>0.11274687614899999</v>
      </c>
      <c r="J131" s="14">
        <v>4.1005343000000003E-5</v>
      </c>
      <c r="K131" s="14">
        <v>0.77178857535000001</v>
      </c>
      <c r="L131" s="14">
        <v>6.5000000000000002E-2</v>
      </c>
      <c r="M131" s="14">
        <v>3.7923304864500004E-2</v>
      </c>
      <c r="N131" s="14">
        <v>0</v>
      </c>
      <c r="O131" s="14">
        <v>1.2500238294999999E-2</v>
      </c>
      <c r="P131" s="15">
        <f t="shared" si="9"/>
        <v>1.0000000000014999</v>
      </c>
      <c r="Q131" s="2" t="str">
        <v>Czechia</v>
      </c>
      <c r="R131" s="14">
        <v>0.22333333329999999</v>
      </c>
      <c r="S131" s="14">
        <v>0</v>
      </c>
      <c r="T131" s="14">
        <v>0.59666666670000001</v>
      </c>
      <c r="U131" s="14">
        <v>0.13</v>
      </c>
      <c r="V131" s="14">
        <v>0.05</v>
      </c>
      <c r="W131" s="14">
        <v>0</v>
      </c>
      <c r="X131" s="14">
        <v>0</v>
      </c>
      <c r="Y131" s="15">
        <f t="shared" si="10"/>
        <v>1</v>
      </c>
      <c r="Z131" s="2" t="str">
        <v>Czechia</v>
      </c>
      <c r="AA131" s="14">
        <v>0.40666666669999996</v>
      </c>
      <c r="AB131" s="14">
        <v>0</v>
      </c>
      <c r="AC131" s="14">
        <v>0.2933333333</v>
      </c>
      <c r="AD131" s="14">
        <v>0.24</v>
      </c>
      <c r="AE131" s="14">
        <v>0.06</v>
      </c>
      <c r="AF131" s="14">
        <v>0</v>
      </c>
      <c r="AG131" s="14">
        <v>0</v>
      </c>
      <c r="AH131" s="15">
        <f t="shared" si="11"/>
        <v>1</v>
      </c>
    </row>
    <row r="132" spans="8:34" x14ac:dyDescent="0.25">
      <c r="H132" s="2" t="str">
        <v>Denmark</v>
      </c>
      <c r="I132" s="14">
        <v>0.11222151373350001</v>
      </c>
      <c r="J132" s="14">
        <v>4.9833517000000003E-5</v>
      </c>
      <c r="K132" s="14">
        <v>0.79548888739450008</v>
      </c>
      <c r="L132" s="14">
        <v>6.5000000000000002E-2</v>
      </c>
      <c r="M132" s="14">
        <v>2.7239765356000003E-2</v>
      </c>
      <c r="N132" s="14">
        <v>0</v>
      </c>
      <c r="O132" s="14">
        <v>0</v>
      </c>
      <c r="P132" s="15">
        <f t="shared" si="9"/>
        <v>1.0000000000010001</v>
      </c>
      <c r="Q132" s="2" t="str">
        <v>Denmark</v>
      </c>
      <c r="R132" s="14">
        <v>0.22333333329999999</v>
      </c>
      <c r="S132" s="14">
        <v>0</v>
      </c>
      <c r="T132" s="14">
        <v>0.59666666670000001</v>
      </c>
      <c r="U132" s="14">
        <v>0.13</v>
      </c>
      <c r="V132" s="14">
        <v>0.05</v>
      </c>
      <c r="W132" s="14">
        <v>0</v>
      </c>
      <c r="X132" s="14">
        <v>0</v>
      </c>
      <c r="Y132" s="15">
        <f t="shared" si="10"/>
        <v>1</v>
      </c>
      <c r="Z132" s="2" t="str">
        <v>Denmark</v>
      </c>
      <c r="AA132" s="14">
        <v>0.4</v>
      </c>
      <c r="AB132" s="14">
        <v>0</v>
      </c>
      <c r="AC132" s="14">
        <v>0</v>
      </c>
      <c r="AD132" s="14">
        <v>0.6</v>
      </c>
      <c r="AE132" s="14">
        <v>0</v>
      </c>
      <c r="AF132" s="14">
        <v>0</v>
      </c>
      <c r="AG132" s="14">
        <v>0</v>
      </c>
      <c r="AH132" s="15">
        <f t="shared" si="11"/>
        <v>1</v>
      </c>
    </row>
    <row r="133" spans="8:34" x14ac:dyDescent="0.25">
      <c r="H133" s="2" t="str">
        <v>Estonia</v>
      </c>
      <c r="I133" s="14">
        <v>0.17068899861200001</v>
      </c>
      <c r="J133" s="14">
        <v>5.0611128499999995E-5</v>
      </c>
      <c r="K133" s="14">
        <v>0.79035614893400008</v>
      </c>
      <c r="L133" s="14">
        <v>2.5000000000000001E-2</v>
      </c>
      <c r="M133" s="14">
        <v>9.3604334210000001E-3</v>
      </c>
      <c r="N133" s="14">
        <v>0</v>
      </c>
      <c r="O133" s="14">
        <v>4.5438079059999994E-3</v>
      </c>
      <c r="P133" s="15">
        <f t="shared" si="9"/>
        <v>1.0000000000015001</v>
      </c>
      <c r="Q133" s="2" t="str">
        <v>Estonia</v>
      </c>
      <c r="R133" s="14">
        <v>0.34</v>
      </c>
      <c r="S133" s="14">
        <v>0</v>
      </c>
      <c r="T133" s="14">
        <v>0.6</v>
      </c>
      <c r="U133" s="14">
        <v>0.05</v>
      </c>
      <c r="V133" s="14">
        <v>0.01</v>
      </c>
      <c r="W133" s="14">
        <v>0</v>
      </c>
      <c r="X133" s="14">
        <v>0</v>
      </c>
      <c r="Y133" s="15">
        <f t="shared" si="10"/>
        <v>1</v>
      </c>
      <c r="Z133" s="2" t="str">
        <v>Estonia</v>
      </c>
      <c r="AA133" s="14">
        <v>0.75</v>
      </c>
      <c r="AB133" s="14">
        <v>0</v>
      </c>
      <c r="AC133" s="14">
        <v>0.15</v>
      </c>
      <c r="AD133" s="14">
        <v>0.05</v>
      </c>
      <c r="AE133" s="14">
        <v>0.05</v>
      </c>
      <c r="AF133" s="14">
        <v>0</v>
      </c>
      <c r="AG133" s="14">
        <v>0</v>
      </c>
      <c r="AH133" s="15">
        <f t="shared" si="11"/>
        <v>1</v>
      </c>
    </row>
    <row r="134" spans="8:34" x14ac:dyDescent="0.25">
      <c r="H134" s="2" t="str">
        <v>Finland</v>
      </c>
      <c r="I134" s="14">
        <v>7.7177966323999994E-2</v>
      </c>
      <c r="J134" s="14">
        <v>4.2012187000000002E-5</v>
      </c>
      <c r="K134" s="14">
        <v>0.64900778472249998</v>
      </c>
      <c r="L134" s="14">
        <v>9.2592592500000001E-2</v>
      </c>
      <c r="M134" s="14">
        <v>0.18117964426750002</v>
      </c>
      <c r="N134" s="14">
        <v>0</v>
      </c>
      <c r="O134" s="14">
        <v>0</v>
      </c>
      <c r="P134" s="15">
        <f t="shared" si="9"/>
        <v>1.0000000000010001</v>
      </c>
      <c r="Q134" s="2" t="str">
        <v>Finland</v>
      </c>
      <c r="R134" s="14">
        <v>0.14814814800000001</v>
      </c>
      <c r="S134" s="14">
        <v>0</v>
      </c>
      <c r="T134" s="14">
        <v>0.30555555600000001</v>
      </c>
      <c r="U134" s="14">
        <v>0.185185185</v>
      </c>
      <c r="V134" s="14">
        <v>0.36111111100000004</v>
      </c>
      <c r="W134" s="14">
        <v>0</v>
      </c>
      <c r="X134" s="14">
        <v>0</v>
      </c>
      <c r="Y134" s="15">
        <f t="shared" si="10"/>
        <v>1</v>
      </c>
      <c r="Z134" s="2" t="str">
        <v>Finland</v>
      </c>
      <c r="AA134" s="14">
        <v>0.40740740700099998</v>
      </c>
      <c r="AB134" s="14">
        <v>0</v>
      </c>
      <c r="AC134" s="14">
        <v>0</v>
      </c>
      <c r="AD134" s="14">
        <v>0.27777777799999998</v>
      </c>
      <c r="AE134" s="14">
        <v>0.31481481500000003</v>
      </c>
      <c r="AF134" s="14">
        <v>0</v>
      </c>
      <c r="AG134" s="14">
        <v>0</v>
      </c>
      <c r="AH134" s="15">
        <f t="shared" si="11"/>
        <v>1.0000000000010001</v>
      </c>
    </row>
    <row r="135" spans="8:34" x14ac:dyDescent="0.25">
      <c r="H135" s="2" t="str">
        <v>France</v>
      </c>
      <c r="I135" s="14">
        <v>0.27599568561950005</v>
      </c>
      <c r="J135" s="14">
        <v>6.8970015000000006E-5</v>
      </c>
      <c r="K135" s="14">
        <v>0.69297183238899995</v>
      </c>
      <c r="L135" s="14">
        <v>5.0000000000000001E-3</v>
      </c>
      <c r="M135" s="14">
        <v>2.5377408632000002E-2</v>
      </c>
      <c r="N135" s="14">
        <v>0</v>
      </c>
      <c r="O135" s="14">
        <v>5.8610334549999996E-4</v>
      </c>
      <c r="P135" s="15">
        <f t="shared" si="9"/>
        <v>1.0000000000010001</v>
      </c>
      <c r="Q135" s="2" t="str">
        <v>France</v>
      </c>
      <c r="R135" s="14">
        <v>0.55000000000000004</v>
      </c>
      <c r="S135" s="14">
        <v>0</v>
      </c>
      <c r="T135" s="14">
        <v>0.39</v>
      </c>
      <c r="U135" s="14">
        <v>0.01</v>
      </c>
      <c r="V135" s="14">
        <v>0.05</v>
      </c>
      <c r="W135" s="14">
        <v>0</v>
      </c>
      <c r="X135" s="14">
        <v>0</v>
      </c>
      <c r="Y135" s="15">
        <f t="shared" si="10"/>
        <v>1</v>
      </c>
      <c r="Z135" s="2" t="str">
        <v>France</v>
      </c>
      <c r="AA135" s="14">
        <v>0.86</v>
      </c>
      <c r="AB135" s="14">
        <v>0</v>
      </c>
      <c r="AC135" s="14">
        <v>0.03</v>
      </c>
      <c r="AD135" s="14">
        <v>0.03</v>
      </c>
      <c r="AE135" s="14">
        <v>0.08</v>
      </c>
      <c r="AF135" s="14">
        <v>0</v>
      </c>
      <c r="AG135" s="14">
        <v>0</v>
      </c>
      <c r="AH135" s="15">
        <f t="shared" si="11"/>
        <v>1</v>
      </c>
    </row>
    <row r="136" spans="8:34" x14ac:dyDescent="0.25">
      <c r="H136" s="2" t="str">
        <v>Germany</v>
      </c>
      <c r="I136" s="14">
        <v>0.40102359337700005</v>
      </c>
      <c r="J136" s="14">
        <v>1.5077195571999999E-2</v>
      </c>
      <c r="K136" s="14">
        <v>0.49570739145250003</v>
      </c>
      <c r="L136" s="14">
        <v>7.4999999999999997E-2</v>
      </c>
      <c r="M136" s="14">
        <v>1.0836152376999999E-2</v>
      </c>
      <c r="N136" s="14">
        <v>0</v>
      </c>
      <c r="O136" s="14">
        <v>2.3556672230000001E-3</v>
      </c>
      <c r="P136" s="15">
        <f t="shared" si="9"/>
        <v>1.0000000000015001</v>
      </c>
      <c r="Q136" s="2" t="str">
        <v>Germany</v>
      </c>
      <c r="R136" s="14">
        <v>0.8</v>
      </c>
      <c r="S136" s="14">
        <v>0.03</v>
      </c>
      <c r="T136" s="14">
        <v>0.02</v>
      </c>
      <c r="U136" s="14">
        <v>0.15</v>
      </c>
      <c r="V136" s="14">
        <v>0</v>
      </c>
      <c r="W136" s="14">
        <v>0</v>
      </c>
      <c r="X136" s="14">
        <v>0</v>
      </c>
      <c r="Y136" s="15">
        <f t="shared" si="10"/>
        <v>1</v>
      </c>
      <c r="Z136" s="2" t="str">
        <v>Germany</v>
      </c>
      <c r="AA136" s="14">
        <v>0.9</v>
      </c>
      <c r="AB136" s="14">
        <v>5.0000000000000001E-3</v>
      </c>
      <c r="AC136" s="14">
        <v>5.0000000000000001E-3</v>
      </c>
      <c r="AD136" s="14">
        <v>0.09</v>
      </c>
      <c r="AE136" s="14">
        <v>0</v>
      </c>
      <c r="AF136" s="14">
        <v>0</v>
      </c>
      <c r="AG136" s="14">
        <v>0</v>
      </c>
      <c r="AH136" s="15">
        <f t="shared" si="11"/>
        <v>1</v>
      </c>
    </row>
    <row r="137" spans="8:34" x14ac:dyDescent="0.25">
      <c r="H137" s="2" t="str">
        <v>Greece</v>
      </c>
      <c r="I137" s="14">
        <v>5.1354037239500001E-2</v>
      </c>
      <c r="J137" s="14">
        <v>6.5748945999999996E-5</v>
      </c>
      <c r="K137" s="14">
        <v>0.81202869727899996</v>
      </c>
      <c r="L137" s="14">
        <v>0.125</v>
      </c>
      <c r="M137" s="14">
        <v>1.08000269615E-2</v>
      </c>
      <c r="N137" s="14">
        <v>0</v>
      </c>
      <c r="O137" s="14">
        <v>7.5148957600000002E-4</v>
      </c>
      <c r="P137" s="15">
        <f t="shared" si="9"/>
        <v>1.000000000002</v>
      </c>
      <c r="Q137" s="2" t="str">
        <v>Greece</v>
      </c>
      <c r="R137" s="14">
        <v>0.10185185199999999</v>
      </c>
      <c r="S137" s="14">
        <v>0</v>
      </c>
      <c r="T137" s="14">
        <v>0.62814814799999996</v>
      </c>
      <c r="U137" s="14">
        <v>0.25</v>
      </c>
      <c r="V137" s="14">
        <v>0.02</v>
      </c>
      <c r="W137" s="14">
        <v>0</v>
      </c>
      <c r="X137" s="14">
        <v>0</v>
      </c>
      <c r="Y137" s="15">
        <f t="shared" si="10"/>
        <v>1</v>
      </c>
      <c r="Z137" s="2" t="str">
        <v>Greece</v>
      </c>
      <c r="AA137" s="14">
        <v>0.442222222</v>
      </c>
      <c r="AB137" s="14">
        <v>0</v>
      </c>
      <c r="AC137" s="14">
        <v>0</v>
      </c>
      <c r="AD137" s="14">
        <v>0.52777777800000003</v>
      </c>
      <c r="AE137" s="14">
        <v>0.03</v>
      </c>
      <c r="AF137" s="14">
        <v>0</v>
      </c>
      <c r="AG137" s="14">
        <v>0</v>
      </c>
      <c r="AH137" s="15">
        <f t="shared" si="11"/>
        <v>1</v>
      </c>
    </row>
    <row r="138" spans="8:34" x14ac:dyDescent="0.25">
      <c r="H138" s="2" t="str">
        <v>Hungary</v>
      </c>
      <c r="I138" s="14">
        <v>0.11267962607799999</v>
      </c>
      <c r="J138" s="14">
        <v>5.7525161500000001E-5</v>
      </c>
      <c r="K138" s="14">
        <v>0.75662861661250003</v>
      </c>
      <c r="L138" s="14">
        <v>0.12</v>
      </c>
      <c r="M138" s="14">
        <v>1.0595148723000001E-2</v>
      </c>
      <c r="N138" s="14">
        <v>0</v>
      </c>
      <c r="O138" s="14">
        <v>3.9083427E-5</v>
      </c>
      <c r="P138" s="15">
        <f t="shared" si="9"/>
        <v>1.0000000000020002</v>
      </c>
      <c r="Q138" s="2" t="str">
        <v>Hungary</v>
      </c>
      <c r="R138" s="14">
        <v>0.22333333329999999</v>
      </c>
      <c r="S138" s="14">
        <v>0</v>
      </c>
      <c r="T138" s="14">
        <v>0.51666666669999994</v>
      </c>
      <c r="U138" s="14">
        <v>0.24</v>
      </c>
      <c r="V138" s="14">
        <v>0.02</v>
      </c>
      <c r="W138" s="14">
        <v>0</v>
      </c>
      <c r="X138" s="14">
        <v>0</v>
      </c>
      <c r="Y138" s="15">
        <f t="shared" si="10"/>
        <v>1</v>
      </c>
      <c r="Z138" s="2" t="str">
        <v>Hungary</v>
      </c>
      <c r="AA138" s="14">
        <v>0.40666666669999996</v>
      </c>
      <c r="AB138" s="14">
        <v>0</v>
      </c>
      <c r="AC138" s="14">
        <v>0.23333333329999997</v>
      </c>
      <c r="AD138" s="14">
        <v>0.33</v>
      </c>
      <c r="AE138" s="14">
        <v>0.03</v>
      </c>
      <c r="AF138" s="14">
        <v>0</v>
      </c>
      <c r="AG138" s="14">
        <v>0</v>
      </c>
      <c r="AH138" s="15">
        <f t="shared" si="11"/>
        <v>1</v>
      </c>
    </row>
    <row r="139" spans="8:34" x14ac:dyDescent="0.25">
      <c r="H139" s="2" t="str">
        <v>Ireland</v>
      </c>
      <c r="I139" s="14">
        <v>0.11235937398650001</v>
      </c>
      <c r="J139" s="14">
        <v>4.5071106499999997E-5</v>
      </c>
      <c r="K139" s="14">
        <v>0.797586857541</v>
      </c>
      <c r="L139" s="14">
        <v>6.5000000000000002E-2</v>
      </c>
      <c r="M139" s="14">
        <v>2.5000000000000001E-2</v>
      </c>
      <c r="N139" s="14">
        <v>0</v>
      </c>
      <c r="O139" s="14">
        <v>8.6973670000000005E-6</v>
      </c>
      <c r="P139" s="15">
        <f t="shared" si="9"/>
        <v>1.0000000000010001</v>
      </c>
      <c r="Q139" s="2" t="str">
        <v>Ireland</v>
      </c>
      <c r="R139" s="14">
        <v>0.22333333329999999</v>
      </c>
      <c r="S139" s="14">
        <v>0</v>
      </c>
      <c r="T139" s="14">
        <v>0.59666666670000001</v>
      </c>
      <c r="U139" s="14">
        <v>0.13</v>
      </c>
      <c r="V139" s="14">
        <v>0.05</v>
      </c>
      <c r="W139" s="14">
        <v>0</v>
      </c>
      <c r="X139" s="14">
        <v>0</v>
      </c>
      <c r="Y139" s="15">
        <f t="shared" si="10"/>
        <v>1</v>
      </c>
      <c r="Z139" s="2" t="str">
        <v>Ireland</v>
      </c>
      <c r="AA139" s="14">
        <v>0.40666666669999996</v>
      </c>
      <c r="AB139" s="14">
        <v>0</v>
      </c>
      <c r="AC139" s="14">
        <v>0.2933333333</v>
      </c>
      <c r="AD139" s="14">
        <v>0.24</v>
      </c>
      <c r="AE139" s="14">
        <v>0.06</v>
      </c>
      <c r="AF139" s="14">
        <v>0</v>
      </c>
      <c r="AG139" s="14">
        <v>0</v>
      </c>
      <c r="AH139" s="15">
        <f t="shared" si="11"/>
        <v>1</v>
      </c>
    </row>
    <row r="140" spans="8:34" x14ac:dyDescent="0.25">
      <c r="H140" s="2" t="str">
        <v>Italy</v>
      </c>
      <c r="I140" s="14">
        <v>0.19030647443950002</v>
      </c>
      <c r="J140" s="14">
        <v>3.9000824499999998E-5</v>
      </c>
      <c r="K140" s="14">
        <v>0.629099196134</v>
      </c>
      <c r="L140" s="14">
        <v>8.5000000000000006E-2</v>
      </c>
      <c r="M140" s="14">
        <v>8.4068438317499994E-2</v>
      </c>
      <c r="N140" s="14">
        <v>0</v>
      </c>
      <c r="O140" s="14">
        <v>1.1486890286000001E-2</v>
      </c>
      <c r="P140" s="15">
        <f t="shared" si="9"/>
        <v>1.0000000000014999</v>
      </c>
      <c r="Q140" s="2" t="str">
        <v>Italy</v>
      </c>
      <c r="R140" s="14">
        <v>0.38</v>
      </c>
      <c r="S140" s="14">
        <v>0</v>
      </c>
      <c r="T140" s="14">
        <v>0.31</v>
      </c>
      <c r="U140" s="14">
        <v>0.17</v>
      </c>
      <c r="V140" s="14">
        <v>0.13</v>
      </c>
      <c r="W140" s="14">
        <v>0</v>
      </c>
      <c r="X140" s="14">
        <v>0.01</v>
      </c>
      <c r="Y140" s="15">
        <f t="shared" si="10"/>
        <v>1</v>
      </c>
      <c r="Z140" s="2" t="str">
        <v>Italy</v>
      </c>
      <c r="AA140" s="14">
        <v>0.75</v>
      </c>
      <c r="AB140" s="14">
        <v>0</v>
      </c>
      <c r="AC140" s="14">
        <v>0</v>
      </c>
      <c r="AD140" s="14">
        <v>0.24</v>
      </c>
      <c r="AE140" s="14">
        <v>0.01</v>
      </c>
      <c r="AF140" s="14">
        <v>0</v>
      </c>
      <c r="AG140" s="14">
        <v>0</v>
      </c>
      <c r="AH140" s="15">
        <f t="shared" si="11"/>
        <v>1</v>
      </c>
    </row>
    <row r="141" spans="8:34" x14ac:dyDescent="0.25">
      <c r="H141" s="2" t="str">
        <v>Latvia</v>
      </c>
      <c r="I141" s="14">
        <v>0.11204798993499999</v>
      </c>
      <c r="J141" s="14">
        <v>3.7273058499999997E-5</v>
      </c>
      <c r="K141" s="14">
        <v>0.75766410713249988</v>
      </c>
      <c r="L141" s="14">
        <v>0.12</v>
      </c>
      <c r="M141" s="14">
        <v>1.0055617099E-2</v>
      </c>
      <c r="N141" s="14">
        <v>0</v>
      </c>
      <c r="O141" s="14">
        <v>1.9501277599999998E-4</v>
      </c>
      <c r="P141" s="15">
        <f t="shared" si="9"/>
        <v>1.0000000000009999</v>
      </c>
      <c r="Q141" s="2" t="str">
        <v>Latvia</v>
      </c>
      <c r="R141" s="14">
        <v>0.22333333329999999</v>
      </c>
      <c r="S141" s="14">
        <v>0</v>
      </c>
      <c r="T141" s="14">
        <v>0.51666666669999994</v>
      </c>
      <c r="U141" s="14">
        <v>0.24</v>
      </c>
      <c r="V141" s="14">
        <v>0.02</v>
      </c>
      <c r="W141" s="14">
        <v>0</v>
      </c>
      <c r="X141" s="14">
        <v>0</v>
      </c>
      <c r="Y141" s="15">
        <f t="shared" si="10"/>
        <v>1</v>
      </c>
      <c r="Z141" s="2" t="str">
        <v>Latvia</v>
      </c>
      <c r="AA141" s="14">
        <v>0.40666666669999996</v>
      </c>
      <c r="AB141" s="14">
        <v>0</v>
      </c>
      <c r="AC141" s="14">
        <v>0.23333333329999997</v>
      </c>
      <c r="AD141" s="14">
        <v>0.33</v>
      </c>
      <c r="AE141" s="14">
        <v>0.03</v>
      </c>
      <c r="AF141" s="14">
        <v>0</v>
      </c>
      <c r="AG141" s="14">
        <v>0</v>
      </c>
      <c r="AH141" s="15">
        <f t="shared" si="11"/>
        <v>1</v>
      </c>
    </row>
    <row r="142" spans="8:34" x14ac:dyDescent="0.25">
      <c r="H142" s="2" t="str">
        <v>Lithuania</v>
      </c>
      <c r="I142" s="14">
        <v>0.11199093534249999</v>
      </c>
      <c r="J142" s="14">
        <v>2.7753402E-5</v>
      </c>
      <c r="K142" s="14">
        <v>0.75750222611200002</v>
      </c>
      <c r="L142" s="14">
        <v>0.12</v>
      </c>
      <c r="M142" s="14">
        <v>1.0214270975E-2</v>
      </c>
      <c r="N142" s="14">
        <v>0</v>
      </c>
      <c r="O142" s="14">
        <v>2.6481417000000001E-4</v>
      </c>
      <c r="P142" s="15">
        <f t="shared" si="9"/>
        <v>1.0000000000014999</v>
      </c>
      <c r="Q142" s="2" t="str">
        <v>Lithuania</v>
      </c>
      <c r="R142" s="14">
        <v>0.22333333329999999</v>
      </c>
      <c r="S142" s="14">
        <v>0</v>
      </c>
      <c r="T142" s="14">
        <v>0.51666666669999994</v>
      </c>
      <c r="U142" s="14">
        <v>0.24</v>
      </c>
      <c r="V142" s="14">
        <v>0.02</v>
      </c>
      <c r="W142" s="14">
        <v>0</v>
      </c>
      <c r="X142" s="14">
        <v>0</v>
      </c>
      <c r="Y142" s="15">
        <f t="shared" si="10"/>
        <v>1</v>
      </c>
      <c r="Z142" s="2" t="str">
        <v>Lithuania</v>
      </c>
      <c r="AA142" s="14">
        <v>0.40666666669999996</v>
      </c>
      <c r="AB142" s="14">
        <v>0</v>
      </c>
      <c r="AC142" s="14">
        <v>0.23333333329999997</v>
      </c>
      <c r="AD142" s="14">
        <v>0.33</v>
      </c>
      <c r="AE142" s="14">
        <v>0.03</v>
      </c>
      <c r="AF142" s="14">
        <v>0</v>
      </c>
      <c r="AG142" s="14">
        <v>0</v>
      </c>
      <c r="AH142" s="15">
        <f t="shared" si="11"/>
        <v>1</v>
      </c>
    </row>
    <row r="143" spans="8:34" x14ac:dyDescent="0.25">
      <c r="H143" s="2" t="str">
        <v>Luxembourg</v>
      </c>
      <c r="I143" s="14">
        <v>0.42766808138249995</v>
      </c>
      <c r="J143" s="14">
        <v>5.8885641999999999E-5</v>
      </c>
      <c r="K143" s="14">
        <v>0.57125747618550005</v>
      </c>
      <c r="L143" s="14">
        <v>5.0000000000000001E-4</v>
      </c>
      <c r="M143" s="14">
        <v>0</v>
      </c>
      <c r="N143" s="14">
        <v>0</v>
      </c>
      <c r="O143" s="14">
        <v>5.1555679050000001E-4</v>
      </c>
      <c r="P143" s="15">
        <f t="shared" si="9"/>
        <v>1.0000000000005</v>
      </c>
      <c r="Q143" s="2" t="str">
        <v>Luxembourg</v>
      </c>
      <c r="R143" s="14">
        <v>0.85</v>
      </c>
      <c r="S143" s="14">
        <v>0</v>
      </c>
      <c r="T143" s="14">
        <v>0.14899999999999999</v>
      </c>
      <c r="U143" s="14">
        <v>1E-3</v>
      </c>
      <c r="V143" s="14">
        <v>0</v>
      </c>
      <c r="W143" s="14">
        <v>0</v>
      </c>
      <c r="X143" s="14">
        <v>0</v>
      </c>
      <c r="Y143" s="15">
        <f t="shared" si="10"/>
        <v>1</v>
      </c>
      <c r="Z143" s="2" t="str">
        <v>Luxembourg</v>
      </c>
      <c r="AA143" s="14">
        <v>0.93518518500000003</v>
      </c>
      <c r="AB143" s="14">
        <v>0</v>
      </c>
      <c r="AC143" s="14">
        <v>0</v>
      </c>
      <c r="AD143" s="14">
        <v>6.4814814999999998E-2</v>
      </c>
      <c r="AE143" s="14">
        <v>0</v>
      </c>
      <c r="AF143" s="14">
        <v>0</v>
      </c>
      <c r="AG143" s="14">
        <v>0</v>
      </c>
      <c r="AH143" s="15">
        <f t="shared" si="11"/>
        <v>1</v>
      </c>
    </row>
    <row r="144" spans="8:34" x14ac:dyDescent="0.25">
      <c r="H144" s="2" t="str">
        <v>Malta</v>
      </c>
      <c r="I144" s="14">
        <v>0.153052826596</v>
      </c>
      <c r="J144" s="14">
        <v>9.0000000000000011E-3</v>
      </c>
      <c r="K144" s="14">
        <v>0.83523338682799997</v>
      </c>
      <c r="L144" s="14">
        <v>0</v>
      </c>
      <c r="M144" s="14">
        <v>1.5E-3</v>
      </c>
      <c r="N144" s="14">
        <v>0</v>
      </c>
      <c r="O144" s="14">
        <v>1.213786577E-3</v>
      </c>
      <c r="P144" s="15">
        <f t="shared" si="9"/>
        <v>1.0000000000009999</v>
      </c>
      <c r="Q144" s="2" t="str">
        <v>Malta</v>
      </c>
      <c r="R144" s="14">
        <v>0.30499999999999999</v>
      </c>
      <c r="S144" s="14">
        <v>1.8000000000000002E-2</v>
      </c>
      <c r="T144" s="14">
        <v>0.67400000000000004</v>
      </c>
      <c r="U144" s="14">
        <v>0</v>
      </c>
      <c r="V144" s="14">
        <v>3.0000000000000001E-3</v>
      </c>
      <c r="W144" s="14">
        <v>0</v>
      </c>
      <c r="X144" s="14">
        <v>0</v>
      </c>
      <c r="Y144" s="15">
        <f t="shared" si="10"/>
        <v>1</v>
      </c>
      <c r="Z144" s="2" t="str">
        <v>Malta</v>
      </c>
      <c r="AA144" s="14">
        <v>0.40666666669999996</v>
      </c>
      <c r="AB144" s="14">
        <v>0</v>
      </c>
      <c r="AC144" s="14">
        <v>0.23333333329999997</v>
      </c>
      <c r="AD144" s="14">
        <v>0.33</v>
      </c>
      <c r="AE144" s="14">
        <v>0.03</v>
      </c>
      <c r="AF144" s="14">
        <v>0</v>
      </c>
      <c r="AG144" s="14">
        <v>0</v>
      </c>
      <c r="AH144" s="15">
        <f t="shared" si="11"/>
        <v>1</v>
      </c>
    </row>
    <row r="145" spans="8:34" x14ac:dyDescent="0.25">
      <c r="H145" s="2" t="str">
        <v>Netherlands</v>
      </c>
      <c r="I145" s="14">
        <v>0.26997377258400002</v>
      </c>
      <c r="J145" s="14">
        <v>5.4995940890000001E-3</v>
      </c>
      <c r="K145" s="14">
        <v>0.61349569787150005</v>
      </c>
      <c r="L145" s="14">
        <v>9.1649999999999995E-2</v>
      </c>
      <c r="M145" s="14">
        <v>0</v>
      </c>
      <c r="N145" s="14">
        <v>0</v>
      </c>
      <c r="O145" s="14">
        <v>1.9380935457000002E-2</v>
      </c>
      <c r="P145" s="15">
        <f t="shared" si="9"/>
        <v>1.0000000000015001</v>
      </c>
      <c r="Q145" s="2" t="str">
        <v>Netherlands</v>
      </c>
      <c r="R145" s="14">
        <v>0.52400000000000002</v>
      </c>
      <c r="S145" s="14">
        <v>4.4000000000000003E-3</v>
      </c>
      <c r="T145" s="14">
        <v>0.27279999999999999</v>
      </c>
      <c r="U145" s="14">
        <v>0.18329999999999999</v>
      </c>
      <c r="V145" s="14">
        <v>0</v>
      </c>
      <c r="W145" s="14">
        <v>0</v>
      </c>
      <c r="X145" s="14">
        <v>1.55E-2</v>
      </c>
      <c r="Y145" s="15">
        <f t="shared" si="10"/>
        <v>0.99999999999999989</v>
      </c>
      <c r="Z145" s="2" t="str">
        <v>Netherlands</v>
      </c>
      <c r="AA145" s="14">
        <v>0.7</v>
      </c>
      <c r="AB145" s="14">
        <v>0</v>
      </c>
      <c r="AC145" s="14">
        <v>0.05</v>
      </c>
      <c r="AD145" s="14">
        <v>0.25</v>
      </c>
      <c r="AE145" s="14">
        <v>0</v>
      </c>
      <c r="AF145" s="14">
        <v>0</v>
      </c>
      <c r="AG145" s="14">
        <v>0</v>
      </c>
      <c r="AH145" s="15">
        <f t="shared" si="11"/>
        <v>1</v>
      </c>
    </row>
    <row r="146" spans="8:34" x14ac:dyDescent="0.25">
      <c r="H146" s="2" t="str">
        <v>Norway</v>
      </c>
      <c r="I146" s="14">
        <v>1</v>
      </c>
      <c r="J146" s="14">
        <v>0</v>
      </c>
      <c r="K146" s="14">
        <v>0</v>
      </c>
      <c r="L146" s="14">
        <v>0</v>
      </c>
      <c r="M146" s="14">
        <v>0</v>
      </c>
      <c r="N146" s="14">
        <v>0</v>
      </c>
      <c r="O146" s="14">
        <v>0</v>
      </c>
      <c r="P146" s="15">
        <f t="shared" si="9"/>
        <v>1</v>
      </c>
      <c r="Q146" s="2" t="str">
        <v>Norway</v>
      </c>
      <c r="R146" s="14">
        <v>1</v>
      </c>
      <c r="S146" s="14">
        <v>0</v>
      </c>
      <c r="T146" s="14">
        <v>0</v>
      </c>
      <c r="U146" s="14">
        <v>0</v>
      </c>
      <c r="V146" s="14">
        <v>0</v>
      </c>
      <c r="W146" s="14">
        <v>0</v>
      </c>
      <c r="X146" s="14">
        <v>0</v>
      </c>
      <c r="Y146" s="15">
        <f t="shared" si="10"/>
        <v>1</v>
      </c>
      <c r="Z146" s="2" t="str">
        <v>Norway</v>
      </c>
      <c r="AA146" s="14">
        <v>1</v>
      </c>
      <c r="AB146" s="14">
        <v>0</v>
      </c>
      <c r="AC146" s="14">
        <v>0</v>
      </c>
      <c r="AD146" s="14">
        <v>0</v>
      </c>
      <c r="AE146" s="14">
        <v>0</v>
      </c>
      <c r="AF146" s="14">
        <v>0</v>
      </c>
      <c r="AG146" s="14">
        <v>0</v>
      </c>
      <c r="AH146" s="15">
        <f t="shared" si="11"/>
        <v>1</v>
      </c>
    </row>
    <row r="147" spans="8:34" x14ac:dyDescent="0.25">
      <c r="H147" s="2" t="str">
        <v>Poland</v>
      </c>
      <c r="I147" s="14">
        <v>0.1119158471965</v>
      </c>
      <c r="J147" s="14">
        <v>6.4286645499999996E-5</v>
      </c>
      <c r="K147" s="14">
        <v>0.76213172590400002</v>
      </c>
      <c r="L147" s="14">
        <v>7.0000000000000007E-2</v>
      </c>
      <c r="M147" s="14">
        <v>2.6261754152500004E-2</v>
      </c>
      <c r="N147" s="14">
        <v>0</v>
      </c>
      <c r="O147" s="14">
        <v>2.9626386102499999E-2</v>
      </c>
      <c r="P147" s="15">
        <f t="shared" si="9"/>
        <v>1.0000000000010001</v>
      </c>
      <c r="Q147" s="2" t="str">
        <v>Poland</v>
      </c>
      <c r="R147" s="14">
        <v>0.22333333329999999</v>
      </c>
      <c r="S147" s="14">
        <v>0</v>
      </c>
      <c r="T147" s="14">
        <v>0.58666666670000001</v>
      </c>
      <c r="U147" s="14">
        <v>0.14000000000000001</v>
      </c>
      <c r="V147" s="14">
        <v>0.05</v>
      </c>
      <c r="W147" s="14">
        <v>0</v>
      </c>
      <c r="X147" s="14">
        <v>0</v>
      </c>
      <c r="Y147" s="15">
        <f t="shared" si="10"/>
        <v>1</v>
      </c>
      <c r="Z147" s="2" t="str">
        <v>Poland</v>
      </c>
      <c r="AA147" s="14">
        <v>0.3966666667</v>
      </c>
      <c r="AB147" s="14">
        <v>0</v>
      </c>
      <c r="AC147" s="14">
        <v>0.2933333333</v>
      </c>
      <c r="AD147" s="14">
        <v>0.25</v>
      </c>
      <c r="AE147" s="14">
        <v>0.06</v>
      </c>
      <c r="AF147" s="14">
        <v>0</v>
      </c>
      <c r="AG147" s="14">
        <v>0</v>
      </c>
      <c r="AH147" s="15">
        <f t="shared" si="11"/>
        <v>1</v>
      </c>
    </row>
    <row r="148" spans="8:34" x14ac:dyDescent="0.25">
      <c r="H148" s="2" t="str">
        <v>Portugal</v>
      </c>
      <c r="I148" s="14">
        <v>0.206825978001</v>
      </c>
      <c r="J148" s="14">
        <v>4.3076294999999999E-5</v>
      </c>
      <c r="K148" s="14">
        <v>0.71767453255899993</v>
      </c>
      <c r="L148" s="14">
        <v>0.05</v>
      </c>
      <c r="M148" s="14">
        <v>2.5018433088500002E-2</v>
      </c>
      <c r="N148" s="14">
        <v>0</v>
      </c>
      <c r="O148" s="14">
        <v>4.3798005750000002E-4</v>
      </c>
      <c r="P148" s="15">
        <f t="shared" si="9"/>
        <v>1.0000000000010001</v>
      </c>
      <c r="Q148" s="2" t="str">
        <v>Portugal</v>
      </c>
      <c r="R148" s="14">
        <v>0.41333333329999999</v>
      </c>
      <c r="S148" s="14">
        <v>0</v>
      </c>
      <c r="T148" s="14">
        <v>0.43666666669999998</v>
      </c>
      <c r="U148" s="14">
        <v>0.1</v>
      </c>
      <c r="V148" s="14">
        <v>0.05</v>
      </c>
      <c r="W148" s="14">
        <v>0</v>
      </c>
      <c r="X148" s="14">
        <v>0</v>
      </c>
      <c r="Y148" s="15">
        <f t="shared" si="10"/>
        <v>1</v>
      </c>
      <c r="Z148" s="2" t="str">
        <v>Portugal</v>
      </c>
      <c r="AA148" s="14">
        <v>0.71666666670000001</v>
      </c>
      <c r="AB148" s="14">
        <v>0</v>
      </c>
      <c r="AC148" s="14">
        <v>3.3333333329999999E-2</v>
      </c>
      <c r="AD148" s="14">
        <v>0.2</v>
      </c>
      <c r="AE148" s="14">
        <v>0.05</v>
      </c>
      <c r="AF148" s="14">
        <v>0</v>
      </c>
      <c r="AG148" s="14">
        <v>0</v>
      </c>
      <c r="AH148" s="15">
        <f t="shared" si="11"/>
        <v>1.00000000003</v>
      </c>
    </row>
    <row r="149" spans="8:34" x14ac:dyDescent="0.25">
      <c r="H149" s="2" t="str">
        <v>Romania</v>
      </c>
      <c r="I149" s="14">
        <v>0.1139833106415</v>
      </c>
      <c r="J149" s="14">
        <v>4.0588723000000003E-5</v>
      </c>
      <c r="K149" s="14">
        <v>0.75595192512899989</v>
      </c>
      <c r="L149" s="14">
        <v>0.12</v>
      </c>
      <c r="M149" s="14">
        <v>0.01</v>
      </c>
      <c r="N149" s="14">
        <v>0</v>
      </c>
      <c r="O149" s="14">
        <v>2.4175506999999998E-5</v>
      </c>
      <c r="P149" s="15">
        <f t="shared" si="9"/>
        <v>1.0000000000004998</v>
      </c>
      <c r="Q149" s="2" t="str">
        <v>Romania</v>
      </c>
      <c r="R149" s="14">
        <v>0.22333333329999999</v>
      </c>
      <c r="S149" s="14">
        <v>0</v>
      </c>
      <c r="T149" s="14">
        <v>0.51666666669999994</v>
      </c>
      <c r="U149" s="14">
        <v>0.24</v>
      </c>
      <c r="V149" s="14">
        <v>0.02</v>
      </c>
      <c r="W149" s="14">
        <v>0</v>
      </c>
      <c r="X149" s="14">
        <v>0</v>
      </c>
      <c r="Y149" s="15">
        <f t="shared" si="10"/>
        <v>1</v>
      </c>
      <c r="Z149" s="2" t="str">
        <v>Romania</v>
      </c>
      <c r="AA149" s="14">
        <v>0.40666666669999996</v>
      </c>
      <c r="AB149" s="14">
        <v>0</v>
      </c>
      <c r="AC149" s="14">
        <v>0.23333333329999997</v>
      </c>
      <c r="AD149" s="14">
        <v>0.33</v>
      </c>
      <c r="AE149" s="14">
        <v>0.03</v>
      </c>
      <c r="AF149" s="14">
        <v>0</v>
      </c>
      <c r="AG149" s="14">
        <v>0</v>
      </c>
      <c r="AH149" s="15">
        <f t="shared" si="11"/>
        <v>1</v>
      </c>
    </row>
    <row r="150" spans="8:34" x14ac:dyDescent="0.25">
      <c r="H150" s="2" t="str">
        <v>Slovakia</v>
      </c>
      <c r="I150" s="14">
        <v>0.11176347659649999</v>
      </c>
      <c r="J150" s="14">
        <v>4.27371325E-5</v>
      </c>
      <c r="K150" s="14">
        <v>0.79819378627199999</v>
      </c>
      <c r="L150" s="14">
        <v>6.5000000000000002E-2</v>
      </c>
      <c r="M150" s="14">
        <v>2.5000000000000001E-2</v>
      </c>
      <c r="N150" s="14">
        <v>0</v>
      </c>
      <c r="O150" s="14">
        <v>0</v>
      </c>
      <c r="P150" s="15">
        <f t="shared" si="9"/>
        <v>1.0000000000009999</v>
      </c>
      <c r="Q150" s="2" t="str">
        <v>Slovakia</v>
      </c>
      <c r="R150" s="14">
        <v>0.22333333329999999</v>
      </c>
      <c r="S150" s="14">
        <v>0</v>
      </c>
      <c r="T150" s="14">
        <v>0.59666666670000001</v>
      </c>
      <c r="U150" s="14">
        <v>0.13</v>
      </c>
      <c r="V150" s="14">
        <v>0.05</v>
      </c>
      <c r="W150" s="14">
        <v>0</v>
      </c>
      <c r="X150" s="14">
        <v>0</v>
      </c>
      <c r="Y150" s="15">
        <f t="shared" si="10"/>
        <v>1</v>
      </c>
      <c r="Z150" s="2" t="str">
        <v>Slovakia</v>
      </c>
      <c r="AA150" s="14">
        <v>0.40666666669999996</v>
      </c>
      <c r="AB150" s="14">
        <v>0</v>
      </c>
      <c r="AC150" s="14">
        <v>0.2933333333</v>
      </c>
      <c r="AD150" s="14">
        <v>0.24</v>
      </c>
      <c r="AE150" s="14">
        <v>0.06</v>
      </c>
      <c r="AF150" s="14">
        <v>0</v>
      </c>
      <c r="AG150" s="14">
        <v>0</v>
      </c>
      <c r="AH150" s="15">
        <f t="shared" si="11"/>
        <v>1</v>
      </c>
    </row>
    <row r="151" spans="8:34" x14ac:dyDescent="0.25">
      <c r="H151" s="2" t="str">
        <v>Slovenia</v>
      </c>
      <c r="I151" s="14">
        <v>0.11207828923199999</v>
      </c>
      <c r="J151" s="14">
        <v>4.9757371E-5</v>
      </c>
      <c r="K151" s="14">
        <v>0.75056639631300004</v>
      </c>
      <c r="L151" s="14">
        <v>0.12</v>
      </c>
      <c r="M151" s="14">
        <v>1.1227672857499999E-2</v>
      </c>
      <c r="N151" s="14">
        <v>0</v>
      </c>
      <c r="O151" s="14">
        <v>6.0778842275000002E-3</v>
      </c>
      <c r="P151" s="15">
        <f t="shared" si="9"/>
        <v>1.0000000000010001</v>
      </c>
      <c r="Q151" s="2" t="str">
        <v>Slovenia</v>
      </c>
      <c r="R151" s="14">
        <v>0.22333333329999999</v>
      </c>
      <c r="S151" s="14">
        <v>0</v>
      </c>
      <c r="T151" s="14">
        <v>0.51666666669999994</v>
      </c>
      <c r="U151" s="14">
        <v>0.24</v>
      </c>
      <c r="V151" s="14">
        <v>0.02</v>
      </c>
      <c r="W151" s="14">
        <v>0</v>
      </c>
      <c r="X151" s="14">
        <v>0</v>
      </c>
      <c r="Y151" s="15">
        <f t="shared" si="10"/>
        <v>1</v>
      </c>
      <c r="Z151" s="2" t="str">
        <v>Slovenia</v>
      </c>
      <c r="AA151" s="14">
        <v>0.40666666669999996</v>
      </c>
      <c r="AB151" s="14">
        <v>0</v>
      </c>
      <c r="AC151" s="14">
        <v>0.23333333329999997</v>
      </c>
      <c r="AD151" s="14">
        <v>0.33</v>
      </c>
      <c r="AE151" s="14">
        <v>0.03</v>
      </c>
      <c r="AF151" s="14">
        <v>0</v>
      </c>
      <c r="AG151" s="14">
        <v>0</v>
      </c>
      <c r="AH151" s="15">
        <f t="shared" si="11"/>
        <v>1</v>
      </c>
    </row>
    <row r="152" spans="8:34" x14ac:dyDescent="0.25">
      <c r="H152" s="2" t="str">
        <v>Spain</v>
      </c>
      <c r="I152" s="14">
        <v>0.20078810583800002</v>
      </c>
      <c r="J152" s="14">
        <v>7.5970221000000004E-5</v>
      </c>
      <c r="K152" s="14">
        <v>0.62372158351250007</v>
      </c>
      <c r="L152" s="14">
        <v>0</v>
      </c>
      <c r="M152" s="14">
        <v>0.17511942076099998</v>
      </c>
      <c r="N152" s="14">
        <v>0</v>
      </c>
      <c r="O152" s="14">
        <v>2.9491966899999997E-4</v>
      </c>
      <c r="P152" s="15">
        <f t="shared" si="9"/>
        <v>1.0000000000015001</v>
      </c>
      <c r="Q152" s="2" t="str">
        <v>Spain</v>
      </c>
      <c r="R152" s="14">
        <v>0.4</v>
      </c>
      <c r="S152" s="14">
        <v>0</v>
      </c>
      <c r="T152" s="14">
        <v>0.25</v>
      </c>
      <c r="U152" s="14">
        <v>0</v>
      </c>
      <c r="V152" s="14">
        <v>0.35</v>
      </c>
      <c r="W152" s="14">
        <v>0</v>
      </c>
      <c r="X152" s="14">
        <v>0</v>
      </c>
      <c r="Y152" s="15">
        <f t="shared" si="10"/>
        <v>1</v>
      </c>
      <c r="Z152" s="2" t="str">
        <v>Spain</v>
      </c>
      <c r="AA152" s="14">
        <v>0.6</v>
      </c>
      <c r="AB152" s="14">
        <v>0</v>
      </c>
      <c r="AC152" s="14">
        <v>0</v>
      </c>
      <c r="AD152" s="14">
        <v>0.19</v>
      </c>
      <c r="AE152" s="14">
        <v>0.21</v>
      </c>
      <c r="AF152" s="14">
        <v>0</v>
      </c>
      <c r="AG152" s="14">
        <v>0</v>
      </c>
      <c r="AH152" s="15">
        <f t="shared" si="11"/>
        <v>1</v>
      </c>
    </row>
    <row r="153" spans="8:34" x14ac:dyDescent="0.25">
      <c r="H153" s="2" t="str">
        <v>Sweden</v>
      </c>
      <c r="I153" s="14">
        <v>0.21538269205000002</v>
      </c>
      <c r="J153" s="14">
        <v>4.4821388000000005E-5</v>
      </c>
      <c r="K153" s="14">
        <v>0.67807072959149994</v>
      </c>
      <c r="L153" s="14">
        <v>0.1</v>
      </c>
      <c r="M153" s="14">
        <v>6.5017569710000001E-3</v>
      </c>
      <c r="N153" s="14">
        <v>0</v>
      </c>
      <c r="O153" s="14">
        <v>0</v>
      </c>
      <c r="P153" s="15">
        <f t="shared" si="9"/>
        <v>1.0000000000005</v>
      </c>
      <c r="Q153" s="2" t="str">
        <v>Sweden</v>
      </c>
      <c r="R153" s="14">
        <v>0.42200000000000004</v>
      </c>
      <c r="S153" s="14">
        <v>0</v>
      </c>
      <c r="T153" s="14">
        <v>0.37799999999999995</v>
      </c>
      <c r="U153" s="14">
        <v>0.2</v>
      </c>
      <c r="V153" s="14">
        <v>0</v>
      </c>
      <c r="W153" s="14">
        <v>0</v>
      </c>
      <c r="X153" s="14">
        <v>0</v>
      </c>
      <c r="Y153" s="15">
        <f t="shared" si="10"/>
        <v>1</v>
      </c>
      <c r="Z153" s="2" t="str">
        <v>Sweden</v>
      </c>
      <c r="AA153" s="14">
        <v>0.67</v>
      </c>
      <c r="AB153" s="14">
        <v>0</v>
      </c>
      <c r="AC153" s="14">
        <v>0</v>
      </c>
      <c r="AD153" s="14">
        <v>0.33</v>
      </c>
      <c r="AE153" s="14">
        <v>0</v>
      </c>
      <c r="AF153" s="14">
        <v>0</v>
      </c>
      <c r="AG153" s="14">
        <v>0</v>
      </c>
      <c r="AH153" s="15">
        <f t="shared" si="11"/>
        <v>1</v>
      </c>
    </row>
    <row r="154" spans="8:34" x14ac:dyDescent="0.25">
      <c r="H154" s="2" t="str">
        <v>Switzerland</v>
      </c>
      <c r="I154" s="14">
        <v>0.40102359337700005</v>
      </c>
      <c r="J154" s="14">
        <v>1.5077195571999999E-2</v>
      </c>
      <c r="K154" s="14">
        <v>0.49570739145250003</v>
      </c>
      <c r="L154" s="14">
        <v>7.4999999999999997E-2</v>
      </c>
      <c r="M154" s="14">
        <v>1.0836152376999999E-2</v>
      </c>
      <c r="N154" s="14">
        <v>0</v>
      </c>
      <c r="O154" s="14">
        <v>2.3556672230000001E-3</v>
      </c>
      <c r="P154" s="15">
        <f t="shared" si="9"/>
        <v>1.0000000000015001</v>
      </c>
      <c r="Q154" s="2" t="str">
        <v>Switzerland</v>
      </c>
      <c r="R154" s="14">
        <v>0.8</v>
      </c>
      <c r="S154" s="14">
        <v>0.03</v>
      </c>
      <c r="T154" s="14">
        <v>0.02</v>
      </c>
      <c r="U154" s="14">
        <v>0.15</v>
      </c>
      <c r="V154" s="14">
        <v>0</v>
      </c>
      <c r="W154" s="14">
        <v>0</v>
      </c>
      <c r="X154" s="14">
        <v>0</v>
      </c>
      <c r="Y154" s="15">
        <f t="shared" si="10"/>
        <v>1</v>
      </c>
      <c r="Z154" s="2" t="str">
        <v>Switzerland</v>
      </c>
      <c r="AA154" s="14">
        <v>0.9</v>
      </c>
      <c r="AB154" s="14">
        <v>5.0000000000000001E-3</v>
      </c>
      <c r="AC154" s="14">
        <v>5.0000000000000001E-3</v>
      </c>
      <c r="AD154" s="14">
        <v>0.09</v>
      </c>
      <c r="AE154" s="14">
        <v>0</v>
      </c>
      <c r="AF154" s="14">
        <v>0</v>
      </c>
      <c r="AG154" s="14">
        <v>0</v>
      </c>
      <c r="AH154" s="15">
        <f t="shared" si="11"/>
        <v>1</v>
      </c>
    </row>
    <row r="155" spans="8:34" ht="30" x14ac:dyDescent="0.25">
      <c r="H155" s="2" t="str">
        <v>United_Kingdom</v>
      </c>
      <c r="I155" s="14">
        <v>0.26997377258400002</v>
      </c>
      <c r="J155" s="14">
        <v>5.4995940890000001E-3</v>
      </c>
      <c r="K155" s="14">
        <v>0.61349569787150005</v>
      </c>
      <c r="L155" s="14">
        <v>9.1649999999999995E-2</v>
      </c>
      <c r="M155" s="14">
        <v>0</v>
      </c>
      <c r="N155" s="14">
        <v>0</v>
      </c>
      <c r="O155" s="14">
        <v>1.9380935457000002E-2</v>
      </c>
      <c r="P155" s="15">
        <f t="shared" si="9"/>
        <v>1.0000000000015001</v>
      </c>
      <c r="Q155" s="2" t="str">
        <v>United_Kingdom</v>
      </c>
      <c r="R155" s="14">
        <v>0.52400000000000002</v>
      </c>
      <c r="S155" s="14">
        <v>4.4000000000000003E-3</v>
      </c>
      <c r="T155" s="14">
        <v>0.27279999999999999</v>
      </c>
      <c r="U155" s="14">
        <v>0.18329999999999999</v>
      </c>
      <c r="V155" s="14">
        <v>0</v>
      </c>
      <c r="W155" s="14">
        <v>0</v>
      </c>
      <c r="X155" s="14">
        <v>1.55E-2</v>
      </c>
      <c r="Y155" s="15">
        <f t="shared" si="10"/>
        <v>0.99999999999999989</v>
      </c>
      <c r="Z155" s="2" t="str">
        <v>United_Kingdom</v>
      </c>
      <c r="AA155" s="14">
        <v>0.7</v>
      </c>
      <c r="AB155" s="14">
        <v>0</v>
      </c>
      <c r="AC155" s="14">
        <v>0.05</v>
      </c>
      <c r="AD155" s="14">
        <v>0.25</v>
      </c>
      <c r="AE155" s="14">
        <v>0</v>
      </c>
      <c r="AF155" s="14">
        <v>0</v>
      </c>
      <c r="AG155" s="14">
        <v>0</v>
      </c>
      <c r="AH155" s="15">
        <f t="shared" si="1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1E28-B425-4C22-866F-2D744AB6ED60}">
  <sheetPr>
    <tabColor theme="0"/>
  </sheetPr>
  <dimension ref="F12:O54"/>
  <sheetViews>
    <sheetView topLeftCell="C13" workbookViewId="0">
      <selection activeCell="G14" sqref="G14:G43"/>
    </sheetView>
  </sheetViews>
  <sheetFormatPr defaultColWidth="8.7109375" defaultRowHeight="15" x14ac:dyDescent="0.25"/>
  <cols>
    <col min="1" max="5" width="8.7109375" style="3"/>
    <col min="6" max="6" width="14.7109375" style="3" bestFit="1" customWidth="1"/>
    <col min="7" max="7" width="20.85546875" style="3" bestFit="1" customWidth="1"/>
    <col min="8" max="8" width="26.42578125" style="3" bestFit="1" customWidth="1"/>
    <col min="9" max="9" width="19.7109375" style="3" customWidth="1"/>
    <col min="10" max="11" width="18.42578125" style="3" customWidth="1"/>
    <col min="12" max="12" width="11.5703125" style="3" customWidth="1"/>
    <col min="13" max="13" width="21.7109375" style="3" customWidth="1"/>
    <col min="14" max="16384" width="8.7109375" style="3"/>
  </cols>
  <sheetData>
    <row r="12" spans="6:15" ht="135.6" customHeight="1" x14ac:dyDescent="0.25">
      <c r="G12" s="9" t="s">
        <v>176</v>
      </c>
      <c r="H12" s="10" t="s">
        <v>192</v>
      </c>
      <c r="K12" s="25" t="s">
        <v>216</v>
      </c>
      <c r="L12" s="25"/>
      <c r="M12" s="25"/>
    </row>
    <row r="13" spans="6:15" ht="30" x14ac:dyDescent="0.25">
      <c r="G13" s="2" t="s">
        <v>173</v>
      </c>
      <c r="H13" s="2" t="s">
        <v>194</v>
      </c>
      <c r="I13" s="2" t="s">
        <v>195</v>
      </c>
      <c r="J13" s="2" t="s">
        <v>196</v>
      </c>
      <c r="K13" s="2" t="s">
        <v>206</v>
      </c>
      <c r="L13" s="2" t="s">
        <v>207</v>
      </c>
      <c r="M13" s="2" t="s">
        <v>208</v>
      </c>
    </row>
    <row r="14" spans="6:15" x14ac:dyDescent="0.25">
      <c r="F14" s="2" t="str" cm="1">
        <f t="array" ref="F14:F43">countries</f>
        <v>Austria</v>
      </c>
      <c r="G14" s="6">
        <v>5150890</v>
      </c>
      <c r="H14" s="17">
        <v>4.8000000000000001E-2</v>
      </c>
      <c r="I14" s="7" cm="1">
        <f t="array" ref="I14:I43">Cars_amount*percent_living_in_houses</f>
        <v>247242.72</v>
      </c>
      <c r="J14" s="7" cm="1">
        <f t="array" ref="J14:J43">Cars_amount-own_driveway_fleet</f>
        <v>4903647.28</v>
      </c>
      <c r="K14" s="6">
        <v>10136</v>
      </c>
      <c r="L14" s="6">
        <v>74473</v>
      </c>
      <c r="M14" s="6">
        <v>493387</v>
      </c>
      <c r="O14" s="16">
        <f>L14/(L14+M14)</f>
        <v>0.13114676152572818</v>
      </c>
    </row>
    <row r="15" spans="6:15" ht="15.75" thickBot="1" x14ac:dyDescent="0.3">
      <c r="F15" s="2" t="str">
        <v>Belgium</v>
      </c>
      <c r="G15" s="6">
        <v>5955127</v>
      </c>
      <c r="H15" s="17">
        <v>0.13699999999999998</v>
      </c>
      <c r="I15" s="7">
        <v>815852.39899999986</v>
      </c>
      <c r="J15" s="7">
        <v>5139274.6009999998</v>
      </c>
      <c r="K15" s="6">
        <v>16606</v>
      </c>
      <c r="L15" s="6">
        <v>138807</v>
      </c>
      <c r="M15" s="6">
        <v>861148</v>
      </c>
      <c r="O15" s="16">
        <f t="shared" ref="O15:O43" si="0">L15/(L15+M15)</f>
        <v>0.13881324659609681</v>
      </c>
    </row>
    <row r="16" spans="6:15" ht="16.5" thickTop="1" thickBot="1" x14ac:dyDescent="0.3">
      <c r="F16" s="2" t="str">
        <v>Bulgaria</v>
      </c>
      <c r="G16" s="6">
        <v>2896777</v>
      </c>
      <c r="H16" s="17">
        <v>9.3000000000000013E-2</v>
      </c>
      <c r="I16" s="7">
        <v>269400.26100000006</v>
      </c>
      <c r="J16" s="7">
        <v>2627376.7390000001</v>
      </c>
      <c r="K16" s="6">
        <v>17352</v>
      </c>
      <c r="L16" s="5">
        <f>0.13*410197</f>
        <v>53325.61</v>
      </c>
      <c r="M16" s="5">
        <f>0.87*0.13*410197</f>
        <v>46393.280700000003</v>
      </c>
      <c r="O16" s="16">
        <f t="shared" si="0"/>
        <v>0.53475935828877008</v>
      </c>
    </row>
    <row r="17" spans="6:15" ht="15.75" thickTop="1" x14ac:dyDescent="0.25">
      <c r="F17" s="2" t="str">
        <v>Croatia</v>
      </c>
      <c r="G17" s="6">
        <v>1840767</v>
      </c>
      <c r="H17" s="17">
        <v>0.14199999999999999</v>
      </c>
      <c r="I17" s="7">
        <v>261388.91399999999</v>
      </c>
      <c r="J17" s="7">
        <v>1579378.0860000001</v>
      </c>
      <c r="K17" s="6">
        <v>5136</v>
      </c>
      <c r="L17" s="6">
        <v>51072</v>
      </c>
      <c r="M17" s="6">
        <v>162644</v>
      </c>
      <c r="O17" s="16">
        <f t="shared" si="0"/>
        <v>0.23897134514963783</v>
      </c>
    </row>
    <row r="18" spans="6:15" x14ac:dyDescent="0.25">
      <c r="F18" s="2" t="str">
        <v>Cyprus</v>
      </c>
      <c r="G18" s="6">
        <v>601131</v>
      </c>
      <c r="H18" s="17">
        <v>0.311</v>
      </c>
      <c r="I18" s="7">
        <v>186951.74100000001</v>
      </c>
      <c r="J18" s="7">
        <v>414179.25899999996</v>
      </c>
      <c r="K18" s="6">
        <v>2774</v>
      </c>
      <c r="L18" s="6">
        <v>13710</v>
      </c>
      <c r="M18" s="6">
        <v>104216</v>
      </c>
      <c r="O18" s="16">
        <f t="shared" si="0"/>
        <v>0.11625934908332344</v>
      </c>
    </row>
    <row r="19" spans="6:15" x14ac:dyDescent="0.25">
      <c r="F19" s="2" t="str">
        <v>Czechia</v>
      </c>
      <c r="G19" s="6">
        <v>6305934</v>
      </c>
      <c r="H19" s="17">
        <v>5.2000000000000005E-2</v>
      </c>
      <c r="I19" s="7">
        <v>327908.56800000003</v>
      </c>
      <c r="J19" s="7">
        <v>5978025.432</v>
      </c>
      <c r="K19" s="6">
        <v>20489</v>
      </c>
      <c r="L19" s="6">
        <v>186905</v>
      </c>
      <c r="M19" s="6">
        <v>610405</v>
      </c>
      <c r="O19" s="16">
        <f t="shared" si="0"/>
        <v>0.2344194855200612</v>
      </c>
    </row>
    <row r="20" spans="6:15" x14ac:dyDescent="0.25">
      <c r="F20" s="2" t="str">
        <v>Denmark</v>
      </c>
      <c r="G20" s="6">
        <v>2801076</v>
      </c>
      <c r="H20" s="17">
        <v>0.11900000000000001</v>
      </c>
      <c r="I20" s="7">
        <v>333328.04400000005</v>
      </c>
      <c r="J20" s="7">
        <v>2467747.9559999998</v>
      </c>
      <c r="K20" s="6">
        <v>8684</v>
      </c>
      <c r="L20" s="6">
        <v>43227</v>
      </c>
      <c r="M20" s="6">
        <v>373267</v>
      </c>
      <c r="O20" s="16">
        <f t="shared" si="0"/>
        <v>0.10378780966832656</v>
      </c>
    </row>
    <row r="21" spans="6:15" x14ac:dyDescent="0.25">
      <c r="F21" s="2" t="str">
        <v>Estonia</v>
      </c>
      <c r="G21" s="6">
        <v>849294</v>
      </c>
      <c r="H21" s="17">
        <v>0.113</v>
      </c>
      <c r="I21" s="7">
        <v>95970.222000000009</v>
      </c>
      <c r="J21" s="7">
        <v>753323.77799999993</v>
      </c>
      <c r="K21" s="6">
        <v>5327</v>
      </c>
      <c r="L21" s="6">
        <v>41014</v>
      </c>
      <c r="M21" s="6">
        <v>99094</v>
      </c>
      <c r="O21" s="16">
        <f t="shared" si="0"/>
        <v>0.29273132155194564</v>
      </c>
    </row>
    <row r="22" spans="6:15" x14ac:dyDescent="0.25">
      <c r="F22" s="2" t="str">
        <v>Finland</v>
      </c>
      <c r="G22" s="6">
        <v>3673750</v>
      </c>
      <c r="H22" s="17">
        <v>0.154</v>
      </c>
      <c r="I22" s="7">
        <v>565757.5</v>
      </c>
      <c r="J22" s="7">
        <v>3107992.5</v>
      </c>
      <c r="K22" s="6">
        <v>10476</v>
      </c>
      <c r="L22" s="6">
        <v>94771</v>
      </c>
      <c r="M22" s="6">
        <v>343927</v>
      </c>
      <c r="O22" s="16">
        <f t="shared" si="0"/>
        <v>0.2160278825068726</v>
      </c>
    </row>
    <row r="23" spans="6:15" x14ac:dyDescent="0.25">
      <c r="F23" s="2" t="str">
        <v>France</v>
      </c>
      <c r="G23" s="6">
        <v>38856492</v>
      </c>
      <c r="H23" s="17">
        <v>0.21</v>
      </c>
      <c r="I23" s="7">
        <v>8159863.3199999994</v>
      </c>
      <c r="J23" s="7">
        <v>30696628.68</v>
      </c>
      <c r="K23" s="6">
        <v>94523</v>
      </c>
      <c r="L23" s="6">
        <v>616467</v>
      </c>
      <c r="M23" s="6">
        <v>6279138</v>
      </c>
      <c r="O23" s="16">
        <f t="shared" si="0"/>
        <v>8.9399987383268043E-2</v>
      </c>
    </row>
    <row r="24" spans="6:15" x14ac:dyDescent="0.25">
      <c r="F24" s="2" t="str">
        <v>Germany</v>
      </c>
      <c r="G24" s="6">
        <v>48763036</v>
      </c>
      <c r="H24" s="17">
        <v>7.9000000000000001E-2</v>
      </c>
      <c r="I24" s="7">
        <v>3852279.844</v>
      </c>
      <c r="J24" s="7">
        <v>44910756.156000003</v>
      </c>
      <c r="K24" s="6">
        <v>80225</v>
      </c>
      <c r="L24" s="6">
        <v>964696</v>
      </c>
      <c r="M24" s="6">
        <v>3141643</v>
      </c>
      <c r="O24" s="16">
        <f t="shared" si="0"/>
        <v>0.23492848495947363</v>
      </c>
    </row>
    <row r="25" spans="6:15" x14ac:dyDescent="0.25">
      <c r="F25" s="2" t="str">
        <v>Greece</v>
      </c>
      <c r="G25" s="6">
        <v>5726012</v>
      </c>
      <c r="H25" s="17">
        <v>4.8000000000000001E-2</v>
      </c>
      <c r="I25" s="7">
        <v>274848.576</v>
      </c>
      <c r="J25" s="7">
        <v>5451163.4239999996</v>
      </c>
      <c r="K25" s="6">
        <v>28034</v>
      </c>
      <c r="L25" s="6">
        <v>225571</v>
      </c>
      <c r="M25" s="6">
        <v>944308</v>
      </c>
      <c r="O25" s="16">
        <f t="shared" si="0"/>
        <v>0.19281566726131505</v>
      </c>
    </row>
    <row r="26" spans="6:15" x14ac:dyDescent="0.25">
      <c r="F26" s="2" t="str">
        <v>Hungary</v>
      </c>
      <c r="G26" s="6">
        <v>4094129</v>
      </c>
      <c r="H26" s="17">
        <v>0.126</v>
      </c>
      <c r="I26" s="7">
        <v>515860.25400000002</v>
      </c>
      <c r="J26" s="7">
        <v>3578268.7459999998</v>
      </c>
      <c r="K26" s="6">
        <v>17723</v>
      </c>
      <c r="L26" s="6">
        <v>95964</v>
      </c>
      <c r="M26" s="6">
        <v>501553</v>
      </c>
      <c r="O26" s="16">
        <f t="shared" si="0"/>
        <v>0.16060463551664639</v>
      </c>
    </row>
    <row r="27" spans="6:15" x14ac:dyDescent="0.25">
      <c r="F27" s="2" t="str">
        <v>Ireland</v>
      </c>
      <c r="G27" s="6">
        <v>2335130</v>
      </c>
      <c r="H27" s="17">
        <v>0.30099999999999999</v>
      </c>
      <c r="I27" s="7">
        <v>702874.13</v>
      </c>
      <c r="J27" s="7">
        <v>1632255.87</v>
      </c>
      <c r="K27" s="6">
        <v>6758</v>
      </c>
      <c r="L27" s="6">
        <v>48158</v>
      </c>
      <c r="M27" s="6">
        <v>404521</v>
      </c>
      <c r="O27" s="16">
        <f t="shared" si="0"/>
        <v>0.10638443577015942</v>
      </c>
    </row>
    <row r="28" spans="6:15" x14ac:dyDescent="0.25">
      <c r="F28" s="2" t="str">
        <v>Italy</v>
      </c>
      <c r="G28" s="6">
        <v>40213061</v>
      </c>
      <c r="H28" s="17">
        <v>8.5999999999999993E-2</v>
      </c>
      <c r="I28" s="7">
        <v>3458323.2459999998</v>
      </c>
      <c r="J28" s="7">
        <v>36754737.754000001</v>
      </c>
      <c r="K28" s="6">
        <v>100199</v>
      </c>
      <c r="L28" s="6">
        <v>960284</v>
      </c>
      <c r="M28" s="6">
        <v>4318840</v>
      </c>
      <c r="O28" s="16">
        <f t="shared" si="0"/>
        <v>0.18190214891713094</v>
      </c>
    </row>
    <row r="29" spans="6:15" x14ac:dyDescent="0.25">
      <c r="F29" s="2" t="str">
        <v>Latvia</v>
      </c>
      <c r="G29" s="6">
        <v>769723</v>
      </c>
      <c r="H29" s="17">
        <v>5.9000000000000004E-2</v>
      </c>
      <c r="I29" s="7">
        <v>45413.657000000007</v>
      </c>
      <c r="J29" s="7">
        <v>724309.34299999999</v>
      </c>
      <c r="K29" s="6">
        <v>3742</v>
      </c>
      <c r="L29" s="6">
        <v>33144</v>
      </c>
      <c r="M29" s="6">
        <v>63177</v>
      </c>
      <c r="O29" s="16">
        <f t="shared" si="0"/>
        <v>0.34409941757249196</v>
      </c>
    </row>
    <row r="30" spans="6:15" x14ac:dyDescent="0.25">
      <c r="F30" s="2" t="str">
        <v>Lithuania</v>
      </c>
      <c r="G30" s="6">
        <v>1650384</v>
      </c>
      <c r="H30" s="17">
        <v>5.5999999999999994E-2</v>
      </c>
      <c r="I30" s="7">
        <v>92421.503999999986</v>
      </c>
      <c r="J30" s="7">
        <v>1557962.496</v>
      </c>
      <c r="K30" s="6">
        <v>8069</v>
      </c>
      <c r="L30" s="6">
        <v>73019</v>
      </c>
      <c r="M30" s="6">
        <v>56012</v>
      </c>
      <c r="O30" s="16">
        <f t="shared" si="0"/>
        <v>0.56590276755198365</v>
      </c>
    </row>
    <row r="31" spans="6:15" ht="15.75" thickBot="1" x14ac:dyDescent="0.3">
      <c r="F31" s="2" t="str">
        <v>Luxembourg</v>
      </c>
      <c r="G31" s="6">
        <v>444818</v>
      </c>
      <c r="H31" s="17">
        <v>4.9000000000000002E-2</v>
      </c>
      <c r="I31" s="7">
        <v>21796.082000000002</v>
      </c>
      <c r="J31" s="7">
        <v>423021.91800000001</v>
      </c>
      <c r="K31" s="6">
        <v>2217</v>
      </c>
      <c r="L31" s="6">
        <v>13966</v>
      </c>
      <c r="M31" s="6">
        <v>40872</v>
      </c>
      <c r="O31" s="16">
        <f t="shared" si="0"/>
        <v>0.25467741347240963</v>
      </c>
    </row>
    <row r="32" spans="6:15" ht="16.5" thickTop="1" thickBot="1" x14ac:dyDescent="0.3">
      <c r="F32" s="2" t="str">
        <v>Malta</v>
      </c>
      <c r="G32" s="6">
        <v>317234</v>
      </c>
      <c r="H32" s="17">
        <v>0.39700000000000002</v>
      </c>
      <c r="I32" s="7">
        <v>125941.898</v>
      </c>
      <c r="J32" s="7">
        <v>191292.10200000001</v>
      </c>
      <c r="K32" s="6">
        <v>2306</v>
      </c>
      <c r="L32" s="5">
        <f>0.13*52573</f>
        <v>6834.49</v>
      </c>
      <c r="M32" s="5">
        <f>0.87*52573</f>
        <v>45738.51</v>
      </c>
      <c r="O32" s="16">
        <f t="shared" si="0"/>
        <v>0.13</v>
      </c>
    </row>
    <row r="33" spans="6:15" ht="15.75" thickTop="1" x14ac:dyDescent="0.25">
      <c r="F33" s="2" t="str">
        <v>Netherlands</v>
      </c>
      <c r="G33" s="6">
        <v>8917107</v>
      </c>
      <c r="H33" s="17">
        <v>0.36899999999999999</v>
      </c>
      <c r="I33" s="7">
        <v>3290412.483</v>
      </c>
      <c r="J33" s="7">
        <v>5626694.517</v>
      </c>
      <c r="K33" s="6">
        <v>9316</v>
      </c>
      <c r="L33" s="6">
        <v>158108</v>
      </c>
      <c r="M33" s="6">
        <v>1057084</v>
      </c>
      <c r="O33" s="16">
        <f t="shared" si="0"/>
        <v>0.13010948064174221</v>
      </c>
    </row>
    <row r="34" spans="6:15" x14ac:dyDescent="0.25">
      <c r="F34" s="2" t="str">
        <v>Norway</v>
      </c>
      <c r="G34" s="6">
        <v>3018728</v>
      </c>
      <c r="H34" s="17">
        <v>0.16200000000000001</v>
      </c>
      <c r="I34" s="7">
        <v>489033.93599999999</v>
      </c>
      <c r="J34" s="7">
        <v>2529694.0640000002</v>
      </c>
      <c r="K34" s="6">
        <v>15558</v>
      </c>
      <c r="L34" s="6">
        <v>88137</v>
      </c>
      <c r="M34" s="6">
        <v>535454</v>
      </c>
      <c r="O34" s="16">
        <f t="shared" si="0"/>
        <v>0.14133783200847991</v>
      </c>
    </row>
    <row r="35" spans="6:15" x14ac:dyDescent="0.25">
      <c r="F35" s="2" t="str">
        <v>Poland</v>
      </c>
      <c r="G35" s="6">
        <v>21458101</v>
      </c>
      <c r="H35" s="17">
        <v>7.8E-2</v>
      </c>
      <c r="I35" s="7">
        <v>1673731.878</v>
      </c>
      <c r="J35" s="7">
        <v>19784369.122000001</v>
      </c>
      <c r="K35" s="6">
        <v>126547</v>
      </c>
      <c r="L35" s="6">
        <v>1234074</v>
      </c>
      <c r="M35" s="6">
        <v>2905731</v>
      </c>
      <c r="O35" s="16">
        <f t="shared" si="0"/>
        <v>0.29809954816712381</v>
      </c>
    </row>
    <row r="36" spans="6:15" x14ac:dyDescent="0.25">
      <c r="F36" s="2" t="str">
        <v>Portugal</v>
      </c>
      <c r="G36" s="6">
        <v>5778584</v>
      </c>
      <c r="H36" s="17">
        <v>0.153</v>
      </c>
      <c r="I36" s="7">
        <v>884123.35199999996</v>
      </c>
      <c r="J36" s="7">
        <v>4894460.648</v>
      </c>
      <c r="K36" s="6">
        <v>17300</v>
      </c>
      <c r="L36" s="6">
        <v>135000</v>
      </c>
      <c r="M36" s="6">
        <v>1150000</v>
      </c>
      <c r="O36" s="16">
        <f t="shared" si="0"/>
        <v>0.10505836575875487</v>
      </c>
    </row>
    <row r="37" spans="6:15" x14ac:dyDescent="0.25">
      <c r="F37" s="2" t="str">
        <v>Romania</v>
      </c>
      <c r="G37" s="6">
        <v>7865186</v>
      </c>
      <c r="H37" s="17">
        <v>0.06</v>
      </c>
      <c r="I37" s="7">
        <v>471911.16</v>
      </c>
      <c r="J37" s="7">
        <v>7393274.8399999999</v>
      </c>
      <c r="K37" s="6">
        <v>54351</v>
      </c>
      <c r="L37" s="6">
        <v>437267</v>
      </c>
      <c r="M37" s="6">
        <v>750751</v>
      </c>
      <c r="O37" s="16">
        <f t="shared" si="0"/>
        <v>0.36806428858822005</v>
      </c>
    </row>
    <row r="38" spans="6:15" x14ac:dyDescent="0.25">
      <c r="F38" s="2" t="str">
        <v>Slovakia</v>
      </c>
      <c r="G38" s="6">
        <v>2555491</v>
      </c>
      <c r="H38" s="17">
        <v>3.1E-2</v>
      </c>
      <c r="I38" s="7">
        <v>79220.221000000005</v>
      </c>
      <c r="J38" s="7">
        <v>2476270.7790000001</v>
      </c>
      <c r="K38" s="6">
        <v>8282</v>
      </c>
      <c r="L38" s="6">
        <v>83341</v>
      </c>
      <c r="M38" s="6">
        <v>285860</v>
      </c>
      <c r="O38" s="16">
        <f t="shared" si="0"/>
        <v>0.22573340808936054</v>
      </c>
    </row>
    <row r="39" spans="6:15" x14ac:dyDescent="0.25">
      <c r="F39" s="2" t="str">
        <v>Slovenia</v>
      </c>
      <c r="G39" s="6">
        <v>1207755</v>
      </c>
      <c r="H39" s="17">
        <v>8.199999999999999E-2</v>
      </c>
      <c r="I39" s="7">
        <v>99035.909999999989</v>
      </c>
      <c r="J39" s="7">
        <v>1108719.0900000001</v>
      </c>
      <c r="K39" s="6">
        <v>2502</v>
      </c>
      <c r="L39" s="6">
        <v>37951</v>
      </c>
      <c r="M39" s="6">
        <v>94850</v>
      </c>
      <c r="O39" s="16">
        <f t="shared" si="0"/>
        <v>0.28577345050112574</v>
      </c>
    </row>
    <row r="40" spans="6:15" x14ac:dyDescent="0.25">
      <c r="F40" s="2" t="str">
        <v>Spain</v>
      </c>
      <c r="G40" s="6">
        <v>26605478</v>
      </c>
      <c r="H40" s="17">
        <v>7.9000000000000001E-2</v>
      </c>
      <c r="I40" s="7">
        <v>2101832.7620000001</v>
      </c>
      <c r="J40" s="7">
        <v>24503645.237999998</v>
      </c>
      <c r="K40" s="6">
        <v>60998</v>
      </c>
      <c r="L40" s="6">
        <v>571927</v>
      </c>
      <c r="M40" s="6">
        <v>3898195</v>
      </c>
      <c r="O40" s="16">
        <f t="shared" si="0"/>
        <v>0.12794438272601955</v>
      </c>
    </row>
    <row r="41" spans="6:15" x14ac:dyDescent="0.25">
      <c r="F41" s="2" t="str">
        <v>Sweden</v>
      </c>
      <c r="G41" s="6">
        <v>4979761</v>
      </c>
      <c r="H41" s="17">
        <v>0.14199999999999999</v>
      </c>
      <c r="I41" s="7">
        <v>707126.06199999992</v>
      </c>
      <c r="J41" s="7">
        <v>4272634.9380000001</v>
      </c>
      <c r="K41" s="6">
        <v>13594</v>
      </c>
      <c r="L41" s="6">
        <v>85554</v>
      </c>
      <c r="M41" s="6">
        <v>605668</v>
      </c>
      <c r="O41" s="16">
        <f t="shared" si="0"/>
        <v>0.1237721021611002</v>
      </c>
    </row>
    <row r="42" spans="6:15" x14ac:dyDescent="0.25">
      <c r="F42" s="2" t="str">
        <v>Switzerland</v>
      </c>
      <c r="G42" s="6">
        <v>4812896</v>
      </c>
      <c r="H42" s="17">
        <v>5.2999999999999999E-2</v>
      </c>
      <c r="I42" s="7">
        <v>255083.48799999998</v>
      </c>
      <c r="J42" s="7">
        <v>4557812.5120000001</v>
      </c>
      <c r="K42" s="6">
        <v>9224</v>
      </c>
      <c r="L42" s="6">
        <v>61410</v>
      </c>
      <c r="M42" s="6">
        <v>426290</v>
      </c>
      <c r="O42" s="16">
        <f t="shared" si="0"/>
        <v>0.12591757227803979</v>
      </c>
    </row>
    <row r="43" spans="6:15" ht="30" x14ac:dyDescent="0.25">
      <c r="F43" s="2" t="str">
        <v>United_Kingdom</v>
      </c>
      <c r="G43" s="6">
        <v>32169932</v>
      </c>
      <c r="H43" s="17">
        <v>0.46899999999999997</v>
      </c>
      <c r="I43" s="7">
        <v>15087698.107999999</v>
      </c>
      <c r="J43" s="7">
        <v>17082233.892000001</v>
      </c>
      <c r="K43" s="6">
        <v>81652</v>
      </c>
      <c r="L43" s="6">
        <v>740568</v>
      </c>
      <c r="M43" s="6">
        <v>5323255</v>
      </c>
      <c r="O43" s="16">
        <f t="shared" si="0"/>
        <v>0.12212889459339429</v>
      </c>
    </row>
    <row r="50" spans="11:11" x14ac:dyDescent="0.25">
      <c r="K50" s="16"/>
    </row>
    <row r="51" spans="11:11" x14ac:dyDescent="0.25">
      <c r="K51" s="16"/>
    </row>
    <row r="54" spans="11:11" x14ac:dyDescent="0.25">
      <c r="K54" s="16"/>
    </row>
  </sheetData>
  <sortState xmlns:xlrd2="http://schemas.microsoft.com/office/spreadsheetml/2017/richdata2" ref="I14:K43">
    <sortCondition ref="I14:I43"/>
  </sortState>
  <mergeCells count="1">
    <mergeCell ref="K12:M12"/>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3:AF137"/>
  <sheetViews>
    <sheetView topLeftCell="E82" workbookViewId="0">
      <selection activeCell="H104" sqref="H104"/>
    </sheetView>
  </sheetViews>
  <sheetFormatPr defaultColWidth="9.140625" defaultRowHeight="15" x14ac:dyDescent="0.25"/>
  <cols>
    <col min="1" max="5" width="9.140625" style="3"/>
    <col min="6" max="6" width="14.7109375" style="3" bestFit="1" customWidth="1"/>
    <col min="7" max="7" width="39.7109375" style="3" bestFit="1" customWidth="1"/>
    <col min="8" max="8" width="40.7109375" style="3" customWidth="1"/>
    <col min="9" max="9" width="27.140625" style="3" bestFit="1" customWidth="1"/>
    <col min="10" max="10" width="27.42578125" style="3" bestFit="1" customWidth="1"/>
    <col min="11" max="11" width="26.42578125" style="3" bestFit="1" customWidth="1"/>
    <col min="12" max="12" width="26.7109375" style="3" bestFit="1" customWidth="1"/>
    <col min="13" max="13" width="26.42578125" style="3" bestFit="1" customWidth="1"/>
    <col min="14" max="14" width="43.85546875" style="3" bestFit="1" customWidth="1"/>
    <col min="15" max="15" width="28.42578125" style="3" bestFit="1" customWidth="1"/>
    <col min="16" max="16" width="28.7109375" style="3" bestFit="1" customWidth="1"/>
    <col min="17" max="17" width="28.42578125" style="3" bestFit="1" customWidth="1"/>
    <col min="18" max="18" width="28.7109375" style="3" bestFit="1" customWidth="1"/>
    <col min="19" max="19" width="27" style="3" bestFit="1" customWidth="1"/>
    <col min="20" max="20" width="27.28515625" style="3" bestFit="1" customWidth="1"/>
    <col min="21" max="21" width="27" style="3" bestFit="1" customWidth="1"/>
    <col min="22" max="22" width="27.28515625" style="3" bestFit="1" customWidth="1"/>
    <col min="23" max="23" width="23.140625" style="3" bestFit="1" customWidth="1"/>
    <col min="24" max="24" width="21.140625" style="3" bestFit="1" customWidth="1"/>
    <col min="25" max="25" width="44.28515625" style="3" bestFit="1" customWidth="1"/>
    <col min="26" max="26" width="43.42578125" style="3" bestFit="1" customWidth="1"/>
    <col min="27" max="27" width="41.42578125" style="3" bestFit="1" customWidth="1"/>
    <col min="28" max="28" width="42.28515625" style="3" bestFit="1" customWidth="1"/>
    <col min="29" max="29" width="42.5703125" style="3" bestFit="1" customWidth="1"/>
    <col min="30" max="30" width="39.42578125" style="3" customWidth="1"/>
    <col min="31" max="31" width="42.5703125" style="3" bestFit="1" customWidth="1"/>
    <col min="32" max="32" width="36.5703125" style="3" bestFit="1" customWidth="1"/>
    <col min="33" max="16384" width="9.140625" style="3"/>
  </cols>
  <sheetData>
    <row r="3" spans="6:32" ht="30" x14ac:dyDescent="0.25">
      <c r="F3" s="2" t="s">
        <v>173</v>
      </c>
      <c r="G3" s="2" t="str" cm="1">
        <f t="array" ref="G3:AF3">TRANSPOSE(parameters)</f>
        <v>legs.go_to_work.distance</v>
      </c>
      <c r="H3" s="2" t="str">
        <v>legs.go_to_work.duration</v>
      </c>
      <c r="I3" s="2" t="str">
        <v>legs.come_from_work.distance</v>
      </c>
      <c r="J3" s="2" t="str">
        <v>legs.come_from_work.duration</v>
      </c>
      <c r="K3" s="2" t="str">
        <v>legs.home_to_leisure.distance</v>
      </c>
      <c r="L3" s="2" t="str">
        <v>legs.home_to_leisure.duration</v>
      </c>
      <c r="M3" s="2" t="str">
        <v>legs.leisure_to_home.distance</v>
      </c>
      <c r="N3" s="2" t="str">
        <v>legs.leisure_to_home.duration</v>
      </c>
      <c r="O3" s="2" t="str">
        <v>legs.home_to_weekend.distance</v>
      </c>
      <c r="P3" s="2" t="str">
        <v>legs.home_to_weekend.duration</v>
      </c>
      <c r="Q3" s="2" t="str">
        <v>legs.weekend_to_home.distance</v>
      </c>
      <c r="R3" s="2" t="str">
        <v>legs.weekend_to_home.duration</v>
      </c>
      <c r="S3" s="2" t="str">
        <v>legs.home_to_holiday.distance</v>
      </c>
      <c r="T3" s="2" t="str">
        <v>legs.home_to_holiday.duration</v>
      </c>
      <c r="U3" s="2" t="str">
        <v>legs.holiday_to_home.distance</v>
      </c>
      <c r="V3" s="2" t="str">
        <v>legs.holiday_to_home.duration</v>
      </c>
      <c r="W3" s="2" t="str">
        <v>vehicle.yearly_kilometrage</v>
      </c>
      <c r="X3" s="2" t="str">
        <v>vehicle.battery_capacity</v>
      </c>
      <c r="Y3" s="2" t="str">
        <v>vehicle.base_consumption_per_km.electricity_kWh</v>
      </c>
      <c r="Z3" s="2" t="str">
        <v>vehicle.base_consumption_per_km.gasoline_litres</v>
      </c>
      <c r="AA3" s="2" t="str">
        <v>vehicle.base_consumption_per_km.diesel_litres</v>
      </c>
      <c r="AB3" s="2" t="str">
        <v>vehicle.base_consumption_per_km.hydrogen_kg</v>
      </c>
      <c r="AC3" s="2" t="str">
        <v>vehicle.base_consumption_per_km.LPG_litres</v>
      </c>
      <c r="AD3" s="2" t="str">
        <v>vehicle.base_consumption_per_km.CNG_kg</v>
      </c>
      <c r="AE3" s="2" t="str">
        <v>mobility_module.hours_worked_per_work_week</v>
      </c>
      <c r="AF3" s="2" t="str">
        <v>mobility_module.worked_hours_per_year</v>
      </c>
    </row>
    <row r="4" spans="6:32" x14ac:dyDescent="0.25">
      <c r="F4" s="2" t="str" cm="1">
        <f t="array" ref="F4:F33">countries</f>
        <v>Austria</v>
      </c>
      <c r="G4" s="8" cm="1">
        <f t="array" ref="G4:AF33">INDEX(country_scaling_factors,MATCH(countries,countries,0),MATCH(TRANSPOSE(scaling_factors_used),Scaling_Factor_Categories,0))*TRANSPOSE(reference_country_values)</f>
        <v>19.555555555555554</v>
      </c>
      <c r="H4" s="8">
        <v>0.39999999999999997</v>
      </c>
      <c r="I4" s="8">
        <v>19.555555555555554</v>
      </c>
      <c r="J4" s="8">
        <v>0.39999999999999997</v>
      </c>
      <c r="K4" s="8">
        <v>5.333333333333333</v>
      </c>
      <c r="L4" s="8">
        <v>0.1090909090909091</v>
      </c>
      <c r="M4" s="8">
        <v>5.333333333333333</v>
      </c>
      <c r="N4" s="8">
        <v>0.1090909090909091</v>
      </c>
      <c r="O4" s="8">
        <v>88.888888888888886</v>
      </c>
      <c r="P4" s="8">
        <v>0.88888888888888884</v>
      </c>
      <c r="Q4" s="8">
        <v>88.888888888888886</v>
      </c>
      <c r="R4" s="8">
        <v>0.88888888888888884</v>
      </c>
      <c r="S4" s="8">
        <v>355.55555555555554</v>
      </c>
      <c r="T4" s="8">
        <v>3.5555555555555554</v>
      </c>
      <c r="U4" s="8">
        <v>355.55555555555554</v>
      </c>
      <c r="V4" s="8">
        <v>3.5555555555555554</v>
      </c>
      <c r="W4" s="8">
        <v>12390.222222222221</v>
      </c>
      <c r="X4" s="8">
        <v>65.559398153191523</v>
      </c>
      <c r="Y4" s="8">
        <v>0.15854447786713485</v>
      </c>
      <c r="Z4" s="8">
        <v>7.0913415669035501E-2</v>
      </c>
      <c r="AA4" s="8">
        <v>6.0860974618879467E-2</v>
      </c>
      <c r="AB4" s="8">
        <v>8.3041904327375935E-3</v>
      </c>
      <c r="AC4" s="8">
        <v>0.10052441050156034</v>
      </c>
      <c r="AD4" s="8">
        <v>5.0371470914368825E-2</v>
      </c>
      <c r="AE4" s="8">
        <v>33.6</v>
      </c>
      <c r="AF4" s="8">
        <v>1462.9565217391305</v>
      </c>
    </row>
    <row r="5" spans="6:32" x14ac:dyDescent="0.25">
      <c r="F5" s="2" t="str">
        <v>Belgium</v>
      </c>
      <c r="G5" s="8">
        <v>22.814814814814813</v>
      </c>
      <c r="H5" s="8">
        <v>0.46666666666666667</v>
      </c>
      <c r="I5" s="8">
        <v>22.814814814814813</v>
      </c>
      <c r="J5" s="8">
        <v>0.46666666666666667</v>
      </c>
      <c r="K5" s="8">
        <v>6.2222222222222214</v>
      </c>
      <c r="L5" s="8">
        <v>0.12727272727272729</v>
      </c>
      <c r="M5" s="8">
        <v>6.2222222222222214</v>
      </c>
      <c r="N5" s="8">
        <v>0.12727272727272729</v>
      </c>
      <c r="O5" s="8">
        <v>103.7037037037037</v>
      </c>
      <c r="P5" s="8">
        <v>1.037037037037037</v>
      </c>
      <c r="Q5" s="8">
        <v>103.7037037037037</v>
      </c>
      <c r="R5" s="8">
        <v>1.037037037037037</v>
      </c>
      <c r="S5" s="8">
        <v>414.81481481481478</v>
      </c>
      <c r="T5" s="8">
        <v>4.1481481481481479</v>
      </c>
      <c r="U5" s="8">
        <v>414.81481481481478</v>
      </c>
      <c r="V5" s="8">
        <v>4.1481481481481479</v>
      </c>
      <c r="W5" s="8">
        <v>14455.259259259259</v>
      </c>
      <c r="X5" s="8">
        <v>63.010211625520625</v>
      </c>
      <c r="Y5" s="8">
        <v>0.15237969511438407</v>
      </c>
      <c r="Z5" s="8">
        <v>6.8156045574938151E-2</v>
      </c>
      <c r="AA5" s="8">
        <v>5.849447979235832E-2</v>
      </c>
      <c r="AB5" s="8">
        <v>7.9812934725659469E-3</v>
      </c>
      <c r="AC5" s="8">
        <v>9.6615657825798298E-2</v>
      </c>
      <c r="AD5" s="8">
        <v>4.8412845932275017E-2</v>
      </c>
      <c r="AE5" s="8">
        <v>34.9</v>
      </c>
      <c r="AF5" s="8">
        <v>1519.5590062111798</v>
      </c>
    </row>
    <row r="6" spans="6:32" x14ac:dyDescent="0.25">
      <c r="F6" s="2" t="str">
        <v>Bulgaria</v>
      </c>
      <c r="G6" s="8">
        <v>21.185185185185183</v>
      </c>
      <c r="H6" s="8">
        <v>0.43333333333333329</v>
      </c>
      <c r="I6" s="8">
        <v>21.185185185185183</v>
      </c>
      <c r="J6" s="8">
        <v>0.43333333333333329</v>
      </c>
      <c r="K6" s="8">
        <v>5.7777777777777777</v>
      </c>
      <c r="L6" s="8">
        <v>0.11818181818181819</v>
      </c>
      <c r="M6" s="8">
        <v>5.7777777777777777</v>
      </c>
      <c r="N6" s="8">
        <v>0.11818181818181819</v>
      </c>
      <c r="O6" s="8">
        <v>96.296296296296291</v>
      </c>
      <c r="P6" s="8">
        <v>0.96296296296296291</v>
      </c>
      <c r="Q6" s="8">
        <v>96.296296296296291</v>
      </c>
      <c r="R6" s="8">
        <v>0.96296296296296291</v>
      </c>
      <c r="S6" s="8">
        <v>385.18518518518516</v>
      </c>
      <c r="T6" s="8">
        <v>3.8518518518518516</v>
      </c>
      <c r="U6" s="8">
        <v>385.18518518518516</v>
      </c>
      <c r="V6" s="8">
        <v>3.8518518518518516</v>
      </c>
      <c r="W6" s="8">
        <v>13422.740740740741</v>
      </c>
      <c r="X6" s="8">
        <v>67.545052725118367</v>
      </c>
      <c r="Y6" s="8">
        <v>0.16334645250691127</v>
      </c>
      <c r="Z6" s="8">
        <v>7.3061232031003037E-2</v>
      </c>
      <c r="AA6" s="8">
        <v>6.2704323946484883E-2</v>
      </c>
      <c r="AB6" s="8">
        <v>8.5557066785149939E-3</v>
      </c>
      <c r="AC6" s="8">
        <v>0.10356908084518149</v>
      </c>
      <c r="AD6" s="8">
        <v>5.1897115510465948E-2</v>
      </c>
      <c r="AE6" s="8">
        <v>39</v>
      </c>
      <c r="AF6" s="8">
        <v>1698.0745341614906</v>
      </c>
    </row>
    <row r="7" spans="6:32" x14ac:dyDescent="0.25">
      <c r="F7" s="2" t="str">
        <v>Croatia</v>
      </c>
      <c r="G7" s="8">
        <v>19.555555555555554</v>
      </c>
      <c r="H7" s="8">
        <v>0.39999999999999997</v>
      </c>
      <c r="I7" s="8">
        <v>19.555555555555554</v>
      </c>
      <c r="J7" s="8">
        <v>0.39999999999999997</v>
      </c>
      <c r="K7" s="8">
        <v>5.333333333333333</v>
      </c>
      <c r="L7" s="8">
        <v>0.1090909090909091</v>
      </c>
      <c r="M7" s="8">
        <v>5.333333333333333</v>
      </c>
      <c r="N7" s="8">
        <v>0.1090909090909091</v>
      </c>
      <c r="O7" s="8">
        <v>88.888888888888886</v>
      </c>
      <c r="P7" s="8">
        <v>0.88888888888888884</v>
      </c>
      <c r="Q7" s="8">
        <v>88.888888888888886</v>
      </c>
      <c r="R7" s="8">
        <v>0.88888888888888884</v>
      </c>
      <c r="S7" s="8">
        <v>355.55555555555554</v>
      </c>
      <c r="T7" s="8">
        <v>3.5555555555555554</v>
      </c>
      <c r="U7" s="8">
        <v>355.55555555555554</v>
      </c>
      <c r="V7" s="8">
        <v>3.5555555555555554</v>
      </c>
      <c r="W7" s="8">
        <v>12390.222222222221</v>
      </c>
      <c r="X7" s="8">
        <v>60.947524106114024</v>
      </c>
      <c r="Y7" s="8">
        <v>0.14739142912995243</v>
      </c>
      <c r="Z7" s="8">
        <v>6.5924905241446674E-2</v>
      </c>
      <c r="AA7" s="8">
        <v>5.6579618211842521E-2</v>
      </c>
      <c r="AB7" s="8">
        <v>7.7200197201077762E-3</v>
      </c>
      <c r="AC7" s="8">
        <v>9.3452870296041504E-2</v>
      </c>
      <c r="AD7" s="8">
        <v>4.6828014354864278E-2</v>
      </c>
      <c r="AE7" s="8">
        <v>38.1</v>
      </c>
      <c r="AF7" s="8">
        <v>1658.8881987577638</v>
      </c>
    </row>
    <row r="8" spans="6:32" x14ac:dyDescent="0.25">
      <c r="F8" s="2" t="str">
        <v>Cyprus</v>
      </c>
      <c r="G8" s="8">
        <v>15.481481481481481</v>
      </c>
      <c r="H8" s="8">
        <v>0.31666666666666671</v>
      </c>
      <c r="I8" s="8">
        <v>15.481481481481481</v>
      </c>
      <c r="J8" s="8">
        <v>0.31666666666666671</v>
      </c>
      <c r="K8" s="8">
        <v>4.2222222222222223</v>
      </c>
      <c r="L8" s="8">
        <v>8.6363636363636379E-2</v>
      </c>
      <c r="M8" s="8">
        <v>4.2222222222222223</v>
      </c>
      <c r="N8" s="8">
        <v>8.6363636363636379E-2</v>
      </c>
      <c r="O8" s="8">
        <v>70.370370370370367</v>
      </c>
      <c r="P8" s="8">
        <v>0.70370370370370372</v>
      </c>
      <c r="Q8" s="8">
        <v>70.370370370370367</v>
      </c>
      <c r="R8" s="8">
        <v>0.70370370370370372</v>
      </c>
      <c r="S8" s="8">
        <v>281.48148148148147</v>
      </c>
      <c r="T8" s="8">
        <v>2.8148148148148149</v>
      </c>
      <c r="U8" s="8">
        <v>281.48148148148147</v>
      </c>
      <c r="V8" s="8">
        <v>2.8148148148148149</v>
      </c>
      <c r="W8" s="8">
        <v>9808.925925925927</v>
      </c>
      <c r="X8" s="8">
        <v>67.147085909244936</v>
      </c>
      <c r="Y8" s="8">
        <v>0.16238403609052401</v>
      </c>
      <c r="Z8" s="8">
        <v>7.2630764591833277E-2</v>
      </c>
      <c r="AA8" s="8">
        <v>6.233487808574905E-2</v>
      </c>
      <c r="AB8" s="8">
        <v>8.5052975485043585E-3</v>
      </c>
      <c r="AC8" s="8">
        <v>0.10295886506084223</v>
      </c>
      <c r="AD8" s="8">
        <v>5.1591344340269865E-2</v>
      </c>
      <c r="AE8" s="8">
        <v>38.5</v>
      </c>
      <c r="AF8" s="8">
        <v>1676.304347826087</v>
      </c>
    </row>
    <row r="9" spans="6:32" x14ac:dyDescent="0.25">
      <c r="F9" s="2" t="str">
        <v>Czechia</v>
      </c>
      <c r="G9" s="8">
        <v>22</v>
      </c>
      <c r="H9" s="8">
        <v>0.45</v>
      </c>
      <c r="I9" s="8">
        <v>22</v>
      </c>
      <c r="J9" s="8">
        <v>0.45</v>
      </c>
      <c r="K9" s="8">
        <v>6</v>
      </c>
      <c r="L9" s="8">
        <v>0.12272727272727274</v>
      </c>
      <c r="M9" s="8">
        <v>6</v>
      </c>
      <c r="N9" s="8">
        <v>0.12272727272727274</v>
      </c>
      <c r="O9" s="8">
        <v>100</v>
      </c>
      <c r="P9" s="8">
        <v>1</v>
      </c>
      <c r="Q9" s="8">
        <v>100</v>
      </c>
      <c r="R9" s="8">
        <v>1</v>
      </c>
      <c r="S9" s="8">
        <v>400</v>
      </c>
      <c r="T9" s="8">
        <v>4</v>
      </c>
      <c r="U9" s="8">
        <v>400</v>
      </c>
      <c r="V9" s="8">
        <v>4</v>
      </c>
      <c r="W9" s="8">
        <v>13939</v>
      </c>
      <c r="X9" s="8">
        <v>66.190256365360398</v>
      </c>
      <c r="Y9" s="8">
        <v>0.16007010331022992</v>
      </c>
      <c r="Z9" s="8">
        <v>7.159579396853151E-2</v>
      </c>
      <c r="AA9" s="8">
        <v>6.1446621325842908E-2</v>
      </c>
      <c r="AB9" s="8">
        <v>8.3840991396123173E-3</v>
      </c>
      <c r="AC9" s="8">
        <v>0.10149172642688595</v>
      </c>
      <c r="AD9" s="8">
        <v>5.085618030738525E-2</v>
      </c>
      <c r="AE9" s="8">
        <v>37.799999999999997</v>
      </c>
      <c r="AF9" s="8">
        <v>1645.8260869565215</v>
      </c>
    </row>
    <row r="10" spans="6:32" x14ac:dyDescent="0.25">
      <c r="F10" s="2" t="str">
        <v>Denmark</v>
      </c>
      <c r="G10" s="8">
        <v>21.185185185185183</v>
      </c>
      <c r="H10" s="8">
        <v>0.43333333333333329</v>
      </c>
      <c r="I10" s="8">
        <v>21.185185185185183</v>
      </c>
      <c r="J10" s="8">
        <v>0.43333333333333329</v>
      </c>
      <c r="K10" s="8">
        <v>5.7777777777777777</v>
      </c>
      <c r="L10" s="8">
        <v>0.11818181818181819</v>
      </c>
      <c r="M10" s="8">
        <v>5.7777777777777777</v>
      </c>
      <c r="N10" s="8">
        <v>0.11818181818181819</v>
      </c>
      <c r="O10" s="8">
        <v>96.296296296296291</v>
      </c>
      <c r="P10" s="8">
        <v>0.96296296296296291</v>
      </c>
      <c r="Q10" s="8">
        <v>96.296296296296291</v>
      </c>
      <c r="R10" s="8">
        <v>0.96296296296296291</v>
      </c>
      <c r="S10" s="8">
        <v>385.18518518518516</v>
      </c>
      <c r="T10" s="8">
        <v>3.8518518518518516</v>
      </c>
      <c r="U10" s="8">
        <v>385.18518518518516</v>
      </c>
      <c r="V10" s="8">
        <v>3.8518518518518516</v>
      </c>
      <c r="W10" s="8">
        <v>13422.740740740741</v>
      </c>
      <c r="X10" s="8">
        <v>59.015668508742834</v>
      </c>
      <c r="Y10" s="8">
        <v>0.14271955834364308</v>
      </c>
      <c r="Z10" s="8">
        <v>6.3835281436956826E-2</v>
      </c>
      <c r="AA10" s="8">
        <v>5.4786212265616259E-2</v>
      </c>
      <c r="AB10" s="8">
        <v>7.4753180111074256E-3</v>
      </c>
      <c r="AC10" s="8">
        <v>9.049069171340568E-2</v>
      </c>
      <c r="AD10" s="8">
        <v>4.5343705304217413E-2</v>
      </c>
      <c r="AE10" s="8">
        <v>34.299999999999997</v>
      </c>
      <c r="AF10" s="8">
        <v>1493.4347826086955</v>
      </c>
    </row>
    <row r="11" spans="6:32" x14ac:dyDescent="0.25">
      <c r="F11" s="2" t="str">
        <v>Estonia</v>
      </c>
      <c r="G11" s="8">
        <v>18.74074074074074</v>
      </c>
      <c r="H11" s="8">
        <v>0.38333333333333336</v>
      </c>
      <c r="I11" s="8">
        <v>18.74074074074074</v>
      </c>
      <c r="J11" s="8">
        <v>0.38333333333333336</v>
      </c>
      <c r="K11" s="8">
        <v>5.1111111111111107</v>
      </c>
      <c r="L11" s="8">
        <v>0.10454545454545455</v>
      </c>
      <c r="M11" s="8">
        <v>5.1111111111111107</v>
      </c>
      <c r="N11" s="8">
        <v>0.10454545454545455</v>
      </c>
      <c r="O11" s="8">
        <v>85.18518518518519</v>
      </c>
      <c r="P11" s="8">
        <v>0.85185185185185186</v>
      </c>
      <c r="Q11" s="8">
        <v>85.18518518518519</v>
      </c>
      <c r="R11" s="8">
        <v>0.85185185185185186</v>
      </c>
      <c r="S11" s="8">
        <v>340.74074074074076</v>
      </c>
      <c r="T11" s="8">
        <v>3.4074074074074074</v>
      </c>
      <c r="U11" s="8">
        <v>340.74074074074076</v>
      </c>
      <c r="V11" s="8">
        <v>3.4074074074074074</v>
      </c>
      <c r="W11" s="8">
        <v>11873.962962962964</v>
      </c>
      <c r="X11" s="8">
        <v>66.508934905492268</v>
      </c>
      <c r="Y11" s="8">
        <v>0.1608407742464488</v>
      </c>
      <c r="Z11" s="8">
        <v>7.1940497922774127E-2</v>
      </c>
      <c r="AA11" s="8">
        <v>6.1742461237265317E-2</v>
      </c>
      <c r="AB11" s="8">
        <v>8.4244650880290206E-3</v>
      </c>
      <c r="AC11" s="8">
        <v>0.10198036685508814</v>
      </c>
      <c r="AD11" s="8">
        <v>5.110103165238656E-2</v>
      </c>
      <c r="AE11" s="8">
        <v>36.4</v>
      </c>
      <c r="AF11" s="8">
        <v>1584.8695652173913</v>
      </c>
    </row>
    <row r="12" spans="6:32" x14ac:dyDescent="0.25">
      <c r="F12" s="2" t="str">
        <v>Finland</v>
      </c>
      <c r="G12" s="8">
        <v>18.74074074074074</v>
      </c>
      <c r="H12" s="8">
        <v>0.38333333333333336</v>
      </c>
      <c r="I12" s="8">
        <v>18.74074074074074</v>
      </c>
      <c r="J12" s="8">
        <v>0.38333333333333336</v>
      </c>
      <c r="K12" s="8">
        <v>5.1111111111111107</v>
      </c>
      <c r="L12" s="8">
        <v>0.10454545454545455</v>
      </c>
      <c r="M12" s="8">
        <v>5.1111111111111107</v>
      </c>
      <c r="N12" s="8">
        <v>0.10454545454545455</v>
      </c>
      <c r="O12" s="8">
        <v>85.18518518518519</v>
      </c>
      <c r="P12" s="8">
        <v>0.85185185185185186</v>
      </c>
      <c r="Q12" s="8">
        <v>85.18518518518519</v>
      </c>
      <c r="R12" s="8">
        <v>0.85185185185185186</v>
      </c>
      <c r="S12" s="8">
        <v>340.74074074074076</v>
      </c>
      <c r="T12" s="8">
        <v>3.4074074074074074</v>
      </c>
      <c r="U12" s="8">
        <v>340.74074074074076</v>
      </c>
      <c r="V12" s="8">
        <v>3.4074074074074074</v>
      </c>
      <c r="W12" s="8">
        <v>11873.962962962964</v>
      </c>
      <c r="X12" s="8">
        <v>62.086186986141726</v>
      </c>
      <c r="Y12" s="8">
        <v>0.15014509552815275</v>
      </c>
      <c r="Z12" s="8">
        <v>6.7156558923343296E-2</v>
      </c>
      <c r="AA12" s="8">
        <v>5.7636676918801567E-2</v>
      </c>
      <c r="AB12" s="8">
        <v>7.8642503515779522E-3</v>
      </c>
      <c r="AC12" s="8">
        <v>9.5198820045417312E-2</v>
      </c>
      <c r="AD12" s="8">
        <v>4.7702887001018893E-2</v>
      </c>
      <c r="AE12" s="8">
        <v>34.799999999999997</v>
      </c>
      <c r="AF12" s="8">
        <v>1515.2049689440992</v>
      </c>
    </row>
    <row r="13" spans="6:32" x14ac:dyDescent="0.25">
      <c r="F13" s="2" t="str">
        <v>France</v>
      </c>
      <c r="G13" s="8">
        <v>21.185185185185183</v>
      </c>
      <c r="H13" s="8">
        <v>0.43333333333333329</v>
      </c>
      <c r="I13" s="8">
        <v>21.185185185185183</v>
      </c>
      <c r="J13" s="8">
        <v>0.43333333333333329</v>
      </c>
      <c r="K13" s="8">
        <v>5.7777777777777777</v>
      </c>
      <c r="L13" s="8">
        <v>0.11818181818181819</v>
      </c>
      <c r="M13" s="8">
        <v>5.7777777777777777</v>
      </c>
      <c r="N13" s="8">
        <v>0.11818181818181819</v>
      </c>
      <c r="O13" s="8">
        <v>96.296296296296291</v>
      </c>
      <c r="P13" s="8">
        <v>0.96296296296296291</v>
      </c>
      <c r="Q13" s="8">
        <v>96.296296296296291</v>
      </c>
      <c r="R13" s="8">
        <v>0.96296296296296291</v>
      </c>
      <c r="S13" s="8">
        <v>385.18518518518516</v>
      </c>
      <c r="T13" s="8">
        <v>3.8518518518518516</v>
      </c>
      <c r="U13" s="8">
        <v>385.18518518518516</v>
      </c>
      <c r="V13" s="8">
        <v>3.8518518518518516</v>
      </c>
      <c r="W13" s="8">
        <v>13422.740740740741</v>
      </c>
      <c r="X13" s="8">
        <v>58.02303961249887</v>
      </c>
      <c r="Y13" s="8">
        <v>0.14031905079622645</v>
      </c>
      <c r="Z13" s="8">
        <v>6.2761587847519618E-2</v>
      </c>
      <c r="AA13" s="8">
        <v>5.3864721773603116E-2</v>
      </c>
      <c r="AB13" s="8">
        <v>7.3495850175831906E-3</v>
      </c>
      <c r="AC13" s="8">
        <v>8.8968660739164943E-2</v>
      </c>
      <c r="AD13" s="8">
        <v>4.4581035435603301E-2</v>
      </c>
      <c r="AE13" s="8">
        <v>36</v>
      </c>
      <c r="AF13" s="8">
        <v>1567.4534161490681</v>
      </c>
    </row>
    <row r="14" spans="6:32" x14ac:dyDescent="0.25">
      <c r="F14" s="2" t="str">
        <v>Germany</v>
      </c>
      <c r="G14" s="8">
        <v>21.185185185185183</v>
      </c>
      <c r="H14" s="8">
        <v>0.43333333333333329</v>
      </c>
      <c r="I14" s="8">
        <v>21.185185185185183</v>
      </c>
      <c r="J14" s="8">
        <v>0.43333333333333329</v>
      </c>
      <c r="K14" s="8">
        <v>5.7777777777777777</v>
      </c>
      <c r="L14" s="8">
        <v>0.11818181818181819</v>
      </c>
      <c r="M14" s="8">
        <v>5.7777777777777777</v>
      </c>
      <c r="N14" s="8">
        <v>0.11818181818181819</v>
      </c>
      <c r="O14" s="8">
        <v>96.296296296296291</v>
      </c>
      <c r="P14" s="8">
        <v>0.96296296296296291</v>
      </c>
      <c r="Q14" s="8">
        <v>96.296296296296291</v>
      </c>
      <c r="R14" s="8">
        <v>0.96296296296296291</v>
      </c>
      <c r="S14" s="8">
        <v>385.18518518518516</v>
      </c>
      <c r="T14" s="8">
        <v>3.8518518518518516</v>
      </c>
      <c r="U14" s="8">
        <v>385.18518518518516</v>
      </c>
      <c r="V14" s="8">
        <v>3.8518518518518516</v>
      </c>
      <c r="W14" s="8">
        <v>13422.740740740741</v>
      </c>
      <c r="X14" s="8">
        <v>69.013952667722478</v>
      </c>
      <c r="Y14" s="8">
        <v>0.16689874220144221</v>
      </c>
      <c r="Z14" s="8">
        <v>7.4650092135586488E-2</v>
      </c>
      <c r="AA14" s="8">
        <v>6.4067952726535704E-2</v>
      </c>
      <c r="AB14" s="8">
        <v>8.741767337911514E-3</v>
      </c>
      <c r="AC14" s="8">
        <v>0.10582139409050781</v>
      </c>
      <c r="AD14" s="8">
        <v>5.302572029970011E-2</v>
      </c>
      <c r="AE14" s="8">
        <v>34</v>
      </c>
      <c r="AF14" s="8">
        <v>1480.3726708074535</v>
      </c>
    </row>
    <row r="15" spans="6:32" x14ac:dyDescent="0.25">
      <c r="F15" s="2" t="str">
        <v>Greece</v>
      </c>
      <c r="G15" s="8">
        <v>16.296296296296294</v>
      </c>
      <c r="H15" s="8">
        <v>0.33333333333333331</v>
      </c>
      <c r="I15" s="8">
        <v>16.296296296296294</v>
      </c>
      <c r="J15" s="8">
        <v>0.33333333333333331</v>
      </c>
      <c r="K15" s="8">
        <v>4.4444444444444446</v>
      </c>
      <c r="L15" s="8">
        <v>9.0909090909090912E-2</v>
      </c>
      <c r="M15" s="8">
        <v>4.4444444444444446</v>
      </c>
      <c r="N15" s="8">
        <v>9.0909090909090912E-2</v>
      </c>
      <c r="O15" s="8">
        <v>74.074074074074076</v>
      </c>
      <c r="P15" s="8">
        <v>0.7407407407407407</v>
      </c>
      <c r="Q15" s="8">
        <v>74.074074074074076</v>
      </c>
      <c r="R15" s="8">
        <v>0.7407407407407407</v>
      </c>
      <c r="S15" s="8">
        <v>296.2962962962963</v>
      </c>
      <c r="T15" s="8">
        <v>2.9629629629629628</v>
      </c>
      <c r="U15" s="8">
        <v>296.2962962962963</v>
      </c>
      <c r="V15" s="8">
        <v>2.9629629629629628</v>
      </c>
      <c r="W15" s="8">
        <v>10325.185185185184</v>
      </c>
      <c r="X15" s="8">
        <v>58.669049282427672</v>
      </c>
      <c r="Y15" s="8">
        <v>0.14188131751467092</v>
      </c>
      <c r="Z15" s="8">
        <v>6.3460354973825933E-2</v>
      </c>
      <c r="AA15" s="8">
        <v>5.4464434083853687E-2</v>
      </c>
      <c r="AB15" s="8">
        <v>7.4314129091075055E-3</v>
      </c>
      <c r="AC15" s="8">
        <v>8.9959208899722434E-2</v>
      </c>
      <c r="AD15" s="8">
        <v>4.5077386198665262E-2</v>
      </c>
      <c r="AE15" s="8">
        <v>39.799999999999997</v>
      </c>
      <c r="AF15" s="8">
        <v>1732.9068322981364</v>
      </c>
    </row>
    <row r="16" spans="6:32" x14ac:dyDescent="0.25">
      <c r="F16" s="2" t="str">
        <v>Hungary</v>
      </c>
      <c r="G16" s="8">
        <v>23.629629629629633</v>
      </c>
      <c r="H16" s="8">
        <v>0.48333333333333339</v>
      </c>
      <c r="I16" s="8">
        <v>23.629629629629633</v>
      </c>
      <c r="J16" s="8">
        <v>0.48333333333333339</v>
      </c>
      <c r="K16" s="8">
        <v>6.4444444444444446</v>
      </c>
      <c r="L16" s="8">
        <v>0.13181818181818183</v>
      </c>
      <c r="M16" s="8">
        <v>6.4444444444444446</v>
      </c>
      <c r="N16" s="8">
        <v>0.13181818181818183</v>
      </c>
      <c r="O16" s="8">
        <v>107.40740740740742</v>
      </c>
      <c r="P16" s="8">
        <v>1.0740740740740742</v>
      </c>
      <c r="Q16" s="8">
        <v>107.40740740740742</v>
      </c>
      <c r="R16" s="8">
        <v>1.0740740740740742</v>
      </c>
      <c r="S16" s="8">
        <v>429.62962962962968</v>
      </c>
      <c r="T16" s="8">
        <v>4.2962962962962967</v>
      </c>
      <c r="U16" s="8">
        <v>429.62962962962968</v>
      </c>
      <c r="V16" s="8">
        <v>4.2962962962962967</v>
      </c>
      <c r="W16" s="8">
        <v>14971.51851851852</v>
      </c>
      <c r="X16" s="8">
        <v>65.075539653871175</v>
      </c>
      <c r="Y16" s="8">
        <v>0.15737434672961179</v>
      </c>
      <c r="Z16" s="8">
        <v>7.0390042058937313E-2</v>
      </c>
      <c r="AA16" s="8">
        <v>6.0411792645343736E-2</v>
      </c>
      <c r="AB16" s="8">
        <v>8.2429016894903489E-3</v>
      </c>
      <c r="AC16" s="8">
        <v>9.978249413593579E-2</v>
      </c>
      <c r="AD16" s="8">
        <v>4.9999706300724353E-2</v>
      </c>
      <c r="AE16" s="8">
        <v>37.799999999999997</v>
      </c>
      <c r="AF16" s="8">
        <v>1645.8260869565215</v>
      </c>
    </row>
    <row r="17" spans="6:32" x14ac:dyDescent="0.25">
      <c r="F17" s="2" t="str">
        <v>Ireland</v>
      </c>
      <c r="G17" s="8">
        <v>22.814814814814813</v>
      </c>
      <c r="H17" s="8">
        <v>0.46666666666666667</v>
      </c>
      <c r="I17" s="8">
        <v>22.814814814814813</v>
      </c>
      <c r="J17" s="8">
        <v>0.46666666666666667</v>
      </c>
      <c r="K17" s="8">
        <v>6.2222222222222214</v>
      </c>
      <c r="L17" s="8">
        <v>0.12727272727272729</v>
      </c>
      <c r="M17" s="8">
        <v>6.2222222222222214</v>
      </c>
      <c r="N17" s="8">
        <v>0.12727272727272729</v>
      </c>
      <c r="O17" s="8">
        <v>103.7037037037037</v>
      </c>
      <c r="P17" s="8">
        <v>1.037037037037037</v>
      </c>
      <c r="Q17" s="8">
        <v>103.7037037037037</v>
      </c>
      <c r="R17" s="8">
        <v>1.037037037037037</v>
      </c>
      <c r="S17" s="8">
        <v>414.81481481481478</v>
      </c>
      <c r="T17" s="8">
        <v>4.1481481481481479</v>
      </c>
      <c r="U17" s="8">
        <v>414.81481481481478</v>
      </c>
      <c r="V17" s="8">
        <v>4.1481481481481479</v>
      </c>
      <c r="W17" s="8">
        <v>14455.259259259259</v>
      </c>
      <c r="X17" s="8">
        <v>60.610343614832097</v>
      </c>
      <c r="Y17" s="8">
        <v>0.14657601430853562</v>
      </c>
      <c r="Z17" s="8">
        <v>6.5560188343376707E-2</v>
      </c>
      <c r="AA17" s="8">
        <v>5.6266602322435792E-2</v>
      </c>
      <c r="AB17" s="8">
        <v>7.677310191212065E-3</v>
      </c>
      <c r="AC17" s="8">
        <v>9.2935860209409207E-2</v>
      </c>
      <c r="AD17" s="8">
        <v>4.656894734406266E-2</v>
      </c>
      <c r="AE17" s="8">
        <v>35.5</v>
      </c>
      <c r="AF17" s="8">
        <v>1545.6832298136644</v>
      </c>
    </row>
    <row r="18" spans="6:32" x14ac:dyDescent="0.25">
      <c r="F18" s="2" t="str">
        <v>Italy</v>
      </c>
      <c r="G18" s="8">
        <v>17.111111111111111</v>
      </c>
      <c r="H18" s="8">
        <v>0.35000000000000003</v>
      </c>
      <c r="I18" s="8">
        <v>17.111111111111111</v>
      </c>
      <c r="J18" s="8">
        <v>0.35000000000000003</v>
      </c>
      <c r="K18" s="8">
        <v>4.666666666666667</v>
      </c>
      <c r="L18" s="8">
        <v>9.5454545454545472E-2</v>
      </c>
      <c r="M18" s="8">
        <v>4.666666666666667</v>
      </c>
      <c r="N18" s="8">
        <v>9.5454545454545472E-2</v>
      </c>
      <c r="O18" s="8">
        <v>77.777777777777786</v>
      </c>
      <c r="P18" s="8">
        <v>0.77777777777777779</v>
      </c>
      <c r="Q18" s="8">
        <v>77.777777777777786</v>
      </c>
      <c r="R18" s="8">
        <v>0.77777777777777779</v>
      </c>
      <c r="S18" s="8">
        <v>311.11111111111114</v>
      </c>
      <c r="T18" s="8">
        <v>3.1111111111111112</v>
      </c>
      <c r="U18" s="8">
        <v>311.11111111111114</v>
      </c>
      <c r="V18" s="8">
        <v>3.1111111111111112</v>
      </c>
      <c r="W18" s="8">
        <v>10841.444444444445</v>
      </c>
      <c r="X18" s="8">
        <v>60.487010697935702</v>
      </c>
      <c r="Y18" s="8">
        <v>0.14627775420450784</v>
      </c>
      <c r="Z18" s="8">
        <v>6.5426783238267117E-2</v>
      </c>
      <c r="AA18" s="8">
        <v>5.6152108264583646E-2</v>
      </c>
      <c r="AB18" s="8">
        <v>7.6616880217385223E-3</v>
      </c>
      <c r="AC18" s="8">
        <v>9.2746749736834749E-2</v>
      </c>
      <c r="AD18" s="8">
        <v>4.6474186552913938E-2</v>
      </c>
      <c r="AE18" s="8">
        <v>36.1</v>
      </c>
      <c r="AF18" s="8">
        <v>1571.8074534161487</v>
      </c>
    </row>
    <row r="19" spans="6:32" x14ac:dyDescent="0.25">
      <c r="F19" s="2" t="str">
        <v>Latvia</v>
      </c>
      <c r="G19" s="8">
        <v>26.888888888888893</v>
      </c>
      <c r="H19" s="8">
        <v>0.55000000000000004</v>
      </c>
      <c r="I19" s="8">
        <v>26.888888888888893</v>
      </c>
      <c r="J19" s="8">
        <v>0.55000000000000004</v>
      </c>
      <c r="K19" s="8">
        <v>7.3333333333333339</v>
      </c>
      <c r="L19" s="8">
        <v>0.15000000000000002</v>
      </c>
      <c r="M19" s="8">
        <v>7.3333333333333339</v>
      </c>
      <c r="N19" s="8">
        <v>0.15000000000000002</v>
      </c>
      <c r="O19" s="8">
        <v>122.22222222222223</v>
      </c>
      <c r="P19" s="8">
        <v>1.2222222222222223</v>
      </c>
      <c r="Q19" s="8">
        <v>122.22222222222223</v>
      </c>
      <c r="R19" s="8">
        <v>1.2222222222222223</v>
      </c>
      <c r="S19" s="8">
        <v>488.88888888888891</v>
      </c>
      <c r="T19" s="8">
        <v>4.8888888888888893</v>
      </c>
      <c r="U19" s="8">
        <v>488.88888888888891</v>
      </c>
      <c r="V19" s="8">
        <v>4.8888888888888893</v>
      </c>
      <c r="W19" s="8">
        <v>17036.555555555558</v>
      </c>
      <c r="X19" s="8">
        <v>65.729247669269327</v>
      </c>
      <c r="Y19" s="8">
        <v>0.15895523061351632</v>
      </c>
      <c r="Z19" s="8">
        <v>7.1097136228926314E-2</v>
      </c>
      <c r="AA19" s="8">
        <v>6.1018651586305019E-2</v>
      </c>
      <c r="AB19" s="8">
        <v>8.3257047047741138E-3</v>
      </c>
      <c r="AC19" s="8">
        <v>0.10078484642621297</v>
      </c>
      <c r="AD19" s="8">
        <v>5.0501971959221931E-2</v>
      </c>
      <c r="AE19" s="8">
        <v>38.4</v>
      </c>
      <c r="AF19" s="8">
        <v>1671.9503105590059</v>
      </c>
    </row>
    <row r="20" spans="6:32" x14ac:dyDescent="0.25">
      <c r="F20" s="2" t="str">
        <v>Lithuania</v>
      </c>
      <c r="G20" s="8">
        <v>18.74074074074074</v>
      </c>
      <c r="H20" s="8">
        <v>0.38333333333333336</v>
      </c>
      <c r="I20" s="8">
        <v>18.74074074074074</v>
      </c>
      <c r="J20" s="8">
        <v>0.38333333333333336</v>
      </c>
      <c r="K20" s="8">
        <v>5.1111111111111107</v>
      </c>
      <c r="L20" s="8">
        <v>0.10454545454545455</v>
      </c>
      <c r="M20" s="8">
        <v>5.1111111111111107</v>
      </c>
      <c r="N20" s="8">
        <v>0.10454545454545455</v>
      </c>
      <c r="O20" s="8">
        <v>85.18518518518519</v>
      </c>
      <c r="P20" s="8">
        <v>0.85185185185185186</v>
      </c>
      <c r="Q20" s="8">
        <v>85.18518518518519</v>
      </c>
      <c r="R20" s="8">
        <v>0.85185185185185186</v>
      </c>
      <c r="S20" s="8">
        <v>340.74074074074076</v>
      </c>
      <c r="T20" s="8">
        <v>3.4074074074074074</v>
      </c>
      <c r="U20" s="8">
        <v>340.74074074074076</v>
      </c>
      <c r="V20" s="8">
        <v>3.4074074074074074</v>
      </c>
      <c r="W20" s="8">
        <v>11873.962962962964</v>
      </c>
      <c r="X20" s="8">
        <v>64.723102896917453</v>
      </c>
      <c r="Y20" s="8">
        <v>0.1565220371723787</v>
      </c>
      <c r="Z20" s="8">
        <v>7.0008822966832376E-2</v>
      </c>
      <c r="AA20" s="8">
        <v>6.0084613855971698E-2</v>
      </c>
      <c r="AB20" s="8">
        <v>8.1982597002762097E-3</v>
      </c>
      <c r="AC20" s="8">
        <v>9.9242091108606753E-2</v>
      </c>
      <c r="AD20" s="8">
        <v>4.9728917392464905E-2</v>
      </c>
      <c r="AE20" s="8">
        <v>38.299999999999997</v>
      </c>
      <c r="AF20" s="8">
        <v>1667.5962732919252</v>
      </c>
    </row>
    <row r="21" spans="6:32" x14ac:dyDescent="0.25">
      <c r="F21" s="2" t="str">
        <v>Luxembourg</v>
      </c>
      <c r="G21" s="8">
        <v>23.629629629629633</v>
      </c>
      <c r="H21" s="8">
        <v>0.48333333333333339</v>
      </c>
      <c r="I21" s="8">
        <v>23.629629629629633</v>
      </c>
      <c r="J21" s="8">
        <v>0.48333333333333339</v>
      </c>
      <c r="K21" s="8">
        <v>6.4444444444444446</v>
      </c>
      <c r="L21" s="8">
        <v>0.13181818181818183</v>
      </c>
      <c r="M21" s="8">
        <v>6.4444444444444446</v>
      </c>
      <c r="N21" s="8">
        <v>0.13181818181818183</v>
      </c>
      <c r="O21" s="8">
        <v>107.40740740740742</v>
      </c>
      <c r="P21" s="8">
        <v>1.0740740740740742</v>
      </c>
      <c r="Q21" s="8">
        <v>107.40740740740742</v>
      </c>
      <c r="R21" s="8">
        <v>1.0740740740740742</v>
      </c>
      <c r="S21" s="8">
        <v>429.62962962962968</v>
      </c>
      <c r="T21" s="8">
        <v>4.2962962962962967</v>
      </c>
      <c r="U21" s="8">
        <v>429.62962962962968</v>
      </c>
      <c r="V21" s="8">
        <v>4.2962962962962967</v>
      </c>
      <c r="W21" s="8">
        <v>14971.51851851852</v>
      </c>
      <c r="X21" s="8">
        <v>70.950014816407233</v>
      </c>
      <c r="Y21" s="8">
        <v>0.1715807858310115</v>
      </c>
      <c r="Z21" s="8">
        <v>7.6744266026413821E-2</v>
      </c>
      <c r="AA21" s="8">
        <v>6.586526375456471E-2</v>
      </c>
      <c r="AB21" s="8">
        <v>8.9870018767449159E-3</v>
      </c>
      <c r="AC21" s="8">
        <v>0.10879002271849109</v>
      </c>
      <c r="AD21" s="8">
        <v>5.4513261383939554E-2</v>
      </c>
      <c r="AE21" s="8">
        <v>35.299999999999997</v>
      </c>
      <c r="AF21" s="8">
        <v>1536.9751552795028</v>
      </c>
    </row>
    <row r="22" spans="6:32" x14ac:dyDescent="0.25">
      <c r="F22" s="2" t="str">
        <v>Malta</v>
      </c>
      <c r="G22" s="8">
        <v>21.185185185185183</v>
      </c>
      <c r="H22" s="8">
        <v>0.43333333333333329</v>
      </c>
      <c r="I22" s="8">
        <v>21.185185185185183</v>
      </c>
      <c r="J22" s="8">
        <v>0.43333333333333329</v>
      </c>
      <c r="K22" s="8">
        <v>5.7777777777777777</v>
      </c>
      <c r="L22" s="8">
        <v>0.11818181818181819</v>
      </c>
      <c r="M22" s="8">
        <v>5.7777777777777777</v>
      </c>
      <c r="N22" s="8">
        <v>0.11818181818181819</v>
      </c>
      <c r="O22" s="8">
        <v>96.296296296296291</v>
      </c>
      <c r="P22" s="8">
        <v>0.96296296296296291</v>
      </c>
      <c r="Q22" s="8">
        <v>96.296296296296291</v>
      </c>
      <c r="R22" s="8">
        <v>0.96296296296296291</v>
      </c>
      <c r="S22" s="8">
        <v>385.18518518518516</v>
      </c>
      <c r="T22" s="8">
        <v>3.8518518518518516</v>
      </c>
      <c r="U22" s="8">
        <v>385.18518518518516</v>
      </c>
      <c r="V22" s="8">
        <v>3.8518518518518516</v>
      </c>
      <c r="W22" s="8">
        <v>13422.740740740741</v>
      </c>
      <c r="X22" s="8">
        <v>59.815107603299168</v>
      </c>
      <c r="Y22" s="8">
        <v>0.14465286855397849</v>
      </c>
      <c r="Z22" s="8">
        <v>6.4700008057568606E-2</v>
      </c>
      <c r="AA22" s="8">
        <v>5.5528358225062732E-2</v>
      </c>
      <c r="AB22" s="8">
        <v>7.5765802964178949E-3</v>
      </c>
      <c r="AC22" s="8">
        <v>9.1716498325058723E-2</v>
      </c>
      <c r="AD22" s="8">
        <v>4.5957941008534862E-2</v>
      </c>
      <c r="AE22" s="8">
        <v>37.299999999999997</v>
      </c>
      <c r="AF22" s="8">
        <v>1624.0559006211179</v>
      </c>
    </row>
    <row r="23" spans="6:32" x14ac:dyDescent="0.25">
      <c r="F23" s="2" t="str">
        <v>Netherlands</v>
      </c>
      <c r="G23" s="8">
        <v>22</v>
      </c>
      <c r="H23" s="8">
        <v>0.45</v>
      </c>
      <c r="I23" s="8">
        <v>22</v>
      </c>
      <c r="J23" s="8">
        <v>0.45</v>
      </c>
      <c r="K23" s="8">
        <v>6</v>
      </c>
      <c r="L23" s="8">
        <v>0.12272727272727274</v>
      </c>
      <c r="M23" s="8">
        <v>6</v>
      </c>
      <c r="N23" s="8">
        <v>0.12272727272727274</v>
      </c>
      <c r="O23" s="8">
        <v>100</v>
      </c>
      <c r="P23" s="8">
        <v>1</v>
      </c>
      <c r="Q23" s="8">
        <v>100</v>
      </c>
      <c r="R23" s="8">
        <v>1</v>
      </c>
      <c r="S23" s="8">
        <v>400</v>
      </c>
      <c r="T23" s="8">
        <v>4</v>
      </c>
      <c r="U23" s="8">
        <v>400</v>
      </c>
      <c r="V23" s="8">
        <v>4</v>
      </c>
      <c r="W23" s="8">
        <v>13939</v>
      </c>
      <c r="X23" s="8">
        <v>60</v>
      </c>
      <c r="Y23" s="8">
        <v>0.14510000000000001</v>
      </c>
      <c r="Z23" s="8">
        <v>6.4899999999999999E-2</v>
      </c>
      <c r="AA23" s="8">
        <v>5.57E-2</v>
      </c>
      <c r="AB23" s="8">
        <v>7.6E-3</v>
      </c>
      <c r="AC23" s="8">
        <v>9.1999999999999998E-2</v>
      </c>
      <c r="AD23" s="8">
        <v>4.6100000000000002E-2</v>
      </c>
      <c r="AE23" s="8">
        <v>32.200000000000003</v>
      </c>
      <c r="AF23" s="8">
        <v>1402</v>
      </c>
    </row>
    <row r="24" spans="6:32" x14ac:dyDescent="0.25">
      <c r="F24" s="2" t="str">
        <v>Norway</v>
      </c>
      <c r="G24" s="8">
        <v>22</v>
      </c>
      <c r="H24" s="8">
        <v>0.45</v>
      </c>
      <c r="I24" s="8">
        <v>22</v>
      </c>
      <c r="J24" s="8">
        <v>0.45</v>
      </c>
      <c r="K24" s="8">
        <v>6</v>
      </c>
      <c r="L24" s="8">
        <v>0.12272727272727274</v>
      </c>
      <c r="M24" s="8">
        <v>6</v>
      </c>
      <c r="N24" s="8">
        <v>0.12272727272727274</v>
      </c>
      <c r="O24" s="8">
        <v>100</v>
      </c>
      <c r="P24" s="8">
        <v>1</v>
      </c>
      <c r="Q24" s="8">
        <v>100</v>
      </c>
      <c r="R24" s="8">
        <v>1</v>
      </c>
      <c r="S24" s="8">
        <v>400</v>
      </c>
      <c r="T24" s="8">
        <v>4</v>
      </c>
      <c r="U24" s="8">
        <v>400</v>
      </c>
      <c r="V24" s="8">
        <v>4</v>
      </c>
      <c r="W24" s="8">
        <v>13939</v>
      </c>
      <c r="X24" s="8">
        <v>63.284335343198393</v>
      </c>
      <c r="Y24" s="8">
        <v>0.15304261763830146</v>
      </c>
      <c r="Z24" s="8">
        <v>6.8452556062892925E-2</v>
      </c>
      <c r="AA24" s="8">
        <v>5.8748957976935842E-2</v>
      </c>
      <c r="AB24" s="8">
        <v>8.0160158101384629E-3</v>
      </c>
      <c r="AC24" s="8">
        <v>9.7035980859570867E-2</v>
      </c>
      <c r="AD24" s="8">
        <v>4.86234643220241E-2</v>
      </c>
      <c r="AE24" s="8">
        <v>33.9</v>
      </c>
      <c r="AF24" s="8">
        <v>1476.0186335403723</v>
      </c>
    </row>
    <row r="25" spans="6:32" x14ac:dyDescent="0.25">
      <c r="F25" s="2" t="str">
        <v>Poland</v>
      </c>
      <c r="G25" s="8">
        <v>19.555555555555554</v>
      </c>
      <c r="H25" s="8">
        <v>0.39999999999999997</v>
      </c>
      <c r="I25" s="8">
        <v>19.555555555555554</v>
      </c>
      <c r="J25" s="8">
        <v>0.39999999999999997</v>
      </c>
      <c r="K25" s="8">
        <v>5.333333333333333</v>
      </c>
      <c r="L25" s="8">
        <v>0.1090909090909091</v>
      </c>
      <c r="M25" s="8">
        <v>5.333333333333333</v>
      </c>
      <c r="N25" s="8">
        <v>0.1090909090909091</v>
      </c>
      <c r="O25" s="8">
        <v>88.888888888888886</v>
      </c>
      <c r="P25" s="8">
        <v>0.88888888888888884</v>
      </c>
      <c r="Q25" s="8">
        <v>88.888888888888886</v>
      </c>
      <c r="R25" s="8">
        <v>0.88888888888888884</v>
      </c>
      <c r="S25" s="8">
        <v>355.55555555555554</v>
      </c>
      <c r="T25" s="8">
        <v>3.5555555555555554</v>
      </c>
      <c r="U25" s="8">
        <v>355.55555555555554</v>
      </c>
      <c r="V25" s="8">
        <v>3.5555555555555554</v>
      </c>
      <c r="W25" s="8">
        <v>12390.222222222221</v>
      </c>
      <c r="X25" s="8">
        <v>66.287441474178124</v>
      </c>
      <c r="Y25" s="8">
        <v>0.16030512929838744</v>
      </c>
      <c r="Z25" s="8">
        <v>7.1700915861236003E-2</v>
      </c>
      <c r="AA25" s="8">
        <v>6.1536841501862026E-2</v>
      </c>
      <c r="AB25" s="8">
        <v>8.3964092533958968E-3</v>
      </c>
      <c r="AC25" s="8">
        <v>0.1016407435937398</v>
      </c>
      <c r="AD25" s="8">
        <v>5.0930850865993534E-2</v>
      </c>
      <c r="AE25" s="8">
        <v>39.299999999999997</v>
      </c>
      <c r="AF25" s="8">
        <v>1711.1366459627327</v>
      </c>
    </row>
    <row r="26" spans="6:32" x14ac:dyDescent="0.25">
      <c r="F26" s="2" t="str">
        <v>Portugal</v>
      </c>
      <c r="G26" s="8">
        <v>17.111111111111111</v>
      </c>
      <c r="H26" s="8">
        <v>0.35000000000000003</v>
      </c>
      <c r="I26" s="8">
        <v>17.111111111111111</v>
      </c>
      <c r="J26" s="8">
        <v>0.35000000000000003</v>
      </c>
      <c r="K26" s="8">
        <v>4.666666666666667</v>
      </c>
      <c r="L26" s="8">
        <v>9.5454545454545472E-2</v>
      </c>
      <c r="M26" s="8">
        <v>4.666666666666667</v>
      </c>
      <c r="N26" s="8">
        <v>9.5454545454545472E-2</v>
      </c>
      <c r="O26" s="8">
        <v>77.777777777777786</v>
      </c>
      <c r="P26" s="8">
        <v>0.77777777777777779</v>
      </c>
      <c r="Q26" s="8">
        <v>77.777777777777786</v>
      </c>
      <c r="R26" s="8">
        <v>0.77777777777777779</v>
      </c>
      <c r="S26" s="8">
        <v>311.11111111111114</v>
      </c>
      <c r="T26" s="8">
        <v>3.1111111111111112</v>
      </c>
      <c r="U26" s="8">
        <v>311.11111111111114</v>
      </c>
      <c r="V26" s="8">
        <v>3.1111111111111112</v>
      </c>
      <c r="W26" s="8">
        <v>10841.444444444445</v>
      </c>
      <c r="X26" s="8">
        <v>58.46646556203887</v>
      </c>
      <c r="Y26" s="8">
        <v>0.14139140255086399</v>
      </c>
      <c r="Z26" s="8">
        <v>6.3241226916272042E-2</v>
      </c>
      <c r="AA26" s="8">
        <v>5.4276368863426086E-2</v>
      </c>
      <c r="AB26" s="8">
        <v>7.4057523045249233E-3</v>
      </c>
      <c r="AC26" s="8">
        <v>8.9648580528459601E-2</v>
      </c>
      <c r="AD26" s="8">
        <v>4.4921734373499868E-2</v>
      </c>
      <c r="AE26" s="8">
        <v>37.700000000000003</v>
      </c>
      <c r="AF26" s="8">
        <v>1641.4720496894408</v>
      </c>
    </row>
    <row r="27" spans="6:32" x14ac:dyDescent="0.25">
      <c r="F27" s="2" t="str">
        <v>Romania</v>
      </c>
      <c r="G27" s="8">
        <v>22</v>
      </c>
      <c r="H27" s="8">
        <v>0.45</v>
      </c>
      <c r="I27" s="8">
        <v>22</v>
      </c>
      <c r="J27" s="8">
        <v>0.45</v>
      </c>
      <c r="K27" s="8">
        <v>6</v>
      </c>
      <c r="L27" s="8">
        <v>0.12272727272727274</v>
      </c>
      <c r="M27" s="8">
        <v>6</v>
      </c>
      <c r="N27" s="8">
        <v>0.12272727272727274</v>
      </c>
      <c r="O27" s="8">
        <v>100</v>
      </c>
      <c r="P27" s="8">
        <v>1</v>
      </c>
      <c r="Q27" s="8">
        <v>100</v>
      </c>
      <c r="R27" s="8">
        <v>1</v>
      </c>
      <c r="S27" s="8">
        <v>400</v>
      </c>
      <c r="T27" s="8">
        <v>4</v>
      </c>
      <c r="U27" s="8">
        <v>400</v>
      </c>
      <c r="V27" s="8">
        <v>4</v>
      </c>
      <c r="W27" s="8">
        <v>13939</v>
      </c>
      <c r="X27" s="8">
        <v>64.268648206922421</v>
      </c>
      <c r="Y27" s="8">
        <v>0.15542301424707405</v>
      </c>
      <c r="Z27" s="8">
        <v>6.9517254477154414E-2</v>
      </c>
      <c r="AA27" s="8">
        <v>5.9662728418759643E-2</v>
      </c>
      <c r="AB27" s="8">
        <v>8.1406954395435056E-3</v>
      </c>
      <c r="AC27" s="8">
        <v>9.8545260583947705E-2</v>
      </c>
      <c r="AD27" s="8">
        <v>4.9379744705652054E-2</v>
      </c>
      <c r="AE27" s="8">
        <v>39.5</v>
      </c>
      <c r="AF27" s="8">
        <v>1719.8447204968943</v>
      </c>
    </row>
    <row r="28" spans="6:32" x14ac:dyDescent="0.25">
      <c r="F28" s="2" t="str">
        <v>Slovakia</v>
      </c>
      <c r="G28" s="8">
        <v>18.74074074074074</v>
      </c>
      <c r="H28" s="8">
        <v>0.38333333333333336</v>
      </c>
      <c r="I28" s="8">
        <v>18.74074074074074</v>
      </c>
      <c r="J28" s="8">
        <v>0.38333333333333336</v>
      </c>
      <c r="K28" s="8">
        <v>5.1111111111111107</v>
      </c>
      <c r="L28" s="8">
        <v>0.10454545454545455</v>
      </c>
      <c r="M28" s="8">
        <v>5.1111111111111107</v>
      </c>
      <c r="N28" s="8">
        <v>0.10454545454545455</v>
      </c>
      <c r="O28" s="8">
        <v>85.18518518518519</v>
      </c>
      <c r="P28" s="8">
        <v>0.85185185185185186</v>
      </c>
      <c r="Q28" s="8">
        <v>85.18518518518519</v>
      </c>
      <c r="R28" s="8">
        <v>0.85185185185185186</v>
      </c>
      <c r="S28" s="8">
        <v>340.74074074074076</v>
      </c>
      <c r="T28" s="8">
        <v>3.4074074074074074</v>
      </c>
      <c r="U28" s="8">
        <v>340.74074074074076</v>
      </c>
      <c r="V28" s="8">
        <v>3.4074074074074074</v>
      </c>
      <c r="W28" s="8">
        <v>11873.962962962964</v>
      </c>
      <c r="X28" s="8">
        <v>65.776063849489361</v>
      </c>
      <c r="Y28" s="8">
        <v>0.15906844774268178</v>
      </c>
      <c r="Z28" s="8">
        <v>7.1147775730530993E-2</v>
      </c>
      <c r="AA28" s="8">
        <v>6.106211260694263E-2</v>
      </c>
      <c r="AB28" s="8">
        <v>8.3316347542686537E-3</v>
      </c>
      <c r="AC28" s="8">
        <v>0.10085663123588369</v>
      </c>
      <c r="AD28" s="8">
        <v>5.0537942391024333E-2</v>
      </c>
      <c r="AE28" s="8">
        <v>37.6</v>
      </c>
      <c r="AF28" s="8">
        <v>1637.1180124223602</v>
      </c>
    </row>
    <row r="29" spans="6:32" x14ac:dyDescent="0.25">
      <c r="F29" s="2" t="str">
        <v>Slovenia</v>
      </c>
      <c r="G29" s="8">
        <v>18.74074074074074</v>
      </c>
      <c r="H29" s="8">
        <v>0.38333333333333336</v>
      </c>
      <c r="I29" s="8">
        <v>18.74074074074074</v>
      </c>
      <c r="J29" s="8">
        <v>0.38333333333333336</v>
      </c>
      <c r="K29" s="8">
        <v>5.1111111111111107</v>
      </c>
      <c r="L29" s="8">
        <v>0.10454545454545455</v>
      </c>
      <c r="M29" s="8">
        <v>5.1111111111111107</v>
      </c>
      <c r="N29" s="8">
        <v>0.10454545454545455</v>
      </c>
      <c r="O29" s="8">
        <v>85.18518518518519</v>
      </c>
      <c r="P29" s="8">
        <v>0.85185185185185186</v>
      </c>
      <c r="Q29" s="8">
        <v>85.18518518518519</v>
      </c>
      <c r="R29" s="8">
        <v>0.85185185185185186</v>
      </c>
      <c r="S29" s="8">
        <v>340.74074074074076</v>
      </c>
      <c r="T29" s="8">
        <v>3.4074074074074074</v>
      </c>
      <c r="U29" s="8">
        <v>340.74074074074076</v>
      </c>
      <c r="V29" s="8">
        <v>3.4074074074074074</v>
      </c>
      <c r="W29" s="8">
        <v>11873.962962962964</v>
      </c>
      <c r="X29" s="8">
        <v>63.298638161663725</v>
      </c>
      <c r="Y29" s="8">
        <v>0.15307720662095678</v>
      </c>
      <c r="Z29" s="8">
        <v>6.8468026944866256E-2</v>
      </c>
      <c r="AA29" s="8">
        <v>5.8762235760077823E-2</v>
      </c>
      <c r="AB29" s="8">
        <v>8.0178275004774043E-3</v>
      </c>
      <c r="AC29" s="8">
        <v>9.7057911847884371E-2</v>
      </c>
      <c r="AD29" s="8">
        <v>4.863445365421163E-2</v>
      </c>
      <c r="AE29" s="8">
        <v>38.1</v>
      </c>
      <c r="AF29" s="8">
        <v>1658.8881987577638</v>
      </c>
    </row>
    <row r="30" spans="6:32" x14ac:dyDescent="0.25">
      <c r="F30" s="2" t="str">
        <v>Spain</v>
      </c>
      <c r="G30" s="8">
        <v>20.37037037037037</v>
      </c>
      <c r="H30" s="8">
        <v>0.41666666666666669</v>
      </c>
      <c r="I30" s="8">
        <v>20.37037037037037</v>
      </c>
      <c r="J30" s="8">
        <v>0.41666666666666669</v>
      </c>
      <c r="K30" s="8">
        <v>5.5555555555555554</v>
      </c>
      <c r="L30" s="8">
        <v>0.11363636363636365</v>
      </c>
      <c r="M30" s="8">
        <v>5.5555555555555554</v>
      </c>
      <c r="N30" s="8">
        <v>0.11363636363636365</v>
      </c>
      <c r="O30" s="8">
        <v>92.592592592592595</v>
      </c>
      <c r="P30" s="8">
        <v>0.92592592592592593</v>
      </c>
      <c r="Q30" s="8">
        <v>92.592592592592595</v>
      </c>
      <c r="R30" s="8">
        <v>0.92592592592592593</v>
      </c>
      <c r="S30" s="8">
        <v>370.37037037037038</v>
      </c>
      <c r="T30" s="8">
        <v>3.7037037037037037</v>
      </c>
      <c r="U30" s="8">
        <v>370.37037037037038</v>
      </c>
      <c r="V30" s="8">
        <v>3.7037037037037037</v>
      </c>
      <c r="W30" s="8">
        <v>12906.481481481482</v>
      </c>
      <c r="X30" s="8">
        <v>61.721999463155896</v>
      </c>
      <c r="Y30" s="8">
        <v>0.14926436870173201</v>
      </c>
      <c r="Z30" s="8">
        <v>6.6762629419313629E-2</v>
      </c>
      <c r="AA30" s="8">
        <v>5.7298589501629721E-2</v>
      </c>
      <c r="AB30" s="8">
        <v>7.8181199319997466E-3</v>
      </c>
      <c r="AC30" s="8">
        <v>9.464039917683903E-2</v>
      </c>
      <c r="AD30" s="8">
        <v>4.7423069587524784E-2</v>
      </c>
      <c r="AE30" s="8">
        <v>36.4</v>
      </c>
      <c r="AF30" s="8">
        <v>1584.8695652173913</v>
      </c>
    </row>
    <row r="31" spans="6:32" x14ac:dyDescent="0.25">
      <c r="F31" s="2" t="str">
        <v>Sweden</v>
      </c>
      <c r="G31" s="8">
        <v>21.185185185185183</v>
      </c>
      <c r="H31" s="8">
        <v>0.43333333333333329</v>
      </c>
      <c r="I31" s="8">
        <v>21.185185185185183</v>
      </c>
      <c r="J31" s="8">
        <v>0.43333333333333329</v>
      </c>
      <c r="K31" s="8">
        <v>5.7777777777777777</v>
      </c>
      <c r="L31" s="8">
        <v>0.11818181818181819</v>
      </c>
      <c r="M31" s="8">
        <v>5.7777777777777777</v>
      </c>
      <c r="N31" s="8">
        <v>0.11818181818181819</v>
      </c>
      <c r="O31" s="8">
        <v>96.296296296296291</v>
      </c>
      <c r="P31" s="8">
        <v>0.96296296296296291</v>
      </c>
      <c r="Q31" s="8">
        <v>96.296296296296291</v>
      </c>
      <c r="R31" s="8">
        <v>0.96296296296296291</v>
      </c>
      <c r="S31" s="8">
        <v>385.18518518518516</v>
      </c>
      <c r="T31" s="8">
        <v>3.8518518518518516</v>
      </c>
      <c r="U31" s="8">
        <v>385.18518518518516</v>
      </c>
      <c r="V31" s="8">
        <v>3.8518518518518516</v>
      </c>
      <c r="W31" s="8">
        <v>13422.740740740741</v>
      </c>
      <c r="X31" s="8">
        <v>67.691989696570417</v>
      </c>
      <c r="Y31" s="8">
        <v>0.1637017950828728</v>
      </c>
      <c r="Z31" s="8">
        <v>7.3220168855123668E-2</v>
      </c>
      <c r="AA31" s="8">
        <v>6.2840730434982867E-2</v>
      </c>
      <c r="AB31" s="8">
        <v>8.5743186948989188E-3</v>
      </c>
      <c r="AC31" s="8">
        <v>0.10379438420140796</v>
      </c>
      <c r="AD31" s="8">
        <v>5.2010012083531607E-2</v>
      </c>
      <c r="AE31" s="8">
        <v>35.700000000000003</v>
      </c>
      <c r="AF31" s="8">
        <v>1554.3913043478262</v>
      </c>
    </row>
    <row r="32" spans="6:32" x14ac:dyDescent="0.25">
      <c r="F32" s="2" t="str">
        <v>Switzerland</v>
      </c>
      <c r="G32" s="8">
        <v>21.185185185185183</v>
      </c>
      <c r="H32" s="8">
        <v>0.43333333333333329</v>
      </c>
      <c r="I32" s="8">
        <v>21.185185185185183</v>
      </c>
      <c r="J32" s="8">
        <v>0.43333333333333329</v>
      </c>
      <c r="K32" s="8">
        <v>5.7777777777777777</v>
      </c>
      <c r="L32" s="8">
        <v>0.11818181818181819</v>
      </c>
      <c r="M32" s="8">
        <v>5.7777777777777777</v>
      </c>
      <c r="N32" s="8">
        <v>0.11818181818181819</v>
      </c>
      <c r="O32" s="8">
        <v>96.296296296296291</v>
      </c>
      <c r="P32" s="8">
        <v>0.96296296296296291</v>
      </c>
      <c r="Q32" s="8">
        <v>96.296296296296291</v>
      </c>
      <c r="R32" s="8">
        <v>0.96296296296296291</v>
      </c>
      <c r="S32" s="8">
        <v>385.18518518518516</v>
      </c>
      <c r="T32" s="8">
        <v>3.8518518518518516</v>
      </c>
      <c r="U32" s="8">
        <v>385.18518518518516</v>
      </c>
      <c r="V32" s="8">
        <v>3.8518518518518516</v>
      </c>
      <c r="W32" s="8">
        <v>13422.740740740741</v>
      </c>
      <c r="X32" s="8">
        <v>66.093816553847773</v>
      </c>
      <c r="Y32" s="8">
        <v>0.15983687969938856</v>
      </c>
      <c r="Z32" s="8">
        <v>7.1491478239078685E-2</v>
      </c>
      <c r="AA32" s="8">
        <v>6.1357093034155354E-2</v>
      </c>
      <c r="AB32" s="8">
        <v>8.3718834301540514E-3</v>
      </c>
      <c r="AC32" s="8">
        <v>0.10134385204923325</v>
      </c>
      <c r="AD32" s="8">
        <v>5.078208238553971E-2</v>
      </c>
      <c r="AE32" s="8">
        <v>36.200000000000003</v>
      </c>
      <c r="AF32" s="8">
        <v>1576.1614906832299</v>
      </c>
    </row>
    <row r="33" spans="6:32" ht="30" x14ac:dyDescent="0.25">
      <c r="F33" s="2" t="str">
        <v>United_Kingdom</v>
      </c>
      <c r="G33" s="8">
        <v>24.444444444444446</v>
      </c>
      <c r="H33" s="8">
        <v>0.5</v>
      </c>
      <c r="I33" s="8">
        <v>24.444444444444446</v>
      </c>
      <c r="J33" s="8">
        <v>0.5</v>
      </c>
      <c r="K33" s="8">
        <v>6.666666666666667</v>
      </c>
      <c r="L33" s="8">
        <v>0.13636363636363638</v>
      </c>
      <c r="M33" s="8">
        <v>6.666666666666667</v>
      </c>
      <c r="N33" s="8">
        <v>0.13636363636363638</v>
      </c>
      <c r="O33" s="8">
        <v>111.11111111111111</v>
      </c>
      <c r="P33" s="8">
        <v>1.1111111111111112</v>
      </c>
      <c r="Q33" s="8">
        <v>111.11111111111111</v>
      </c>
      <c r="R33" s="8">
        <v>1.1111111111111112</v>
      </c>
      <c r="S33" s="8">
        <v>444.44444444444446</v>
      </c>
      <c r="T33" s="8">
        <v>4.4444444444444446</v>
      </c>
      <c r="U33" s="8">
        <v>444.44444444444446</v>
      </c>
      <c r="V33" s="8">
        <v>4.4444444444444446</v>
      </c>
      <c r="W33" s="8">
        <v>15487.777777777779</v>
      </c>
      <c r="X33" s="8">
        <v>66.066046901319027</v>
      </c>
      <c r="Y33" s="8">
        <v>0.15976972342302317</v>
      </c>
      <c r="Z33" s="8">
        <v>7.1461440731593412E-2</v>
      </c>
      <c r="AA33" s="8">
        <v>6.133131354005783E-2</v>
      </c>
      <c r="AB33" s="8">
        <v>8.3683659408337434E-3</v>
      </c>
      <c r="AC33" s="8">
        <v>0.10130127191535584</v>
      </c>
      <c r="AD33" s="8">
        <v>5.0760746035846786E-2</v>
      </c>
      <c r="AE33" s="8">
        <v>36.6</v>
      </c>
      <c r="AF33" s="8">
        <v>1593.5776397515529</v>
      </c>
    </row>
    <row r="38" spans="6:32" ht="30" x14ac:dyDescent="0.25">
      <c r="F38" s="2" t="s">
        <v>222</v>
      </c>
      <c r="G38" s="2" t="str" cm="1">
        <f t="array" ref="G38:N38">TRANSPOSE(bus_parameters)</f>
        <v>legs.bus_from_depot_to_route_start.distance</v>
      </c>
      <c r="H38" s="2" t="str">
        <v>legs.bus_from_depot_to_route_start.duration</v>
      </c>
      <c r="I38" s="2" t="str">
        <v>legs.bus_from_route_start_to_depot.distance</v>
      </c>
      <c r="J38" s="2" t="str">
        <v>legs.bus_from_route_start_to_depot.duration</v>
      </c>
      <c r="K38" s="2" t="str">
        <v>legs.bus_from_route_start_to_route_end.distance</v>
      </c>
      <c r="L38" s="2" t="str">
        <v>legs.bus_from_route_start_to_route_end.duration</v>
      </c>
      <c r="M38" s="2" t="str">
        <v>legs.bus_from_route_end_to_route_start.distance</v>
      </c>
      <c r="N38" s="2" t="str">
        <v>legs.bus_from_route_end_to_route_start.duration</v>
      </c>
    </row>
    <row r="39" spans="6:32" x14ac:dyDescent="0.25">
      <c r="F39" s="2" t="str" cm="1">
        <f t="array" ref="F39:F68">countries</f>
        <v>Austria</v>
      </c>
      <c r="G39" s="8" cm="1">
        <f t="array" ref="G39:N68">INDEX(country_scaling_factors,MATCH(countries,countries,0),MATCH(TRANSPOSE(bus_scaling_factors_used),Scaling_Factor_Categories,0))*TRANSPOSE(bus_reference_country_values)</f>
        <v>3.5555555555555554</v>
      </c>
      <c r="H39" s="8">
        <v>8.8888888888888892E-2</v>
      </c>
      <c r="I39" s="8">
        <v>3.5555555555555554</v>
      </c>
      <c r="J39" s="8">
        <v>8.8888888888888892E-2</v>
      </c>
      <c r="K39" s="8">
        <v>9.7777777777777768</v>
      </c>
      <c r="L39" s="8">
        <v>0.58666666666666667</v>
      </c>
      <c r="M39" s="8">
        <v>9.7777777777777768</v>
      </c>
      <c r="N39" s="8">
        <v>0.58666666666666667</v>
      </c>
    </row>
    <row r="40" spans="6:32" x14ac:dyDescent="0.25">
      <c r="F40" s="2" t="str">
        <v>Belgium</v>
      </c>
      <c r="G40" s="8">
        <v>4.1481481481481479</v>
      </c>
      <c r="H40" s="8">
        <v>0.1037037037037037</v>
      </c>
      <c r="I40" s="8">
        <v>4.1481481481481479</v>
      </c>
      <c r="J40" s="8">
        <v>0.1037037037037037</v>
      </c>
      <c r="K40" s="8">
        <v>11.407407407407407</v>
      </c>
      <c r="L40" s="8">
        <v>0.68444444444444441</v>
      </c>
      <c r="M40" s="8">
        <v>11.407407407407407</v>
      </c>
      <c r="N40" s="8">
        <v>0.68444444444444441</v>
      </c>
    </row>
    <row r="41" spans="6:32" x14ac:dyDescent="0.25">
      <c r="F41" s="2" t="str">
        <v>Bulgaria</v>
      </c>
      <c r="G41" s="8">
        <v>3.8518518518518516</v>
      </c>
      <c r="H41" s="8">
        <v>9.6296296296296297E-2</v>
      </c>
      <c r="I41" s="8">
        <v>3.8518518518518516</v>
      </c>
      <c r="J41" s="8">
        <v>9.6296296296296297E-2</v>
      </c>
      <c r="K41" s="8">
        <v>10.592592592592592</v>
      </c>
      <c r="L41" s="8">
        <v>0.63555555555555554</v>
      </c>
      <c r="M41" s="8">
        <v>10.592592592592592</v>
      </c>
      <c r="N41" s="8">
        <v>0.63555555555555554</v>
      </c>
    </row>
    <row r="42" spans="6:32" x14ac:dyDescent="0.25">
      <c r="F42" s="2" t="str">
        <v>Croatia</v>
      </c>
      <c r="G42" s="8">
        <v>3.5555555555555554</v>
      </c>
      <c r="H42" s="8">
        <v>8.8888888888888892E-2</v>
      </c>
      <c r="I42" s="8">
        <v>3.5555555555555554</v>
      </c>
      <c r="J42" s="8">
        <v>8.8888888888888892E-2</v>
      </c>
      <c r="K42" s="8">
        <v>9.7777777777777768</v>
      </c>
      <c r="L42" s="8">
        <v>0.58666666666666667</v>
      </c>
      <c r="M42" s="8">
        <v>9.7777777777777768</v>
      </c>
      <c r="N42" s="8">
        <v>0.58666666666666667</v>
      </c>
    </row>
    <row r="43" spans="6:32" x14ac:dyDescent="0.25">
      <c r="F43" s="2" t="str">
        <v>Cyprus</v>
      </c>
      <c r="G43" s="8">
        <v>2.8148148148148149</v>
      </c>
      <c r="H43" s="8">
        <v>7.0370370370370375E-2</v>
      </c>
      <c r="I43" s="8">
        <v>2.8148148148148149</v>
      </c>
      <c r="J43" s="8">
        <v>7.0370370370370375E-2</v>
      </c>
      <c r="K43" s="8">
        <v>7.7407407407407405</v>
      </c>
      <c r="L43" s="8">
        <v>0.46444444444444449</v>
      </c>
      <c r="M43" s="8">
        <v>7.7407407407407405</v>
      </c>
      <c r="N43" s="8">
        <v>0.46444444444444449</v>
      </c>
    </row>
    <row r="44" spans="6:32" x14ac:dyDescent="0.25">
      <c r="F44" s="2" t="str">
        <v>Czechia</v>
      </c>
      <c r="G44" s="8">
        <v>4</v>
      </c>
      <c r="H44" s="8">
        <v>0.1</v>
      </c>
      <c r="I44" s="8">
        <v>4</v>
      </c>
      <c r="J44" s="8">
        <v>0.1</v>
      </c>
      <c r="K44" s="8">
        <v>11</v>
      </c>
      <c r="L44" s="8">
        <v>0.66</v>
      </c>
      <c r="M44" s="8">
        <v>11</v>
      </c>
      <c r="N44" s="8">
        <v>0.66</v>
      </c>
    </row>
    <row r="45" spans="6:32" x14ac:dyDescent="0.25">
      <c r="F45" s="2" t="str">
        <v>Denmark</v>
      </c>
      <c r="G45" s="8">
        <v>3.8518518518518516</v>
      </c>
      <c r="H45" s="8">
        <v>9.6296296296296297E-2</v>
      </c>
      <c r="I45" s="8">
        <v>3.8518518518518516</v>
      </c>
      <c r="J45" s="8">
        <v>9.6296296296296297E-2</v>
      </c>
      <c r="K45" s="8">
        <v>10.592592592592592</v>
      </c>
      <c r="L45" s="8">
        <v>0.63555555555555554</v>
      </c>
      <c r="M45" s="8">
        <v>10.592592592592592</v>
      </c>
      <c r="N45" s="8">
        <v>0.63555555555555554</v>
      </c>
    </row>
    <row r="46" spans="6:32" x14ac:dyDescent="0.25">
      <c r="F46" s="2" t="str">
        <v>Estonia</v>
      </c>
      <c r="G46" s="8">
        <v>3.4074074074074074</v>
      </c>
      <c r="H46" s="8">
        <v>8.5185185185185197E-2</v>
      </c>
      <c r="I46" s="8">
        <v>3.4074074074074074</v>
      </c>
      <c r="J46" s="8">
        <v>8.5185185185185197E-2</v>
      </c>
      <c r="K46" s="8">
        <v>9.3703703703703702</v>
      </c>
      <c r="L46" s="8">
        <v>0.56222222222222229</v>
      </c>
      <c r="M46" s="8">
        <v>9.3703703703703702</v>
      </c>
      <c r="N46" s="8">
        <v>0.56222222222222229</v>
      </c>
    </row>
    <row r="47" spans="6:32" x14ac:dyDescent="0.25">
      <c r="F47" s="2" t="str">
        <v>Finland</v>
      </c>
      <c r="G47" s="8">
        <v>3.4074074074074074</v>
      </c>
      <c r="H47" s="8">
        <v>8.5185185185185197E-2</v>
      </c>
      <c r="I47" s="8">
        <v>3.4074074074074074</v>
      </c>
      <c r="J47" s="8">
        <v>8.5185185185185197E-2</v>
      </c>
      <c r="K47" s="8">
        <v>9.3703703703703702</v>
      </c>
      <c r="L47" s="8">
        <v>0.56222222222222229</v>
      </c>
      <c r="M47" s="8">
        <v>9.3703703703703702</v>
      </c>
      <c r="N47" s="8">
        <v>0.56222222222222229</v>
      </c>
    </row>
    <row r="48" spans="6:32" x14ac:dyDescent="0.25">
      <c r="F48" s="2" t="str">
        <v>France</v>
      </c>
      <c r="G48" s="8">
        <v>3.8518518518518516</v>
      </c>
      <c r="H48" s="8">
        <v>9.6296296296296297E-2</v>
      </c>
      <c r="I48" s="8">
        <v>3.8518518518518516</v>
      </c>
      <c r="J48" s="8">
        <v>9.6296296296296297E-2</v>
      </c>
      <c r="K48" s="8">
        <v>10.592592592592592</v>
      </c>
      <c r="L48" s="8">
        <v>0.63555555555555554</v>
      </c>
      <c r="M48" s="8">
        <v>10.592592592592592</v>
      </c>
      <c r="N48" s="8">
        <v>0.63555555555555554</v>
      </c>
    </row>
    <row r="49" spans="6:14" x14ac:dyDescent="0.25">
      <c r="F49" s="2" t="str">
        <v>Germany</v>
      </c>
      <c r="G49" s="8">
        <v>3.8518518518518516</v>
      </c>
      <c r="H49" s="8">
        <v>9.6296296296296297E-2</v>
      </c>
      <c r="I49" s="8">
        <v>3.8518518518518516</v>
      </c>
      <c r="J49" s="8">
        <v>9.6296296296296297E-2</v>
      </c>
      <c r="K49" s="8">
        <v>10.592592592592592</v>
      </c>
      <c r="L49" s="8">
        <v>0.63555555555555554</v>
      </c>
      <c r="M49" s="8">
        <v>10.592592592592592</v>
      </c>
      <c r="N49" s="8">
        <v>0.63555555555555554</v>
      </c>
    </row>
    <row r="50" spans="6:14" x14ac:dyDescent="0.25">
      <c r="F50" s="2" t="str">
        <v>Greece</v>
      </c>
      <c r="G50" s="8">
        <v>2.9629629629629628</v>
      </c>
      <c r="H50" s="8">
        <v>7.407407407407407E-2</v>
      </c>
      <c r="I50" s="8">
        <v>2.9629629629629628</v>
      </c>
      <c r="J50" s="8">
        <v>7.407407407407407E-2</v>
      </c>
      <c r="K50" s="8">
        <v>8.148148148148147</v>
      </c>
      <c r="L50" s="8">
        <v>0.48888888888888887</v>
      </c>
      <c r="M50" s="8">
        <v>8.148148148148147</v>
      </c>
      <c r="N50" s="8">
        <v>0.48888888888888887</v>
      </c>
    </row>
    <row r="51" spans="6:14" x14ac:dyDescent="0.25">
      <c r="F51" s="2" t="str">
        <v>Hungary</v>
      </c>
      <c r="G51" s="8">
        <v>4.2962962962962967</v>
      </c>
      <c r="H51" s="8">
        <v>0.10740740740740742</v>
      </c>
      <c r="I51" s="8">
        <v>4.2962962962962967</v>
      </c>
      <c r="J51" s="8">
        <v>0.10740740740740742</v>
      </c>
      <c r="K51" s="8">
        <v>11.814814814814817</v>
      </c>
      <c r="L51" s="8">
        <v>0.70888888888888901</v>
      </c>
      <c r="M51" s="8">
        <v>11.814814814814817</v>
      </c>
      <c r="N51" s="8">
        <v>0.70888888888888901</v>
      </c>
    </row>
    <row r="52" spans="6:14" x14ac:dyDescent="0.25">
      <c r="F52" s="2" t="str">
        <v>Ireland</v>
      </c>
      <c r="G52" s="8">
        <v>4.1481481481481479</v>
      </c>
      <c r="H52" s="8">
        <v>0.1037037037037037</v>
      </c>
      <c r="I52" s="8">
        <v>4.1481481481481479</v>
      </c>
      <c r="J52" s="8">
        <v>0.1037037037037037</v>
      </c>
      <c r="K52" s="8">
        <v>11.407407407407407</v>
      </c>
      <c r="L52" s="8">
        <v>0.68444444444444441</v>
      </c>
      <c r="M52" s="8">
        <v>11.407407407407407</v>
      </c>
      <c r="N52" s="8">
        <v>0.68444444444444441</v>
      </c>
    </row>
    <row r="53" spans="6:14" x14ac:dyDescent="0.25">
      <c r="F53" s="2" t="str">
        <v>Italy</v>
      </c>
      <c r="G53" s="8">
        <v>3.1111111111111112</v>
      </c>
      <c r="H53" s="8">
        <v>7.7777777777777779E-2</v>
      </c>
      <c r="I53" s="8">
        <v>3.1111111111111112</v>
      </c>
      <c r="J53" s="8">
        <v>7.7777777777777779E-2</v>
      </c>
      <c r="K53" s="8">
        <v>8.5555555555555554</v>
      </c>
      <c r="L53" s="8">
        <v>0.51333333333333342</v>
      </c>
      <c r="M53" s="8">
        <v>8.5555555555555554</v>
      </c>
      <c r="N53" s="8">
        <v>0.51333333333333342</v>
      </c>
    </row>
    <row r="54" spans="6:14" x14ac:dyDescent="0.25">
      <c r="F54" s="2" t="str">
        <v>Latvia</v>
      </c>
      <c r="G54" s="8">
        <v>4.8888888888888893</v>
      </c>
      <c r="H54" s="8">
        <v>0.12222222222222223</v>
      </c>
      <c r="I54" s="8">
        <v>4.8888888888888893</v>
      </c>
      <c r="J54" s="8">
        <v>0.12222222222222223</v>
      </c>
      <c r="K54" s="8">
        <v>13.444444444444446</v>
      </c>
      <c r="L54" s="8">
        <v>0.80666666666666675</v>
      </c>
      <c r="M54" s="8">
        <v>13.444444444444446</v>
      </c>
      <c r="N54" s="8">
        <v>0.80666666666666675</v>
      </c>
    </row>
    <row r="55" spans="6:14" x14ac:dyDescent="0.25">
      <c r="F55" s="2" t="str">
        <v>Lithuania</v>
      </c>
      <c r="G55" s="8">
        <v>3.4074074074074074</v>
      </c>
      <c r="H55" s="8">
        <v>8.5185185185185197E-2</v>
      </c>
      <c r="I55" s="8">
        <v>3.4074074074074074</v>
      </c>
      <c r="J55" s="8">
        <v>8.5185185185185197E-2</v>
      </c>
      <c r="K55" s="8">
        <v>9.3703703703703702</v>
      </c>
      <c r="L55" s="8">
        <v>0.56222222222222229</v>
      </c>
      <c r="M55" s="8">
        <v>9.3703703703703702</v>
      </c>
      <c r="N55" s="8">
        <v>0.56222222222222229</v>
      </c>
    </row>
    <row r="56" spans="6:14" x14ac:dyDescent="0.25">
      <c r="F56" s="2" t="str">
        <v>Luxembourg</v>
      </c>
      <c r="G56" s="8">
        <v>4.2962962962962967</v>
      </c>
      <c r="H56" s="8">
        <v>0.10740740740740742</v>
      </c>
      <c r="I56" s="8">
        <v>4.2962962962962967</v>
      </c>
      <c r="J56" s="8">
        <v>0.10740740740740742</v>
      </c>
      <c r="K56" s="8">
        <v>11.814814814814817</v>
      </c>
      <c r="L56" s="8">
        <v>0.70888888888888901</v>
      </c>
      <c r="M56" s="8">
        <v>11.814814814814817</v>
      </c>
      <c r="N56" s="8">
        <v>0.70888888888888901</v>
      </c>
    </row>
    <row r="57" spans="6:14" x14ac:dyDescent="0.25">
      <c r="F57" s="2" t="str">
        <v>Malta</v>
      </c>
      <c r="G57" s="8">
        <v>3.8518518518518516</v>
      </c>
      <c r="H57" s="8">
        <v>9.6296296296296297E-2</v>
      </c>
      <c r="I57" s="8">
        <v>3.8518518518518516</v>
      </c>
      <c r="J57" s="8">
        <v>9.6296296296296297E-2</v>
      </c>
      <c r="K57" s="8">
        <v>10.592592592592592</v>
      </c>
      <c r="L57" s="8">
        <v>0.63555555555555554</v>
      </c>
      <c r="M57" s="8">
        <v>10.592592592592592</v>
      </c>
      <c r="N57" s="8">
        <v>0.63555555555555554</v>
      </c>
    </row>
    <row r="58" spans="6:14" x14ac:dyDescent="0.25">
      <c r="F58" s="2" t="str">
        <v>Netherlands</v>
      </c>
      <c r="G58" s="8">
        <v>4</v>
      </c>
      <c r="H58" s="8">
        <v>0.1</v>
      </c>
      <c r="I58" s="8">
        <v>4</v>
      </c>
      <c r="J58" s="8">
        <v>0.1</v>
      </c>
      <c r="K58" s="8">
        <v>11</v>
      </c>
      <c r="L58" s="8">
        <v>0.66</v>
      </c>
      <c r="M58" s="8">
        <v>11</v>
      </c>
      <c r="N58" s="8">
        <v>0.66</v>
      </c>
    </row>
    <row r="59" spans="6:14" x14ac:dyDescent="0.25">
      <c r="F59" s="2" t="str">
        <v>Norway</v>
      </c>
      <c r="G59" s="8">
        <v>4</v>
      </c>
      <c r="H59" s="8">
        <v>0.1</v>
      </c>
      <c r="I59" s="8">
        <v>4</v>
      </c>
      <c r="J59" s="8">
        <v>0.1</v>
      </c>
      <c r="K59" s="8">
        <v>11</v>
      </c>
      <c r="L59" s="8">
        <v>0.66</v>
      </c>
      <c r="M59" s="8">
        <v>11</v>
      </c>
      <c r="N59" s="8">
        <v>0.66</v>
      </c>
    </row>
    <row r="60" spans="6:14" x14ac:dyDescent="0.25">
      <c r="F60" s="2" t="str">
        <v>Poland</v>
      </c>
      <c r="G60" s="8">
        <v>3.5555555555555554</v>
      </c>
      <c r="H60" s="8">
        <v>8.8888888888888892E-2</v>
      </c>
      <c r="I60" s="8">
        <v>3.5555555555555554</v>
      </c>
      <c r="J60" s="8">
        <v>8.8888888888888892E-2</v>
      </c>
      <c r="K60" s="8">
        <v>9.7777777777777768</v>
      </c>
      <c r="L60" s="8">
        <v>0.58666666666666667</v>
      </c>
      <c r="M60" s="8">
        <v>9.7777777777777768</v>
      </c>
      <c r="N60" s="8">
        <v>0.58666666666666667</v>
      </c>
    </row>
    <row r="61" spans="6:14" x14ac:dyDescent="0.25">
      <c r="F61" s="2" t="str">
        <v>Portugal</v>
      </c>
      <c r="G61" s="8">
        <v>3.1111111111111112</v>
      </c>
      <c r="H61" s="8">
        <v>7.7777777777777779E-2</v>
      </c>
      <c r="I61" s="8">
        <v>3.1111111111111112</v>
      </c>
      <c r="J61" s="8">
        <v>7.7777777777777779E-2</v>
      </c>
      <c r="K61" s="8">
        <v>8.5555555555555554</v>
      </c>
      <c r="L61" s="8">
        <v>0.51333333333333342</v>
      </c>
      <c r="M61" s="8">
        <v>8.5555555555555554</v>
      </c>
      <c r="N61" s="8">
        <v>0.51333333333333342</v>
      </c>
    </row>
    <row r="62" spans="6:14" x14ac:dyDescent="0.25">
      <c r="F62" s="2" t="str">
        <v>Romania</v>
      </c>
      <c r="G62" s="8">
        <v>4</v>
      </c>
      <c r="H62" s="8">
        <v>0.1</v>
      </c>
      <c r="I62" s="8">
        <v>4</v>
      </c>
      <c r="J62" s="8">
        <v>0.1</v>
      </c>
      <c r="K62" s="8">
        <v>11</v>
      </c>
      <c r="L62" s="8">
        <v>0.66</v>
      </c>
      <c r="M62" s="8">
        <v>11</v>
      </c>
      <c r="N62" s="8">
        <v>0.66</v>
      </c>
    </row>
    <row r="63" spans="6:14" x14ac:dyDescent="0.25">
      <c r="F63" s="2" t="str">
        <v>Slovakia</v>
      </c>
      <c r="G63" s="8">
        <v>3.4074074074074074</v>
      </c>
      <c r="H63" s="8">
        <v>8.5185185185185197E-2</v>
      </c>
      <c r="I63" s="8">
        <v>3.4074074074074074</v>
      </c>
      <c r="J63" s="8">
        <v>8.5185185185185197E-2</v>
      </c>
      <c r="K63" s="8">
        <v>9.3703703703703702</v>
      </c>
      <c r="L63" s="8">
        <v>0.56222222222222229</v>
      </c>
      <c r="M63" s="8">
        <v>9.3703703703703702</v>
      </c>
      <c r="N63" s="8">
        <v>0.56222222222222229</v>
      </c>
    </row>
    <row r="64" spans="6:14" x14ac:dyDescent="0.25">
      <c r="F64" s="2" t="str">
        <v>Slovenia</v>
      </c>
      <c r="G64" s="8">
        <v>3.4074074074074074</v>
      </c>
      <c r="H64" s="8">
        <v>8.5185185185185197E-2</v>
      </c>
      <c r="I64" s="8">
        <v>3.4074074074074074</v>
      </c>
      <c r="J64" s="8">
        <v>8.5185185185185197E-2</v>
      </c>
      <c r="K64" s="8">
        <v>9.3703703703703702</v>
      </c>
      <c r="L64" s="8">
        <v>0.56222222222222229</v>
      </c>
      <c r="M64" s="8">
        <v>9.3703703703703702</v>
      </c>
      <c r="N64" s="8">
        <v>0.56222222222222229</v>
      </c>
    </row>
    <row r="65" spans="6:14" x14ac:dyDescent="0.25">
      <c r="F65" s="2" t="str">
        <v>Spain</v>
      </c>
      <c r="G65" s="8">
        <v>3.7037037037037037</v>
      </c>
      <c r="H65" s="8">
        <v>9.2592592592592601E-2</v>
      </c>
      <c r="I65" s="8">
        <v>3.7037037037037037</v>
      </c>
      <c r="J65" s="8">
        <v>9.2592592592592601E-2</v>
      </c>
      <c r="K65" s="8">
        <v>10.185185185185185</v>
      </c>
      <c r="L65" s="8">
        <v>0.61111111111111116</v>
      </c>
      <c r="M65" s="8">
        <v>10.185185185185185</v>
      </c>
      <c r="N65" s="8">
        <v>0.61111111111111116</v>
      </c>
    </row>
    <row r="66" spans="6:14" x14ac:dyDescent="0.25">
      <c r="F66" s="2" t="str">
        <v>Sweden</v>
      </c>
      <c r="G66" s="8">
        <v>3.8518518518518516</v>
      </c>
      <c r="H66" s="8">
        <v>9.6296296296296297E-2</v>
      </c>
      <c r="I66" s="8">
        <v>3.8518518518518516</v>
      </c>
      <c r="J66" s="8">
        <v>9.6296296296296297E-2</v>
      </c>
      <c r="K66" s="8">
        <v>10.592592592592592</v>
      </c>
      <c r="L66" s="8">
        <v>0.63555555555555554</v>
      </c>
      <c r="M66" s="8">
        <v>10.592592592592592</v>
      </c>
      <c r="N66" s="8">
        <v>0.63555555555555554</v>
      </c>
    </row>
    <row r="67" spans="6:14" x14ac:dyDescent="0.25">
      <c r="F67" s="2" t="str">
        <v>Switzerland</v>
      </c>
      <c r="G67" s="8">
        <v>3.8518518518518516</v>
      </c>
      <c r="H67" s="8">
        <v>9.6296296296296297E-2</v>
      </c>
      <c r="I67" s="8">
        <v>3.8518518518518516</v>
      </c>
      <c r="J67" s="8">
        <v>9.6296296296296297E-2</v>
      </c>
      <c r="K67" s="8">
        <v>10.592592592592592</v>
      </c>
      <c r="L67" s="8">
        <v>0.63555555555555554</v>
      </c>
      <c r="M67" s="8">
        <v>10.592592592592592</v>
      </c>
      <c r="N67" s="8">
        <v>0.63555555555555554</v>
      </c>
    </row>
    <row r="68" spans="6:14" ht="30" x14ac:dyDescent="0.25">
      <c r="F68" s="2" t="str">
        <v>United_Kingdom</v>
      </c>
      <c r="G68" s="8">
        <v>4.4444444444444446</v>
      </c>
      <c r="H68" s="8">
        <v>0.11111111111111112</v>
      </c>
      <c r="I68" s="8">
        <v>4.4444444444444446</v>
      </c>
      <c r="J68" s="8">
        <v>0.11111111111111112</v>
      </c>
      <c r="K68" s="8">
        <v>12.222222222222223</v>
      </c>
      <c r="L68" s="8">
        <v>0.73333333333333339</v>
      </c>
      <c r="M68" s="8">
        <v>12.222222222222223</v>
      </c>
      <c r="N68" s="8">
        <v>0.73333333333333339</v>
      </c>
    </row>
    <row r="72" spans="6:14" ht="30" x14ac:dyDescent="0.25">
      <c r="F72" s="2" t="s">
        <v>224</v>
      </c>
      <c r="G72" s="2" t="str" cm="1">
        <f t="array" ref="G72:J72">TRANSPOSE(truck_parameters)</f>
        <v>legs.truck_to_hub.distance</v>
      </c>
      <c r="H72" s="2" t="str">
        <v>legs.truck_to_hub.duration</v>
      </c>
      <c r="I72" s="2" t="str">
        <v>legs.truck_to_customer.distance</v>
      </c>
      <c r="J72" s="2" t="str">
        <v>legs.truck_to_customer.duration</v>
      </c>
    </row>
    <row r="73" spans="6:14" x14ac:dyDescent="0.25">
      <c r="F73" s="2" t="str" cm="1">
        <f t="array" ref="F73:F102">countries</f>
        <v>Austria</v>
      </c>
      <c r="G73" s="8" cm="1">
        <f t="array" ref="G73:J102">INDEX(country_scaling_factors,MATCH(countries,countries,0),MATCH(TRANSPOSE(truck_scaling_factors_used),Scaling_Factor_Categories,0))*TRANSPOSE(truck_reference_country_values)</f>
        <v>37.333333333333329</v>
      </c>
      <c r="H73" s="8">
        <v>0.88888888888888884</v>
      </c>
      <c r="I73" s="8">
        <v>37.333333333333329</v>
      </c>
      <c r="J73" s="8">
        <v>0.88888888888888884</v>
      </c>
    </row>
    <row r="74" spans="6:14" x14ac:dyDescent="0.25">
      <c r="F74" s="2" t="str">
        <v>Belgium</v>
      </c>
      <c r="G74" s="8">
        <v>43.55555555555555</v>
      </c>
      <c r="H74" s="8">
        <v>1.037037037037037</v>
      </c>
      <c r="I74" s="8">
        <v>43.55555555555555</v>
      </c>
      <c r="J74" s="8">
        <v>1.037037037037037</v>
      </c>
    </row>
    <row r="75" spans="6:14" x14ac:dyDescent="0.25">
      <c r="F75" s="2" t="str">
        <v>Bulgaria</v>
      </c>
      <c r="G75" s="8">
        <v>40.444444444444443</v>
      </c>
      <c r="H75" s="8">
        <v>0.96296296296296291</v>
      </c>
      <c r="I75" s="8">
        <v>40.444444444444443</v>
      </c>
      <c r="J75" s="8">
        <v>0.96296296296296291</v>
      </c>
    </row>
    <row r="76" spans="6:14" x14ac:dyDescent="0.25">
      <c r="F76" s="2" t="str">
        <v>Croatia</v>
      </c>
      <c r="G76" s="8">
        <v>37.333333333333329</v>
      </c>
      <c r="H76" s="8">
        <v>0.88888888888888884</v>
      </c>
      <c r="I76" s="8">
        <v>37.333333333333329</v>
      </c>
      <c r="J76" s="8">
        <v>0.88888888888888884</v>
      </c>
    </row>
    <row r="77" spans="6:14" x14ac:dyDescent="0.25">
      <c r="F77" s="2" t="str">
        <v>Cyprus</v>
      </c>
      <c r="G77" s="8">
        <v>29.555555555555557</v>
      </c>
      <c r="H77" s="8">
        <v>0.70370370370370372</v>
      </c>
      <c r="I77" s="8">
        <v>29.555555555555557</v>
      </c>
      <c r="J77" s="8">
        <v>0.70370370370370372</v>
      </c>
    </row>
    <row r="78" spans="6:14" x14ac:dyDescent="0.25">
      <c r="F78" s="2" t="str">
        <v>Czechia</v>
      </c>
      <c r="G78" s="8">
        <v>42</v>
      </c>
      <c r="H78" s="8">
        <v>1</v>
      </c>
      <c r="I78" s="8">
        <v>42</v>
      </c>
      <c r="J78" s="8">
        <v>1</v>
      </c>
    </row>
    <row r="79" spans="6:14" x14ac:dyDescent="0.25">
      <c r="F79" s="2" t="str">
        <v>Denmark</v>
      </c>
      <c r="G79" s="8">
        <v>40.444444444444443</v>
      </c>
      <c r="H79" s="8">
        <v>0.96296296296296291</v>
      </c>
      <c r="I79" s="8">
        <v>40.444444444444443</v>
      </c>
      <c r="J79" s="8">
        <v>0.96296296296296291</v>
      </c>
    </row>
    <row r="80" spans="6:14" x14ac:dyDescent="0.25">
      <c r="F80" s="2" t="str">
        <v>Estonia</v>
      </c>
      <c r="G80" s="8">
        <v>35.777777777777779</v>
      </c>
      <c r="H80" s="8">
        <v>0.85185185185185186</v>
      </c>
      <c r="I80" s="8">
        <v>35.777777777777779</v>
      </c>
      <c r="J80" s="8">
        <v>0.85185185185185186</v>
      </c>
    </row>
    <row r="81" spans="6:10" x14ac:dyDescent="0.25">
      <c r="F81" s="2" t="str">
        <v>Finland</v>
      </c>
      <c r="G81" s="8">
        <v>35.777777777777779</v>
      </c>
      <c r="H81" s="8">
        <v>0.85185185185185186</v>
      </c>
      <c r="I81" s="8">
        <v>35.777777777777779</v>
      </c>
      <c r="J81" s="8">
        <v>0.85185185185185186</v>
      </c>
    </row>
    <row r="82" spans="6:10" x14ac:dyDescent="0.25">
      <c r="F82" s="2" t="str">
        <v>France</v>
      </c>
      <c r="G82" s="8">
        <v>40.444444444444443</v>
      </c>
      <c r="H82" s="8">
        <v>0.96296296296296291</v>
      </c>
      <c r="I82" s="8">
        <v>40.444444444444443</v>
      </c>
      <c r="J82" s="8">
        <v>0.96296296296296291</v>
      </c>
    </row>
    <row r="83" spans="6:10" x14ac:dyDescent="0.25">
      <c r="F83" s="2" t="str">
        <v>Germany</v>
      </c>
      <c r="G83" s="8">
        <v>40.444444444444443</v>
      </c>
      <c r="H83" s="8">
        <v>0.96296296296296291</v>
      </c>
      <c r="I83" s="8">
        <v>40.444444444444443</v>
      </c>
      <c r="J83" s="8">
        <v>0.96296296296296291</v>
      </c>
    </row>
    <row r="84" spans="6:10" x14ac:dyDescent="0.25">
      <c r="F84" s="2" t="str">
        <v>Greece</v>
      </c>
      <c r="G84" s="8">
        <v>31.111111111111111</v>
      </c>
      <c r="H84" s="8">
        <v>0.7407407407407407</v>
      </c>
      <c r="I84" s="8">
        <v>31.111111111111111</v>
      </c>
      <c r="J84" s="8">
        <v>0.7407407407407407</v>
      </c>
    </row>
    <row r="85" spans="6:10" x14ac:dyDescent="0.25">
      <c r="F85" s="2" t="str">
        <v>Hungary</v>
      </c>
      <c r="G85" s="8">
        <v>45.111111111111114</v>
      </c>
      <c r="H85" s="8">
        <v>1.0740740740740742</v>
      </c>
      <c r="I85" s="8">
        <v>45.111111111111114</v>
      </c>
      <c r="J85" s="8">
        <v>1.0740740740740742</v>
      </c>
    </row>
    <row r="86" spans="6:10" x14ac:dyDescent="0.25">
      <c r="F86" s="2" t="str">
        <v>Ireland</v>
      </c>
      <c r="G86" s="8">
        <v>43.55555555555555</v>
      </c>
      <c r="H86" s="8">
        <v>1.037037037037037</v>
      </c>
      <c r="I86" s="8">
        <v>43.55555555555555</v>
      </c>
      <c r="J86" s="8">
        <v>1.037037037037037</v>
      </c>
    </row>
    <row r="87" spans="6:10" x14ac:dyDescent="0.25">
      <c r="F87" s="2" t="str">
        <v>Italy</v>
      </c>
      <c r="G87" s="8">
        <v>32.666666666666664</v>
      </c>
      <c r="H87" s="8">
        <v>0.77777777777777779</v>
      </c>
      <c r="I87" s="8">
        <v>32.666666666666664</v>
      </c>
      <c r="J87" s="8">
        <v>0.77777777777777779</v>
      </c>
    </row>
    <row r="88" spans="6:10" x14ac:dyDescent="0.25">
      <c r="F88" s="2" t="str">
        <v>Latvia</v>
      </c>
      <c r="G88" s="8">
        <v>51.333333333333336</v>
      </c>
      <c r="H88" s="8">
        <v>1.2222222222222223</v>
      </c>
      <c r="I88" s="8">
        <v>51.333333333333336</v>
      </c>
      <c r="J88" s="8">
        <v>1.2222222222222223</v>
      </c>
    </row>
    <row r="89" spans="6:10" x14ac:dyDescent="0.25">
      <c r="F89" s="2" t="str">
        <v>Lithuania</v>
      </c>
      <c r="G89" s="8">
        <v>35.777777777777779</v>
      </c>
      <c r="H89" s="8">
        <v>0.85185185185185186</v>
      </c>
      <c r="I89" s="8">
        <v>35.777777777777779</v>
      </c>
      <c r="J89" s="8">
        <v>0.85185185185185186</v>
      </c>
    </row>
    <row r="90" spans="6:10" x14ac:dyDescent="0.25">
      <c r="F90" s="2" t="str">
        <v>Luxembourg</v>
      </c>
      <c r="G90" s="8">
        <v>45.111111111111114</v>
      </c>
      <c r="H90" s="8">
        <v>1.0740740740740742</v>
      </c>
      <c r="I90" s="8">
        <v>45.111111111111114</v>
      </c>
      <c r="J90" s="8">
        <v>1.0740740740740742</v>
      </c>
    </row>
    <row r="91" spans="6:10" x14ac:dyDescent="0.25">
      <c r="F91" s="2" t="str">
        <v>Malta</v>
      </c>
      <c r="G91" s="8">
        <v>40.444444444444443</v>
      </c>
      <c r="H91" s="8">
        <v>0.96296296296296291</v>
      </c>
      <c r="I91" s="8">
        <v>40.444444444444443</v>
      </c>
      <c r="J91" s="8">
        <v>0.96296296296296291</v>
      </c>
    </row>
    <row r="92" spans="6:10" x14ac:dyDescent="0.25">
      <c r="F92" s="2" t="str">
        <v>Netherlands</v>
      </c>
      <c r="G92" s="8">
        <v>42</v>
      </c>
      <c r="H92" s="8">
        <v>1</v>
      </c>
      <c r="I92" s="8">
        <v>42</v>
      </c>
      <c r="J92" s="8">
        <v>1</v>
      </c>
    </row>
    <row r="93" spans="6:10" x14ac:dyDescent="0.25">
      <c r="F93" s="2" t="str">
        <v>Norway</v>
      </c>
      <c r="G93" s="8">
        <v>42</v>
      </c>
      <c r="H93" s="8">
        <v>1</v>
      </c>
      <c r="I93" s="8">
        <v>42</v>
      </c>
      <c r="J93" s="8">
        <v>1</v>
      </c>
    </row>
    <row r="94" spans="6:10" x14ac:dyDescent="0.25">
      <c r="F94" s="2" t="str">
        <v>Poland</v>
      </c>
      <c r="G94" s="8">
        <v>37.333333333333329</v>
      </c>
      <c r="H94" s="8">
        <v>0.88888888888888884</v>
      </c>
      <c r="I94" s="8">
        <v>37.333333333333329</v>
      </c>
      <c r="J94" s="8">
        <v>0.88888888888888884</v>
      </c>
    </row>
    <row r="95" spans="6:10" x14ac:dyDescent="0.25">
      <c r="F95" s="2" t="str">
        <v>Portugal</v>
      </c>
      <c r="G95" s="8">
        <v>32.666666666666664</v>
      </c>
      <c r="H95" s="8">
        <v>0.77777777777777779</v>
      </c>
      <c r="I95" s="8">
        <v>32.666666666666664</v>
      </c>
      <c r="J95" s="8">
        <v>0.77777777777777779</v>
      </c>
    </row>
    <row r="96" spans="6:10" x14ac:dyDescent="0.25">
      <c r="F96" s="2" t="str">
        <v>Romania</v>
      </c>
      <c r="G96" s="8">
        <v>42</v>
      </c>
      <c r="H96" s="8">
        <v>1</v>
      </c>
      <c r="I96" s="8">
        <v>42</v>
      </c>
      <c r="J96" s="8">
        <v>1</v>
      </c>
    </row>
    <row r="97" spans="6:10" x14ac:dyDescent="0.25">
      <c r="F97" s="2" t="str">
        <v>Slovakia</v>
      </c>
      <c r="G97" s="8">
        <v>35.777777777777779</v>
      </c>
      <c r="H97" s="8">
        <v>0.85185185185185186</v>
      </c>
      <c r="I97" s="8">
        <v>35.777777777777779</v>
      </c>
      <c r="J97" s="8">
        <v>0.85185185185185186</v>
      </c>
    </row>
    <row r="98" spans="6:10" x14ac:dyDescent="0.25">
      <c r="F98" s="2" t="str">
        <v>Slovenia</v>
      </c>
      <c r="G98" s="8">
        <v>35.777777777777779</v>
      </c>
      <c r="H98" s="8">
        <v>0.85185185185185186</v>
      </c>
      <c r="I98" s="8">
        <v>35.777777777777779</v>
      </c>
      <c r="J98" s="8">
        <v>0.85185185185185186</v>
      </c>
    </row>
    <row r="99" spans="6:10" x14ac:dyDescent="0.25">
      <c r="F99" s="2" t="str">
        <v>Spain</v>
      </c>
      <c r="G99" s="8">
        <v>38.888888888888886</v>
      </c>
      <c r="H99" s="8">
        <v>0.92592592592592593</v>
      </c>
      <c r="I99" s="8">
        <v>38.888888888888886</v>
      </c>
      <c r="J99" s="8">
        <v>0.92592592592592593</v>
      </c>
    </row>
    <row r="100" spans="6:10" x14ac:dyDescent="0.25">
      <c r="F100" s="2" t="str">
        <v>Sweden</v>
      </c>
      <c r="G100" s="8">
        <v>40.444444444444443</v>
      </c>
      <c r="H100" s="8">
        <v>0.96296296296296291</v>
      </c>
      <c r="I100" s="8">
        <v>40.444444444444443</v>
      </c>
      <c r="J100" s="8">
        <v>0.96296296296296291</v>
      </c>
    </row>
    <row r="101" spans="6:10" x14ac:dyDescent="0.25">
      <c r="F101" s="2" t="str">
        <v>Switzerland</v>
      </c>
      <c r="G101" s="8">
        <v>40.444444444444443</v>
      </c>
      <c r="H101" s="8">
        <v>0.96296296296296291</v>
      </c>
      <c r="I101" s="8">
        <v>40.444444444444443</v>
      </c>
      <c r="J101" s="8">
        <v>0.96296296296296291</v>
      </c>
    </row>
    <row r="102" spans="6:10" ht="30" x14ac:dyDescent="0.25">
      <c r="F102" s="2" t="str">
        <v>United_Kingdom</v>
      </c>
      <c r="G102" s="8">
        <v>46.666666666666671</v>
      </c>
      <c r="H102" s="8">
        <v>1.1111111111111112</v>
      </c>
      <c r="I102" s="8">
        <v>46.666666666666671</v>
      </c>
      <c r="J102" s="8">
        <v>1.1111111111111112</v>
      </c>
    </row>
    <row r="107" spans="6:10" x14ac:dyDescent="0.25">
      <c r="F107" s="2" t="s">
        <v>225</v>
      </c>
      <c r="G107" s="2" t="str" cm="1">
        <f t="array" ref="G107:J107">TRANSPOSE(van_parameters)</f>
        <v>legs.van_to_customer.distance</v>
      </c>
      <c r="H107" s="2" t="str">
        <v>legs.van_to_customer.duration</v>
      </c>
      <c r="I107" s="2" t="str">
        <v>legs.van_to_base.distance</v>
      </c>
      <c r="J107" s="2" t="str">
        <v>legs.van_to_base.duration</v>
      </c>
    </row>
    <row r="108" spans="6:10" x14ac:dyDescent="0.25">
      <c r="F108" s="2" t="str" cm="1">
        <f t="array" ref="F108:F137">countries</f>
        <v>Austria</v>
      </c>
      <c r="G108" s="8" cm="1">
        <f t="array" ref="G108:J137">INDEX(country_scaling_factors,MATCH(countries,countries,0),MATCH(TRANSPOSE(van_scaling_factors_used),Scaling_Factor_Categories,0))*TRANSPOSE(van_reference_country_values)</f>
        <v>2.3111111111111109</v>
      </c>
      <c r="H108" s="8">
        <v>0.22222222222222221</v>
      </c>
      <c r="I108" s="8">
        <v>2.3111111111111109</v>
      </c>
      <c r="J108" s="8">
        <v>0.22222222222222221</v>
      </c>
    </row>
    <row r="109" spans="6:10" x14ac:dyDescent="0.25">
      <c r="F109" s="2" t="str">
        <v>Belgium</v>
      </c>
      <c r="G109" s="8">
        <v>2.6962962962962962</v>
      </c>
      <c r="H109" s="8">
        <v>0.25925925925925924</v>
      </c>
      <c r="I109" s="8">
        <v>2.6962962962962962</v>
      </c>
      <c r="J109" s="8">
        <v>0.25925925925925924</v>
      </c>
    </row>
    <row r="110" spans="6:10" x14ac:dyDescent="0.25">
      <c r="F110" s="2" t="str">
        <v>Bulgaria</v>
      </c>
      <c r="G110" s="8">
        <v>2.5037037037037035</v>
      </c>
      <c r="H110" s="8">
        <v>0.24074074074074073</v>
      </c>
      <c r="I110" s="8">
        <v>2.5037037037037035</v>
      </c>
      <c r="J110" s="8">
        <v>0.24074074074074073</v>
      </c>
    </row>
    <row r="111" spans="6:10" x14ac:dyDescent="0.25">
      <c r="F111" s="2" t="str">
        <v>Croatia</v>
      </c>
      <c r="G111" s="8">
        <v>2.3111111111111109</v>
      </c>
      <c r="H111" s="8">
        <v>0.22222222222222221</v>
      </c>
      <c r="I111" s="8">
        <v>2.3111111111111109</v>
      </c>
      <c r="J111" s="8">
        <v>0.22222222222222221</v>
      </c>
    </row>
    <row r="112" spans="6:10" x14ac:dyDescent="0.25">
      <c r="F112" s="2" t="str">
        <v>Cyprus</v>
      </c>
      <c r="G112" s="8">
        <v>1.8296296296296297</v>
      </c>
      <c r="H112" s="8">
        <v>0.17592592592592593</v>
      </c>
      <c r="I112" s="8">
        <v>1.8296296296296297</v>
      </c>
      <c r="J112" s="8">
        <v>0.17592592592592593</v>
      </c>
    </row>
    <row r="113" spans="6:10" x14ac:dyDescent="0.25">
      <c r="F113" s="2" t="str">
        <v>Czechia</v>
      </c>
      <c r="G113" s="8">
        <v>2.6</v>
      </c>
      <c r="H113" s="8">
        <v>0.25</v>
      </c>
      <c r="I113" s="8">
        <v>2.6</v>
      </c>
      <c r="J113" s="8">
        <v>0.25</v>
      </c>
    </row>
    <row r="114" spans="6:10" x14ac:dyDescent="0.25">
      <c r="F114" s="2" t="str">
        <v>Denmark</v>
      </c>
      <c r="G114" s="8">
        <v>2.5037037037037035</v>
      </c>
      <c r="H114" s="8">
        <v>0.24074074074074073</v>
      </c>
      <c r="I114" s="8">
        <v>2.5037037037037035</v>
      </c>
      <c r="J114" s="8">
        <v>0.24074074074074073</v>
      </c>
    </row>
    <row r="115" spans="6:10" x14ac:dyDescent="0.25">
      <c r="F115" s="2" t="str">
        <v>Estonia</v>
      </c>
      <c r="G115" s="8">
        <v>2.2148148148148148</v>
      </c>
      <c r="H115" s="8">
        <v>0.21296296296296297</v>
      </c>
      <c r="I115" s="8">
        <v>2.2148148148148148</v>
      </c>
      <c r="J115" s="8">
        <v>0.21296296296296297</v>
      </c>
    </row>
    <row r="116" spans="6:10" x14ac:dyDescent="0.25">
      <c r="F116" s="2" t="str">
        <v>Finland</v>
      </c>
      <c r="G116" s="8">
        <v>2.2148148148148148</v>
      </c>
      <c r="H116" s="8">
        <v>0.21296296296296297</v>
      </c>
      <c r="I116" s="8">
        <v>2.2148148148148148</v>
      </c>
      <c r="J116" s="8">
        <v>0.21296296296296297</v>
      </c>
    </row>
    <row r="117" spans="6:10" x14ac:dyDescent="0.25">
      <c r="F117" s="2" t="str">
        <v>France</v>
      </c>
      <c r="G117" s="8">
        <v>2.5037037037037035</v>
      </c>
      <c r="H117" s="8">
        <v>0.24074074074074073</v>
      </c>
      <c r="I117" s="8">
        <v>2.5037037037037035</v>
      </c>
      <c r="J117" s="8">
        <v>0.24074074074074073</v>
      </c>
    </row>
    <row r="118" spans="6:10" x14ac:dyDescent="0.25">
      <c r="F118" s="2" t="str">
        <v>Germany</v>
      </c>
      <c r="G118" s="8">
        <v>2.5037037037037035</v>
      </c>
      <c r="H118" s="8">
        <v>0.24074074074074073</v>
      </c>
      <c r="I118" s="8">
        <v>2.5037037037037035</v>
      </c>
      <c r="J118" s="8">
        <v>0.24074074074074073</v>
      </c>
    </row>
    <row r="119" spans="6:10" x14ac:dyDescent="0.25">
      <c r="F119" s="2" t="str">
        <v>Greece</v>
      </c>
      <c r="G119" s="8">
        <v>1.9259259259259258</v>
      </c>
      <c r="H119" s="8">
        <v>0.18518518518518517</v>
      </c>
      <c r="I119" s="8">
        <v>1.9259259259259258</v>
      </c>
      <c r="J119" s="8">
        <v>0.18518518518518517</v>
      </c>
    </row>
    <row r="120" spans="6:10" x14ac:dyDescent="0.25">
      <c r="F120" s="2" t="str">
        <v>Hungary</v>
      </c>
      <c r="G120" s="8">
        <v>2.7925925925925932</v>
      </c>
      <c r="H120" s="8">
        <v>0.26851851851851855</v>
      </c>
      <c r="I120" s="8">
        <v>2.7925925925925932</v>
      </c>
      <c r="J120" s="8">
        <v>0.26851851851851855</v>
      </c>
    </row>
    <row r="121" spans="6:10" x14ac:dyDescent="0.25">
      <c r="F121" s="2" t="str">
        <v>Ireland</v>
      </c>
      <c r="G121" s="8">
        <v>2.6962962962962962</v>
      </c>
      <c r="H121" s="8">
        <v>0.25925925925925924</v>
      </c>
      <c r="I121" s="8">
        <v>2.6962962962962962</v>
      </c>
      <c r="J121" s="8">
        <v>0.25925925925925924</v>
      </c>
    </row>
    <row r="122" spans="6:10" x14ac:dyDescent="0.25">
      <c r="F122" s="2" t="str">
        <v>Italy</v>
      </c>
      <c r="G122" s="8">
        <v>2.0222222222222221</v>
      </c>
      <c r="H122" s="8">
        <v>0.19444444444444445</v>
      </c>
      <c r="I122" s="8">
        <v>2.0222222222222221</v>
      </c>
      <c r="J122" s="8">
        <v>0.19444444444444445</v>
      </c>
    </row>
    <row r="123" spans="6:10" x14ac:dyDescent="0.25">
      <c r="F123" s="2" t="str">
        <v>Latvia</v>
      </c>
      <c r="G123" s="8">
        <v>3.177777777777778</v>
      </c>
      <c r="H123" s="8">
        <v>0.30555555555555558</v>
      </c>
      <c r="I123" s="8">
        <v>3.177777777777778</v>
      </c>
      <c r="J123" s="8">
        <v>0.30555555555555558</v>
      </c>
    </row>
    <row r="124" spans="6:10" x14ac:dyDescent="0.25">
      <c r="F124" s="2" t="str">
        <v>Lithuania</v>
      </c>
      <c r="G124" s="8">
        <v>2.2148148148148148</v>
      </c>
      <c r="H124" s="8">
        <v>0.21296296296296297</v>
      </c>
      <c r="I124" s="8">
        <v>2.2148148148148148</v>
      </c>
      <c r="J124" s="8">
        <v>0.21296296296296297</v>
      </c>
    </row>
    <row r="125" spans="6:10" x14ac:dyDescent="0.25">
      <c r="F125" s="2" t="str">
        <v>Luxembourg</v>
      </c>
      <c r="G125" s="8">
        <v>2.7925925925925932</v>
      </c>
      <c r="H125" s="8">
        <v>0.26851851851851855</v>
      </c>
      <c r="I125" s="8">
        <v>2.7925925925925932</v>
      </c>
      <c r="J125" s="8">
        <v>0.26851851851851855</v>
      </c>
    </row>
    <row r="126" spans="6:10" x14ac:dyDescent="0.25">
      <c r="F126" s="2" t="str">
        <v>Malta</v>
      </c>
      <c r="G126" s="8">
        <v>2.5037037037037035</v>
      </c>
      <c r="H126" s="8">
        <v>0.24074074074074073</v>
      </c>
      <c r="I126" s="8">
        <v>2.5037037037037035</v>
      </c>
      <c r="J126" s="8">
        <v>0.24074074074074073</v>
      </c>
    </row>
    <row r="127" spans="6:10" x14ac:dyDescent="0.25">
      <c r="F127" s="2" t="str">
        <v>Netherlands</v>
      </c>
      <c r="G127" s="8">
        <v>2.6</v>
      </c>
      <c r="H127" s="8">
        <v>0.25</v>
      </c>
      <c r="I127" s="8">
        <v>2.6</v>
      </c>
      <c r="J127" s="8">
        <v>0.25</v>
      </c>
    </row>
    <row r="128" spans="6:10" x14ac:dyDescent="0.25">
      <c r="F128" s="2" t="str">
        <v>Norway</v>
      </c>
      <c r="G128" s="8">
        <v>2.6</v>
      </c>
      <c r="H128" s="8">
        <v>0.25</v>
      </c>
      <c r="I128" s="8">
        <v>2.6</v>
      </c>
      <c r="J128" s="8">
        <v>0.25</v>
      </c>
    </row>
    <row r="129" spans="6:10" x14ac:dyDescent="0.25">
      <c r="F129" s="2" t="str">
        <v>Poland</v>
      </c>
      <c r="G129" s="8">
        <v>2.3111111111111109</v>
      </c>
      <c r="H129" s="8">
        <v>0.22222222222222221</v>
      </c>
      <c r="I129" s="8">
        <v>2.3111111111111109</v>
      </c>
      <c r="J129" s="8">
        <v>0.22222222222222221</v>
      </c>
    </row>
    <row r="130" spans="6:10" x14ac:dyDescent="0.25">
      <c r="F130" s="2" t="str">
        <v>Portugal</v>
      </c>
      <c r="G130" s="8">
        <v>2.0222222222222221</v>
      </c>
      <c r="H130" s="8">
        <v>0.19444444444444445</v>
      </c>
      <c r="I130" s="8">
        <v>2.0222222222222221</v>
      </c>
      <c r="J130" s="8">
        <v>0.19444444444444445</v>
      </c>
    </row>
    <row r="131" spans="6:10" x14ac:dyDescent="0.25">
      <c r="F131" s="2" t="str">
        <v>Romania</v>
      </c>
      <c r="G131" s="8">
        <v>2.6</v>
      </c>
      <c r="H131" s="8">
        <v>0.25</v>
      </c>
      <c r="I131" s="8">
        <v>2.6</v>
      </c>
      <c r="J131" s="8">
        <v>0.25</v>
      </c>
    </row>
    <row r="132" spans="6:10" x14ac:dyDescent="0.25">
      <c r="F132" s="2" t="str">
        <v>Slovakia</v>
      </c>
      <c r="G132" s="8">
        <v>2.2148148148148148</v>
      </c>
      <c r="H132" s="8">
        <v>0.21296296296296297</v>
      </c>
      <c r="I132" s="8">
        <v>2.2148148148148148</v>
      </c>
      <c r="J132" s="8">
        <v>0.21296296296296297</v>
      </c>
    </row>
    <row r="133" spans="6:10" x14ac:dyDescent="0.25">
      <c r="F133" s="2" t="str">
        <v>Slovenia</v>
      </c>
      <c r="G133" s="8">
        <v>2.2148148148148148</v>
      </c>
      <c r="H133" s="8">
        <v>0.21296296296296297</v>
      </c>
      <c r="I133" s="8">
        <v>2.2148148148148148</v>
      </c>
      <c r="J133" s="8">
        <v>0.21296296296296297</v>
      </c>
    </row>
    <row r="134" spans="6:10" x14ac:dyDescent="0.25">
      <c r="F134" s="2" t="str">
        <v>Spain</v>
      </c>
      <c r="G134" s="8">
        <v>2.4074074074074074</v>
      </c>
      <c r="H134" s="8">
        <v>0.23148148148148148</v>
      </c>
      <c r="I134" s="8">
        <v>2.4074074074074074</v>
      </c>
      <c r="J134" s="8">
        <v>0.23148148148148148</v>
      </c>
    </row>
    <row r="135" spans="6:10" x14ac:dyDescent="0.25">
      <c r="F135" s="2" t="str">
        <v>Sweden</v>
      </c>
      <c r="G135" s="8">
        <v>2.5037037037037035</v>
      </c>
      <c r="H135" s="8">
        <v>0.24074074074074073</v>
      </c>
      <c r="I135" s="8">
        <v>2.5037037037037035</v>
      </c>
      <c r="J135" s="8">
        <v>0.24074074074074073</v>
      </c>
    </row>
    <row r="136" spans="6:10" x14ac:dyDescent="0.25">
      <c r="F136" s="2" t="str">
        <v>Switzerland</v>
      </c>
      <c r="G136" s="8">
        <v>2.5037037037037035</v>
      </c>
      <c r="H136" s="8">
        <v>0.24074074074074073</v>
      </c>
      <c r="I136" s="8">
        <v>2.5037037037037035</v>
      </c>
      <c r="J136" s="8">
        <v>0.24074074074074073</v>
      </c>
    </row>
    <row r="137" spans="6:10" ht="30" x14ac:dyDescent="0.25">
      <c r="F137" s="2" t="str">
        <v>United_Kingdom</v>
      </c>
      <c r="G137" s="8">
        <v>2.8888888888888893</v>
      </c>
      <c r="H137" s="8">
        <v>0.27777777777777779</v>
      </c>
      <c r="I137" s="8">
        <v>2.8888888888888893</v>
      </c>
      <c r="J137" s="8">
        <v>0.27777777777777779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37EE-432A-42A2-9309-77A5D3726344}">
  <sheetPr>
    <tabColor rgb="FF00B050"/>
  </sheetPr>
  <dimension ref="B4:J550"/>
  <sheetViews>
    <sheetView tabSelected="1" workbookViewId="0">
      <selection activeCell="C1" sqref="C1"/>
    </sheetView>
  </sheetViews>
  <sheetFormatPr defaultColWidth="8.7109375" defaultRowHeight="15" x14ac:dyDescent="0.25"/>
  <cols>
    <col min="1" max="1" width="8.7109375" style="3"/>
    <col min="2" max="2" width="44.85546875" style="3" customWidth="1"/>
    <col min="3" max="3" width="20.140625" style="3" bestFit="1" customWidth="1"/>
    <col min="4" max="4" width="18.42578125" style="3" bestFit="1" customWidth="1"/>
    <col min="5" max="5" width="17.42578125" style="3" bestFit="1" customWidth="1"/>
    <col min="6" max="6" width="15.28515625" style="3" bestFit="1" customWidth="1"/>
    <col min="7" max="7" width="18.42578125" style="3" bestFit="1" customWidth="1"/>
    <col min="8" max="8" width="14.140625" style="3" bestFit="1" customWidth="1"/>
    <col min="9" max="9" width="13.85546875" style="3" bestFit="1" customWidth="1"/>
    <col min="10" max="10" width="13.5703125" style="3" bestFit="1" customWidth="1"/>
    <col min="11" max="16384" width="8.7109375" style="3"/>
  </cols>
  <sheetData>
    <row r="4" spans="2:10" ht="30" x14ac:dyDescent="0.25">
      <c r="B4" s="2" t="s">
        <v>197</v>
      </c>
      <c r="C4" s="2" t="s">
        <v>198</v>
      </c>
      <c r="D4" s="2" t="s">
        <v>199</v>
      </c>
      <c r="E4" s="2" t="s">
        <v>200</v>
      </c>
      <c r="F4" s="2" t="s">
        <v>201</v>
      </c>
      <c r="G4" s="2" t="s">
        <v>202</v>
      </c>
      <c r="H4" s="2" t="s">
        <v>203</v>
      </c>
      <c r="I4" s="2" t="s">
        <v>204</v>
      </c>
      <c r="J4" s="2" t="s">
        <v>205</v>
      </c>
    </row>
    <row r="5" spans="2:10" x14ac:dyDescent="0.25">
      <c r="B5" s="2" t="str" cm="1">
        <f t="array" ref="B5:B34">countries&amp;"_car_own_driveway_2030"</f>
        <v>Austria_car_own_driveway_2030</v>
      </c>
      <c r="C5" s="8" cm="1">
        <f t="array" ref="C5:C34">own_driveway_fleet</f>
        <v>247242.72</v>
      </c>
      <c r="D5" s="8" cm="1">
        <f t="array" ref="D5:J34">Car_splits_2030</f>
        <v>0.37523016055299996</v>
      </c>
      <c r="E5" s="8">
        <v>0.13833523542800003</v>
      </c>
      <c r="F5" s="8">
        <v>0.38566206721599999</v>
      </c>
      <c r="G5" s="8">
        <v>0.1</v>
      </c>
      <c r="H5" s="8">
        <v>3.3172397450000003E-4</v>
      </c>
      <c r="I5" s="8">
        <v>0</v>
      </c>
      <c r="J5" s="8">
        <v>4.4081283E-4</v>
      </c>
    </row>
    <row r="6" spans="2:10" x14ac:dyDescent="0.25">
      <c r="B6" s="2" t="str">
        <v>Belgium_car_own_driveway_2030</v>
      </c>
      <c r="C6" s="8">
        <v>815852.39899999986</v>
      </c>
      <c r="D6" s="8">
        <v>0.27606932095949993</v>
      </c>
      <c r="E6" s="8">
        <v>0.28306394157350001</v>
      </c>
      <c r="F6" s="8">
        <v>0.39333418392949998</v>
      </c>
      <c r="G6" s="8">
        <v>4.0999999999999995E-2</v>
      </c>
      <c r="H6" s="8">
        <v>3.0495416850000001E-3</v>
      </c>
      <c r="I6" s="8">
        <v>0</v>
      </c>
      <c r="J6" s="8">
        <v>3.4830118549999999E-3</v>
      </c>
    </row>
    <row r="7" spans="2:10" x14ac:dyDescent="0.25">
      <c r="B7" s="2" t="str">
        <v>Bulgaria_car_own_driveway_2030</v>
      </c>
      <c r="C7" s="8">
        <v>269400.26100000006</v>
      </c>
      <c r="D7" s="8">
        <v>0.12362165331</v>
      </c>
      <c r="E7" s="8">
        <v>0.35884468389949997</v>
      </c>
      <c r="F7" s="8">
        <v>0.31496319068199996</v>
      </c>
      <c r="G7" s="8">
        <v>9.5000000000000001E-2</v>
      </c>
      <c r="H7" s="8">
        <v>2.0937571890500002E-2</v>
      </c>
      <c r="I7" s="8">
        <v>0</v>
      </c>
      <c r="J7" s="8">
        <v>8.6632900218999997E-2</v>
      </c>
    </row>
    <row r="8" spans="2:10" x14ac:dyDescent="0.25">
      <c r="B8" s="2" t="str">
        <v>Croatia_car_own_driveway_2030</v>
      </c>
      <c r="C8" s="8">
        <v>261388.91399999999</v>
      </c>
      <c r="D8" s="8">
        <v>4.7543146201500006E-2</v>
      </c>
      <c r="E8" s="8">
        <v>0.59342863698850001</v>
      </c>
      <c r="F8" s="8">
        <v>0.33482076542450001</v>
      </c>
      <c r="G8" s="8">
        <v>0</v>
      </c>
      <c r="H8" s="8">
        <v>1.5161531010000001E-3</v>
      </c>
      <c r="I8" s="8">
        <v>0</v>
      </c>
      <c r="J8" s="8">
        <v>2.2691298286500003E-2</v>
      </c>
    </row>
    <row r="9" spans="2:10" x14ac:dyDescent="0.25">
      <c r="B9" s="2" t="str">
        <v>Cyprus_car_own_driveway_2030</v>
      </c>
      <c r="C9" s="8">
        <v>186951.74100000001</v>
      </c>
      <c r="D9" s="8">
        <v>0.12333333335</v>
      </c>
      <c r="E9" s="8">
        <v>0.58770439970999999</v>
      </c>
      <c r="F9" s="8">
        <v>0.183483557899</v>
      </c>
      <c r="G9" s="8">
        <v>9.5000000000000001E-2</v>
      </c>
      <c r="H9" s="8">
        <v>0.01</v>
      </c>
      <c r="I9" s="8">
        <v>0</v>
      </c>
      <c r="J9" s="8">
        <v>4.7870904200000001E-4</v>
      </c>
    </row>
    <row r="10" spans="2:10" x14ac:dyDescent="0.25">
      <c r="B10" s="2" t="str">
        <v>Czechia_car_own_driveway_2030</v>
      </c>
      <c r="C10" s="8">
        <v>327908.56800000003</v>
      </c>
      <c r="D10" s="8">
        <v>9.3791870112500009E-2</v>
      </c>
      <c r="E10" s="8">
        <v>0.47787074342300007</v>
      </c>
      <c r="F10" s="8">
        <v>0.32272773393199999</v>
      </c>
      <c r="G10" s="8">
        <v>7.4999999999999997E-2</v>
      </c>
      <c r="H10" s="8">
        <v>2.1400413625500003E-2</v>
      </c>
      <c r="I10" s="8">
        <v>0</v>
      </c>
      <c r="J10" s="8">
        <v>9.2092389090000001E-3</v>
      </c>
    </row>
    <row r="11" spans="2:10" x14ac:dyDescent="0.25">
      <c r="B11" s="2" t="str">
        <v>Denmark_car_own_driveway_2030</v>
      </c>
      <c r="C11" s="8">
        <v>333328.04400000005</v>
      </c>
      <c r="D11" s="8">
        <v>0.1254320916495</v>
      </c>
      <c r="E11" s="8">
        <v>0.52775080441300004</v>
      </c>
      <c r="F11" s="8">
        <v>0.28181570405700002</v>
      </c>
      <c r="G11" s="8">
        <v>4.4999999999999998E-2</v>
      </c>
      <c r="H11" s="8">
        <v>2.0001399882E-2</v>
      </c>
      <c r="I11" s="8">
        <v>0</v>
      </c>
      <c r="J11" s="8">
        <v>0</v>
      </c>
    </row>
    <row r="12" spans="2:10" x14ac:dyDescent="0.25">
      <c r="B12" s="2" t="str">
        <v>Estonia_car_own_driveway_2030</v>
      </c>
      <c r="C12" s="8">
        <v>95970.222000000009</v>
      </c>
      <c r="D12" s="8">
        <v>0.17109732433200001</v>
      </c>
      <c r="E12" s="8">
        <v>0.41768500521500002</v>
      </c>
      <c r="F12" s="8">
        <v>0.37153920041499999</v>
      </c>
      <c r="G12" s="8">
        <v>5.0000000000000001E-3</v>
      </c>
      <c r="H12" s="8">
        <v>2.6517520411500003E-2</v>
      </c>
      <c r="I12" s="8">
        <v>0</v>
      </c>
      <c r="J12" s="8">
        <v>8.1609496279999999E-3</v>
      </c>
    </row>
    <row r="13" spans="2:10" x14ac:dyDescent="0.25">
      <c r="B13" s="2" t="str">
        <v>Finland_car_own_driveway_2030</v>
      </c>
      <c r="C13" s="8">
        <v>565757.5</v>
      </c>
      <c r="D13" s="8">
        <v>0.315341835653</v>
      </c>
      <c r="E13" s="8">
        <v>0.33852015962750004</v>
      </c>
      <c r="F13" s="8">
        <v>0.28659342383149999</v>
      </c>
      <c r="G13" s="8">
        <v>4.4999999999999998E-2</v>
      </c>
      <c r="H13" s="8">
        <v>1.4544580988499999E-2</v>
      </c>
      <c r="I13" s="8">
        <v>0</v>
      </c>
      <c r="J13" s="8">
        <v>0</v>
      </c>
    </row>
    <row r="14" spans="2:10" x14ac:dyDescent="0.25">
      <c r="B14" s="2" t="str">
        <v>France_car_own_driveway_2030</v>
      </c>
      <c r="C14" s="8">
        <v>8159863.3199999994</v>
      </c>
      <c r="D14" s="8">
        <v>0.35177531894450004</v>
      </c>
      <c r="E14" s="8">
        <v>0.195232592122</v>
      </c>
      <c r="F14" s="8">
        <v>0.40559090948150001</v>
      </c>
      <c r="G14" s="8">
        <v>1.2500000000000001E-2</v>
      </c>
      <c r="H14" s="8">
        <v>4.3954876000000003E-5</v>
      </c>
      <c r="I14" s="8">
        <v>0</v>
      </c>
      <c r="J14" s="8">
        <v>3.4857224577499998E-2</v>
      </c>
    </row>
    <row r="15" spans="2:10" x14ac:dyDescent="0.25">
      <c r="B15" s="2" t="str">
        <v>Germany_car_own_driveway_2030</v>
      </c>
      <c r="C15" s="8">
        <v>3852279.844</v>
      </c>
      <c r="D15" s="8">
        <v>0.35089844041000001</v>
      </c>
      <c r="E15" s="8">
        <v>0.19772126224200001</v>
      </c>
      <c r="F15" s="8">
        <v>0.29553347357650001</v>
      </c>
      <c r="G15" s="8">
        <v>0.14000000000000001</v>
      </c>
      <c r="H15" s="8">
        <v>1.16205475185E-2</v>
      </c>
      <c r="I15" s="8">
        <v>0</v>
      </c>
      <c r="J15" s="8">
        <v>4.226276254E-3</v>
      </c>
    </row>
    <row r="16" spans="2:10" x14ac:dyDescent="0.25">
      <c r="B16" s="2" t="str">
        <v>Greece_car_own_driveway_2030</v>
      </c>
      <c r="C16" s="8">
        <v>274848.576</v>
      </c>
      <c r="D16" s="8">
        <v>0.27096607537499995</v>
      </c>
      <c r="E16" s="8">
        <v>0.3382744740925</v>
      </c>
      <c r="F16" s="8">
        <v>0.20021417475949999</v>
      </c>
      <c r="G16" s="8">
        <v>0.15</v>
      </c>
      <c r="H16" s="8">
        <v>5.4426067585000007E-3</v>
      </c>
      <c r="I16" s="8">
        <v>0</v>
      </c>
      <c r="J16" s="8">
        <v>3.5102669016000003E-2</v>
      </c>
    </row>
    <row r="17" spans="2:10" x14ac:dyDescent="0.25">
      <c r="B17" s="2" t="str">
        <v>Hungary_car_own_driveway_2030</v>
      </c>
      <c r="C17" s="8">
        <v>515860.25400000002</v>
      </c>
      <c r="D17" s="8">
        <v>0.12362795610850001</v>
      </c>
      <c r="E17" s="8">
        <v>0.48146710712749996</v>
      </c>
      <c r="F17" s="8">
        <v>0.28677937260850001</v>
      </c>
      <c r="G17" s="8">
        <v>9.5000000000000001E-2</v>
      </c>
      <c r="H17" s="8">
        <v>1.02294235005E-2</v>
      </c>
      <c r="I17" s="8">
        <v>0</v>
      </c>
      <c r="J17" s="8">
        <v>2.8961406564999999E-3</v>
      </c>
    </row>
    <row r="18" spans="2:10" x14ac:dyDescent="0.25">
      <c r="B18" s="2" t="str">
        <v>Ireland_car_own_driveway_2030</v>
      </c>
      <c r="C18" s="8">
        <v>702874.13</v>
      </c>
      <c r="D18" s="8">
        <v>0.26563954380600002</v>
      </c>
      <c r="E18" s="8">
        <v>0.3198767995315</v>
      </c>
      <c r="F18" s="8">
        <v>0.36419709166199998</v>
      </c>
      <c r="G18" s="8">
        <v>2.5000000000000001E-2</v>
      </c>
      <c r="H18" s="8">
        <v>2.5000000000000001E-2</v>
      </c>
      <c r="I18" s="8">
        <v>0</v>
      </c>
      <c r="J18" s="8">
        <v>2.8656500100000001E-4</v>
      </c>
    </row>
    <row r="19" spans="2:10" x14ac:dyDescent="0.25">
      <c r="B19" s="2" t="str">
        <v>Italy_car_own_driveway_2030</v>
      </c>
      <c r="C19" s="8">
        <v>3458323.2459999998</v>
      </c>
      <c r="D19" s="8">
        <v>0.24526298402400001</v>
      </c>
      <c r="E19" s="8">
        <v>0.21146121139399998</v>
      </c>
      <c r="F19" s="8">
        <v>0.38936230048699999</v>
      </c>
      <c r="G19" s="8">
        <v>0.05</v>
      </c>
      <c r="H19" s="8">
        <v>3.5624053923500001E-2</v>
      </c>
      <c r="I19" s="8">
        <v>0</v>
      </c>
      <c r="J19" s="8">
        <v>6.8289450173499994E-2</v>
      </c>
    </row>
    <row r="20" spans="2:10" x14ac:dyDescent="0.25">
      <c r="B20" s="2" t="str">
        <v>Latvia_car_own_driveway_2030</v>
      </c>
      <c r="C20" s="8">
        <v>45413.657000000007</v>
      </c>
      <c r="D20" s="8">
        <v>0.12347043277250001</v>
      </c>
      <c r="E20" s="8">
        <v>0.38259240327849997</v>
      </c>
      <c r="F20" s="8">
        <v>0.3570360310115</v>
      </c>
      <c r="G20" s="8">
        <v>9.5000000000000001E-2</v>
      </c>
      <c r="H20" s="8">
        <v>1.00524325715E-2</v>
      </c>
      <c r="I20" s="8">
        <v>0</v>
      </c>
      <c r="J20" s="8">
        <v>3.1848700367500003E-2</v>
      </c>
    </row>
    <row r="21" spans="2:10" x14ac:dyDescent="0.25">
      <c r="B21" s="2" t="str">
        <v>Lithuania_car_own_driveway_2030</v>
      </c>
      <c r="C21" s="8">
        <v>92421.503999999986</v>
      </c>
      <c r="D21" s="8">
        <v>0.12402284237449999</v>
      </c>
      <c r="E21" s="8">
        <v>0.34522400579099999</v>
      </c>
      <c r="F21" s="8">
        <v>0.39233034386050003</v>
      </c>
      <c r="G21" s="8">
        <v>9.5000000000000001E-2</v>
      </c>
      <c r="H21" s="8">
        <v>1.0006357616000001E-2</v>
      </c>
      <c r="I21" s="8">
        <v>0</v>
      </c>
      <c r="J21" s="8">
        <v>3.3416450359000004E-2</v>
      </c>
    </row>
    <row r="22" spans="2:10" x14ac:dyDescent="0.25">
      <c r="B22" s="2" t="str">
        <v>Luxembourg_car_own_driveway_2030</v>
      </c>
      <c r="C22" s="8">
        <v>21796.082000000002</v>
      </c>
      <c r="D22" s="8">
        <v>0.38547208636949998</v>
      </c>
      <c r="E22" s="8">
        <v>0.19468227517549999</v>
      </c>
      <c r="F22" s="8">
        <v>0.40474205714200001</v>
      </c>
      <c r="G22" s="8">
        <v>1.4999999999999999E-2</v>
      </c>
      <c r="H22" s="8">
        <v>0</v>
      </c>
      <c r="I22" s="8">
        <v>0</v>
      </c>
      <c r="J22" s="8">
        <v>1.035813145E-4</v>
      </c>
    </row>
    <row r="23" spans="2:10" x14ac:dyDescent="0.25">
      <c r="B23" s="2" t="str">
        <v>Malta_car_own_driveway_2030</v>
      </c>
      <c r="C23" s="8">
        <v>125941.898</v>
      </c>
      <c r="D23" s="8">
        <v>0.25848330851649998</v>
      </c>
      <c r="E23" s="8">
        <v>0.40650291449050002</v>
      </c>
      <c r="F23" s="8">
        <v>0.33138820399649999</v>
      </c>
      <c r="G23" s="8">
        <v>0</v>
      </c>
      <c r="H23" s="8">
        <v>0</v>
      </c>
      <c r="I23" s="8">
        <v>0</v>
      </c>
      <c r="J23" s="8">
        <v>3.625572998E-3</v>
      </c>
    </row>
    <row r="24" spans="2:10" x14ac:dyDescent="0.25">
      <c r="B24" s="2" t="str">
        <v>Netherlands_car_own_driveway_2030</v>
      </c>
      <c r="C24" s="8">
        <v>3290412.483</v>
      </c>
      <c r="D24" s="8">
        <v>0.21776823334249998</v>
      </c>
      <c r="E24" s="8">
        <v>0.51462264348800002</v>
      </c>
      <c r="F24" s="8">
        <v>0.17153447334250002</v>
      </c>
      <c r="G24" s="8">
        <v>7.8350000000000003E-2</v>
      </c>
      <c r="H24" s="8">
        <v>0</v>
      </c>
      <c r="I24" s="8">
        <v>0</v>
      </c>
      <c r="J24" s="8">
        <v>1.77246498285E-2</v>
      </c>
    </row>
    <row r="25" spans="2:10" x14ac:dyDescent="0.25">
      <c r="B25" s="2" t="str">
        <v>Norway_car_own_driveway_2030</v>
      </c>
      <c r="C25" s="8">
        <v>489033.93599999999</v>
      </c>
      <c r="D25" s="8">
        <v>1</v>
      </c>
      <c r="E25" s="8">
        <v>0</v>
      </c>
      <c r="F25" s="8">
        <v>0</v>
      </c>
      <c r="G25" s="8">
        <v>0</v>
      </c>
      <c r="H25" s="8">
        <v>0</v>
      </c>
      <c r="I25" s="8">
        <v>0</v>
      </c>
      <c r="J25" s="8">
        <v>0</v>
      </c>
    </row>
    <row r="26" spans="2:10" x14ac:dyDescent="0.25">
      <c r="B26" s="2" t="str">
        <v>Poland_car_own_driveway_2030</v>
      </c>
      <c r="C26" s="8">
        <v>1673731.878</v>
      </c>
      <c r="D26" s="8">
        <v>0.11335407589350001</v>
      </c>
      <c r="E26" s="8">
        <v>0.43964345419250006</v>
      </c>
      <c r="F26" s="8">
        <v>0.30707693351249998</v>
      </c>
      <c r="G26" s="8">
        <v>5.5E-2</v>
      </c>
      <c r="H26" s="8">
        <v>2.0061879296E-2</v>
      </c>
      <c r="I26" s="8">
        <v>0</v>
      </c>
      <c r="J26" s="8">
        <v>6.4863657106999997E-2</v>
      </c>
    </row>
    <row r="27" spans="2:10" x14ac:dyDescent="0.25">
      <c r="B27" s="2" t="str">
        <v>Portugal_car_own_driveway_2030</v>
      </c>
      <c r="C27" s="8">
        <v>884123.35199999996</v>
      </c>
      <c r="D27" s="8">
        <v>0.26018595554750001</v>
      </c>
      <c r="E27" s="8">
        <v>0.30180375040899998</v>
      </c>
      <c r="F27" s="8">
        <v>0.37829950498099996</v>
      </c>
      <c r="G27" s="8">
        <v>3.5000000000000003E-2</v>
      </c>
      <c r="H27" s="8">
        <v>2.0002984743999998E-2</v>
      </c>
      <c r="I27" s="8">
        <v>0</v>
      </c>
      <c r="J27" s="8">
        <v>4.7078043199999999E-3</v>
      </c>
    </row>
    <row r="28" spans="2:10" x14ac:dyDescent="0.25">
      <c r="B28" s="2" t="str">
        <v>Romania_car_own_driveway_2030</v>
      </c>
      <c r="C28" s="8">
        <v>471911.16</v>
      </c>
      <c r="D28" s="8">
        <v>0.1235982319865</v>
      </c>
      <c r="E28" s="8">
        <v>0.41270309632300001</v>
      </c>
      <c r="F28" s="8">
        <v>0.34756694852249997</v>
      </c>
      <c r="G28" s="8">
        <v>9.5000000000000001E-2</v>
      </c>
      <c r="H28" s="8">
        <v>0.01</v>
      </c>
      <c r="I28" s="8">
        <v>0</v>
      </c>
      <c r="J28" s="8">
        <v>1.11317231695E-2</v>
      </c>
    </row>
    <row r="29" spans="2:10" x14ac:dyDescent="0.25">
      <c r="B29" s="2" t="str">
        <v>Slovakia_car_own_driveway_2030</v>
      </c>
      <c r="C29" s="8">
        <v>79220.221000000005</v>
      </c>
      <c r="D29" s="8">
        <v>0.12335051695200001</v>
      </c>
      <c r="E29" s="8">
        <v>0.46336961980800007</v>
      </c>
      <c r="F29" s="8">
        <v>0.34827986324050003</v>
      </c>
      <c r="G29" s="8">
        <v>4.4999999999999998E-2</v>
      </c>
      <c r="H29" s="8">
        <v>0.02</v>
      </c>
      <c r="I29" s="8">
        <v>0</v>
      </c>
      <c r="J29" s="8">
        <v>0</v>
      </c>
    </row>
    <row r="30" spans="2:10" x14ac:dyDescent="0.25">
      <c r="B30" s="2" t="str">
        <v>Slovenia_car_own_driveway_2030</v>
      </c>
      <c r="C30" s="8">
        <v>99035.909999999989</v>
      </c>
      <c r="D30" s="8">
        <v>0.14841134837349998</v>
      </c>
      <c r="E30" s="8">
        <v>0.41099872312149999</v>
      </c>
      <c r="F30" s="8">
        <v>0.35561181369549999</v>
      </c>
      <c r="G30" s="8">
        <v>7.0000000000000007E-2</v>
      </c>
      <c r="H30" s="8">
        <v>1.0105884292499999E-2</v>
      </c>
      <c r="I30" s="8">
        <v>0</v>
      </c>
      <c r="J30" s="8">
        <v>4.8722306690000003E-3</v>
      </c>
    </row>
    <row r="31" spans="2:10" x14ac:dyDescent="0.25">
      <c r="B31" s="2" t="str">
        <v>Spain_car_own_driveway_2030</v>
      </c>
      <c r="C31" s="8">
        <v>2101832.7620000001</v>
      </c>
      <c r="D31" s="8">
        <v>0.35044618484099999</v>
      </c>
      <c r="E31" s="8">
        <v>0.20617728210149999</v>
      </c>
      <c r="F31" s="8">
        <v>0.44012377069049996</v>
      </c>
      <c r="G31" s="8">
        <v>0</v>
      </c>
      <c r="H31" s="8">
        <v>9.9696037949999986E-4</v>
      </c>
      <c r="I31" s="8">
        <v>0</v>
      </c>
      <c r="J31" s="8">
        <v>2.2558019889999999E-3</v>
      </c>
    </row>
    <row r="32" spans="2:10" x14ac:dyDescent="0.25">
      <c r="B32" s="2" t="str">
        <v>Sweden_car_own_driveway_2030</v>
      </c>
      <c r="C32" s="8">
        <v>707126.06199999992</v>
      </c>
      <c r="D32" s="8">
        <v>0.25580480811450002</v>
      </c>
      <c r="E32" s="8">
        <v>0.28420036949549998</v>
      </c>
      <c r="F32" s="8">
        <v>0.35169384280749999</v>
      </c>
      <c r="G32" s="8">
        <v>0.1</v>
      </c>
      <c r="H32" s="8">
        <v>8.3009795835000001E-3</v>
      </c>
      <c r="I32" s="8">
        <v>0</v>
      </c>
      <c r="J32" s="8">
        <v>0</v>
      </c>
    </row>
    <row r="33" spans="2:10" x14ac:dyDescent="0.25">
      <c r="B33" s="2" t="str">
        <v>Switzerland_car_own_driveway_2030</v>
      </c>
      <c r="C33" s="8">
        <v>255083.48799999998</v>
      </c>
      <c r="D33" s="8">
        <v>0.35089844041000001</v>
      </c>
      <c r="E33" s="8">
        <v>0.19772126224200001</v>
      </c>
      <c r="F33" s="8">
        <v>0.29553347357650001</v>
      </c>
      <c r="G33" s="8">
        <v>0.14000000000000001</v>
      </c>
      <c r="H33" s="8">
        <v>1.16205475185E-2</v>
      </c>
      <c r="I33" s="8">
        <v>0</v>
      </c>
      <c r="J33" s="8">
        <v>4.226276254E-3</v>
      </c>
    </row>
    <row r="34" spans="2:10" ht="30" x14ac:dyDescent="0.25">
      <c r="B34" s="2" t="str">
        <v>United_Kingdom_car_own_driveway_2030</v>
      </c>
      <c r="C34" s="8">
        <v>15087698.107999999</v>
      </c>
      <c r="D34" s="8">
        <v>0.35089844041000001</v>
      </c>
      <c r="E34" s="8">
        <v>0.19772126224200001</v>
      </c>
      <c r="F34" s="8">
        <v>0.29553347357650001</v>
      </c>
      <c r="G34" s="8">
        <v>0.14000000000000001</v>
      </c>
      <c r="H34" s="8">
        <v>1.16205475185E-2</v>
      </c>
      <c r="I34" s="8">
        <v>0</v>
      </c>
      <c r="J34" s="8">
        <v>4.226276254E-3</v>
      </c>
    </row>
    <row r="35" spans="2:10" x14ac:dyDescent="0.25">
      <c r="B35" s="2" t="str" cm="1">
        <f t="array" ref="B35:B64">countries&amp;"_car_own_driveway_2040"</f>
        <v>Austria_car_own_driveway_2040</v>
      </c>
      <c r="C35" s="8" cm="1">
        <f t="array" ref="C35:C64">own_driveway_fleet</f>
        <v>247242.72</v>
      </c>
      <c r="D35" s="8" cm="1">
        <f t="array" ref="D35:J64">Car_splits_2040</f>
        <v>0.75</v>
      </c>
      <c r="E35" s="8">
        <v>2.5000000000000001E-2</v>
      </c>
      <c r="F35" s="8">
        <v>2.5000000000000001E-2</v>
      </c>
      <c r="G35" s="8">
        <v>0.2</v>
      </c>
      <c r="H35" s="8">
        <v>0</v>
      </c>
      <c r="I35" s="8">
        <v>0</v>
      </c>
      <c r="J35" s="8">
        <v>0</v>
      </c>
    </row>
    <row r="36" spans="2:10" x14ac:dyDescent="0.25">
      <c r="B36" s="2" t="str">
        <v>Belgium_car_own_driveway_2040</v>
      </c>
      <c r="C36" s="8">
        <v>815852.39899999986</v>
      </c>
      <c r="D36" s="8">
        <v>0.54899999999999993</v>
      </c>
      <c r="E36" s="8">
        <v>0.29199999999999998</v>
      </c>
      <c r="F36" s="8">
        <v>7.2999999999999995E-2</v>
      </c>
      <c r="G36" s="8">
        <v>8.199999999999999E-2</v>
      </c>
      <c r="H36" s="8">
        <v>4.0000000000000001E-3</v>
      </c>
      <c r="I36" s="8">
        <v>0</v>
      </c>
      <c r="J36" s="8">
        <v>0</v>
      </c>
    </row>
    <row r="37" spans="2:10" x14ac:dyDescent="0.25">
      <c r="B37" s="2" t="str">
        <v>Bulgaria_car_own_driveway_2040</v>
      </c>
      <c r="C37" s="8">
        <v>269400.26100000006</v>
      </c>
      <c r="D37" s="8">
        <v>0.24666666670000001</v>
      </c>
      <c r="E37" s="8">
        <v>0.5433333333</v>
      </c>
      <c r="F37" s="8">
        <v>0</v>
      </c>
      <c r="G37" s="8">
        <v>0.19</v>
      </c>
      <c r="H37" s="8">
        <v>0.02</v>
      </c>
      <c r="I37" s="8">
        <v>0</v>
      </c>
      <c r="J37" s="8">
        <v>0</v>
      </c>
    </row>
    <row r="38" spans="2:10" x14ac:dyDescent="0.25">
      <c r="B38" s="2" t="str">
        <v>Croatia_car_own_driveway_2040</v>
      </c>
      <c r="C38" s="8">
        <v>261388.91399999999</v>
      </c>
      <c r="D38" s="8">
        <v>9.5000000000000001E-2</v>
      </c>
      <c r="E38" s="8">
        <v>0.90200000000000002</v>
      </c>
      <c r="F38" s="8">
        <v>0</v>
      </c>
      <c r="G38" s="8">
        <v>0</v>
      </c>
      <c r="H38" s="8">
        <v>3.0000000000000001E-3</v>
      </c>
      <c r="I38" s="8">
        <v>0</v>
      </c>
      <c r="J38" s="8">
        <v>0</v>
      </c>
    </row>
    <row r="39" spans="2:10" x14ac:dyDescent="0.25">
      <c r="B39" s="2" t="str">
        <v>Cyprus_car_own_driveway_2040</v>
      </c>
      <c r="C39" s="8">
        <v>186951.74100000001</v>
      </c>
      <c r="D39" s="8">
        <v>0.24666666670000001</v>
      </c>
      <c r="E39" s="8">
        <v>0.5433333333</v>
      </c>
      <c r="F39" s="8">
        <v>0</v>
      </c>
      <c r="G39" s="8">
        <v>0.19</v>
      </c>
      <c r="H39" s="8">
        <v>0.02</v>
      </c>
      <c r="I39" s="8">
        <v>0</v>
      </c>
      <c r="J39" s="8">
        <v>0</v>
      </c>
    </row>
    <row r="40" spans="2:10" x14ac:dyDescent="0.25">
      <c r="B40" s="2" t="str">
        <v>Czechia_car_own_driveway_2040</v>
      </c>
      <c r="C40" s="8">
        <v>327908.56800000003</v>
      </c>
      <c r="D40" s="8">
        <v>0.18666666670000001</v>
      </c>
      <c r="E40" s="8">
        <v>0.62333333330000007</v>
      </c>
      <c r="F40" s="8">
        <v>0</v>
      </c>
      <c r="G40" s="8">
        <v>0.15</v>
      </c>
      <c r="H40" s="8">
        <v>0.04</v>
      </c>
      <c r="I40" s="8">
        <v>0</v>
      </c>
      <c r="J40" s="8">
        <v>0</v>
      </c>
    </row>
    <row r="41" spans="2:10" x14ac:dyDescent="0.25">
      <c r="B41" s="2" t="str">
        <v>Denmark_car_own_driveway_2040</v>
      </c>
      <c r="C41" s="8">
        <v>333328.04400000005</v>
      </c>
      <c r="D41" s="8">
        <v>0.24666666670000001</v>
      </c>
      <c r="E41" s="8">
        <v>0.62333333330000007</v>
      </c>
      <c r="F41" s="8">
        <v>0</v>
      </c>
      <c r="G41" s="8">
        <v>0.09</v>
      </c>
      <c r="H41" s="8">
        <v>0.04</v>
      </c>
      <c r="I41" s="8">
        <v>0</v>
      </c>
      <c r="J41" s="8">
        <v>0</v>
      </c>
    </row>
    <row r="42" spans="2:10" x14ac:dyDescent="0.25">
      <c r="B42" s="2" t="str">
        <v>Estonia_car_own_driveway_2040</v>
      </c>
      <c r="C42" s="8">
        <v>95970.222000000009</v>
      </c>
      <c r="D42" s="8">
        <v>0.34</v>
      </c>
      <c r="E42" s="8">
        <v>0.42599999999999999</v>
      </c>
      <c r="F42" s="8">
        <v>0.17399999999999999</v>
      </c>
      <c r="G42" s="8">
        <v>0.01</v>
      </c>
      <c r="H42" s="8">
        <v>0.05</v>
      </c>
      <c r="I42" s="8">
        <v>0</v>
      </c>
      <c r="J42" s="8">
        <v>0</v>
      </c>
    </row>
    <row r="43" spans="2:10" x14ac:dyDescent="0.25">
      <c r="B43" s="2" t="str">
        <v>Finland_car_own_driveway_2040</v>
      </c>
      <c r="C43" s="8">
        <v>565757.5</v>
      </c>
      <c r="D43" s="8">
        <v>0.627070707</v>
      </c>
      <c r="E43" s="8">
        <v>0.25515151520000001</v>
      </c>
      <c r="F43" s="8">
        <v>0</v>
      </c>
      <c r="G43" s="8">
        <v>0.09</v>
      </c>
      <c r="H43" s="8">
        <v>2.7777777999999999E-2</v>
      </c>
      <c r="I43" s="8">
        <v>0</v>
      </c>
      <c r="J43" s="8">
        <v>0</v>
      </c>
    </row>
    <row r="44" spans="2:10" x14ac:dyDescent="0.25">
      <c r="B44" s="2" t="str">
        <v>France_car_own_driveway_2040</v>
      </c>
      <c r="C44" s="8">
        <v>8159863.3199999994</v>
      </c>
      <c r="D44" s="8">
        <v>0.7016</v>
      </c>
      <c r="E44" s="8">
        <v>0.15039999999999998</v>
      </c>
      <c r="F44" s="8">
        <v>5.5E-2</v>
      </c>
      <c r="G44" s="8">
        <v>2.5000000000000001E-2</v>
      </c>
      <c r="H44" s="8">
        <v>0</v>
      </c>
      <c r="I44" s="8">
        <v>0</v>
      </c>
      <c r="J44" s="8">
        <v>6.8000000000000005E-2</v>
      </c>
    </row>
    <row r="45" spans="2:10" x14ac:dyDescent="0.25">
      <c r="B45" s="2" t="str">
        <v>Germany_car_own_driveway_2040</v>
      </c>
      <c r="C45" s="8">
        <v>3852279.844</v>
      </c>
      <c r="D45" s="8">
        <v>0.7</v>
      </c>
      <c r="E45" s="8">
        <v>0</v>
      </c>
      <c r="F45" s="8">
        <v>0</v>
      </c>
      <c r="G45" s="8">
        <v>0.28000000000000003</v>
      </c>
      <c r="H45" s="8">
        <v>0.02</v>
      </c>
      <c r="I45" s="8">
        <v>0</v>
      </c>
      <c r="J45" s="8">
        <v>0</v>
      </c>
    </row>
    <row r="46" spans="2:10" x14ac:dyDescent="0.25">
      <c r="B46" s="2" t="str">
        <v>Greece_car_own_driveway_2040</v>
      </c>
      <c r="C46" s="8">
        <v>274848.576</v>
      </c>
      <c r="D46" s="8">
        <v>0.54185185199999997</v>
      </c>
      <c r="E46" s="8">
        <v>0.14814814800000001</v>
      </c>
      <c r="F46" s="8">
        <v>0</v>
      </c>
      <c r="G46" s="8">
        <v>0.3</v>
      </c>
      <c r="H46" s="8">
        <v>0.01</v>
      </c>
      <c r="I46" s="8">
        <v>0</v>
      </c>
      <c r="J46" s="8">
        <v>0</v>
      </c>
    </row>
    <row r="47" spans="2:10" x14ac:dyDescent="0.25">
      <c r="B47" s="2" t="str">
        <v>Hungary_car_own_driveway_2040</v>
      </c>
      <c r="C47" s="8">
        <v>515860.25400000002</v>
      </c>
      <c r="D47" s="8">
        <v>0.24666666670000001</v>
      </c>
      <c r="E47" s="8">
        <v>0.5433333333</v>
      </c>
      <c r="F47" s="8">
        <v>0</v>
      </c>
      <c r="G47" s="8">
        <v>0.19</v>
      </c>
      <c r="H47" s="8">
        <v>0.02</v>
      </c>
      <c r="I47" s="8">
        <v>0</v>
      </c>
      <c r="J47" s="8">
        <v>0</v>
      </c>
    </row>
    <row r="48" spans="2:10" x14ac:dyDescent="0.25">
      <c r="B48" s="2" t="str">
        <v>Ireland_car_own_driveway_2040</v>
      </c>
      <c r="C48" s="8">
        <v>702874.13</v>
      </c>
      <c r="D48" s="8">
        <v>0.53</v>
      </c>
      <c r="E48" s="8">
        <v>0.37</v>
      </c>
      <c r="F48" s="8">
        <v>0</v>
      </c>
      <c r="G48" s="8">
        <v>0.05</v>
      </c>
      <c r="H48" s="8">
        <v>0.05</v>
      </c>
      <c r="I48" s="8">
        <v>0</v>
      </c>
      <c r="J48" s="8">
        <v>0</v>
      </c>
    </row>
    <row r="49" spans="2:10" x14ac:dyDescent="0.25">
      <c r="B49" s="2" t="str">
        <v>Italy_car_own_driveway_2040</v>
      </c>
      <c r="C49" s="8">
        <v>3458323.2459999998</v>
      </c>
      <c r="D49" s="8">
        <v>0.49</v>
      </c>
      <c r="E49" s="8">
        <v>0.17</v>
      </c>
      <c r="F49" s="8">
        <v>0.13</v>
      </c>
      <c r="G49" s="8">
        <v>0.1</v>
      </c>
      <c r="H49" s="8">
        <v>4.4999999999999998E-2</v>
      </c>
      <c r="I49" s="8">
        <v>0</v>
      </c>
      <c r="J49" s="8">
        <v>6.5000000000000002E-2</v>
      </c>
    </row>
    <row r="50" spans="2:10" x14ac:dyDescent="0.25">
      <c r="B50" s="2" t="str">
        <v>Latvia_car_own_driveway_2040</v>
      </c>
      <c r="C50" s="8">
        <v>45413.657000000007</v>
      </c>
      <c r="D50" s="8">
        <v>0.24666666670000001</v>
      </c>
      <c r="E50" s="8">
        <v>0.5433333333</v>
      </c>
      <c r="F50" s="8">
        <v>0</v>
      </c>
      <c r="G50" s="8">
        <v>0.19</v>
      </c>
      <c r="H50" s="8">
        <v>0.02</v>
      </c>
      <c r="I50" s="8">
        <v>0</v>
      </c>
      <c r="J50" s="8">
        <v>0</v>
      </c>
    </row>
    <row r="51" spans="2:10" x14ac:dyDescent="0.25">
      <c r="B51" s="2" t="str">
        <v>Lithuania_car_own_driveway_2040</v>
      </c>
      <c r="C51" s="8">
        <v>92421.503999999986</v>
      </c>
      <c r="D51" s="8">
        <v>0.24666666670000001</v>
      </c>
      <c r="E51" s="8">
        <v>0.5433333333</v>
      </c>
      <c r="F51" s="8">
        <v>0</v>
      </c>
      <c r="G51" s="8">
        <v>0.19</v>
      </c>
      <c r="H51" s="8">
        <v>0.02</v>
      </c>
      <c r="I51" s="8">
        <v>0</v>
      </c>
      <c r="J51" s="8">
        <v>0</v>
      </c>
    </row>
    <row r="52" spans="2:10" x14ac:dyDescent="0.25">
      <c r="B52" s="2" t="str">
        <v>Luxembourg_car_own_driveway_2040</v>
      </c>
      <c r="C52" s="8">
        <v>21796.082000000002</v>
      </c>
      <c r="D52" s="8">
        <v>0.77</v>
      </c>
      <c r="E52" s="8">
        <v>0.15</v>
      </c>
      <c r="F52" s="8">
        <v>0.05</v>
      </c>
      <c r="G52" s="8">
        <v>0.03</v>
      </c>
      <c r="H52" s="8">
        <v>0</v>
      </c>
      <c r="I52" s="8">
        <v>0</v>
      </c>
      <c r="J52" s="8">
        <v>0</v>
      </c>
    </row>
    <row r="53" spans="2:10" x14ac:dyDescent="0.25">
      <c r="B53" s="2" t="str">
        <v>Malta_car_own_driveway_2040</v>
      </c>
      <c r="C53" s="8">
        <v>125941.898</v>
      </c>
      <c r="D53" s="8">
        <v>0.51500000000000001</v>
      </c>
      <c r="E53" s="8">
        <v>0.36399999999999999</v>
      </c>
      <c r="F53" s="8">
        <v>0.11800000000000001</v>
      </c>
      <c r="G53" s="8">
        <v>0</v>
      </c>
      <c r="H53" s="8">
        <v>0</v>
      </c>
      <c r="I53" s="8">
        <v>0</v>
      </c>
      <c r="J53" s="8">
        <v>3.0000000000000001E-3</v>
      </c>
    </row>
    <row r="54" spans="2:10" x14ac:dyDescent="0.25">
      <c r="B54" s="2" t="str">
        <v>Netherlands_car_own_driveway_2040</v>
      </c>
      <c r="C54" s="8">
        <v>3290412.483</v>
      </c>
      <c r="D54" s="8">
        <v>0.4199</v>
      </c>
      <c r="E54" s="8">
        <v>0.38369999999999999</v>
      </c>
      <c r="F54" s="8">
        <v>3.9699999999999999E-2</v>
      </c>
      <c r="G54" s="8">
        <v>0.15670000000000001</v>
      </c>
      <c r="H54" s="8">
        <v>0</v>
      </c>
      <c r="I54" s="8">
        <v>0</v>
      </c>
      <c r="J54" s="8">
        <v>0</v>
      </c>
    </row>
    <row r="55" spans="2:10" x14ac:dyDescent="0.25">
      <c r="B55" s="2" t="str">
        <v>Norway_car_own_driveway_2040</v>
      </c>
      <c r="C55" s="8">
        <v>489033.93599999999</v>
      </c>
      <c r="D55" s="8">
        <v>1</v>
      </c>
      <c r="E55" s="8">
        <v>0</v>
      </c>
      <c r="F55" s="8">
        <v>0</v>
      </c>
      <c r="G55" s="8">
        <v>0</v>
      </c>
      <c r="H55" s="8">
        <v>0</v>
      </c>
      <c r="I55" s="8">
        <v>0</v>
      </c>
      <c r="J55" s="8">
        <v>0</v>
      </c>
    </row>
    <row r="56" spans="2:10" x14ac:dyDescent="0.25">
      <c r="B56" s="2" t="str">
        <v>Poland_car_own_driveway_2040</v>
      </c>
      <c r="C56" s="8">
        <v>1673731.878</v>
      </c>
      <c r="D56" s="8">
        <v>0.22666666670000002</v>
      </c>
      <c r="E56" s="8">
        <v>0.62333333330000007</v>
      </c>
      <c r="F56" s="8">
        <v>0</v>
      </c>
      <c r="G56" s="8">
        <v>0.11</v>
      </c>
      <c r="H56" s="8">
        <v>0.04</v>
      </c>
      <c r="I56" s="8">
        <v>0</v>
      </c>
      <c r="J56" s="8">
        <v>0</v>
      </c>
    </row>
    <row r="57" spans="2:10" x14ac:dyDescent="0.25">
      <c r="B57" s="2" t="str">
        <v>Portugal_car_own_driveway_2040</v>
      </c>
      <c r="C57" s="8">
        <v>884123.35199999996</v>
      </c>
      <c r="D57" s="8">
        <v>0.52</v>
      </c>
      <c r="E57" s="8">
        <v>0.37</v>
      </c>
      <c r="F57" s="8">
        <v>0</v>
      </c>
      <c r="G57" s="8">
        <v>7.0000000000000007E-2</v>
      </c>
      <c r="H57" s="8">
        <v>0.04</v>
      </c>
      <c r="I57" s="8">
        <v>0</v>
      </c>
      <c r="J57" s="8">
        <v>0</v>
      </c>
    </row>
    <row r="58" spans="2:10" x14ac:dyDescent="0.25">
      <c r="B58" s="2" t="str">
        <v>Romania_car_own_driveway_2040</v>
      </c>
      <c r="C58" s="8">
        <v>471911.16</v>
      </c>
      <c r="D58" s="8">
        <v>0.24666666670000001</v>
      </c>
      <c r="E58" s="8">
        <v>0.5433333333</v>
      </c>
      <c r="F58" s="8">
        <v>0</v>
      </c>
      <c r="G58" s="8">
        <v>0.19</v>
      </c>
      <c r="H58" s="8">
        <v>0.02</v>
      </c>
      <c r="I58" s="8">
        <v>0</v>
      </c>
      <c r="J58" s="8">
        <v>0</v>
      </c>
    </row>
    <row r="59" spans="2:10" x14ac:dyDescent="0.25">
      <c r="B59" s="2" t="str">
        <v>Slovakia_car_own_driveway_2040</v>
      </c>
      <c r="C59" s="8">
        <v>79220.221000000005</v>
      </c>
      <c r="D59" s="8">
        <v>0.24666666670000001</v>
      </c>
      <c r="E59" s="8">
        <v>0.62333333330000007</v>
      </c>
      <c r="F59" s="8">
        <v>0</v>
      </c>
      <c r="G59" s="8">
        <v>0.09</v>
      </c>
      <c r="H59" s="8">
        <v>0.04</v>
      </c>
      <c r="I59" s="8">
        <v>0</v>
      </c>
      <c r="J59" s="8">
        <v>0</v>
      </c>
    </row>
    <row r="60" spans="2:10" x14ac:dyDescent="0.25">
      <c r="B60" s="2" t="str">
        <v>Slovenia_car_own_driveway_2040</v>
      </c>
      <c r="C60" s="8">
        <v>99035.909999999989</v>
      </c>
      <c r="D60" s="8">
        <v>0.296666667</v>
      </c>
      <c r="E60" s="8">
        <v>0.5433333333</v>
      </c>
      <c r="F60" s="8">
        <v>0</v>
      </c>
      <c r="G60" s="8">
        <v>0.14000000000000001</v>
      </c>
      <c r="H60" s="8">
        <v>0.02</v>
      </c>
      <c r="I60" s="8">
        <v>0</v>
      </c>
      <c r="J60" s="8">
        <v>0</v>
      </c>
    </row>
    <row r="61" spans="2:10" x14ac:dyDescent="0.25">
      <c r="B61" s="2" t="str">
        <v>Spain_car_own_driveway_2040</v>
      </c>
      <c r="C61" s="8">
        <v>2101832.7620000001</v>
      </c>
      <c r="D61" s="8">
        <v>0.7</v>
      </c>
      <c r="E61" s="8">
        <v>0.2</v>
      </c>
      <c r="F61" s="8">
        <v>0.1</v>
      </c>
      <c r="G61" s="8">
        <v>0</v>
      </c>
      <c r="H61" s="8">
        <v>0</v>
      </c>
      <c r="I61" s="8">
        <v>0</v>
      </c>
      <c r="J61" s="8">
        <v>0</v>
      </c>
    </row>
    <row r="62" spans="2:10" x14ac:dyDescent="0.25">
      <c r="B62" s="2" t="str">
        <v>Sweden_car_own_driveway_2040</v>
      </c>
      <c r="C62" s="8">
        <v>707126.06199999992</v>
      </c>
      <c r="D62" s="8">
        <v>0.5</v>
      </c>
      <c r="E62" s="8">
        <v>0.17399999999999999</v>
      </c>
      <c r="F62" s="8">
        <v>0.11599999999999999</v>
      </c>
      <c r="G62" s="8">
        <v>0.2</v>
      </c>
      <c r="H62" s="8">
        <v>0.01</v>
      </c>
      <c r="I62" s="8">
        <v>0</v>
      </c>
      <c r="J62" s="8">
        <v>0</v>
      </c>
    </row>
    <row r="63" spans="2:10" x14ac:dyDescent="0.25">
      <c r="B63" s="2" t="str">
        <v>Switzerland_car_own_driveway_2040</v>
      </c>
      <c r="C63" s="8">
        <v>255083.48799999998</v>
      </c>
      <c r="D63" s="8">
        <v>0.7</v>
      </c>
      <c r="E63" s="8">
        <v>0</v>
      </c>
      <c r="F63" s="8">
        <v>0</v>
      </c>
      <c r="G63" s="8">
        <v>0.28000000000000003</v>
      </c>
      <c r="H63" s="8">
        <v>0.02</v>
      </c>
      <c r="I63" s="8">
        <v>0</v>
      </c>
      <c r="J63" s="8">
        <v>0</v>
      </c>
    </row>
    <row r="64" spans="2:10" ht="30" x14ac:dyDescent="0.25">
      <c r="B64" s="2" t="str">
        <v>United_Kingdom_car_own_driveway_2040</v>
      </c>
      <c r="C64" s="8">
        <v>15087698.107999999</v>
      </c>
      <c r="D64" s="8">
        <v>0.7</v>
      </c>
      <c r="E64" s="8">
        <v>0</v>
      </c>
      <c r="F64" s="8">
        <v>0</v>
      </c>
      <c r="G64" s="8">
        <v>0.28000000000000003</v>
      </c>
      <c r="H64" s="8">
        <v>0.02</v>
      </c>
      <c r="I64" s="8">
        <v>0</v>
      </c>
      <c r="J64" s="8">
        <v>0</v>
      </c>
    </row>
    <row r="65" spans="2:10" x14ac:dyDescent="0.25">
      <c r="B65" s="2" t="str" cm="1">
        <f t="array" ref="B65:B94">countries&amp;"_car_own_driveway_2050"</f>
        <v>Austria_car_own_driveway_2050</v>
      </c>
      <c r="C65" s="8" cm="1">
        <f t="array" ref="C65:C94">own_driveway_fleet</f>
        <v>247242.72</v>
      </c>
      <c r="D65" s="8" cm="1">
        <f t="array" ref="D65:J94">Car_splits_2050</f>
        <v>0.8</v>
      </c>
      <c r="E65" s="8">
        <v>0</v>
      </c>
      <c r="F65" s="8">
        <v>0</v>
      </c>
      <c r="G65" s="8">
        <v>0.2</v>
      </c>
      <c r="H65" s="8">
        <v>0</v>
      </c>
      <c r="I65" s="8">
        <v>0</v>
      </c>
      <c r="J65" s="8">
        <v>0</v>
      </c>
    </row>
    <row r="66" spans="2:10" x14ac:dyDescent="0.25">
      <c r="B66" s="2" t="str">
        <v>Belgium_car_own_driveway_2050</v>
      </c>
      <c r="C66" s="8">
        <v>815852.39899999986</v>
      </c>
      <c r="D66" s="8">
        <v>0.85</v>
      </c>
      <c r="E66" s="8">
        <v>0</v>
      </c>
      <c r="F66" s="8">
        <v>0</v>
      </c>
      <c r="G66" s="8">
        <v>0.15</v>
      </c>
      <c r="H66" s="8">
        <v>0</v>
      </c>
      <c r="I66" s="8">
        <v>0</v>
      </c>
      <c r="J66" s="8">
        <v>0</v>
      </c>
    </row>
    <row r="67" spans="2:10" x14ac:dyDescent="0.25">
      <c r="B67" s="2" t="str">
        <v>Bulgaria_car_own_driveway_2050</v>
      </c>
      <c r="C67" s="8">
        <v>269400.26100000006</v>
      </c>
      <c r="D67" s="8">
        <v>0.69</v>
      </c>
      <c r="E67" s="8">
        <v>0.05</v>
      </c>
      <c r="F67" s="8">
        <v>0</v>
      </c>
      <c r="G67" s="8">
        <v>0.23</v>
      </c>
      <c r="H67" s="8">
        <v>0.03</v>
      </c>
      <c r="I67" s="8">
        <v>0</v>
      </c>
      <c r="J67" s="8">
        <v>0</v>
      </c>
    </row>
    <row r="68" spans="2:10" x14ac:dyDescent="0.25">
      <c r="B68" s="2" t="str">
        <v>Croatia_car_own_driveway_2050</v>
      </c>
      <c r="C68" s="8">
        <v>261388.91399999999</v>
      </c>
      <c r="D68" s="8">
        <v>0.90500000000000003</v>
      </c>
      <c r="E68" s="8">
        <v>0.05</v>
      </c>
      <c r="F68" s="8">
        <v>0</v>
      </c>
      <c r="G68" s="8">
        <v>0.02</v>
      </c>
      <c r="H68" s="8">
        <v>2.5000000000000001E-2</v>
      </c>
      <c r="I68" s="8">
        <v>0</v>
      </c>
      <c r="J68" s="8">
        <v>0</v>
      </c>
    </row>
    <row r="69" spans="2:10" x14ac:dyDescent="0.25">
      <c r="B69" s="2" t="str">
        <v>Cyprus_car_own_driveway_2050</v>
      </c>
      <c r="C69" s="8">
        <v>186951.74100000001</v>
      </c>
      <c r="D69" s="8">
        <v>0.69</v>
      </c>
      <c r="E69" s="8">
        <v>0.05</v>
      </c>
      <c r="F69" s="8">
        <v>0</v>
      </c>
      <c r="G69" s="8">
        <v>0.23</v>
      </c>
      <c r="H69" s="8">
        <v>0.03</v>
      </c>
      <c r="I69" s="8">
        <v>0</v>
      </c>
      <c r="J69" s="8">
        <v>0</v>
      </c>
    </row>
    <row r="70" spans="2:10" x14ac:dyDescent="0.25">
      <c r="B70" s="2" t="str">
        <v>Czechia_car_own_driveway_2050</v>
      </c>
      <c r="C70" s="8">
        <v>327908.56800000003</v>
      </c>
      <c r="D70" s="8">
        <v>0.7</v>
      </c>
      <c r="E70" s="8">
        <v>0.05</v>
      </c>
      <c r="F70" s="8">
        <v>0</v>
      </c>
      <c r="G70" s="8">
        <v>0.2</v>
      </c>
      <c r="H70" s="8">
        <v>0.05</v>
      </c>
      <c r="I70" s="8">
        <v>0</v>
      </c>
      <c r="J70" s="8">
        <v>0</v>
      </c>
    </row>
    <row r="71" spans="2:10" x14ac:dyDescent="0.25">
      <c r="B71" s="2" t="str">
        <v>Denmark_car_own_driveway_2050</v>
      </c>
      <c r="C71" s="8">
        <v>333328.04400000005</v>
      </c>
      <c r="D71" s="8">
        <v>0.8</v>
      </c>
      <c r="E71" s="8">
        <v>0</v>
      </c>
      <c r="F71" s="8">
        <v>0</v>
      </c>
      <c r="G71" s="8">
        <v>0.2</v>
      </c>
      <c r="H71" s="8">
        <v>0</v>
      </c>
      <c r="I71" s="8">
        <v>0</v>
      </c>
      <c r="J71" s="8">
        <v>0</v>
      </c>
    </row>
    <row r="72" spans="2:10" x14ac:dyDescent="0.25">
      <c r="B72" s="2" t="str">
        <v>Estonia_car_own_driveway_2050</v>
      </c>
      <c r="C72" s="8">
        <v>95970.222000000009</v>
      </c>
      <c r="D72" s="8">
        <v>0.7</v>
      </c>
      <c r="E72" s="8">
        <v>0.1</v>
      </c>
      <c r="F72" s="8">
        <v>0.05</v>
      </c>
      <c r="G72" s="8">
        <v>0.1</v>
      </c>
      <c r="H72" s="8">
        <v>0.05</v>
      </c>
      <c r="I72" s="8">
        <v>0</v>
      </c>
      <c r="J72" s="8">
        <v>0</v>
      </c>
    </row>
    <row r="73" spans="2:10" x14ac:dyDescent="0.25">
      <c r="B73" s="2" t="str">
        <v>Finland_car_own_driveway_2050</v>
      </c>
      <c r="C73" s="8">
        <v>565757.5</v>
      </c>
      <c r="D73" s="8">
        <v>0.75574074099999999</v>
      </c>
      <c r="E73" s="8">
        <v>0</v>
      </c>
      <c r="F73" s="8">
        <v>0</v>
      </c>
      <c r="G73" s="8">
        <v>0.20722222200000001</v>
      </c>
      <c r="H73" s="8">
        <v>3.7037037000000002E-2</v>
      </c>
      <c r="I73" s="8">
        <v>0</v>
      </c>
      <c r="J73" s="8">
        <v>0</v>
      </c>
    </row>
    <row r="74" spans="2:10" x14ac:dyDescent="0.25">
      <c r="B74" s="2" t="str">
        <v>France_car_own_driveway_2050</v>
      </c>
      <c r="C74" s="8">
        <v>8159863.3199999994</v>
      </c>
      <c r="D74" s="8">
        <v>0.95</v>
      </c>
      <c r="E74" s="8">
        <v>0</v>
      </c>
      <c r="F74" s="8">
        <v>0</v>
      </c>
      <c r="G74" s="8">
        <v>0.05</v>
      </c>
      <c r="H74" s="8">
        <v>0</v>
      </c>
      <c r="I74" s="8">
        <v>0</v>
      </c>
      <c r="J74" s="8">
        <v>0</v>
      </c>
    </row>
    <row r="75" spans="2:10" x14ac:dyDescent="0.25">
      <c r="B75" s="2" t="str">
        <v>Germany_car_own_driveway_2050</v>
      </c>
      <c r="C75" s="8">
        <v>3852279.844</v>
      </c>
      <c r="D75" s="8">
        <v>0.7</v>
      </c>
      <c r="E75" s="8">
        <v>0</v>
      </c>
      <c r="F75" s="8">
        <v>0</v>
      </c>
      <c r="G75" s="8">
        <v>0.28000000000000003</v>
      </c>
      <c r="H75" s="8">
        <v>0.02</v>
      </c>
      <c r="I75" s="8">
        <v>0</v>
      </c>
      <c r="J75" s="8">
        <v>0</v>
      </c>
    </row>
    <row r="76" spans="2:10" x14ac:dyDescent="0.25">
      <c r="B76" s="2" t="str">
        <v>Greece_car_own_driveway_2050</v>
      </c>
      <c r="C76" s="8">
        <v>274848.576</v>
      </c>
      <c r="D76" s="8">
        <v>0.64814814799999998</v>
      </c>
      <c r="E76" s="8">
        <v>0</v>
      </c>
      <c r="F76" s="8">
        <v>0</v>
      </c>
      <c r="G76" s="8">
        <v>0.35185185200000002</v>
      </c>
      <c r="H76" s="8">
        <v>0</v>
      </c>
      <c r="I76" s="8">
        <v>0</v>
      </c>
      <c r="J76" s="8">
        <v>0</v>
      </c>
    </row>
    <row r="77" spans="2:10" x14ac:dyDescent="0.25">
      <c r="B77" s="2" t="str">
        <v>Hungary_car_own_driveway_2050</v>
      </c>
      <c r="C77" s="8">
        <v>515860.25400000002</v>
      </c>
      <c r="D77" s="8">
        <v>0.69</v>
      </c>
      <c r="E77" s="8">
        <v>0.05</v>
      </c>
      <c r="F77" s="8">
        <v>0</v>
      </c>
      <c r="G77" s="8">
        <v>0.23</v>
      </c>
      <c r="H77" s="8">
        <v>0.03</v>
      </c>
      <c r="I77" s="8">
        <v>0</v>
      </c>
      <c r="J77" s="8">
        <v>0</v>
      </c>
    </row>
    <row r="78" spans="2:10" x14ac:dyDescent="0.25">
      <c r="B78" s="2" t="str">
        <v>Ireland_car_own_driveway_2050</v>
      </c>
      <c r="C78" s="8">
        <v>702874.13</v>
      </c>
      <c r="D78" s="8">
        <v>0.85</v>
      </c>
      <c r="E78" s="8">
        <v>0</v>
      </c>
      <c r="F78" s="8">
        <v>0</v>
      </c>
      <c r="G78" s="8">
        <v>0.1</v>
      </c>
      <c r="H78" s="8">
        <v>0.05</v>
      </c>
      <c r="I78" s="8">
        <v>0</v>
      </c>
      <c r="J78" s="8">
        <v>0</v>
      </c>
    </row>
    <row r="79" spans="2:10" x14ac:dyDescent="0.25">
      <c r="B79" s="2" t="str">
        <v>Italy_car_own_driveway_2050</v>
      </c>
      <c r="C79" s="8">
        <v>3458323.2459999998</v>
      </c>
      <c r="D79" s="8">
        <v>0.85</v>
      </c>
      <c r="E79" s="8">
        <v>0</v>
      </c>
      <c r="F79" s="8">
        <v>0</v>
      </c>
      <c r="G79" s="8">
        <v>0.15</v>
      </c>
      <c r="H79" s="8">
        <v>0</v>
      </c>
      <c r="I79" s="8">
        <v>0</v>
      </c>
      <c r="J79" s="8">
        <v>0</v>
      </c>
    </row>
    <row r="80" spans="2:10" x14ac:dyDescent="0.25">
      <c r="B80" s="2" t="str">
        <v>Latvia_car_own_driveway_2050</v>
      </c>
      <c r="C80" s="8">
        <v>45413.657000000007</v>
      </c>
      <c r="D80" s="8">
        <v>0.69</v>
      </c>
      <c r="E80" s="8">
        <v>0.05</v>
      </c>
      <c r="F80" s="8">
        <v>0</v>
      </c>
      <c r="G80" s="8">
        <v>0.23</v>
      </c>
      <c r="H80" s="8">
        <v>0.03</v>
      </c>
      <c r="I80" s="8">
        <v>0</v>
      </c>
      <c r="J80" s="8">
        <v>0</v>
      </c>
    </row>
    <row r="81" spans="2:10" x14ac:dyDescent="0.25">
      <c r="B81" s="2" t="str">
        <v>Lithuania_car_own_driveway_2050</v>
      </c>
      <c r="C81" s="8">
        <v>92421.503999999986</v>
      </c>
      <c r="D81" s="8">
        <v>0.69</v>
      </c>
      <c r="E81" s="8">
        <v>0.05</v>
      </c>
      <c r="F81" s="8">
        <v>0</v>
      </c>
      <c r="G81" s="8">
        <v>0.23</v>
      </c>
      <c r="H81" s="8">
        <v>0.03</v>
      </c>
      <c r="I81" s="8">
        <v>0</v>
      </c>
      <c r="J81" s="8">
        <v>0</v>
      </c>
    </row>
    <row r="82" spans="2:10" x14ac:dyDescent="0.25">
      <c r="B82" s="2" t="str">
        <v>Luxembourg_car_own_driveway_2050</v>
      </c>
      <c r="C82" s="8">
        <v>21796.082000000002</v>
      </c>
      <c r="D82" s="8">
        <v>0.88</v>
      </c>
      <c r="E82" s="8">
        <v>0.05</v>
      </c>
      <c r="F82" s="8">
        <v>0.01</v>
      </c>
      <c r="G82" s="8">
        <v>0.06</v>
      </c>
      <c r="H82" s="8">
        <v>0</v>
      </c>
      <c r="I82" s="8">
        <v>0</v>
      </c>
      <c r="J82" s="8">
        <v>0</v>
      </c>
    </row>
    <row r="83" spans="2:10" x14ac:dyDescent="0.25">
      <c r="B83" s="2" t="str">
        <v>Malta_car_own_driveway_2050</v>
      </c>
      <c r="C83" s="8">
        <v>125941.898</v>
      </c>
      <c r="D83" s="8">
        <v>0.69</v>
      </c>
      <c r="E83" s="8">
        <v>0.05</v>
      </c>
      <c r="F83" s="8">
        <v>0</v>
      </c>
      <c r="G83" s="8">
        <v>0.23</v>
      </c>
      <c r="H83" s="8">
        <v>0.03</v>
      </c>
      <c r="I83" s="8">
        <v>0</v>
      </c>
      <c r="J83" s="8">
        <v>0</v>
      </c>
    </row>
    <row r="84" spans="2:10" x14ac:dyDescent="0.25">
      <c r="B84" s="2" t="str">
        <v>Netherlands_car_own_driveway_2050</v>
      </c>
      <c r="C84" s="8">
        <v>3290412.483</v>
      </c>
      <c r="D84" s="8">
        <v>0.7</v>
      </c>
      <c r="E84" s="8">
        <v>0.05</v>
      </c>
      <c r="F84" s="8">
        <v>0</v>
      </c>
      <c r="G84" s="8">
        <v>0.25</v>
      </c>
      <c r="H84" s="8">
        <v>0</v>
      </c>
      <c r="I84" s="8">
        <v>0</v>
      </c>
      <c r="J84" s="8">
        <v>0</v>
      </c>
    </row>
    <row r="85" spans="2:10" x14ac:dyDescent="0.25">
      <c r="B85" s="2" t="str">
        <v>Norway_car_own_driveway_2050</v>
      </c>
      <c r="C85" s="8">
        <v>489033.93599999999</v>
      </c>
      <c r="D85" s="8">
        <v>1</v>
      </c>
      <c r="E85" s="8">
        <v>0</v>
      </c>
      <c r="F85" s="8">
        <v>0</v>
      </c>
      <c r="G85" s="8">
        <v>0</v>
      </c>
      <c r="H85" s="8">
        <v>0</v>
      </c>
      <c r="I85" s="8">
        <v>0</v>
      </c>
      <c r="J85" s="8">
        <v>0</v>
      </c>
    </row>
    <row r="86" spans="2:10" x14ac:dyDescent="0.25">
      <c r="B86" s="2" t="str">
        <v>Poland_car_own_driveway_2050</v>
      </c>
      <c r="C86" s="8">
        <v>1673731.878</v>
      </c>
      <c r="D86" s="8">
        <v>0.73</v>
      </c>
      <c r="E86" s="8">
        <v>0.05</v>
      </c>
      <c r="F86" s="8">
        <v>0</v>
      </c>
      <c r="G86" s="8">
        <v>0.17</v>
      </c>
      <c r="H86" s="8">
        <v>0.05</v>
      </c>
      <c r="I86" s="8">
        <v>0</v>
      </c>
      <c r="J86" s="8">
        <v>0</v>
      </c>
    </row>
    <row r="87" spans="2:10" x14ac:dyDescent="0.25">
      <c r="B87" s="2" t="str">
        <v>Portugal_car_own_driveway_2050</v>
      </c>
      <c r="C87" s="8">
        <v>884123.35199999996</v>
      </c>
      <c r="D87" s="8">
        <v>0.81666666669999999</v>
      </c>
      <c r="E87" s="8">
        <v>3.3333333329999999E-2</v>
      </c>
      <c r="F87" s="8">
        <v>0</v>
      </c>
      <c r="G87" s="8">
        <v>0.1</v>
      </c>
      <c r="H87" s="8">
        <v>0.05</v>
      </c>
      <c r="I87" s="8">
        <v>0</v>
      </c>
      <c r="J87" s="8">
        <v>0</v>
      </c>
    </row>
    <row r="88" spans="2:10" x14ac:dyDescent="0.25">
      <c r="B88" s="2" t="str">
        <v>Romania_car_own_driveway_2050</v>
      </c>
      <c r="C88" s="8">
        <v>471911.16</v>
      </c>
      <c r="D88" s="8">
        <v>0.69</v>
      </c>
      <c r="E88" s="8">
        <v>0.05</v>
      </c>
      <c r="F88" s="8">
        <v>0</v>
      </c>
      <c r="G88" s="8">
        <v>0.23</v>
      </c>
      <c r="H88" s="8">
        <v>0.03</v>
      </c>
      <c r="I88" s="8">
        <v>0</v>
      </c>
      <c r="J88" s="8">
        <v>0</v>
      </c>
    </row>
    <row r="89" spans="2:10" x14ac:dyDescent="0.25">
      <c r="B89" s="2" t="str">
        <v>Slovakia_car_own_driveway_2050</v>
      </c>
      <c r="C89" s="8">
        <v>79220.221000000005</v>
      </c>
      <c r="D89" s="8">
        <v>0.74</v>
      </c>
      <c r="E89" s="8">
        <v>0.05</v>
      </c>
      <c r="F89" s="8">
        <v>0</v>
      </c>
      <c r="G89" s="8">
        <v>0.16</v>
      </c>
      <c r="H89" s="8">
        <v>0.05</v>
      </c>
      <c r="I89" s="8">
        <v>0</v>
      </c>
      <c r="J89" s="8">
        <v>0</v>
      </c>
    </row>
    <row r="90" spans="2:10" x14ac:dyDescent="0.25">
      <c r="B90" s="2" t="str">
        <v>Slovenia_car_own_driveway_2050</v>
      </c>
      <c r="C90" s="8">
        <v>99035.909999999989</v>
      </c>
      <c r="D90" s="8">
        <v>0.72</v>
      </c>
      <c r="E90" s="8">
        <v>0.05</v>
      </c>
      <c r="F90" s="8">
        <v>0</v>
      </c>
      <c r="G90" s="8">
        <v>0.2</v>
      </c>
      <c r="H90" s="8">
        <v>0.03</v>
      </c>
      <c r="I90" s="8">
        <v>0</v>
      </c>
      <c r="J90" s="8">
        <v>0</v>
      </c>
    </row>
    <row r="91" spans="2:10" x14ac:dyDescent="0.25">
      <c r="B91" s="2" t="str">
        <v>Spain_car_own_driveway_2050</v>
      </c>
      <c r="C91" s="8">
        <v>2101832.7620000001</v>
      </c>
      <c r="D91" s="8">
        <v>0.95</v>
      </c>
      <c r="E91" s="8">
        <v>0</v>
      </c>
      <c r="F91" s="8">
        <v>0</v>
      </c>
      <c r="G91" s="8">
        <v>4.0999999999999995E-2</v>
      </c>
      <c r="H91" s="8">
        <v>9.0000000000000011E-3</v>
      </c>
      <c r="I91" s="8">
        <v>0</v>
      </c>
      <c r="J91" s="8">
        <v>0</v>
      </c>
    </row>
    <row r="92" spans="2:10" x14ac:dyDescent="0.25">
      <c r="B92" s="2" t="str">
        <v>Sweden_car_own_driveway_2050</v>
      </c>
      <c r="C92" s="8">
        <v>707126.06199999992</v>
      </c>
      <c r="D92" s="8">
        <v>0.5</v>
      </c>
      <c r="E92" s="8">
        <v>0</v>
      </c>
      <c r="F92" s="8">
        <v>0</v>
      </c>
      <c r="G92" s="8">
        <v>0.5</v>
      </c>
      <c r="H92" s="8">
        <v>0</v>
      </c>
      <c r="I92" s="8">
        <v>0</v>
      </c>
      <c r="J92" s="8">
        <v>0</v>
      </c>
    </row>
    <row r="93" spans="2:10" x14ac:dyDescent="0.25">
      <c r="B93" s="2" t="str">
        <v>Switzerland_car_own_driveway_2050</v>
      </c>
      <c r="C93" s="8">
        <v>255083.48799999998</v>
      </c>
      <c r="D93" s="8">
        <v>0.7</v>
      </c>
      <c r="E93" s="8">
        <v>0</v>
      </c>
      <c r="F93" s="8">
        <v>0</v>
      </c>
      <c r="G93" s="8">
        <v>0.28000000000000003</v>
      </c>
      <c r="H93" s="8">
        <v>0.02</v>
      </c>
      <c r="I93" s="8">
        <v>0</v>
      </c>
      <c r="J93" s="8">
        <v>0</v>
      </c>
    </row>
    <row r="94" spans="2:10" ht="30" x14ac:dyDescent="0.25">
      <c r="B94" s="2" t="str">
        <v>United_Kingdom_car_own_driveway_2050</v>
      </c>
      <c r="C94" s="8">
        <v>15087698.107999999</v>
      </c>
      <c r="D94" s="8">
        <v>0.7</v>
      </c>
      <c r="E94" s="8">
        <v>0</v>
      </c>
      <c r="F94" s="8">
        <v>0</v>
      </c>
      <c r="G94" s="8">
        <v>0.28000000000000003</v>
      </c>
      <c r="H94" s="8">
        <v>0.02</v>
      </c>
      <c r="I94" s="8">
        <v>0</v>
      </c>
      <c r="J94" s="8">
        <v>0</v>
      </c>
    </row>
    <row r="95" spans="2:10" x14ac:dyDescent="0.25">
      <c r="B95" s="2" t="str" cm="1">
        <f t="array" ref="B95:B124">countries&amp;"_car_street_parking_2030"</f>
        <v>Austria_car_street_parking_2030</v>
      </c>
      <c r="C95" s="8" cm="1">
        <f t="array" ref="C95:C124">street_parking_fleet</f>
        <v>4903647.28</v>
      </c>
      <c r="D95" s="8" cm="1">
        <f t="array" ref="D95:J124">Car_splits_2030</f>
        <v>0.37523016055299996</v>
      </c>
      <c r="E95" s="8">
        <v>0.13833523542800003</v>
      </c>
      <c r="F95" s="8">
        <v>0.38566206721599999</v>
      </c>
      <c r="G95" s="8">
        <v>0.1</v>
      </c>
      <c r="H95" s="8">
        <v>3.3172397450000003E-4</v>
      </c>
      <c r="I95" s="8">
        <v>0</v>
      </c>
      <c r="J95" s="8">
        <v>4.4081283E-4</v>
      </c>
    </row>
    <row r="96" spans="2:10" x14ac:dyDescent="0.25">
      <c r="B96" s="2" t="str">
        <v>Belgium_car_street_parking_2030</v>
      </c>
      <c r="C96" s="8">
        <v>5139274.6009999998</v>
      </c>
      <c r="D96" s="8">
        <v>0.27606932095949993</v>
      </c>
      <c r="E96" s="8">
        <v>0.28306394157350001</v>
      </c>
      <c r="F96" s="8">
        <v>0.39333418392949998</v>
      </c>
      <c r="G96" s="8">
        <v>4.0999999999999995E-2</v>
      </c>
      <c r="H96" s="8">
        <v>3.0495416850000001E-3</v>
      </c>
      <c r="I96" s="8">
        <v>0</v>
      </c>
      <c r="J96" s="8">
        <v>3.4830118549999999E-3</v>
      </c>
    </row>
    <row r="97" spans="2:10" x14ac:dyDescent="0.25">
      <c r="B97" s="2" t="str">
        <v>Bulgaria_car_street_parking_2030</v>
      </c>
      <c r="C97" s="8">
        <v>2627376.7390000001</v>
      </c>
      <c r="D97" s="8">
        <v>0.12362165331</v>
      </c>
      <c r="E97" s="8">
        <v>0.35884468389949997</v>
      </c>
      <c r="F97" s="8">
        <v>0.31496319068199996</v>
      </c>
      <c r="G97" s="8">
        <v>9.5000000000000001E-2</v>
      </c>
      <c r="H97" s="8">
        <v>2.0937571890500002E-2</v>
      </c>
      <c r="I97" s="8">
        <v>0</v>
      </c>
      <c r="J97" s="8">
        <v>8.6632900218999997E-2</v>
      </c>
    </row>
    <row r="98" spans="2:10" x14ac:dyDescent="0.25">
      <c r="B98" s="2" t="str">
        <v>Croatia_car_street_parking_2030</v>
      </c>
      <c r="C98" s="8">
        <v>1579378.0860000001</v>
      </c>
      <c r="D98" s="8">
        <v>4.7543146201500006E-2</v>
      </c>
      <c r="E98" s="8">
        <v>0.59342863698850001</v>
      </c>
      <c r="F98" s="8">
        <v>0.33482076542450001</v>
      </c>
      <c r="G98" s="8">
        <v>0</v>
      </c>
      <c r="H98" s="8">
        <v>1.5161531010000001E-3</v>
      </c>
      <c r="I98" s="8">
        <v>0</v>
      </c>
      <c r="J98" s="8">
        <v>2.2691298286500003E-2</v>
      </c>
    </row>
    <row r="99" spans="2:10" x14ac:dyDescent="0.25">
      <c r="B99" s="2" t="str">
        <v>Cyprus_car_street_parking_2030</v>
      </c>
      <c r="C99" s="8">
        <v>414179.25899999996</v>
      </c>
      <c r="D99" s="8">
        <v>0.12333333335</v>
      </c>
      <c r="E99" s="8">
        <v>0.58770439970999999</v>
      </c>
      <c r="F99" s="8">
        <v>0.183483557899</v>
      </c>
      <c r="G99" s="8">
        <v>9.5000000000000001E-2</v>
      </c>
      <c r="H99" s="8">
        <v>0.01</v>
      </c>
      <c r="I99" s="8">
        <v>0</v>
      </c>
      <c r="J99" s="8">
        <v>4.7870904200000001E-4</v>
      </c>
    </row>
    <row r="100" spans="2:10" x14ac:dyDescent="0.25">
      <c r="B100" s="2" t="str">
        <v>Czechia_car_street_parking_2030</v>
      </c>
      <c r="C100" s="8">
        <v>5978025.432</v>
      </c>
      <c r="D100" s="8">
        <v>9.3791870112500009E-2</v>
      </c>
      <c r="E100" s="8">
        <v>0.47787074342300007</v>
      </c>
      <c r="F100" s="8">
        <v>0.32272773393199999</v>
      </c>
      <c r="G100" s="8">
        <v>7.4999999999999997E-2</v>
      </c>
      <c r="H100" s="8">
        <v>2.1400413625500003E-2</v>
      </c>
      <c r="I100" s="8">
        <v>0</v>
      </c>
      <c r="J100" s="8">
        <v>9.2092389090000001E-3</v>
      </c>
    </row>
    <row r="101" spans="2:10" x14ac:dyDescent="0.25">
      <c r="B101" s="2" t="str">
        <v>Denmark_car_street_parking_2030</v>
      </c>
      <c r="C101" s="8">
        <v>2467747.9559999998</v>
      </c>
      <c r="D101" s="8">
        <v>0.1254320916495</v>
      </c>
      <c r="E101" s="8">
        <v>0.52775080441300004</v>
      </c>
      <c r="F101" s="8">
        <v>0.28181570405700002</v>
      </c>
      <c r="G101" s="8">
        <v>4.4999999999999998E-2</v>
      </c>
      <c r="H101" s="8">
        <v>2.0001399882E-2</v>
      </c>
      <c r="I101" s="8">
        <v>0</v>
      </c>
      <c r="J101" s="8">
        <v>0</v>
      </c>
    </row>
    <row r="102" spans="2:10" x14ac:dyDescent="0.25">
      <c r="B102" s="2" t="str">
        <v>Estonia_car_street_parking_2030</v>
      </c>
      <c r="C102" s="8">
        <v>753323.77799999993</v>
      </c>
      <c r="D102" s="8">
        <v>0.17109732433200001</v>
      </c>
      <c r="E102" s="8">
        <v>0.41768500521500002</v>
      </c>
      <c r="F102" s="8">
        <v>0.37153920041499999</v>
      </c>
      <c r="G102" s="8">
        <v>5.0000000000000001E-3</v>
      </c>
      <c r="H102" s="8">
        <v>2.6517520411500003E-2</v>
      </c>
      <c r="I102" s="8">
        <v>0</v>
      </c>
      <c r="J102" s="8">
        <v>8.1609496279999999E-3</v>
      </c>
    </row>
    <row r="103" spans="2:10" x14ac:dyDescent="0.25">
      <c r="B103" s="2" t="str">
        <v>Finland_car_street_parking_2030</v>
      </c>
      <c r="C103" s="8">
        <v>3107992.5</v>
      </c>
      <c r="D103" s="8">
        <v>0.315341835653</v>
      </c>
      <c r="E103" s="8">
        <v>0.33852015962750004</v>
      </c>
      <c r="F103" s="8">
        <v>0.28659342383149999</v>
      </c>
      <c r="G103" s="8">
        <v>4.4999999999999998E-2</v>
      </c>
      <c r="H103" s="8">
        <v>1.4544580988499999E-2</v>
      </c>
      <c r="I103" s="8">
        <v>0</v>
      </c>
      <c r="J103" s="8">
        <v>0</v>
      </c>
    </row>
    <row r="104" spans="2:10" x14ac:dyDescent="0.25">
      <c r="B104" s="2" t="str">
        <v>France_car_street_parking_2030</v>
      </c>
      <c r="C104" s="8">
        <v>30696628.68</v>
      </c>
      <c r="D104" s="8">
        <v>0.35177531894450004</v>
      </c>
      <c r="E104" s="8">
        <v>0.195232592122</v>
      </c>
      <c r="F104" s="8">
        <v>0.40559090948150001</v>
      </c>
      <c r="G104" s="8">
        <v>1.2500000000000001E-2</v>
      </c>
      <c r="H104" s="8">
        <v>4.3954876000000003E-5</v>
      </c>
      <c r="I104" s="8">
        <v>0</v>
      </c>
      <c r="J104" s="8">
        <v>3.4857224577499998E-2</v>
      </c>
    </row>
    <row r="105" spans="2:10" x14ac:dyDescent="0.25">
      <c r="B105" s="2" t="str">
        <v>Germany_car_street_parking_2030</v>
      </c>
      <c r="C105" s="8">
        <v>44910756.156000003</v>
      </c>
      <c r="D105" s="8">
        <v>0.35089844041000001</v>
      </c>
      <c r="E105" s="8">
        <v>0.19772126224200001</v>
      </c>
      <c r="F105" s="8">
        <v>0.29553347357650001</v>
      </c>
      <c r="G105" s="8">
        <v>0.14000000000000001</v>
      </c>
      <c r="H105" s="8">
        <v>1.16205475185E-2</v>
      </c>
      <c r="I105" s="8">
        <v>0</v>
      </c>
      <c r="J105" s="8">
        <v>4.226276254E-3</v>
      </c>
    </row>
    <row r="106" spans="2:10" x14ac:dyDescent="0.25">
      <c r="B106" s="2" t="str">
        <v>Greece_car_street_parking_2030</v>
      </c>
      <c r="C106" s="8">
        <v>5451163.4239999996</v>
      </c>
      <c r="D106" s="8">
        <v>0.27096607537499995</v>
      </c>
      <c r="E106" s="8">
        <v>0.3382744740925</v>
      </c>
      <c r="F106" s="8">
        <v>0.20021417475949999</v>
      </c>
      <c r="G106" s="8">
        <v>0.15</v>
      </c>
      <c r="H106" s="8">
        <v>5.4426067585000007E-3</v>
      </c>
      <c r="I106" s="8">
        <v>0</v>
      </c>
      <c r="J106" s="8">
        <v>3.5102669016000003E-2</v>
      </c>
    </row>
    <row r="107" spans="2:10" x14ac:dyDescent="0.25">
      <c r="B107" s="2" t="str">
        <v>Hungary_car_street_parking_2030</v>
      </c>
      <c r="C107" s="8">
        <v>3578268.7459999998</v>
      </c>
      <c r="D107" s="8">
        <v>0.12362795610850001</v>
      </c>
      <c r="E107" s="8">
        <v>0.48146710712749996</v>
      </c>
      <c r="F107" s="8">
        <v>0.28677937260850001</v>
      </c>
      <c r="G107" s="8">
        <v>9.5000000000000001E-2</v>
      </c>
      <c r="H107" s="8">
        <v>1.02294235005E-2</v>
      </c>
      <c r="I107" s="8">
        <v>0</v>
      </c>
      <c r="J107" s="8">
        <v>2.8961406564999999E-3</v>
      </c>
    </row>
    <row r="108" spans="2:10" x14ac:dyDescent="0.25">
      <c r="B108" s="2" t="str">
        <v>Ireland_car_street_parking_2030</v>
      </c>
      <c r="C108" s="8">
        <v>1632255.87</v>
      </c>
      <c r="D108" s="8">
        <v>0.26563954380600002</v>
      </c>
      <c r="E108" s="8">
        <v>0.3198767995315</v>
      </c>
      <c r="F108" s="8">
        <v>0.36419709166199998</v>
      </c>
      <c r="G108" s="8">
        <v>2.5000000000000001E-2</v>
      </c>
      <c r="H108" s="8">
        <v>2.5000000000000001E-2</v>
      </c>
      <c r="I108" s="8">
        <v>0</v>
      </c>
      <c r="J108" s="8">
        <v>2.8656500100000001E-4</v>
      </c>
    </row>
    <row r="109" spans="2:10" x14ac:dyDescent="0.25">
      <c r="B109" s="2" t="str">
        <v>Italy_car_street_parking_2030</v>
      </c>
      <c r="C109" s="8">
        <v>36754737.754000001</v>
      </c>
      <c r="D109" s="8">
        <v>0.24526298402400001</v>
      </c>
      <c r="E109" s="8">
        <v>0.21146121139399998</v>
      </c>
      <c r="F109" s="8">
        <v>0.38936230048699999</v>
      </c>
      <c r="G109" s="8">
        <v>0.05</v>
      </c>
      <c r="H109" s="8">
        <v>3.5624053923500001E-2</v>
      </c>
      <c r="I109" s="8">
        <v>0</v>
      </c>
      <c r="J109" s="8">
        <v>6.8289450173499994E-2</v>
      </c>
    </row>
    <row r="110" spans="2:10" x14ac:dyDescent="0.25">
      <c r="B110" s="2" t="str">
        <v>Latvia_car_street_parking_2030</v>
      </c>
      <c r="C110" s="8">
        <v>724309.34299999999</v>
      </c>
      <c r="D110" s="8">
        <v>0.12347043277250001</v>
      </c>
      <c r="E110" s="8">
        <v>0.38259240327849997</v>
      </c>
      <c r="F110" s="8">
        <v>0.3570360310115</v>
      </c>
      <c r="G110" s="8">
        <v>9.5000000000000001E-2</v>
      </c>
      <c r="H110" s="8">
        <v>1.00524325715E-2</v>
      </c>
      <c r="I110" s="8">
        <v>0</v>
      </c>
      <c r="J110" s="8">
        <v>3.1848700367500003E-2</v>
      </c>
    </row>
    <row r="111" spans="2:10" x14ac:dyDescent="0.25">
      <c r="B111" s="2" t="str">
        <v>Lithuania_car_street_parking_2030</v>
      </c>
      <c r="C111" s="8">
        <v>1557962.496</v>
      </c>
      <c r="D111" s="8">
        <v>0.12402284237449999</v>
      </c>
      <c r="E111" s="8">
        <v>0.34522400579099999</v>
      </c>
      <c r="F111" s="8">
        <v>0.39233034386050003</v>
      </c>
      <c r="G111" s="8">
        <v>9.5000000000000001E-2</v>
      </c>
      <c r="H111" s="8">
        <v>1.0006357616000001E-2</v>
      </c>
      <c r="I111" s="8">
        <v>0</v>
      </c>
      <c r="J111" s="8">
        <v>3.3416450359000004E-2</v>
      </c>
    </row>
    <row r="112" spans="2:10" x14ac:dyDescent="0.25">
      <c r="B112" s="2" t="str">
        <v>Luxembourg_car_street_parking_2030</v>
      </c>
      <c r="C112" s="8">
        <v>423021.91800000001</v>
      </c>
      <c r="D112" s="8">
        <v>0.38547208636949998</v>
      </c>
      <c r="E112" s="8">
        <v>0.19468227517549999</v>
      </c>
      <c r="F112" s="8">
        <v>0.40474205714200001</v>
      </c>
      <c r="G112" s="8">
        <v>1.4999999999999999E-2</v>
      </c>
      <c r="H112" s="8">
        <v>0</v>
      </c>
      <c r="I112" s="8">
        <v>0</v>
      </c>
      <c r="J112" s="8">
        <v>1.035813145E-4</v>
      </c>
    </row>
    <row r="113" spans="2:10" x14ac:dyDescent="0.25">
      <c r="B113" s="2" t="str">
        <v>Malta_car_street_parking_2030</v>
      </c>
      <c r="C113" s="8">
        <v>191292.10200000001</v>
      </c>
      <c r="D113" s="8">
        <v>0.25848330851649998</v>
      </c>
      <c r="E113" s="8">
        <v>0.40650291449050002</v>
      </c>
      <c r="F113" s="8">
        <v>0.33138820399649999</v>
      </c>
      <c r="G113" s="8">
        <v>0</v>
      </c>
      <c r="H113" s="8">
        <v>0</v>
      </c>
      <c r="I113" s="8">
        <v>0</v>
      </c>
      <c r="J113" s="8">
        <v>3.625572998E-3</v>
      </c>
    </row>
    <row r="114" spans="2:10" x14ac:dyDescent="0.25">
      <c r="B114" s="2" t="str">
        <v>Netherlands_car_street_parking_2030</v>
      </c>
      <c r="C114" s="8">
        <v>5626694.517</v>
      </c>
      <c r="D114" s="8">
        <v>0.21776823334249998</v>
      </c>
      <c r="E114" s="8">
        <v>0.51462264348800002</v>
      </c>
      <c r="F114" s="8">
        <v>0.17153447334250002</v>
      </c>
      <c r="G114" s="8">
        <v>7.8350000000000003E-2</v>
      </c>
      <c r="H114" s="8">
        <v>0</v>
      </c>
      <c r="I114" s="8">
        <v>0</v>
      </c>
      <c r="J114" s="8">
        <v>1.77246498285E-2</v>
      </c>
    </row>
    <row r="115" spans="2:10" x14ac:dyDescent="0.25">
      <c r="B115" s="2" t="str">
        <v>Norway_car_street_parking_2030</v>
      </c>
      <c r="C115" s="8">
        <v>2529694.0640000002</v>
      </c>
      <c r="D115" s="8">
        <v>1</v>
      </c>
      <c r="E115" s="8">
        <v>0</v>
      </c>
      <c r="F115" s="8">
        <v>0</v>
      </c>
      <c r="G115" s="8">
        <v>0</v>
      </c>
      <c r="H115" s="8">
        <v>0</v>
      </c>
      <c r="I115" s="8">
        <v>0</v>
      </c>
      <c r="J115" s="8">
        <v>0</v>
      </c>
    </row>
    <row r="116" spans="2:10" x14ac:dyDescent="0.25">
      <c r="B116" s="2" t="str">
        <v>Poland_car_street_parking_2030</v>
      </c>
      <c r="C116" s="8">
        <v>19784369.122000001</v>
      </c>
      <c r="D116" s="8">
        <v>0.11335407589350001</v>
      </c>
      <c r="E116" s="8">
        <v>0.43964345419250006</v>
      </c>
      <c r="F116" s="8">
        <v>0.30707693351249998</v>
      </c>
      <c r="G116" s="8">
        <v>5.5E-2</v>
      </c>
      <c r="H116" s="8">
        <v>2.0061879296E-2</v>
      </c>
      <c r="I116" s="8">
        <v>0</v>
      </c>
      <c r="J116" s="8">
        <v>6.4863657106999997E-2</v>
      </c>
    </row>
    <row r="117" spans="2:10" x14ac:dyDescent="0.25">
      <c r="B117" s="2" t="str">
        <v>Portugal_car_street_parking_2030</v>
      </c>
      <c r="C117" s="8">
        <v>4894460.648</v>
      </c>
      <c r="D117" s="8">
        <v>0.26018595554750001</v>
      </c>
      <c r="E117" s="8">
        <v>0.30180375040899998</v>
      </c>
      <c r="F117" s="8">
        <v>0.37829950498099996</v>
      </c>
      <c r="G117" s="8">
        <v>3.5000000000000003E-2</v>
      </c>
      <c r="H117" s="8">
        <v>2.0002984743999998E-2</v>
      </c>
      <c r="I117" s="8">
        <v>0</v>
      </c>
      <c r="J117" s="8">
        <v>4.7078043199999999E-3</v>
      </c>
    </row>
    <row r="118" spans="2:10" x14ac:dyDescent="0.25">
      <c r="B118" s="2" t="str">
        <v>Romania_car_street_parking_2030</v>
      </c>
      <c r="C118" s="8">
        <v>7393274.8399999999</v>
      </c>
      <c r="D118" s="8">
        <v>0.1235982319865</v>
      </c>
      <c r="E118" s="8">
        <v>0.41270309632300001</v>
      </c>
      <c r="F118" s="8">
        <v>0.34756694852249997</v>
      </c>
      <c r="G118" s="8">
        <v>9.5000000000000001E-2</v>
      </c>
      <c r="H118" s="8">
        <v>0.01</v>
      </c>
      <c r="I118" s="8">
        <v>0</v>
      </c>
      <c r="J118" s="8">
        <v>1.11317231695E-2</v>
      </c>
    </row>
    <row r="119" spans="2:10" x14ac:dyDescent="0.25">
      <c r="B119" s="2" t="str">
        <v>Slovakia_car_street_parking_2030</v>
      </c>
      <c r="C119" s="8">
        <v>2476270.7790000001</v>
      </c>
      <c r="D119" s="8">
        <v>0.12335051695200001</v>
      </c>
      <c r="E119" s="8">
        <v>0.46336961980800007</v>
      </c>
      <c r="F119" s="8">
        <v>0.34827986324050003</v>
      </c>
      <c r="G119" s="8">
        <v>4.4999999999999998E-2</v>
      </c>
      <c r="H119" s="8">
        <v>0.02</v>
      </c>
      <c r="I119" s="8">
        <v>0</v>
      </c>
      <c r="J119" s="8">
        <v>0</v>
      </c>
    </row>
    <row r="120" spans="2:10" x14ac:dyDescent="0.25">
      <c r="B120" s="2" t="str">
        <v>Slovenia_car_street_parking_2030</v>
      </c>
      <c r="C120" s="8">
        <v>1108719.0900000001</v>
      </c>
      <c r="D120" s="8">
        <v>0.14841134837349998</v>
      </c>
      <c r="E120" s="8">
        <v>0.41099872312149999</v>
      </c>
      <c r="F120" s="8">
        <v>0.35561181369549999</v>
      </c>
      <c r="G120" s="8">
        <v>7.0000000000000007E-2</v>
      </c>
      <c r="H120" s="8">
        <v>1.0105884292499999E-2</v>
      </c>
      <c r="I120" s="8">
        <v>0</v>
      </c>
      <c r="J120" s="8">
        <v>4.8722306690000003E-3</v>
      </c>
    </row>
    <row r="121" spans="2:10" x14ac:dyDescent="0.25">
      <c r="B121" s="2" t="str">
        <v>Spain_car_street_parking_2030</v>
      </c>
      <c r="C121" s="8">
        <v>24503645.237999998</v>
      </c>
      <c r="D121" s="8">
        <v>0.35044618484099999</v>
      </c>
      <c r="E121" s="8">
        <v>0.20617728210149999</v>
      </c>
      <c r="F121" s="8">
        <v>0.44012377069049996</v>
      </c>
      <c r="G121" s="8">
        <v>0</v>
      </c>
      <c r="H121" s="8">
        <v>9.9696037949999986E-4</v>
      </c>
      <c r="I121" s="8">
        <v>0</v>
      </c>
      <c r="J121" s="8">
        <v>2.2558019889999999E-3</v>
      </c>
    </row>
    <row r="122" spans="2:10" x14ac:dyDescent="0.25">
      <c r="B122" s="2" t="str">
        <v>Sweden_car_street_parking_2030</v>
      </c>
      <c r="C122" s="8">
        <v>4272634.9380000001</v>
      </c>
      <c r="D122" s="8">
        <v>0.25580480811450002</v>
      </c>
      <c r="E122" s="8">
        <v>0.28420036949549998</v>
      </c>
      <c r="F122" s="8">
        <v>0.35169384280749999</v>
      </c>
      <c r="G122" s="8">
        <v>0.1</v>
      </c>
      <c r="H122" s="8">
        <v>8.3009795835000001E-3</v>
      </c>
      <c r="I122" s="8">
        <v>0</v>
      </c>
      <c r="J122" s="8">
        <v>0</v>
      </c>
    </row>
    <row r="123" spans="2:10" x14ac:dyDescent="0.25">
      <c r="B123" s="2" t="str">
        <v>Switzerland_car_street_parking_2030</v>
      </c>
      <c r="C123" s="8">
        <v>4557812.5120000001</v>
      </c>
      <c r="D123" s="8">
        <v>0.35089844041000001</v>
      </c>
      <c r="E123" s="8">
        <v>0.19772126224200001</v>
      </c>
      <c r="F123" s="8">
        <v>0.29553347357650001</v>
      </c>
      <c r="G123" s="8">
        <v>0.14000000000000001</v>
      </c>
      <c r="H123" s="8">
        <v>1.16205475185E-2</v>
      </c>
      <c r="I123" s="8">
        <v>0</v>
      </c>
      <c r="J123" s="8">
        <v>4.226276254E-3</v>
      </c>
    </row>
    <row r="124" spans="2:10" ht="30" x14ac:dyDescent="0.25">
      <c r="B124" s="2" t="str">
        <v>United_Kingdom_car_street_parking_2030</v>
      </c>
      <c r="C124" s="8">
        <v>17082233.892000001</v>
      </c>
      <c r="D124" s="8">
        <v>0.35089844041000001</v>
      </c>
      <c r="E124" s="8">
        <v>0.19772126224200001</v>
      </c>
      <c r="F124" s="8">
        <v>0.29553347357650001</v>
      </c>
      <c r="G124" s="8">
        <v>0.14000000000000001</v>
      </c>
      <c r="H124" s="8">
        <v>1.16205475185E-2</v>
      </c>
      <c r="I124" s="8">
        <v>0</v>
      </c>
      <c r="J124" s="8">
        <v>4.226276254E-3</v>
      </c>
    </row>
    <row r="125" spans="2:10" x14ac:dyDescent="0.25">
      <c r="B125" s="2" t="str" cm="1">
        <f t="array" ref="B125:B154">countries&amp;"_car_street_parking_2040"</f>
        <v>Austria_car_street_parking_2040</v>
      </c>
      <c r="C125" s="8" cm="1">
        <f t="array" ref="C125:C154">street_parking_fleet</f>
        <v>4903647.28</v>
      </c>
      <c r="D125" s="8" cm="1">
        <f t="array" ref="D125:J154">Car_splits_2040</f>
        <v>0.75</v>
      </c>
      <c r="E125" s="8">
        <v>2.5000000000000001E-2</v>
      </c>
      <c r="F125" s="8">
        <v>2.5000000000000001E-2</v>
      </c>
      <c r="G125" s="8">
        <v>0.2</v>
      </c>
      <c r="H125" s="8">
        <v>0</v>
      </c>
      <c r="I125" s="8">
        <v>0</v>
      </c>
      <c r="J125" s="8">
        <v>0</v>
      </c>
    </row>
    <row r="126" spans="2:10" x14ac:dyDescent="0.25">
      <c r="B126" s="2" t="str">
        <v>Belgium_car_street_parking_2040</v>
      </c>
      <c r="C126" s="8">
        <v>5139274.6009999998</v>
      </c>
      <c r="D126" s="8">
        <v>0.54899999999999993</v>
      </c>
      <c r="E126" s="8">
        <v>0.29199999999999998</v>
      </c>
      <c r="F126" s="8">
        <v>7.2999999999999995E-2</v>
      </c>
      <c r="G126" s="8">
        <v>8.199999999999999E-2</v>
      </c>
      <c r="H126" s="8">
        <v>4.0000000000000001E-3</v>
      </c>
      <c r="I126" s="8">
        <v>0</v>
      </c>
      <c r="J126" s="8">
        <v>0</v>
      </c>
    </row>
    <row r="127" spans="2:10" x14ac:dyDescent="0.25">
      <c r="B127" s="2" t="str">
        <v>Bulgaria_car_street_parking_2040</v>
      </c>
      <c r="C127" s="8">
        <v>2627376.7390000001</v>
      </c>
      <c r="D127" s="8">
        <v>0.24666666670000001</v>
      </c>
      <c r="E127" s="8">
        <v>0.5433333333</v>
      </c>
      <c r="F127" s="8">
        <v>0</v>
      </c>
      <c r="G127" s="8">
        <v>0.19</v>
      </c>
      <c r="H127" s="8">
        <v>0.02</v>
      </c>
      <c r="I127" s="8">
        <v>0</v>
      </c>
      <c r="J127" s="8">
        <v>0</v>
      </c>
    </row>
    <row r="128" spans="2:10" x14ac:dyDescent="0.25">
      <c r="B128" s="2" t="str">
        <v>Croatia_car_street_parking_2040</v>
      </c>
      <c r="C128" s="8">
        <v>1579378.0860000001</v>
      </c>
      <c r="D128" s="8">
        <v>9.5000000000000001E-2</v>
      </c>
      <c r="E128" s="8">
        <v>0.90200000000000002</v>
      </c>
      <c r="F128" s="8">
        <v>0</v>
      </c>
      <c r="G128" s="8">
        <v>0</v>
      </c>
      <c r="H128" s="8">
        <v>3.0000000000000001E-3</v>
      </c>
      <c r="I128" s="8">
        <v>0</v>
      </c>
      <c r="J128" s="8">
        <v>0</v>
      </c>
    </row>
    <row r="129" spans="2:10" x14ac:dyDescent="0.25">
      <c r="B129" s="2" t="str">
        <v>Cyprus_car_street_parking_2040</v>
      </c>
      <c r="C129" s="8">
        <v>414179.25899999996</v>
      </c>
      <c r="D129" s="8">
        <v>0.24666666670000001</v>
      </c>
      <c r="E129" s="8">
        <v>0.5433333333</v>
      </c>
      <c r="F129" s="8">
        <v>0</v>
      </c>
      <c r="G129" s="8">
        <v>0.19</v>
      </c>
      <c r="H129" s="8">
        <v>0.02</v>
      </c>
      <c r="I129" s="8">
        <v>0</v>
      </c>
      <c r="J129" s="8">
        <v>0</v>
      </c>
    </row>
    <row r="130" spans="2:10" x14ac:dyDescent="0.25">
      <c r="B130" s="2" t="str">
        <v>Czechia_car_street_parking_2040</v>
      </c>
      <c r="C130" s="8">
        <v>5978025.432</v>
      </c>
      <c r="D130" s="8">
        <v>0.18666666670000001</v>
      </c>
      <c r="E130" s="8">
        <v>0.62333333330000007</v>
      </c>
      <c r="F130" s="8">
        <v>0</v>
      </c>
      <c r="G130" s="8">
        <v>0.15</v>
      </c>
      <c r="H130" s="8">
        <v>0.04</v>
      </c>
      <c r="I130" s="8">
        <v>0</v>
      </c>
      <c r="J130" s="8">
        <v>0</v>
      </c>
    </row>
    <row r="131" spans="2:10" x14ac:dyDescent="0.25">
      <c r="B131" s="2" t="str">
        <v>Denmark_car_street_parking_2040</v>
      </c>
      <c r="C131" s="8">
        <v>2467747.9559999998</v>
      </c>
      <c r="D131" s="8">
        <v>0.24666666670000001</v>
      </c>
      <c r="E131" s="8">
        <v>0.62333333330000007</v>
      </c>
      <c r="F131" s="8">
        <v>0</v>
      </c>
      <c r="G131" s="8">
        <v>0.09</v>
      </c>
      <c r="H131" s="8">
        <v>0.04</v>
      </c>
      <c r="I131" s="8">
        <v>0</v>
      </c>
      <c r="J131" s="8">
        <v>0</v>
      </c>
    </row>
    <row r="132" spans="2:10" x14ac:dyDescent="0.25">
      <c r="B132" s="2" t="str">
        <v>Estonia_car_street_parking_2040</v>
      </c>
      <c r="C132" s="8">
        <v>753323.77799999993</v>
      </c>
      <c r="D132" s="8">
        <v>0.34</v>
      </c>
      <c r="E132" s="8">
        <v>0.42599999999999999</v>
      </c>
      <c r="F132" s="8">
        <v>0.17399999999999999</v>
      </c>
      <c r="G132" s="8">
        <v>0.01</v>
      </c>
      <c r="H132" s="8">
        <v>0.05</v>
      </c>
      <c r="I132" s="8">
        <v>0</v>
      </c>
      <c r="J132" s="8">
        <v>0</v>
      </c>
    </row>
    <row r="133" spans="2:10" x14ac:dyDescent="0.25">
      <c r="B133" s="2" t="str">
        <v>Finland_car_street_parking_2040</v>
      </c>
      <c r="C133" s="8">
        <v>3107992.5</v>
      </c>
      <c r="D133" s="8">
        <v>0.627070707</v>
      </c>
      <c r="E133" s="8">
        <v>0.25515151520000001</v>
      </c>
      <c r="F133" s="8">
        <v>0</v>
      </c>
      <c r="G133" s="8">
        <v>0.09</v>
      </c>
      <c r="H133" s="8">
        <v>2.7777777999999999E-2</v>
      </c>
      <c r="I133" s="8">
        <v>0</v>
      </c>
      <c r="J133" s="8">
        <v>0</v>
      </c>
    </row>
    <row r="134" spans="2:10" x14ac:dyDescent="0.25">
      <c r="B134" s="2" t="str">
        <v>France_car_street_parking_2040</v>
      </c>
      <c r="C134" s="8">
        <v>30696628.68</v>
      </c>
      <c r="D134" s="8">
        <v>0.7016</v>
      </c>
      <c r="E134" s="8">
        <v>0.15039999999999998</v>
      </c>
      <c r="F134" s="8">
        <v>5.5E-2</v>
      </c>
      <c r="G134" s="8">
        <v>2.5000000000000001E-2</v>
      </c>
      <c r="H134" s="8">
        <v>0</v>
      </c>
      <c r="I134" s="8">
        <v>0</v>
      </c>
      <c r="J134" s="8">
        <v>6.8000000000000005E-2</v>
      </c>
    </row>
    <row r="135" spans="2:10" x14ac:dyDescent="0.25">
      <c r="B135" s="2" t="str">
        <v>Germany_car_street_parking_2040</v>
      </c>
      <c r="C135" s="8">
        <v>44910756.156000003</v>
      </c>
      <c r="D135" s="8">
        <v>0.7</v>
      </c>
      <c r="E135" s="8">
        <v>0</v>
      </c>
      <c r="F135" s="8">
        <v>0</v>
      </c>
      <c r="G135" s="8">
        <v>0.28000000000000003</v>
      </c>
      <c r="H135" s="8">
        <v>0.02</v>
      </c>
      <c r="I135" s="8">
        <v>0</v>
      </c>
      <c r="J135" s="8">
        <v>0</v>
      </c>
    </row>
    <row r="136" spans="2:10" x14ac:dyDescent="0.25">
      <c r="B136" s="2" t="str">
        <v>Greece_car_street_parking_2040</v>
      </c>
      <c r="C136" s="8">
        <v>5451163.4239999996</v>
      </c>
      <c r="D136" s="8">
        <v>0.54185185199999997</v>
      </c>
      <c r="E136" s="8">
        <v>0.14814814800000001</v>
      </c>
      <c r="F136" s="8">
        <v>0</v>
      </c>
      <c r="G136" s="8">
        <v>0.3</v>
      </c>
      <c r="H136" s="8">
        <v>0.01</v>
      </c>
      <c r="I136" s="8">
        <v>0</v>
      </c>
      <c r="J136" s="8">
        <v>0</v>
      </c>
    </row>
    <row r="137" spans="2:10" x14ac:dyDescent="0.25">
      <c r="B137" s="2" t="str">
        <v>Hungary_car_street_parking_2040</v>
      </c>
      <c r="C137" s="8">
        <v>3578268.7459999998</v>
      </c>
      <c r="D137" s="8">
        <v>0.24666666670000001</v>
      </c>
      <c r="E137" s="8">
        <v>0.5433333333</v>
      </c>
      <c r="F137" s="8">
        <v>0</v>
      </c>
      <c r="G137" s="8">
        <v>0.19</v>
      </c>
      <c r="H137" s="8">
        <v>0.02</v>
      </c>
      <c r="I137" s="8">
        <v>0</v>
      </c>
      <c r="J137" s="8">
        <v>0</v>
      </c>
    </row>
    <row r="138" spans="2:10" x14ac:dyDescent="0.25">
      <c r="B138" s="2" t="str">
        <v>Ireland_car_street_parking_2040</v>
      </c>
      <c r="C138" s="8">
        <v>1632255.87</v>
      </c>
      <c r="D138" s="8">
        <v>0.53</v>
      </c>
      <c r="E138" s="8">
        <v>0.37</v>
      </c>
      <c r="F138" s="8">
        <v>0</v>
      </c>
      <c r="G138" s="8">
        <v>0.05</v>
      </c>
      <c r="H138" s="8">
        <v>0.05</v>
      </c>
      <c r="I138" s="8">
        <v>0</v>
      </c>
      <c r="J138" s="8">
        <v>0</v>
      </c>
    </row>
    <row r="139" spans="2:10" x14ac:dyDescent="0.25">
      <c r="B139" s="2" t="str">
        <v>Italy_car_street_parking_2040</v>
      </c>
      <c r="C139" s="8">
        <v>36754737.754000001</v>
      </c>
      <c r="D139" s="8">
        <v>0.49</v>
      </c>
      <c r="E139" s="8">
        <v>0.17</v>
      </c>
      <c r="F139" s="8">
        <v>0.13</v>
      </c>
      <c r="G139" s="8">
        <v>0.1</v>
      </c>
      <c r="H139" s="8">
        <v>4.4999999999999998E-2</v>
      </c>
      <c r="I139" s="8">
        <v>0</v>
      </c>
      <c r="J139" s="8">
        <v>6.5000000000000002E-2</v>
      </c>
    </row>
    <row r="140" spans="2:10" x14ac:dyDescent="0.25">
      <c r="B140" s="2" t="str">
        <v>Latvia_car_street_parking_2040</v>
      </c>
      <c r="C140" s="8">
        <v>724309.34299999999</v>
      </c>
      <c r="D140" s="8">
        <v>0.24666666670000001</v>
      </c>
      <c r="E140" s="8">
        <v>0.5433333333</v>
      </c>
      <c r="F140" s="8">
        <v>0</v>
      </c>
      <c r="G140" s="8">
        <v>0.19</v>
      </c>
      <c r="H140" s="8">
        <v>0.02</v>
      </c>
      <c r="I140" s="8">
        <v>0</v>
      </c>
      <c r="J140" s="8">
        <v>0</v>
      </c>
    </row>
    <row r="141" spans="2:10" x14ac:dyDescent="0.25">
      <c r="B141" s="2" t="str">
        <v>Lithuania_car_street_parking_2040</v>
      </c>
      <c r="C141" s="8">
        <v>1557962.496</v>
      </c>
      <c r="D141" s="8">
        <v>0.24666666670000001</v>
      </c>
      <c r="E141" s="8">
        <v>0.5433333333</v>
      </c>
      <c r="F141" s="8">
        <v>0</v>
      </c>
      <c r="G141" s="8">
        <v>0.19</v>
      </c>
      <c r="H141" s="8">
        <v>0.02</v>
      </c>
      <c r="I141" s="8">
        <v>0</v>
      </c>
      <c r="J141" s="8">
        <v>0</v>
      </c>
    </row>
    <row r="142" spans="2:10" x14ac:dyDescent="0.25">
      <c r="B142" s="2" t="str">
        <v>Luxembourg_car_street_parking_2040</v>
      </c>
      <c r="C142" s="8">
        <v>423021.91800000001</v>
      </c>
      <c r="D142" s="8">
        <v>0.77</v>
      </c>
      <c r="E142" s="8">
        <v>0.15</v>
      </c>
      <c r="F142" s="8">
        <v>0.05</v>
      </c>
      <c r="G142" s="8">
        <v>0.03</v>
      </c>
      <c r="H142" s="8">
        <v>0</v>
      </c>
      <c r="I142" s="8">
        <v>0</v>
      </c>
      <c r="J142" s="8">
        <v>0</v>
      </c>
    </row>
    <row r="143" spans="2:10" x14ac:dyDescent="0.25">
      <c r="B143" s="2" t="str">
        <v>Malta_car_street_parking_2040</v>
      </c>
      <c r="C143" s="8">
        <v>191292.10200000001</v>
      </c>
      <c r="D143" s="8">
        <v>0.51500000000000001</v>
      </c>
      <c r="E143" s="8">
        <v>0.36399999999999999</v>
      </c>
      <c r="F143" s="8">
        <v>0.11800000000000001</v>
      </c>
      <c r="G143" s="8">
        <v>0</v>
      </c>
      <c r="H143" s="8">
        <v>0</v>
      </c>
      <c r="I143" s="8">
        <v>0</v>
      </c>
      <c r="J143" s="8">
        <v>3.0000000000000001E-3</v>
      </c>
    </row>
    <row r="144" spans="2:10" x14ac:dyDescent="0.25">
      <c r="B144" s="2" t="str">
        <v>Netherlands_car_street_parking_2040</v>
      </c>
      <c r="C144" s="8">
        <v>5626694.517</v>
      </c>
      <c r="D144" s="8">
        <v>0.4199</v>
      </c>
      <c r="E144" s="8">
        <v>0.38369999999999999</v>
      </c>
      <c r="F144" s="8">
        <v>3.9699999999999999E-2</v>
      </c>
      <c r="G144" s="8">
        <v>0.15670000000000001</v>
      </c>
      <c r="H144" s="8">
        <v>0</v>
      </c>
      <c r="I144" s="8">
        <v>0</v>
      </c>
      <c r="J144" s="8">
        <v>0</v>
      </c>
    </row>
    <row r="145" spans="2:10" x14ac:dyDescent="0.25">
      <c r="B145" s="2" t="str">
        <v>Norway_car_street_parking_2040</v>
      </c>
      <c r="C145" s="8">
        <v>2529694.0640000002</v>
      </c>
      <c r="D145" s="8">
        <v>1</v>
      </c>
      <c r="E145" s="8">
        <v>0</v>
      </c>
      <c r="F145" s="8">
        <v>0</v>
      </c>
      <c r="G145" s="8">
        <v>0</v>
      </c>
      <c r="H145" s="8">
        <v>0</v>
      </c>
      <c r="I145" s="8">
        <v>0</v>
      </c>
      <c r="J145" s="8">
        <v>0</v>
      </c>
    </row>
    <row r="146" spans="2:10" x14ac:dyDescent="0.25">
      <c r="B146" s="2" t="str">
        <v>Poland_car_street_parking_2040</v>
      </c>
      <c r="C146" s="8">
        <v>19784369.122000001</v>
      </c>
      <c r="D146" s="8">
        <v>0.22666666670000002</v>
      </c>
      <c r="E146" s="8">
        <v>0.62333333330000007</v>
      </c>
      <c r="F146" s="8">
        <v>0</v>
      </c>
      <c r="G146" s="8">
        <v>0.11</v>
      </c>
      <c r="H146" s="8">
        <v>0.04</v>
      </c>
      <c r="I146" s="8">
        <v>0</v>
      </c>
      <c r="J146" s="8">
        <v>0</v>
      </c>
    </row>
    <row r="147" spans="2:10" x14ac:dyDescent="0.25">
      <c r="B147" s="2" t="str">
        <v>Portugal_car_street_parking_2040</v>
      </c>
      <c r="C147" s="8">
        <v>4894460.648</v>
      </c>
      <c r="D147" s="8">
        <v>0.52</v>
      </c>
      <c r="E147" s="8">
        <v>0.37</v>
      </c>
      <c r="F147" s="8">
        <v>0</v>
      </c>
      <c r="G147" s="8">
        <v>7.0000000000000007E-2</v>
      </c>
      <c r="H147" s="8">
        <v>0.04</v>
      </c>
      <c r="I147" s="8">
        <v>0</v>
      </c>
      <c r="J147" s="8">
        <v>0</v>
      </c>
    </row>
    <row r="148" spans="2:10" x14ac:dyDescent="0.25">
      <c r="B148" s="2" t="str">
        <v>Romania_car_street_parking_2040</v>
      </c>
      <c r="C148" s="8">
        <v>7393274.8399999999</v>
      </c>
      <c r="D148" s="8">
        <v>0.24666666670000001</v>
      </c>
      <c r="E148" s="8">
        <v>0.5433333333</v>
      </c>
      <c r="F148" s="8">
        <v>0</v>
      </c>
      <c r="G148" s="8">
        <v>0.19</v>
      </c>
      <c r="H148" s="8">
        <v>0.02</v>
      </c>
      <c r="I148" s="8">
        <v>0</v>
      </c>
      <c r="J148" s="8">
        <v>0</v>
      </c>
    </row>
    <row r="149" spans="2:10" x14ac:dyDescent="0.25">
      <c r="B149" s="2" t="str">
        <v>Slovakia_car_street_parking_2040</v>
      </c>
      <c r="C149" s="8">
        <v>2476270.7790000001</v>
      </c>
      <c r="D149" s="8">
        <v>0.24666666670000001</v>
      </c>
      <c r="E149" s="8">
        <v>0.62333333330000007</v>
      </c>
      <c r="F149" s="8">
        <v>0</v>
      </c>
      <c r="G149" s="8">
        <v>0.09</v>
      </c>
      <c r="H149" s="8">
        <v>0.04</v>
      </c>
      <c r="I149" s="8">
        <v>0</v>
      </c>
      <c r="J149" s="8">
        <v>0</v>
      </c>
    </row>
    <row r="150" spans="2:10" x14ac:dyDescent="0.25">
      <c r="B150" s="2" t="str">
        <v>Slovenia_car_street_parking_2040</v>
      </c>
      <c r="C150" s="8">
        <v>1108719.0900000001</v>
      </c>
      <c r="D150" s="8">
        <v>0.296666667</v>
      </c>
      <c r="E150" s="8">
        <v>0.5433333333</v>
      </c>
      <c r="F150" s="8">
        <v>0</v>
      </c>
      <c r="G150" s="8">
        <v>0.14000000000000001</v>
      </c>
      <c r="H150" s="8">
        <v>0.02</v>
      </c>
      <c r="I150" s="8">
        <v>0</v>
      </c>
      <c r="J150" s="8">
        <v>0</v>
      </c>
    </row>
    <row r="151" spans="2:10" x14ac:dyDescent="0.25">
      <c r="B151" s="2" t="str">
        <v>Spain_car_street_parking_2040</v>
      </c>
      <c r="C151" s="8">
        <v>24503645.237999998</v>
      </c>
      <c r="D151" s="8">
        <v>0.7</v>
      </c>
      <c r="E151" s="8">
        <v>0.2</v>
      </c>
      <c r="F151" s="8">
        <v>0.1</v>
      </c>
      <c r="G151" s="8">
        <v>0</v>
      </c>
      <c r="H151" s="8">
        <v>0</v>
      </c>
      <c r="I151" s="8">
        <v>0</v>
      </c>
      <c r="J151" s="8">
        <v>0</v>
      </c>
    </row>
    <row r="152" spans="2:10" x14ac:dyDescent="0.25">
      <c r="B152" s="2" t="str">
        <v>Sweden_car_street_parking_2040</v>
      </c>
      <c r="C152" s="8">
        <v>4272634.9380000001</v>
      </c>
      <c r="D152" s="8">
        <v>0.5</v>
      </c>
      <c r="E152" s="8">
        <v>0.17399999999999999</v>
      </c>
      <c r="F152" s="8">
        <v>0.11599999999999999</v>
      </c>
      <c r="G152" s="8">
        <v>0.2</v>
      </c>
      <c r="H152" s="8">
        <v>0.01</v>
      </c>
      <c r="I152" s="8">
        <v>0</v>
      </c>
      <c r="J152" s="8">
        <v>0</v>
      </c>
    </row>
    <row r="153" spans="2:10" x14ac:dyDescent="0.25">
      <c r="B153" s="2" t="str">
        <v>Switzerland_car_street_parking_2040</v>
      </c>
      <c r="C153" s="8">
        <v>4557812.5120000001</v>
      </c>
      <c r="D153" s="8">
        <v>0.7</v>
      </c>
      <c r="E153" s="8">
        <v>0</v>
      </c>
      <c r="F153" s="8">
        <v>0</v>
      </c>
      <c r="G153" s="8">
        <v>0.28000000000000003</v>
      </c>
      <c r="H153" s="8">
        <v>0.02</v>
      </c>
      <c r="I153" s="8">
        <v>0</v>
      </c>
      <c r="J153" s="8">
        <v>0</v>
      </c>
    </row>
    <row r="154" spans="2:10" ht="30" x14ac:dyDescent="0.25">
      <c r="B154" s="2" t="str">
        <v>United_Kingdom_car_street_parking_2040</v>
      </c>
      <c r="C154" s="8">
        <v>17082233.892000001</v>
      </c>
      <c r="D154" s="8">
        <v>0.7</v>
      </c>
      <c r="E154" s="8">
        <v>0</v>
      </c>
      <c r="F154" s="8">
        <v>0</v>
      </c>
      <c r="G154" s="8">
        <v>0.28000000000000003</v>
      </c>
      <c r="H154" s="8">
        <v>0.02</v>
      </c>
      <c r="I154" s="8">
        <v>0</v>
      </c>
      <c r="J154" s="8">
        <v>0</v>
      </c>
    </row>
    <row r="155" spans="2:10" x14ac:dyDescent="0.25">
      <c r="B155" s="2" t="str" cm="1">
        <f t="array" ref="B155:B184">countries&amp;"_car_street_parking_2050"</f>
        <v>Austria_car_street_parking_2050</v>
      </c>
      <c r="C155" s="8" cm="1">
        <f t="array" ref="C155:C184">street_parking_fleet</f>
        <v>4903647.28</v>
      </c>
      <c r="D155" s="8" cm="1">
        <f t="array" ref="D155:J184">Car_splits_2050</f>
        <v>0.8</v>
      </c>
      <c r="E155" s="8">
        <v>0</v>
      </c>
      <c r="F155" s="8">
        <v>0</v>
      </c>
      <c r="G155" s="8">
        <v>0.2</v>
      </c>
      <c r="H155" s="8">
        <v>0</v>
      </c>
      <c r="I155" s="8">
        <v>0</v>
      </c>
      <c r="J155" s="8">
        <v>0</v>
      </c>
    </row>
    <row r="156" spans="2:10" x14ac:dyDescent="0.25">
      <c r="B156" s="2" t="str">
        <v>Belgium_car_street_parking_2050</v>
      </c>
      <c r="C156" s="8">
        <v>5139274.6009999998</v>
      </c>
      <c r="D156" s="8">
        <v>0.85</v>
      </c>
      <c r="E156" s="8">
        <v>0</v>
      </c>
      <c r="F156" s="8">
        <v>0</v>
      </c>
      <c r="G156" s="8">
        <v>0.15</v>
      </c>
      <c r="H156" s="8">
        <v>0</v>
      </c>
      <c r="I156" s="8">
        <v>0</v>
      </c>
      <c r="J156" s="8">
        <v>0</v>
      </c>
    </row>
    <row r="157" spans="2:10" x14ac:dyDescent="0.25">
      <c r="B157" s="2" t="str">
        <v>Bulgaria_car_street_parking_2050</v>
      </c>
      <c r="C157" s="8">
        <v>2627376.7390000001</v>
      </c>
      <c r="D157" s="8">
        <v>0.69</v>
      </c>
      <c r="E157" s="8">
        <v>0.05</v>
      </c>
      <c r="F157" s="8">
        <v>0</v>
      </c>
      <c r="G157" s="8">
        <v>0.23</v>
      </c>
      <c r="H157" s="8">
        <v>0.03</v>
      </c>
      <c r="I157" s="8">
        <v>0</v>
      </c>
      <c r="J157" s="8">
        <v>0</v>
      </c>
    </row>
    <row r="158" spans="2:10" x14ac:dyDescent="0.25">
      <c r="B158" s="2" t="str">
        <v>Croatia_car_street_parking_2050</v>
      </c>
      <c r="C158" s="8">
        <v>1579378.0860000001</v>
      </c>
      <c r="D158" s="8">
        <v>0.90500000000000003</v>
      </c>
      <c r="E158" s="8">
        <v>0.05</v>
      </c>
      <c r="F158" s="8">
        <v>0</v>
      </c>
      <c r="G158" s="8">
        <v>0.02</v>
      </c>
      <c r="H158" s="8">
        <v>2.5000000000000001E-2</v>
      </c>
      <c r="I158" s="8">
        <v>0</v>
      </c>
      <c r="J158" s="8">
        <v>0</v>
      </c>
    </row>
    <row r="159" spans="2:10" x14ac:dyDescent="0.25">
      <c r="B159" s="2" t="str">
        <v>Cyprus_car_street_parking_2050</v>
      </c>
      <c r="C159" s="8">
        <v>414179.25899999996</v>
      </c>
      <c r="D159" s="8">
        <v>0.69</v>
      </c>
      <c r="E159" s="8">
        <v>0.05</v>
      </c>
      <c r="F159" s="8">
        <v>0</v>
      </c>
      <c r="G159" s="8">
        <v>0.23</v>
      </c>
      <c r="H159" s="8">
        <v>0.03</v>
      </c>
      <c r="I159" s="8">
        <v>0</v>
      </c>
      <c r="J159" s="8">
        <v>0</v>
      </c>
    </row>
    <row r="160" spans="2:10" x14ac:dyDescent="0.25">
      <c r="B160" s="2" t="str">
        <v>Czechia_car_street_parking_2050</v>
      </c>
      <c r="C160" s="8">
        <v>5978025.432</v>
      </c>
      <c r="D160" s="8">
        <v>0.7</v>
      </c>
      <c r="E160" s="8">
        <v>0.05</v>
      </c>
      <c r="F160" s="8">
        <v>0</v>
      </c>
      <c r="G160" s="8">
        <v>0.2</v>
      </c>
      <c r="H160" s="8">
        <v>0.05</v>
      </c>
      <c r="I160" s="8">
        <v>0</v>
      </c>
      <c r="J160" s="8">
        <v>0</v>
      </c>
    </row>
    <row r="161" spans="2:10" x14ac:dyDescent="0.25">
      <c r="B161" s="2" t="str">
        <v>Denmark_car_street_parking_2050</v>
      </c>
      <c r="C161" s="8">
        <v>2467747.9559999998</v>
      </c>
      <c r="D161" s="8">
        <v>0.8</v>
      </c>
      <c r="E161" s="8">
        <v>0</v>
      </c>
      <c r="F161" s="8">
        <v>0</v>
      </c>
      <c r="G161" s="8">
        <v>0.2</v>
      </c>
      <c r="H161" s="8">
        <v>0</v>
      </c>
      <c r="I161" s="8">
        <v>0</v>
      </c>
      <c r="J161" s="8">
        <v>0</v>
      </c>
    </row>
    <row r="162" spans="2:10" x14ac:dyDescent="0.25">
      <c r="B162" s="2" t="str">
        <v>Estonia_car_street_parking_2050</v>
      </c>
      <c r="C162" s="8">
        <v>753323.77799999993</v>
      </c>
      <c r="D162" s="8">
        <v>0.7</v>
      </c>
      <c r="E162" s="8">
        <v>0.1</v>
      </c>
      <c r="F162" s="8">
        <v>0.05</v>
      </c>
      <c r="G162" s="8">
        <v>0.1</v>
      </c>
      <c r="H162" s="8">
        <v>0.05</v>
      </c>
      <c r="I162" s="8">
        <v>0</v>
      </c>
      <c r="J162" s="8">
        <v>0</v>
      </c>
    </row>
    <row r="163" spans="2:10" x14ac:dyDescent="0.25">
      <c r="B163" s="2" t="str">
        <v>Finland_car_street_parking_2050</v>
      </c>
      <c r="C163" s="8">
        <v>3107992.5</v>
      </c>
      <c r="D163" s="8">
        <v>0.75574074099999999</v>
      </c>
      <c r="E163" s="8">
        <v>0</v>
      </c>
      <c r="F163" s="8">
        <v>0</v>
      </c>
      <c r="G163" s="8">
        <v>0.20722222200000001</v>
      </c>
      <c r="H163" s="8">
        <v>3.7037037000000002E-2</v>
      </c>
      <c r="I163" s="8">
        <v>0</v>
      </c>
      <c r="J163" s="8">
        <v>0</v>
      </c>
    </row>
    <row r="164" spans="2:10" x14ac:dyDescent="0.25">
      <c r="B164" s="2" t="str">
        <v>France_car_street_parking_2050</v>
      </c>
      <c r="C164" s="8">
        <v>30696628.68</v>
      </c>
      <c r="D164" s="8">
        <v>0.95</v>
      </c>
      <c r="E164" s="8">
        <v>0</v>
      </c>
      <c r="F164" s="8">
        <v>0</v>
      </c>
      <c r="G164" s="8">
        <v>0.05</v>
      </c>
      <c r="H164" s="8">
        <v>0</v>
      </c>
      <c r="I164" s="8">
        <v>0</v>
      </c>
      <c r="J164" s="8">
        <v>0</v>
      </c>
    </row>
    <row r="165" spans="2:10" x14ac:dyDescent="0.25">
      <c r="B165" s="2" t="str">
        <v>Germany_car_street_parking_2050</v>
      </c>
      <c r="C165" s="8">
        <v>44910756.156000003</v>
      </c>
      <c r="D165" s="8">
        <v>0.7</v>
      </c>
      <c r="E165" s="8">
        <v>0</v>
      </c>
      <c r="F165" s="8">
        <v>0</v>
      </c>
      <c r="G165" s="8">
        <v>0.28000000000000003</v>
      </c>
      <c r="H165" s="8">
        <v>0.02</v>
      </c>
      <c r="I165" s="8">
        <v>0</v>
      </c>
      <c r="J165" s="8">
        <v>0</v>
      </c>
    </row>
    <row r="166" spans="2:10" x14ac:dyDescent="0.25">
      <c r="B166" s="2" t="str">
        <v>Greece_car_street_parking_2050</v>
      </c>
      <c r="C166" s="8">
        <v>5451163.4239999996</v>
      </c>
      <c r="D166" s="8">
        <v>0.64814814799999998</v>
      </c>
      <c r="E166" s="8">
        <v>0</v>
      </c>
      <c r="F166" s="8">
        <v>0</v>
      </c>
      <c r="G166" s="8">
        <v>0.35185185200000002</v>
      </c>
      <c r="H166" s="8">
        <v>0</v>
      </c>
      <c r="I166" s="8">
        <v>0</v>
      </c>
      <c r="J166" s="8">
        <v>0</v>
      </c>
    </row>
    <row r="167" spans="2:10" x14ac:dyDescent="0.25">
      <c r="B167" s="2" t="str">
        <v>Hungary_car_street_parking_2050</v>
      </c>
      <c r="C167" s="8">
        <v>3578268.7459999998</v>
      </c>
      <c r="D167" s="8">
        <v>0.69</v>
      </c>
      <c r="E167" s="8">
        <v>0.05</v>
      </c>
      <c r="F167" s="8">
        <v>0</v>
      </c>
      <c r="G167" s="8">
        <v>0.23</v>
      </c>
      <c r="H167" s="8">
        <v>0.03</v>
      </c>
      <c r="I167" s="8">
        <v>0</v>
      </c>
      <c r="J167" s="8">
        <v>0</v>
      </c>
    </row>
    <row r="168" spans="2:10" x14ac:dyDescent="0.25">
      <c r="B168" s="2" t="str">
        <v>Ireland_car_street_parking_2050</v>
      </c>
      <c r="C168" s="8">
        <v>1632255.87</v>
      </c>
      <c r="D168" s="8">
        <v>0.85</v>
      </c>
      <c r="E168" s="8">
        <v>0</v>
      </c>
      <c r="F168" s="8">
        <v>0</v>
      </c>
      <c r="G168" s="8">
        <v>0.1</v>
      </c>
      <c r="H168" s="8">
        <v>0.05</v>
      </c>
      <c r="I168" s="8">
        <v>0</v>
      </c>
      <c r="J168" s="8">
        <v>0</v>
      </c>
    </row>
    <row r="169" spans="2:10" x14ac:dyDescent="0.25">
      <c r="B169" s="2" t="str">
        <v>Italy_car_street_parking_2050</v>
      </c>
      <c r="C169" s="8">
        <v>36754737.754000001</v>
      </c>
      <c r="D169" s="8">
        <v>0.85</v>
      </c>
      <c r="E169" s="8">
        <v>0</v>
      </c>
      <c r="F169" s="8">
        <v>0</v>
      </c>
      <c r="G169" s="8">
        <v>0.15</v>
      </c>
      <c r="H169" s="8">
        <v>0</v>
      </c>
      <c r="I169" s="8">
        <v>0</v>
      </c>
      <c r="J169" s="8">
        <v>0</v>
      </c>
    </row>
    <row r="170" spans="2:10" x14ac:dyDescent="0.25">
      <c r="B170" s="2" t="str">
        <v>Latvia_car_street_parking_2050</v>
      </c>
      <c r="C170" s="8">
        <v>724309.34299999999</v>
      </c>
      <c r="D170" s="8">
        <v>0.69</v>
      </c>
      <c r="E170" s="8">
        <v>0.05</v>
      </c>
      <c r="F170" s="8">
        <v>0</v>
      </c>
      <c r="G170" s="8">
        <v>0.23</v>
      </c>
      <c r="H170" s="8">
        <v>0.03</v>
      </c>
      <c r="I170" s="8">
        <v>0</v>
      </c>
      <c r="J170" s="8">
        <v>0</v>
      </c>
    </row>
    <row r="171" spans="2:10" x14ac:dyDescent="0.25">
      <c r="B171" s="2" t="str">
        <v>Lithuania_car_street_parking_2050</v>
      </c>
      <c r="C171" s="8">
        <v>1557962.496</v>
      </c>
      <c r="D171" s="8">
        <v>0.69</v>
      </c>
      <c r="E171" s="8">
        <v>0.05</v>
      </c>
      <c r="F171" s="8">
        <v>0</v>
      </c>
      <c r="G171" s="8">
        <v>0.23</v>
      </c>
      <c r="H171" s="8">
        <v>0.03</v>
      </c>
      <c r="I171" s="8">
        <v>0</v>
      </c>
      <c r="J171" s="8">
        <v>0</v>
      </c>
    </row>
    <row r="172" spans="2:10" x14ac:dyDescent="0.25">
      <c r="B172" s="2" t="str">
        <v>Luxembourg_car_street_parking_2050</v>
      </c>
      <c r="C172" s="8">
        <v>423021.91800000001</v>
      </c>
      <c r="D172" s="8">
        <v>0.88</v>
      </c>
      <c r="E172" s="8">
        <v>0.05</v>
      </c>
      <c r="F172" s="8">
        <v>0.01</v>
      </c>
      <c r="G172" s="8">
        <v>0.06</v>
      </c>
      <c r="H172" s="8">
        <v>0</v>
      </c>
      <c r="I172" s="8">
        <v>0</v>
      </c>
      <c r="J172" s="8">
        <v>0</v>
      </c>
    </row>
    <row r="173" spans="2:10" x14ac:dyDescent="0.25">
      <c r="B173" s="2" t="str">
        <v>Malta_car_street_parking_2050</v>
      </c>
      <c r="C173" s="8">
        <v>191292.10200000001</v>
      </c>
      <c r="D173" s="8">
        <v>0.69</v>
      </c>
      <c r="E173" s="8">
        <v>0.05</v>
      </c>
      <c r="F173" s="8">
        <v>0</v>
      </c>
      <c r="G173" s="8">
        <v>0.23</v>
      </c>
      <c r="H173" s="8">
        <v>0.03</v>
      </c>
      <c r="I173" s="8">
        <v>0</v>
      </c>
      <c r="J173" s="8">
        <v>0</v>
      </c>
    </row>
    <row r="174" spans="2:10" x14ac:dyDescent="0.25">
      <c r="B174" s="2" t="str">
        <v>Netherlands_car_street_parking_2050</v>
      </c>
      <c r="C174" s="8">
        <v>5626694.517</v>
      </c>
      <c r="D174" s="8">
        <v>0.7</v>
      </c>
      <c r="E174" s="8">
        <v>0.05</v>
      </c>
      <c r="F174" s="8">
        <v>0</v>
      </c>
      <c r="G174" s="8">
        <v>0.25</v>
      </c>
      <c r="H174" s="8">
        <v>0</v>
      </c>
      <c r="I174" s="8">
        <v>0</v>
      </c>
      <c r="J174" s="8">
        <v>0</v>
      </c>
    </row>
    <row r="175" spans="2:10" x14ac:dyDescent="0.25">
      <c r="B175" s="2" t="str">
        <v>Norway_car_street_parking_2050</v>
      </c>
      <c r="C175" s="8">
        <v>2529694.0640000002</v>
      </c>
      <c r="D175" s="8">
        <v>1</v>
      </c>
      <c r="E175" s="8">
        <v>0</v>
      </c>
      <c r="F175" s="8">
        <v>0</v>
      </c>
      <c r="G175" s="8">
        <v>0</v>
      </c>
      <c r="H175" s="8">
        <v>0</v>
      </c>
      <c r="I175" s="8">
        <v>0</v>
      </c>
      <c r="J175" s="8">
        <v>0</v>
      </c>
    </row>
    <row r="176" spans="2:10" x14ac:dyDescent="0.25">
      <c r="B176" s="2" t="str">
        <v>Poland_car_street_parking_2050</v>
      </c>
      <c r="C176" s="8">
        <v>19784369.122000001</v>
      </c>
      <c r="D176" s="8">
        <v>0.73</v>
      </c>
      <c r="E176" s="8">
        <v>0.05</v>
      </c>
      <c r="F176" s="8">
        <v>0</v>
      </c>
      <c r="G176" s="8">
        <v>0.17</v>
      </c>
      <c r="H176" s="8">
        <v>0.05</v>
      </c>
      <c r="I176" s="8">
        <v>0</v>
      </c>
      <c r="J176" s="8">
        <v>0</v>
      </c>
    </row>
    <row r="177" spans="2:10" x14ac:dyDescent="0.25">
      <c r="B177" s="2" t="str">
        <v>Portugal_car_street_parking_2050</v>
      </c>
      <c r="C177" s="8">
        <v>4894460.648</v>
      </c>
      <c r="D177" s="8">
        <v>0.81666666669999999</v>
      </c>
      <c r="E177" s="8">
        <v>3.3333333329999999E-2</v>
      </c>
      <c r="F177" s="8">
        <v>0</v>
      </c>
      <c r="G177" s="8">
        <v>0.1</v>
      </c>
      <c r="H177" s="8">
        <v>0.05</v>
      </c>
      <c r="I177" s="8">
        <v>0</v>
      </c>
      <c r="J177" s="8">
        <v>0</v>
      </c>
    </row>
    <row r="178" spans="2:10" x14ac:dyDescent="0.25">
      <c r="B178" s="2" t="str">
        <v>Romania_car_street_parking_2050</v>
      </c>
      <c r="C178" s="8">
        <v>7393274.8399999999</v>
      </c>
      <c r="D178" s="8">
        <v>0.69</v>
      </c>
      <c r="E178" s="8">
        <v>0.05</v>
      </c>
      <c r="F178" s="8">
        <v>0</v>
      </c>
      <c r="G178" s="8">
        <v>0.23</v>
      </c>
      <c r="H178" s="8">
        <v>0.03</v>
      </c>
      <c r="I178" s="8">
        <v>0</v>
      </c>
      <c r="J178" s="8">
        <v>0</v>
      </c>
    </row>
    <row r="179" spans="2:10" x14ac:dyDescent="0.25">
      <c r="B179" s="2" t="str">
        <v>Slovakia_car_street_parking_2050</v>
      </c>
      <c r="C179" s="8">
        <v>2476270.7790000001</v>
      </c>
      <c r="D179" s="8">
        <v>0.74</v>
      </c>
      <c r="E179" s="8">
        <v>0.05</v>
      </c>
      <c r="F179" s="8">
        <v>0</v>
      </c>
      <c r="G179" s="8">
        <v>0.16</v>
      </c>
      <c r="H179" s="8">
        <v>0.05</v>
      </c>
      <c r="I179" s="8">
        <v>0</v>
      </c>
      <c r="J179" s="8">
        <v>0</v>
      </c>
    </row>
    <row r="180" spans="2:10" x14ac:dyDescent="0.25">
      <c r="B180" s="2" t="str">
        <v>Slovenia_car_street_parking_2050</v>
      </c>
      <c r="C180" s="8">
        <v>1108719.0900000001</v>
      </c>
      <c r="D180" s="8">
        <v>0.72</v>
      </c>
      <c r="E180" s="8">
        <v>0.05</v>
      </c>
      <c r="F180" s="8">
        <v>0</v>
      </c>
      <c r="G180" s="8">
        <v>0.2</v>
      </c>
      <c r="H180" s="8">
        <v>0.03</v>
      </c>
      <c r="I180" s="8">
        <v>0</v>
      </c>
      <c r="J180" s="8">
        <v>0</v>
      </c>
    </row>
    <row r="181" spans="2:10" x14ac:dyDescent="0.25">
      <c r="B181" s="2" t="str">
        <v>Spain_car_street_parking_2050</v>
      </c>
      <c r="C181" s="8">
        <v>24503645.237999998</v>
      </c>
      <c r="D181" s="8">
        <v>0.95</v>
      </c>
      <c r="E181" s="8">
        <v>0</v>
      </c>
      <c r="F181" s="8">
        <v>0</v>
      </c>
      <c r="G181" s="8">
        <v>4.0999999999999995E-2</v>
      </c>
      <c r="H181" s="8">
        <v>9.0000000000000011E-3</v>
      </c>
      <c r="I181" s="8">
        <v>0</v>
      </c>
      <c r="J181" s="8">
        <v>0</v>
      </c>
    </row>
    <row r="182" spans="2:10" x14ac:dyDescent="0.25">
      <c r="B182" s="2" t="str">
        <v>Sweden_car_street_parking_2050</v>
      </c>
      <c r="C182" s="8">
        <v>4272634.9380000001</v>
      </c>
      <c r="D182" s="8">
        <v>0.5</v>
      </c>
      <c r="E182" s="8">
        <v>0</v>
      </c>
      <c r="F182" s="8">
        <v>0</v>
      </c>
      <c r="G182" s="8">
        <v>0.5</v>
      </c>
      <c r="H182" s="8">
        <v>0</v>
      </c>
      <c r="I182" s="8">
        <v>0</v>
      </c>
      <c r="J182" s="8">
        <v>0</v>
      </c>
    </row>
    <row r="183" spans="2:10" x14ac:dyDescent="0.25">
      <c r="B183" s="2" t="str">
        <v>Switzerland_car_street_parking_2050</v>
      </c>
      <c r="C183" s="8">
        <v>4557812.5120000001</v>
      </c>
      <c r="D183" s="8">
        <v>0.7</v>
      </c>
      <c r="E183" s="8">
        <v>0</v>
      </c>
      <c r="F183" s="8">
        <v>0</v>
      </c>
      <c r="G183" s="8">
        <v>0.28000000000000003</v>
      </c>
      <c r="H183" s="8">
        <v>0.02</v>
      </c>
      <c r="I183" s="8">
        <v>0</v>
      </c>
      <c r="J183" s="8">
        <v>0</v>
      </c>
    </row>
    <row r="184" spans="2:10" ht="30" x14ac:dyDescent="0.25">
      <c r="B184" s="2" t="str">
        <v>United_Kingdom_car_street_parking_2050</v>
      </c>
      <c r="C184" s="8">
        <v>17082233.892000001</v>
      </c>
      <c r="D184" s="8">
        <v>0.7</v>
      </c>
      <c r="E184" s="8">
        <v>0</v>
      </c>
      <c r="F184" s="8">
        <v>0</v>
      </c>
      <c r="G184" s="8">
        <v>0.28000000000000003</v>
      </c>
      <c r="H184" s="8">
        <v>0.02</v>
      </c>
      <c r="I184" s="8">
        <v>0</v>
      </c>
      <c r="J184" s="8">
        <v>0</v>
      </c>
    </row>
    <row r="185" spans="2:10" x14ac:dyDescent="0.25">
      <c r="B185" s="2" t="str" cm="1">
        <f t="array" ref="B185:B214">countries&amp;"_bus_2030"</f>
        <v>Austria_bus_2030</v>
      </c>
      <c r="C185" s="8" cm="1">
        <f t="array" ref="C185:C214">bus_fleet</f>
        <v>10136</v>
      </c>
      <c r="D185" s="8" cm="1">
        <f t="array" ref="D185:J214">Bus_splits_2030</f>
        <v>0.40101021538800002</v>
      </c>
      <c r="E185" s="8">
        <v>2.6560987500000001E-4</v>
      </c>
      <c r="F185" s="8">
        <v>0.45983162282700002</v>
      </c>
      <c r="G185" s="8">
        <v>0.1</v>
      </c>
      <c r="H185" s="8">
        <v>3.8892551911000002E-2</v>
      </c>
      <c r="I185" s="8">
        <v>0</v>
      </c>
      <c r="J185" s="8">
        <v>0</v>
      </c>
    </row>
    <row r="186" spans="2:10" x14ac:dyDescent="0.25">
      <c r="B186" s="2" t="str">
        <v>Belgium_bus_2030</v>
      </c>
      <c r="C186" s="8">
        <v>16606</v>
      </c>
      <c r="D186" s="8">
        <v>0.18236123122249998</v>
      </c>
      <c r="E186" s="8">
        <v>2.497915301E-3</v>
      </c>
      <c r="F186" s="8">
        <v>0.70195969143350001</v>
      </c>
      <c r="G186" s="8">
        <v>6.25E-2</v>
      </c>
      <c r="H186" s="8">
        <v>5.0681162043499997E-2</v>
      </c>
      <c r="I186" s="8">
        <v>0</v>
      </c>
      <c r="J186" s="8">
        <v>0</v>
      </c>
    </row>
    <row r="187" spans="2:10" x14ac:dyDescent="0.25">
      <c r="B187" s="2" t="str">
        <v>Bulgaria_bus_2030</v>
      </c>
      <c r="C187" s="8">
        <v>17352</v>
      </c>
      <c r="D187" s="8">
        <v>0.121620430248</v>
      </c>
      <c r="E187" s="8">
        <v>1.291383795E-4</v>
      </c>
      <c r="F187" s="8">
        <v>0.62376296231149997</v>
      </c>
      <c r="G187" s="8">
        <v>0.14249999999999999</v>
      </c>
      <c r="H187" s="8">
        <v>0.11198746906199999</v>
      </c>
      <c r="I187" s="8">
        <v>0</v>
      </c>
      <c r="J187" s="8">
        <v>0</v>
      </c>
    </row>
    <row r="188" spans="2:10" x14ac:dyDescent="0.25">
      <c r="B188" s="2" t="str">
        <v>Croatia_bus_2030</v>
      </c>
      <c r="C188" s="8">
        <v>5136</v>
      </c>
      <c r="D188" s="8">
        <v>2.54384695945E-2</v>
      </c>
      <c r="E188" s="8">
        <v>5.7735612899999992E-4</v>
      </c>
      <c r="F188" s="8">
        <v>0.95504849007649995</v>
      </c>
      <c r="G188" s="8">
        <v>0</v>
      </c>
      <c r="H188" s="8">
        <v>1.8935684201500002E-2</v>
      </c>
      <c r="I188" s="8">
        <v>0</v>
      </c>
      <c r="J188" s="8">
        <v>0</v>
      </c>
    </row>
    <row r="189" spans="2:10" x14ac:dyDescent="0.25">
      <c r="B189" s="2" t="str">
        <v>Cyprus_bus_2030</v>
      </c>
      <c r="C189" s="8">
        <v>2774</v>
      </c>
      <c r="D189" s="8">
        <v>0.1065</v>
      </c>
      <c r="E189" s="8">
        <v>1.8086306369999999E-3</v>
      </c>
      <c r="F189" s="8">
        <v>0.72419136936350004</v>
      </c>
      <c r="G189" s="8">
        <v>0.14249999999999999</v>
      </c>
      <c r="H189" s="8">
        <v>2.5000000000000001E-2</v>
      </c>
      <c r="I189" s="8">
        <v>0</v>
      </c>
      <c r="J189" s="8">
        <v>0</v>
      </c>
    </row>
    <row r="190" spans="2:10" x14ac:dyDescent="0.25">
      <c r="B190" s="2" t="str">
        <v>Czechia_bus_2030</v>
      </c>
      <c r="C190" s="8">
        <v>20489</v>
      </c>
      <c r="D190" s="8">
        <v>0.11940397755650001</v>
      </c>
      <c r="E190" s="8">
        <v>5.1695467295E-3</v>
      </c>
      <c r="F190" s="8">
        <v>0.64040712187000004</v>
      </c>
      <c r="G190" s="8">
        <v>6.25E-2</v>
      </c>
      <c r="H190" s="8">
        <v>0.172519353845</v>
      </c>
      <c r="I190" s="8">
        <v>0</v>
      </c>
      <c r="J190" s="8">
        <v>0</v>
      </c>
    </row>
    <row r="191" spans="2:10" x14ac:dyDescent="0.25">
      <c r="B191" s="2" t="str">
        <v>Denmark_bus_2030</v>
      </c>
      <c r="C191" s="8">
        <v>8684</v>
      </c>
      <c r="D191" s="8">
        <v>0.10739222453449999</v>
      </c>
      <c r="E191" s="8">
        <v>3.8235589399999997E-4</v>
      </c>
      <c r="F191" s="8">
        <v>0.74750105302900005</v>
      </c>
      <c r="G191" s="8">
        <v>6.25E-2</v>
      </c>
      <c r="H191" s="8">
        <v>8.2224366544000005E-2</v>
      </c>
      <c r="I191" s="8">
        <v>0</v>
      </c>
      <c r="J191" s="8">
        <v>0</v>
      </c>
    </row>
    <row r="192" spans="2:10" x14ac:dyDescent="0.25">
      <c r="B192" s="2" t="str">
        <v>Estonia_bus_2030</v>
      </c>
      <c r="C192" s="8">
        <v>5327</v>
      </c>
      <c r="D192" s="8">
        <v>0.21232754803300002</v>
      </c>
      <c r="E192" s="8">
        <v>3.5325829959999997E-3</v>
      </c>
      <c r="F192" s="8">
        <v>0.52336334341500002</v>
      </c>
      <c r="G192" s="8">
        <v>0.1</v>
      </c>
      <c r="H192" s="8">
        <v>0.155776525557</v>
      </c>
      <c r="I192" s="8">
        <v>5.0000000000000001E-3</v>
      </c>
      <c r="J192" s="8">
        <v>0</v>
      </c>
    </row>
    <row r="193" spans="2:10" x14ac:dyDescent="0.25">
      <c r="B193" s="2" t="str">
        <v>Finland_bus_2030</v>
      </c>
      <c r="C193" s="8">
        <v>10476</v>
      </c>
      <c r="D193" s="8">
        <v>6.3432327492499996E-2</v>
      </c>
      <c r="E193" s="8">
        <v>4.2517773600000004E-4</v>
      </c>
      <c r="F193" s="8">
        <v>0.573591691189</v>
      </c>
      <c r="G193" s="8">
        <v>0.11574074049999999</v>
      </c>
      <c r="H193" s="8">
        <v>0.24681006308449999</v>
      </c>
      <c r="I193" s="8">
        <v>0</v>
      </c>
      <c r="J193" s="8">
        <v>0</v>
      </c>
    </row>
    <row r="194" spans="2:10" x14ac:dyDescent="0.25">
      <c r="B194" s="2" t="str">
        <v>France_bus_2030</v>
      </c>
      <c r="C194" s="8">
        <v>94523</v>
      </c>
      <c r="D194" s="8">
        <v>0.24205392889999999</v>
      </c>
      <c r="E194" s="8">
        <v>5.006169635E-4</v>
      </c>
      <c r="F194" s="8">
        <v>0.54197456465850002</v>
      </c>
      <c r="G194" s="8">
        <v>0</v>
      </c>
      <c r="H194" s="8">
        <v>0.21547088947949999</v>
      </c>
      <c r="I194" s="8">
        <v>0</v>
      </c>
      <c r="J194" s="8">
        <v>0</v>
      </c>
    </row>
    <row r="195" spans="2:10" x14ac:dyDescent="0.25">
      <c r="B195" s="2" t="str">
        <v>Germany_bus_2030</v>
      </c>
      <c r="C195" s="8">
        <v>80225</v>
      </c>
      <c r="D195" s="8">
        <v>0.17696917316999999</v>
      </c>
      <c r="E195" s="8">
        <v>2.6433542199999998E-4</v>
      </c>
      <c r="F195" s="8">
        <v>0.63420385092999998</v>
      </c>
      <c r="G195" s="8">
        <v>0.15</v>
      </c>
      <c r="H195" s="8">
        <v>3.856264048E-2</v>
      </c>
      <c r="I195" s="8">
        <v>0</v>
      </c>
      <c r="J195" s="8">
        <v>0</v>
      </c>
    </row>
    <row r="196" spans="2:10" x14ac:dyDescent="0.25">
      <c r="B196" s="2" t="str">
        <v>Greece_bus_2030</v>
      </c>
      <c r="C196" s="8">
        <v>28034</v>
      </c>
      <c r="D196" s="8">
        <v>3.1889104097499996E-2</v>
      </c>
      <c r="E196" s="8">
        <v>2.2086960650000002E-4</v>
      </c>
      <c r="F196" s="8">
        <v>0.76806974355099999</v>
      </c>
      <c r="G196" s="8">
        <v>0.1435185185</v>
      </c>
      <c r="H196" s="8">
        <v>5.6301764246000002E-2</v>
      </c>
      <c r="I196" s="8">
        <v>0</v>
      </c>
      <c r="J196" s="8">
        <v>0</v>
      </c>
    </row>
    <row r="197" spans="2:10" x14ac:dyDescent="0.25">
      <c r="B197" s="2" t="str">
        <v>Hungary_bus_2030</v>
      </c>
      <c r="C197" s="8">
        <v>17723</v>
      </c>
      <c r="D197" s="8">
        <v>0.116997640115</v>
      </c>
      <c r="E197" s="8">
        <v>8.8562601049999999E-4</v>
      </c>
      <c r="F197" s="8">
        <v>0.69915224814849997</v>
      </c>
      <c r="G197" s="8">
        <v>0.14249999999999999</v>
      </c>
      <c r="H197" s="8">
        <v>4.04644857265E-2</v>
      </c>
      <c r="I197" s="8">
        <v>0</v>
      </c>
      <c r="J197" s="8">
        <v>0</v>
      </c>
    </row>
    <row r="198" spans="2:10" x14ac:dyDescent="0.25">
      <c r="B198" s="2" t="str">
        <v>Ireland_bus_2030</v>
      </c>
      <c r="C198" s="8">
        <v>6758</v>
      </c>
      <c r="D198" s="8">
        <v>0.28144254278800002</v>
      </c>
      <c r="E198" s="8">
        <v>3.8782477849999997E-4</v>
      </c>
      <c r="F198" s="8">
        <v>0.64316963243399994</v>
      </c>
      <c r="G198" s="8">
        <v>2.5000000000000001E-2</v>
      </c>
      <c r="H198" s="8">
        <v>0</v>
      </c>
      <c r="I198" s="8">
        <v>0.05</v>
      </c>
      <c r="J198" s="8">
        <v>0</v>
      </c>
    </row>
    <row r="199" spans="2:10" x14ac:dyDescent="0.25">
      <c r="B199" s="2" t="str">
        <v>Italy_bus_2030</v>
      </c>
      <c r="C199" s="8">
        <v>100199</v>
      </c>
      <c r="D199" s="8">
        <v>8.2205783900499999E-2</v>
      </c>
      <c r="E199" s="8">
        <v>4.3031488950000002E-4</v>
      </c>
      <c r="F199" s="8">
        <v>0.6298564381984999</v>
      </c>
      <c r="G199" s="8">
        <v>7.4999999999999997E-2</v>
      </c>
      <c r="H199" s="8">
        <v>9.7507463013000006E-2</v>
      </c>
      <c r="I199" s="8">
        <v>0.115</v>
      </c>
      <c r="J199" s="8">
        <v>0</v>
      </c>
    </row>
    <row r="200" spans="2:10" x14ac:dyDescent="0.25">
      <c r="B200" s="2" t="str">
        <v>Latvia_bus_2030</v>
      </c>
      <c r="C200" s="8">
        <v>3742</v>
      </c>
      <c r="D200" s="8">
        <v>0.15704080182499999</v>
      </c>
      <c r="E200" s="8">
        <v>1.6974066839999999E-3</v>
      </c>
      <c r="F200" s="8">
        <v>0.67271342073450002</v>
      </c>
      <c r="G200" s="8">
        <v>0.14249999999999999</v>
      </c>
      <c r="H200" s="8">
        <v>2.6048370757000002E-2</v>
      </c>
      <c r="I200" s="8">
        <v>0</v>
      </c>
      <c r="J200" s="8">
        <v>0</v>
      </c>
    </row>
    <row r="201" spans="2:10" x14ac:dyDescent="0.25">
      <c r="B201" s="2" t="str">
        <v>Lithuania_bus_2030</v>
      </c>
      <c r="C201" s="8">
        <v>8069</v>
      </c>
      <c r="D201" s="8">
        <v>0.17602236578800001</v>
      </c>
      <c r="E201" s="8">
        <v>2.3319379319999998E-3</v>
      </c>
      <c r="F201" s="8">
        <v>0.5516231573475</v>
      </c>
      <c r="G201" s="8">
        <v>0.14249999999999999</v>
      </c>
      <c r="H201" s="8">
        <v>0.12752253893349999</v>
      </c>
      <c r="I201" s="8">
        <v>0</v>
      </c>
      <c r="J201" s="8">
        <v>0</v>
      </c>
    </row>
    <row r="202" spans="2:10" x14ac:dyDescent="0.25">
      <c r="B202" s="2" t="str">
        <v>Luxembourg_bus_2030</v>
      </c>
      <c r="C202" s="8">
        <v>2217</v>
      </c>
      <c r="D202" s="8">
        <v>0.48907984869599996</v>
      </c>
      <c r="E202" s="8">
        <v>2.9772486550000004E-4</v>
      </c>
      <c r="F202" s="8">
        <v>0.4956224264395</v>
      </c>
      <c r="G202" s="8">
        <v>1.4999999999999999E-2</v>
      </c>
      <c r="H202" s="8">
        <v>0</v>
      </c>
      <c r="I202" s="8">
        <v>0</v>
      </c>
      <c r="J202" s="8">
        <v>0</v>
      </c>
    </row>
    <row r="203" spans="2:10" x14ac:dyDescent="0.25">
      <c r="B203" s="2" t="str">
        <v>Malta_bus_2030</v>
      </c>
      <c r="C203" s="8">
        <v>2306</v>
      </c>
      <c r="D203" s="8">
        <v>5.2129518616500004E-2</v>
      </c>
      <c r="E203" s="8">
        <v>9.9875029499999998E-4</v>
      </c>
      <c r="F203" s="8">
        <v>0.94687173108900002</v>
      </c>
      <c r="G203" s="8">
        <v>0</v>
      </c>
      <c r="H203" s="8">
        <v>0</v>
      </c>
      <c r="I203" s="8">
        <v>0</v>
      </c>
      <c r="J203" s="8">
        <v>0</v>
      </c>
    </row>
    <row r="204" spans="2:10" x14ac:dyDescent="0.25">
      <c r="B204" s="2" t="str">
        <v>Netherlands_bus_2030</v>
      </c>
      <c r="C204" s="8">
        <v>9316</v>
      </c>
      <c r="D204" s="8">
        <v>0.43137047218199998</v>
      </c>
      <c r="E204" s="8">
        <v>1.7685414941500003E-2</v>
      </c>
      <c r="F204" s="8">
        <v>0.30707369297249998</v>
      </c>
      <c r="G204" s="8">
        <v>0.11935000000000001</v>
      </c>
      <c r="H204" s="8">
        <v>0.124151470513</v>
      </c>
      <c r="I204" s="8">
        <v>3.6894939250000004E-4</v>
      </c>
      <c r="J204" s="8">
        <v>0</v>
      </c>
    </row>
    <row r="205" spans="2:10" x14ac:dyDescent="0.25">
      <c r="B205" s="2" t="str">
        <v>Norway_bus_2030</v>
      </c>
      <c r="C205" s="8">
        <v>15558</v>
      </c>
      <c r="D205" s="8">
        <v>0.10291432625000001</v>
      </c>
      <c r="E205" s="8">
        <v>1.00170555E-4</v>
      </c>
      <c r="F205" s="8">
        <v>0.75401022459449996</v>
      </c>
      <c r="G205" s="8">
        <v>6.25E-2</v>
      </c>
      <c r="H205" s="8">
        <v>8.0475278602000017E-2</v>
      </c>
      <c r="I205" s="8">
        <v>0</v>
      </c>
      <c r="J205" s="8">
        <v>0</v>
      </c>
    </row>
    <row r="206" spans="2:10" x14ac:dyDescent="0.25">
      <c r="B206" s="2" t="str">
        <v>Poland_bus_2030</v>
      </c>
      <c r="C206" s="8">
        <v>126547</v>
      </c>
      <c r="D206" s="8">
        <v>0.10291432625000001</v>
      </c>
      <c r="E206" s="8">
        <v>1.00170555E-4</v>
      </c>
      <c r="F206" s="8">
        <v>0.75401022459449996</v>
      </c>
      <c r="G206" s="8">
        <v>6.25E-2</v>
      </c>
      <c r="H206" s="8">
        <v>8.0475278602000017E-2</v>
      </c>
      <c r="I206" s="8">
        <v>0</v>
      </c>
      <c r="J206" s="8">
        <v>0</v>
      </c>
    </row>
    <row r="207" spans="2:10" x14ac:dyDescent="0.25">
      <c r="B207" s="2" t="str">
        <v>Portugal_bus_2030</v>
      </c>
      <c r="C207" s="8">
        <v>17300</v>
      </c>
      <c r="D207" s="8">
        <v>0.15175040133100001</v>
      </c>
      <c r="E207" s="8">
        <v>3.4948483349999998E-4</v>
      </c>
      <c r="F207" s="8">
        <v>0.68361333872700003</v>
      </c>
      <c r="G207" s="8">
        <v>6.25E-2</v>
      </c>
      <c r="H207" s="8">
        <v>0.1017867751095</v>
      </c>
      <c r="I207" s="8">
        <v>0</v>
      </c>
      <c r="J207" s="8">
        <v>0</v>
      </c>
    </row>
    <row r="208" spans="2:10" x14ac:dyDescent="0.25">
      <c r="B208" s="2" t="str">
        <v>Romania_bus_2030</v>
      </c>
      <c r="C208" s="8">
        <v>54351</v>
      </c>
      <c r="D208" s="8">
        <v>0.10768511502549999</v>
      </c>
      <c r="E208" s="8">
        <v>5.5383970849999997E-4</v>
      </c>
      <c r="F208" s="8">
        <v>0.72426104526650004</v>
      </c>
      <c r="G208" s="8">
        <v>0.14249999999999999</v>
      </c>
      <c r="H208" s="8">
        <v>2.5000000000000001E-2</v>
      </c>
      <c r="I208" s="8">
        <v>0</v>
      </c>
      <c r="J208" s="8">
        <v>0</v>
      </c>
    </row>
    <row r="209" spans="2:10" x14ac:dyDescent="0.25">
      <c r="B209" s="2" t="str">
        <v>Slovakia_bus_2030</v>
      </c>
      <c r="C209" s="8">
        <v>8282</v>
      </c>
      <c r="D209" s="8">
        <v>0.12528887917600001</v>
      </c>
      <c r="E209" s="8">
        <v>2.6178860400000002E-4</v>
      </c>
      <c r="F209" s="8">
        <v>0.74694933222050008</v>
      </c>
      <c r="G209" s="8">
        <v>6.25E-2</v>
      </c>
      <c r="H209" s="8">
        <v>6.5000000000000002E-2</v>
      </c>
      <c r="I209" s="8">
        <v>0</v>
      </c>
      <c r="J209" s="8">
        <v>0</v>
      </c>
    </row>
    <row r="210" spans="2:10" x14ac:dyDescent="0.25">
      <c r="B210" s="2" t="str">
        <v>Slovenia_bus_2030</v>
      </c>
      <c r="C210" s="8">
        <v>2502</v>
      </c>
      <c r="D210" s="8">
        <v>0.1075396464955</v>
      </c>
      <c r="E210" s="8">
        <v>3.4564131E-4</v>
      </c>
      <c r="F210" s="8">
        <v>0.67928364956249998</v>
      </c>
      <c r="G210" s="8">
        <v>0.14249999999999999</v>
      </c>
      <c r="H210" s="8">
        <v>7.0331062632999999E-2</v>
      </c>
      <c r="I210" s="8">
        <v>0</v>
      </c>
      <c r="J210" s="8">
        <v>0</v>
      </c>
    </row>
    <row r="211" spans="2:10" x14ac:dyDescent="0.25">
      <c r="B211" s="2" t="str">
        <v>Spain_bus_2030</v>
      </c>
      <c r="C211" s="8">
        <v>60998</v>
      </c>
      <c r="D211" s="8">
        <v>0.10340082974750001</v>
      </c>
      <c r="E211" s="8">
        <v>1.2803824310000001E-3</v>
      </c>
      <c r="F211" s="8">
        <v>0.60785187312900002</v>
      </c>
      <c r="G211" s="8">
        <v>0</v>
      </c>
      <c r="H211" s="8">
        <v>0.28746691469399999</v>
      </c>
      <c r="I211" s="8">
        <v>0</v>
      </c>
      <c r="J211" s="8">
        <v>0</v>
      </c>
    </row>
    <row r="212" spans="2:10" x14ac:dyDescent="0.25">
      <c r="B212" s="2" t="str">
        <v>Sweden_bus_2030</v>
      </c>
      <c r="C212" s="8">
        <v>13594</v>
      </c>
      <c r="D212" s="8">
        <v>5.5841009768499997E-2</v>
      </c>
      <c r="E212" s="8">
        <v>7.2169861099999994E-4</v>
      </c>
      <c r="F212" s="8">
        <v>0.59034972174650002</v>
      </c>
      <c r="G212" s="8">
        <v>0.2</v>
      </c>
      <c r="H212" s="8">
        <v>0.153087569875</v>
      </c>
      <c r="I212" s="8">
        <v>0</v>
      </c>
      <c r="J212" s="8">
        <v>0</v>
      </c>
    </row>
    <row r="213" spans="2:10" x14ac:dyDescent="0.25">
      <c r="B213" s="2" t="str">
        <v>Switzerland_bus_2030</v>
      </c>
      <c r="C213" s="8">
        <v>9224</v>
      </c>
      <c r="D213" s="8">
        <v>0.121620430248</v>
      </c>
      <c r="E213" s="8">
        <v>1.291383795E-4</v>
      </c>
      <c r="F213" s="8">
        <v>0.62376296231149997</v>
      </c>
      <c r="G213" s="8">
        <v>0.14249999999999999</v>
      </c>
      <c r="H213" s="8">
        <v>0.11198746906199999</v>
      </c>
      <c r="I213" s="8">
        <v>0</v>
      </c>
      <c r="J213" s="8">
        <v>0</v>
      </c>
    </row>
    <row r="214" spans="2:10" x14ac:dyDescent="0.25">
      <c r="B214" s="2" t="str">
        <v>United_Kingdom_bus_2030</v>
      </c>
      <c r="C214" s="8">
        <v>81652</v>
      </c>
      <c r="D214" s="8">
        <v>0.18236123122249998</v>
      </c>
      <c r="E214" s="8">
        <v>2.497915301E-3</v>
      </c>
      <c r="F214" s="8">
        <v>0.70195969143350001</v>
      </c>
      <c r="G214" s="8">
        <v>6.25E-2</v>
      </c>
      <c r="H214" s="8">
        <v>5.0681162043499997E-2</v>
      </c>
      <c r="I214" s="8">
        <v>0</v>
      </c>
      <c r="J214" s="8">
        <v>0</v>
      </c>
    </row>
    <row r="215" spans="2:10" x14ac:dyDescent="0.25">
      <c r="B215" s="2" t="str" cm="1">
        <f t="array" ref="B215:B244">countries&amp;"_bus_2040"</f>
        <v>Austria_bus_2040</v>
      </c>
      <c r="C215" s="8" cm="1">
        <f t="array" ref="C215:C244">bus_fleet</f>
        <v>10136</v>
      </c>
      <c r="D215" s="8" cm="1">
        <f t="array" ref="D215:J244">Bus_splits_2040</f>
        <v>0.8</v>
      </c>
      <c r="E215" s="8">
        <v>0</v>
      </c>
      <c r="F215" s="8">
        <v>0</v>
      </c>
      <c r="G215" s="8">
        <v>0.2</v>
      </c>
      <c r="H215" s="8">
        <v>0</v>
      </c>
      <c r="I215" s="8">
        <v>0</v>
      </c>
      <c r="J215" s="8">
        <v>0</v>
      </c>
    </row>
    <row r="216" spans="2:10" x14ac:dyDescent="0.25">
      <c r="B216" s="2" t="str">
        <v>Belgium_bus_2040</v>
      </c>
      <c r="C216" s="8">
        <v>16606</v>
      </c>
      <c r="D216" s="8">
        <v>0.35499999999999998</v>
      </c>
      <c r="E216" s="8">
        <v>2E-3</v>
      </c>
      <c r="F216" s="8">
        <v>0.46799999999999997</v>
      </c>
      <c r="G216" s="8">
        <v>0.125</v>
      </c>
      <c r="H216" s="8">
        <v>0.05</v>
      </c>
      <c r="I216" s="8">
        <v>0</v>
      </c>
      <c r="J216" s="8">
        <v>0</v>
      </c>
    </row>
    <row r="217" spans="2:10" x14ac:dyDescent="0.25">
      <c r="B217" s="2" t="str">
        <v>Bulgaria_bus_2040</v>
      </c>
      <c r="C217" s="8">
        <v>17352</v>
      </c>
      <c r="D217" s="8">
        <v>0.21299999999999999</v>
      </c>
      <c r="E217" s="8">
        <v>0</v>
      </c>
      <c r="F217" s="8">
        <v>0.45200000000000001</v>
      </c>
      <c r="G217" s="8">
        <v>0.28499999999999998</v>
      </c>
      <c r="H217" s="8">
        <v>0.05</v>
      </c>
      <c r="I217" s="8">
        <v>0</v>
      </c>
      <c r="J217" s="8">
        <v>0</v>
      </c>
    </row>
    <row r="218" spans="2:10" x14ac:dyDescent="0.25">
      <c r="B218" s="2" t="str">
        <v>Croatia_bus_2040</v>
      </c>
      <c r="C218" s="8">
        <v>5136</v>
      </c>
      <c r="D218" s="8">
        <v>0.05</v>
      </c>
      <c r="E218" s="8">
        <v>0</v>
      </c>
      <c r="F218" s="8">
        <v>0.94</v>
      </c>
      <c r="G218" s="8">
        <v>0</v>
      </c>
      <c r="H218" s="8">
        <v>0.01</v>
      </c>
      <c r="I218" s="8">
        <v>0</v>
      </c>
      <c r="J218" s="8">
        <v>0</v>
      </c>
    </row>
    <row r="219" spans="2:10" x14ac:dyDescent="0.25">
      <c r="B219" s="2" t="str">
        <v>Cyprus_bus_2040</v>
      </c>
      <c r="C219" s="8">
        <v>2774</v>
      </c>
      <c r="D219" s="8">
        <v>0.21299999999999999</v>
      </c>
      <c r="E219" s="8">
        <v>0</v>
      </c>
      <c r="F219" s="8">
        <v>0.45200000000000001</v>
      </c>
      <c r="G219" s="8">
        <v>0.28499999999999998</v>
      </c>
      <c r="H219" s="8">
        <v>0.05</v>
      </c>
      <c r="I219" s="8">
        <v>0</v>
      </c>
      <c r="J219" s="8">
        <v>0</v>
      </c>
    </row>
    <row r="220" spans="2:10" x14ac:dyDescent="0.25">
      <c r="B220" s="2" t="str">
        <v>Czechia_bus_2040</v>
      </c>
      <c r="C220" s="8">
        <v>20489</v>
      </c>
      <c r="D220" s="8">
        <v>0.21299999999999999</v>
      </c>
      <c r="E220" s="8">
        <v>0</v>
      </c>
      <c r="F220" s="8">
        <v>0.53200000000000003</v>
      </c>
      <c r="G220" s="8">
        <v>0.125</v>
      </c>
      <c r="H220" s="8">
        <v>0.13</v>
      </c>
      <c r="I220" s="8">
        <v>0</v>
      </c>
      <c r="J220" s="8">
        <v>0</v>
      </c>
    </row>
    <row r="221" spans="2:10" x14ac:dyDescent="0.25">
      <c r="B221" s="2" t="str">
        <v>Denmark_bus_2040</v>
      </c>
      <c r="C221" s="8">
        <v>8684</v>
      </c>
      <c r="D221" s="8">
        <v>0.21299999999999999</v>
      </c>
      <c r="E221" s="8">
        <v>0</v>
      </c>
      <c r="F221" s="8">
        <v>0.53200000000000003</v>
      </c>
      <c r="G221" s="8">
        <v>0.125</v>
      </c>
      <c r="H221" s="8">
        <v>0.13</v>
      </c>
      <c r="I221" s="8">
        <v>0</v>
      </c>
      <c r="J221" s="8">
        <v>0</v>
      </c>
    </row>
    <row r="222" spans="2:10" x14ac:dyDescent="0.25">
      <c r="B222" s="2" t="str">
        <v>Estonia_bus_2040</v>
      </c>
      <c r="C222" s="8">
        <v>5327</v>
      </c>
      <c r="D222" s="8">
        <v>0.39</v>
      </c>
      <c r="E222" s="8">
        <v>0</v>
      </c>
      <c r="F222" s="8">
        <v>0.25</v>
      </c>
      <c r="G222" s="8">
        <v>0.2</v>
      </c>
      <c r="H222" s="8">
        <v>0.15</v>
      </c>
      <c r="I222" s="8">
        <v>0.01</v>
      </c>
      <c r="J222" s="8">
        <v>0</v>
      </c>
    </row>
    <row r="223" spans="2:10" x14ac:dyDescent="0.25">
      <c r="B223" s="2" t="str">
        <v>Finland_bus_2040</v>
      </c>
      <c r="C223" s="8">
        <v>10476</v>
      </c>
      <c r="D223" s="8">
        <v>0.11481481499999999</v>
      </c>
      <c r="E223" s="8">
        <v>0</v>
      </c>
      <c r="F223" s="8">
        <v>0.20370370399999999</v>
      </c>
      <c r="G223" s="8">
        <v>0.23148148099999999</v>
      </c>
      <c r="H223" s="8">
        <v>0.45</v>
      </c>
      <c r="I223" s="8">
        <v>0</v>
      </c>
      <c r="J223" s="8">
        <v>0</v>
      </c>
    </row>
    <row r="224" spans="2:10" x14ac:dyDescent="0.25">
      <c r="B224" s="2" t="str">
        <v>France_bus_2040</v>
      </c>
      <c r="C224" s="8">
        <v>94523</v>
      </c>
      <c r="D224" s="8">
        <v>0.48</v>
      </c>
      <c r="E224" s="8">
        <v>0</v>
      </c>
      <c r="F224" s="8">
        <v>0.22</v>
      </c>
      <c r="G224" s="8">
        <v>0</v>
      </c>
      <c r="H224" s="8">
        <v>0.3</v>
      </c>
      <c r="I224" s="8">
        <v>0</v>
      </c>
      <c r="J224" s="8">
        <v>0</v>
      </c>
    </row>
    <row r="225" spans="2:10" x14ac:dyDescent="0.25">
      <c r="B225" s="2" t="str">
        <v>Germany_bus_2040</v>
      </c>
      <c r="C225" s="8">
        <v>80225</v>
      </c>
      <c r="D225" s="8">
        <v>0.35</v>
      </c>
      <c r="E225" s="8">
        <v>0</v>
      </c>
      <c r="F225" s="8">
        <v>0.3</v>
      </c>
      <c r="G225" s="8">
        <v>0.3</v>
      </c>
      <c r="H225" s="8">
        <v>0.05</v>
      </c>
      <c r="I225" s="8">
        <v>0</v>
      </c>
      <c r="J225" s="8">
        <v>0</v>
      </c>
    </row>
    <row r="226" spans="2:10" x14ac:dyDescent="0.25">
      <c r="B226" s="2" t="str">
        <v>Greece_bus_2040</v>
      </c>
      <c r="C226" s="8">
        <v>28034</v>
      </c>
      <c r="D226" s="8">
        <v>6.0962962999999995E-2</v>
      </c>
      <c r="E226" s="8">
        <v>0</v>
      </c>
      <c r="F226" s="8">
        <v>0.60199999999999998</v>
      </c>
      <c r="G226" s="8">
        <v>0.28703703699999999</v>
      </c>
      <c r="H226" s="8">
        <v>0.05</v>
      </c>
      <c r="I226" s="8">
        <v>0</v>
      </c>
      <c r="J226" s="8">
        <v>0</v>
      </c>
    </row>
    <row r="227" spans="2:10" x14ac:dyDescent="0.25">
      <c r="B227" s="2" t="str">
        <v>Hungary_bus_2040</v>
      </c>
      <c r="C227" s="8">
        <v>17723</v>
      </c>
      <c r="D227" s="8">
        <v>0.21299999999999999</v>
      </c>
      <c r="E227" s="8">
        <v>0</v>
      </c>
      <c r="F227" s="8">
        <v>0.45200000000000001</v>
      </c>
      <c r="G227" s="8">
        <v>0.28499999999999998</v>
      </c>
      <c r="H227" s="8">
        <v>0.05</v>
      </c>
      <c r="I227" s="8">
        <v>0</v>
      </c>
      <c r="J227" s="8">
        <v>0</v>
      </c>
    </row>
    <row r="228" spans="2:10" x14ac:dyDescent="0.25">
      <c r="B228" s="2" t="str">
        <v>Ireland_bus_2040</v>
      </c>
      <c r="C228" s="8">
        <v>6758</v>
      </c>
      <c r="D228" s="8">
        <v>0.55000000000000004</v>
      </c>
      <c r="E228" s="8">
        <v>0</v>
      </c>
      <c r="F228" s="8">
        <v>0.3</v>
      </c>
      <c r="G228" s="8">
        <v>0.05</v>
      </c>
      <c r="H228" s="8">
        <v>0</v>
      </c>
      <c r="I228" s="8">
        <v>0.1</v>
      </c>
      <c r="J228" s="8">
        <v>0</v>
      </c>
    </row>
    <row r="229" spans="2:10" x14ac:dyDescent="0.25">
      <c r="B229" s="2" t="str">
        <v>Italy_bus_2040</v>
      </c>
      <c r="C229" s="8">
        <v>100199</v>
      </c>
      <c r="D229" s="8">
        <v>0.16</v>
      </c>
      <c r="E229" s="8">
        <v>0</v>
      </c>
      <c r="F229" s="8">
        <v>0.39</v>
      </c>
      <c r="G229" s="8">
        <v>0.15</v>
      </c>
      <c r="H229" s="8">
        <v>7.0000000000000007E-2</v>
      </c>
      <c r="I229" s="8">
        <v>0.23</v>
      </c>
      <c r="J229" s="8">
        <v>0</v>
      </c>
    </row>
    <row r="230" spans="2:10" x14ac:dyDescent="0.25">
      <c r="B230" s="2" t="str">
        <v>Latvia_bus_2040</v>
      </c>
      <c r="C230" s="8">
        <v>3742</v>
      </c>
      <c r="D230" s="8">
        <v>0.21299999999999999</v>
      </c>
      <c r="E230" s="8">
        <v>0</v>
      </c>
      <c r="F230" s="8">
        <v>0.45200000000000001</v>
      </c>
      <c r="G230" s="8">
        <v>0.28499999999999998</v>
      </c>
      <c r="H230" s="8">
        <v>0.05</v>
      </c>
      <c r="I230" s="8">
        <v>0</v>
      </c>
      <c r="J230" s="8">
        <v>0</v>
      </c>
    </row>
    <row r="231" spans="2:10" x14ac:dyDescent="0.25">
      <c r="B231" s="2" t="str">
        <v>Lithuania_bus_2040</v>
      </c>
      <c r="C231" s="8">
        <v>8069</v>
      </c>
      <c r="D231" s="8">
        <v>0.21299999999999999</v>
      </c>
      <c r="E231" s="8">
        <v>0</v>
      </c>
      <c r="F231" s="8">
        <v>0.45200000000000001</v>
      </c>
      <c r="G231" s="8">
        <v>0.28499999999999998</v>
      </c>
      <c r="H231" s="8">
        <v>0.05</v>
      </c>
      <c r="I231" s="8">
        <v>0</v>
      </c>
      <c r="J231" s="8">
        <v>0</v>
      </c>
    </row>
    <row r="232" spans="2:10" x14ac:dyDescent="0.25">
      <c r="B232" s="2" t="str">
        <v>Luxembourg_bus_2040</v>
      </c>
      <c r="C232" s="8">
        <v>2217</v>
      </c>
      <c r="D232" s="8">
        <v>0.95</v>
      </c>
      <c r="E232" s="8">
        <v>0</v>
      </c>
      <c r="F232" s="8">
        <v>0.02</v>
      </c>
      <c r="G232" s="8">
        <v>0.03</v>
      </c>
      <c r="H232" s="8">
        <v>0</v>
      </c>
      <c r="I232" s="8">
        <v>0</v>
      </c>
      <c r="J232" s="8">
        <v>0</v>
      </c>
    </row>
    <row r="233" spans="2:10" x14ac:dyDescent="0.25">
      <c r="B233" s="2" t="str">
        <v>Malta_bus_2040</v>
      </c>
      <c r="C233" s="8">
        <v>2306</v>
      </c>
      <c r="D233" s="8">
        <v>0.10300000000000001</v>
      </c>
      <c r="E233" s="8">
        <v>0</v>
      </c>
      <c r="F233" s="8">
        <v>0.89700000000000002</v>
      </c>
      <c r="G233" s="8">
        <v>0</v>
      </c>
      <c r="H233" s="8">
        <v>0</v>
      </c>
      <c r="I233" s="8">
        <v>0</v>
      </c>
      <c r="J233" s="8">
        <v>0</v>
      </c>
    </row>
    <row r="234" spans="2:10" x14ac:dyDescent="0.25">
      <c r="B234" s="2" t="str">
        <v>Netherlands_bus_2040</v>
      </c>
      <c r="C234" s="8">
        <v>9316</v>
      </c>
      <c r="D234" s="8">
        <v>0.72799999999999998</v>
      </c>
      <c r="E234" s="8">
        <v>3.3300000000000003E-2</v>
      </c>
      <c r="F234" s="8">
        <v>0</v>
      </c>
      <c r="G234" s="8">
        <v>0.23870000000000002</v>
      </c>
      <c r="H234" s="8">
        <v>0</v>
      </c>
      <c r="I234" s="8">
        <v>0</v>
      </c>
      <c r="J234" s="8">
        <v>0</v>
      </c>
    </row>
    <row r="235" spans="2:10" x14ac:dyDescent="0.25">
      <c r="B235" s="2" t="str">
        <v>Norway_bus_2040</v>
      </c>
      <c r="C235" s="8">
        <v>15558</v>
      </c>
      <c r="D235" s="8">
        <v>0.2</v>
      </c>
      <c r="E235" s="8">
        <v>0</v>
      </c>
      <c r="F235" s="8">
        <v>0.53500000000000003</v>
      </c>
      <c r="G235" s="8">
        <v>0.125</v>
      </c>
      <c r="H235" s="8">
        <v>0.14000000000000001</v>
      </c>
      <c r="I235" s="8">
        <v>0</v>
      </c>
      <c r="J235" s="8">
        <v>0</v>
      </c>
    </row>
    <row r="236" spans="2:10" x14ac:dyDescent="0.25">
      <c r="B236" s="2" t="str">
        <v>Poland_bus_2040</v>
      </c>
      <c r="C236" s="8">
        <v>126547</v>
      </c>
      <c r="D236" s="8">
        <v>0.2</v>
      </c>
      <c r="E236" s="8">
        <v>0</v>
      </c>
      <c r="F236" s="8">
        <v>0.53500000000000003</v>
      </c>
      <c r="G236" s="8">
        <v>0.125</v>
      </c>
      <c r="H236" s="8">
        <v>0.14000000000000001</v>
      </c>
      <c r="I236" s="8">
        <v>0</v>
      </c>
      <c r="J236" s="8">
        <v>0</v>
      </c>
    </row>
    <row r="237" spans="2:10" x14ac:dyDescent="0.25">
      <c r="B237" s="2" t="str">
        <v>Portugal_bus_2040</v>
      </c>
      <c r="C237" s="8">
        <v>17300</v>
      </c>
      <c r="D237" s="8">
        <v>0.3</v>
      </c>
      <c r="E237" s="8">
        <v>0</v>
      </c>
      <c r="F237" s="8">
        <v>0.47499999999999998</v>
      </c>
      <c r="G237" s="8">
        <v>0.125</v>
      </c>
      <c r="H237" s="8">
        <v>0.1</v>
      </c>
      <c r="I237" s="8">
        <v>0</v>
      </c>
      <c r="J237" s="8">
        <v>0</v>
      </c>
    </row>
    <row r="238" spans="2:10" x14ac:dyDescent="0.25">
      <c r="B238" s="2" t="str">
        <v>Romania_bus_2040</v>
      </c>
      <c r="C238" s="8">
        <v>54351</v>
      </c>
      <c r="D238" s="8">
        <v>0.21299999999999999</v>
      </c>
      <c r="E238" s="8">
        <v>0</v>
      </c>
      <c r="F238" s="8">
        <v>0.45200000000000001</v>
      </c>
      <c r="G238" s="8">
        <v>0.28499999999999998</v>
      </c>
      <c r="H238" s="8">
        <v>0.05</v>
      </c>
      <c r="I238" s="8">
        <v>0</v>
      </c>
      <c r="J238" s="8">
        <v>0</v>
      </c>
    </row>
    <row r="239" spans="2:10" x14ac:dyDescent="0.25">
      <c r="B239" s="2" t="str">
        <v>Slovakia_bus_2040</v>
      </c>
      <c r="C239" s="8">
        <v>8282</v>
      </c>
      <c r="D239" s="8">
        <v>0.21299999999999999</v>
      </c>
      <c r="E239" s="8">
        <v>0</v>
      </c>
      <c r="F239" s="8">
        <v>0.53200000000000003</v>
      </c>
      <c r="G239" s="8">
        <v>0.125</v>
      </c>
      <c r="H239" s="8">
        <v>0.13</v>
      </c>
      <c r="I239" s="8">
        <v>0</v>
      </c>
      <c r="J239" s="8">
        <v>0</v>
      </c>
    </row>
    <row r="240" spans="2:10" x14ac:dyDescent="0.25">
      <c r="B240" s="2" t="str">
        <v>Slovenia_bus_2040</v>
      </c>
      <c r="C240" s="8">
        <v>2502</v>
      </c>
      <c r="D240" s="8">
        <v>0.21299999999999999</v>
      </c>
      <c r="E240" s="8">
        <v>0</v>
      </c>
      <c r="F240" s="8">
        <v>0.45200000000000001</v>
      </c>
      <c r="G240" s="8">
        <v>0.28499999999999998</v>
      </c>
      <c r="H240" s="8">
        <v>0.05</v>
      </c>
      <c r="I240" s="8">
        <v>0</v>
      </c>
      <c r="J240" s="8">
        <v>0</v>
      </c>
    </row>
    <row r="241" spans="2:10" x14ac:dyDescent="0.25">
      <c r="B241" s="2" t="str">
        <v>Spain_bus_2040</v>
      </c>
      <c r="C241" s="8">
        <v>60998</v>
      </c>
      <c r="D241" s="8">
        <v>0.2</v>
      </c>
      <c r="E241" s="8">
        <v>0</v>
      </c>
      <c r="F241" s="8">
        <v>0.45</v>
      </c>
      <c r="G241" s="8">
        <v>0</v>
      </c>
      <c r="H241" s="8">
        <v>0.35</v>
      </c>
      <c r="I241" s="8">
        <v>0</v>
      </c>
      <c r="J241" s="8">
        <v>0</v>
      </c>
    </row>
    <row r="242" spans="2:10" x14ac:dyDescent="0.25">
      <c r="B242" s="2" t="str">
        <v>Sweden_bus_2040</v>
      </c>
      <c r="C242" s="8">
        <v>13594</v>
      </c>
      <c r="D242" s="8">
        <v>9.8000000000000004E-2</v>
      </c>
      <c r="E242" s="8">
        <v>0</v>
      </c>
      <c r="F242" s="8">
        <v>0.45200000000000001</v>
      </c>
      <c r="G242" s="8">
        <v>0.4</v>
      </c>
      <c r="H242" s="8">
        <v>0.05</v>
      </c>
      <c r="I242" s="8">
        <v>0</v>
      </c>
      <c r="J242" s="8">
        <v>0</v>
      </c>
    </row>
    <row r="243" spans="2:10" x14ac:dyDescent="0.25">
      <c r="B243" s="2" t="str">
        <v>Switzerland_bus_2040</v>
      </c>
      <c r="C243" s="8">
        <v>9224</v>
      </c>
      <c r="D243" s="8">
        <v>0.21299999999999999</v>
      </c>
      <c r="E243" s="8">
        <v>0</v>
      </c>
      <c r="F243" s="8">
        <v>0.45200000000000001</v>
      </c>
      <c r="G243" s="8">
        <v>0.28499999999999998</v>
      </c>
      <c r="H243" s="8">
        <v>0.05</v>
      </c>
      <c r="I243" s="8">
        <v>0</v>
      </c>
      <c r="J243" s="8">
        <v>0</v>
      </c>
    </row>
    <row r="244" spans="2:10" x14ac:dyDescent="0.25">
      <c r="B244" s="2" t="str">
        <v>United_Kingdom_bus_2040</v>
      </c>
      <c r="C244" s="8">
        <v>81652</v>
      </c>
      <c r="D244" s="8">
        <v>0.35499999999999998</v>
      </c>
      <c r="E244" s="8">
        <v>2E-3</v>
      </c>
      <c r="F244" s="8">
        <v>0.46799999999999997</v>
      </c>
      <c r="G244" s="8">
        <v>0.125</v>
      </c>
      <c r="H244" s="8">
        <v>0.05</v>
      </c>
      <c r="I244" s="8">
        <v>0</v>
      </c>
      <c r="J244" s="8">
        <v>0</v>
      </c>
    </row>
    <row r="245" spans="2:10" x14ac:dyDescent="0.25">
      <c r="B245" s="2" t="str" cm="1">
        <f t="array" ref="B245:B274">countries&amp;"_bus_2050"</f>
        <v>Austria_bus_2050</v>
      </c>
      <c r="C245" s="8" cm="1">
        <f t="array" ref="C245:C274">bus_fleet</f>
        <v>10136</v>
      </c>
      <c r="D245" s="8" cm="1">
        <f t="array" ref="D245:J274">Bus_splits_2050</f>
        <v>0.8</v>
      </c>
      <c r="E245" s="8">
        <v>0</v>
      </c>
      <c r="F245" s="8">
        <v>0</v>
      </c>
      <c r="G245" s="8">
        <v>0.2</v>
      </c>
      <c r="H245" s="8">
        <v>0</v>
      </c>
      <c r="I245" s="8">
        <v>0</v>
      </c>
      <c r="J245" s="8">
        <v>0</v>
      </c>
    </row>
    <row r="246" spans="2:10" x14ac:dyDescent="0.25">
      <c r="B246" s="2" t="str">
        <v>Belgium_bus_2050</v>
      </c>
      <c r="C246" s="8">
        <v>16606</v>
      </c>
      <c r="D246" s="8">
        <v>0.7</v>
      </c>
      <c r="E246" s="8">
        <v>0</v>
      </c>
      <c r="F246" s="8">
        <v>0</v>
      </c>
      <c r="G246" s="8">
        <v>0.25</v>
      </c>
      <c r="H246" s="8">
        <v>0.05</v>
      </c>
      <c r="I246" s="8">
        <v>0</v>
      </c>
      <c r="J246" s="8">
        <v>0</v>
      </c>
    </row>
    <row r="247" spans="2:10" x14ac:dyDescent="0.25">
      <c r="B247" s="2" t="str">
        <v>Bulgaria_bus_2050</v>
      </c>
      <c r="C247" s="8">
        <v>17352</v>
      </c>
      <c r="D247" s="8">
        <v>0.4</v>
      </c>
      <c r="E247" s="8">
        <v>0</v>
      </c>
      <c r="F247" s="8">
        <v>0.14000000000000001</v>
      </c>
      <c r="G247" s="8">
        <v>0.4</v>
      </c>
      <c r="H247" s="8">
        <v>0.06</v>
      </c>
      <c r="I247" s="8">
        <v>0</v>
      </c>
      <c r="J247" s="8">
        <v>0</v>
      </c>
    </row>
    <row r="248" spans="2:10" x14ac:dyDescent="0.25">
      <c r="B248" s="2" t="str">
        <v>Croatia_bus_2050</v>
      </c>
      <c r="C248" s="8">
        <v>5136</v>
      </c>
      <c r="D248" s="8">
        <v>0.69</v>
      </c>
      <c r="E248" s="8">
        <v>0</v>
      </c>
      <c r="F248" s="8">
        <v>0.27</v>
      </c>
      <c r="G248" s="8">
        <v>0</v>
      </c>
      <c r="H248" s="8">
        <v>0.04</v>
      </c>
      <c r="I248" s="8">
        <v>0</v>
      </c>
      <c r="J248" s="8">
        <v>0</v>
      </c>
    </row>
    <row r="249" spans="2:10" x14ac:dyDescent="0.25">
      <c r="B249" s="2" t="str">
        <v>Cyprus_bus_2050</v>
      </c>
      <c r="C249" s="8">
        <v>2774</v>
      </c>
      <c r="D249" s="8">
        <v>0.4</v>
      </c>
      <c r="E249" s="8">
        <v>0</v>
      </c>
      <c r="F249" s="8">
        <v>0.14000000000000001</v>
      </c>
      <c r="G249" s="8">
        <v>0.4</v>
      </c>
      <c r="H249" s="8">
        <v>0.06</v>
      </c>
      <c r="I249" s="8">
        <v>0</v>
      </c>
      <c r="J249" s="8">
        <v>0</v>
      </c>
    </row>
    <row r="250" spans="2:10" x14ac:dyDescent="0.25">
      <c r="B250" s="2" t="str">
        <v>Czechia_bus_2050</v>
      </c>
      <c r="C250" s="8">
        <v>20489</v>
      </c>
      <c r="D250" s="8">
        <v>0.4</v>
      </c>
      <c r="E250" s="8">
        <v>0</v>
      </c>
      <c r="F250" s="8">
        <v>0.22</v>
      </c>
      <c r="G250" s="8">
        <v>0.23</v>
      </c>
      <c r="H250" s="8">
        <v>0.15</v>
      </c>
      <c r="I250" s="8">
        <v>0</v>
      </c>
      <c r="J250" s="8">
        <v>0</v>
      </c>
    </row>
    <row r="251" spans="2:10" x14ac:dyDescent="0.25">
      <c r="B251" s="2" t="str">
        <v>Denmark_bus_2050</v>
      </c>
      <c r="C251" s="8">
        <v>8684</v>
      </c>
      <c r="D251" s="8">
        <v>0.5</v>
      </c>
      <c r="E251" s="8">
        <v>0</v>
      </c>
      <c r="F251" s="8">
        <v>0</v>
      </c>
      <c r="G251" s="8">
        <v>0.5</v>
      </c>
      <c r="H251" s="8">
        <v>0</v>
      </c>
      <c r="I251" s="8">
        <v>0</v>
      </c>
      <c r="J251" s="8">
        <v>0</v>
      </c>
    </row>
    <row r="252" spans="2:10" x14ac:dyDescent="0.25">
      <c r="B252" s="2" t="str">
        <v>Estonia_bus_2050</v>
      </c>
      <c r="C252" s="8">
        <v>5327</v>
      </c>
      <c r="D252" s="8">
        <v>0.55000000000000004</v>
      </c>
      <c r="E252" s="8">
        <v>0</v>
      </c>
      <c r="F252" s="8">
        <v>0.05</v>
      </c>
      <c r="G252" s="8">
        <v>0.35</v>
      </c>
      <c r="H252" s="8">
        <v>0.05</v>
      </c>
      <c r="I252" s="8">
        <v>0</v>
      </c>
      <c r="J252" s="8">
        <v>0</v>
      </c>
    </row>
    <row r="253" spans="2:10" x14ac:dyDescent="0.25">
      <c r="B253" s="2" t="str">
        <v>Finland_bus_2050</v>
      </c>
      <c r="C253" s="8">
        <v>10476</v>
      </c>
      <c r="D253" s="8">
        <v>0.157407408</v>
      </c>
      <c r="E253" s="8">
        <v>0</v>
      </c>
      <c r="F253" s="8">
        <v>0</v>
      </c>
      <c r="G253" s="8">
        <v>0.58333333300000001</v>
      </c>
      <c r="H253" s="8">
        <v>0.25925925900000002</v>
      </c>
      <c r="I253" s="8">
        <v>0</v>
      </c>
      <c r="J253" s="8">
        <v>0</v>
      </c>
    </row>
    <row r="254" spans="2:10" x14ac:dyDescent="0.25">
      <c r="B254" s="2" t="str">
        <v>France_bus_2050</v>
      </c>
      <c r="C254" s="8">
        <v>94523</v>
      </c>
      <c r="D254" s="8">
        <v>0.47</v>
      </c>
      <c r="E254" s="8">
        <v>0</v>
      </c>
      <c r="F254" s="8">
        <v>0</v>
      </c>
      <c r="G254" s="8">
        <v>0.08</v>
      </c>
      <c r="H254" s="8">
        <v>0.45</v>
      </c>
      <c r="I254" s="8">
        <v>0</v>
      </c>
      <c r="J254" s="8">
        <v>0</v>
      </c>
    </row>
    <row r="255" spans="2:10" x14ac:dyDescent="0.25">
      <c r="B255" s="2" t="str">
        <v>Germany_bus_2050</v>
      </c>
      <c r="C255" s="8">
        <v>80225</v>
      </c>
      <c r="D255" s="8">
        <v>0.35</v>
      </c>
      <c r="E255" s="8">
        <v>0</v>
      </c>
      <c r="F255" s="8">
        <v>0.3</v>
      </c>
      <c r="G255" s="8">
        <v>0.3</v>
      </c>
      <c r="H255" s="8">
        <v>0.05</v>
      </c>
      <c r="I255" s="8">
        <v>0</v>
      </c>
      <c r="J255" s="8">
        <v>0</v>
      </c>
    </row>
    <row r="256" spans="2:10" x14ac:dyDescent="0.25">
      <c r="B256" s="2" t="str">
        <v>Greece_bus_2050</v>
      </c>
      <c r="C256" s="8">
        <v>28034</v>
      </c>
      <c r="D256" s="8">
        <v>0.29629629600000001</v>
      </c>
      <c r="E256" s="8">
        <v>0</v>
      </c>
      <c r="F256" s="8">
        <v>0</v>
      </c>
      <c r="G256" s="8">
        <v>0.70370370400000004</v>
      </c>
      <c r="H256" s="8">
        <v>0</v>
      </c>
      <c r="I256" s="8">
        <v>0</v>
      </c>
      <c r="J256" s="8">
        <v>0</v>
      </c>
    </row>
    <row r="257" spans="2:10" x14ac:dyDescent="0.25">
      <c r="B257" s="2" t="str">
        <v>Hungary_bus_2050</v>
      </c>
      <c r="C257" s="8">
        <v>17723</v>
      </c>
      <c r="D257" s="8">
        <v>0.4</v>
      </c>
      <c r="E257" s="8">
        <v>0</v>
      </c>
      <c r="F257" s="8">
        <v>0.14000000000000001</v>
      </c>
      <c r="G257" s="8">
        <v>0.4</v>
      </c>
      <c r="H257" s="8">
        <v>0.06</v>
      </c>
      <c r="I257" s="8">
        <v>0</v>
      </c>
      <c r="J257" s="8">
        <v>0</v>
      </c>
    </row>
    <row r="258" spans="2:10" x14ac:dyDescent="0.25">
      <c r="B258" s="2" t="str">
        <v>Ireland_bus_2050</v>
      </c>
      <c r="C258" s="8">
        <v>6758</v>
      </c>
      <c r="D258" s="8">
        <v>0.8</v>
      </c>
      <c r="E258" s="8">
        <v>0</v>
      </c>
      <c r="F258" s="8">
        <v>0</v>
      </c>
      <c r="G258" s="8">
        <v>0.1</v>
      </c>
      <c r="H258" s="8">
        <v>0</v>
      </c>
      <c r="I258" s="8">
        <v>0.1</v>
      </c>
      <c r="J258" s="8">
        <v>0</v>
      </c>
    </row>
    <row r="259" spans="2:10" x14ac:dyDescent="0.25">
      <c r="B259" s="2" t="str">
        <v>Italy_bus_2050</v>
      </c>
      <c r="C259" s="8">
        <v>100199</v>
      </c>
      <c r="D259" s="8">
        <v>0.4</v>
      </c>
      <c r="E259" s="8">
        <v>0</v>
      </c>
      <c r="F259" s="8">
        <v>0.05</v>
      </c>
      <c r="G259" s="8">
        <v>0.37</v>
      </c>
      <c r="H259" s="8">
        <v>0.04</v>
      </c>
      <c r="I259" s="8">
        <v>0.14000000000000001</v>
      </c>
      <c r="J259" s="8">
        <v>0</v>
      </c>
    </row>
    <row r="260" spans="2:10" x14ac:dyDescent="0.25">
      <c r="B260" s="2" t="str">
        <v>Latvia_bus_2050</v>
      </c>
      <c r="C260" s="8">
        <v>3742</v>
      </c>
      <c r="D260" s="8">
        <v>0.4</v>
      </c>
      <c r="E260" s="8">
        <v>0</v>
      </c>
      <c r="F260" s="8">
        <v>0.14000000000000001</v>
      </c>
      <c r="G260" s="8">
        <v>0.4</v>
      </c>
      <c r="H260" s="8">
        <v>0.06</v>
      </c>
      <c r="I260" s="8">
        <v>0</v>
      </c>
      <c r="J260" s="8">
        <v>0</v>
      </c>
    </row>
    <row r="261" spans="2:10" x14ac:dyDescent="0.25">
      <c r="B261" s="2" t="str">
        <v>Lithuania_bus_2050</v>
      </c>
      <c r="C261" s="8">
        <v>8069</v>
      </c>
      <c r="D261" s="8">
        <v>0.4</v>
      </c>
      <c r="E261" s="8">
        <v>0</v>
      </c>
      <c r="F261" s="8">
        <v>0.14000000000000001</v>
      </c>
      <c r="G261" s="8">
        <v>0.4</v>
      </c>
      <c r="H261" s="8">
        <v>0.06</v>
      </c>
      <c r="I261" s="8">
        <v>0</v>
      </c>
      <c r="J261" s="8">
        <v>0</v>
      </c>
    </row>
    <row r="262" spans="2:10" x14ac:dyDescent="0.25">
      <c r="B262" s="2" t="str">
        <v>Luxembourg_bus_2050</v>
      </c>
      <c r="C262" s="8">
        <v>2217</v>
      </c>
      <c r="D262" s="8">
        <v>0.87962963000000005</v>
      </c>
      <c r="E262" s="8">
        <v>0</v>
      </c>
      <c r="F262" s="8">
        <v>0</v>
      </c>
      <c r="G262" s="8">
        <v>0.12037037</v>
      </c>
      <c r="H262" s="8">
        <v>0</v>
      </c>
      <c r="I262" s="8">
        <v>0</v>
      </c>
      <c r="J262" s="8">
        <v>0</v>
      </c>
    </row>
    <row r="263" spans="2:10" x14ac:dyDescent="0.25">
      <c r="B263" s="2" t="str">
        <v>Malta_bus_2050</v>
      </c>
      <c r="C263" s="8">
        <v>2306</v>
      </c>
      <c r="D263" s="8">
        <v>0.4</v>
      </c>
      <c r="E263" s="8">
        <v>0</v>
      </c>
      <c r="F263" s="8">
        <v>0.14000000000000001</v>
      </c>
      <c r="G263" s="8">
        <v>0.4</v>
      </c>
      <c r="H263" s="8">
        <v>0.06</v>
      </c>
      <c r="I263" s="8">
        <v>0</v>
      </c>
      <c r="J263" s="8">
        <v>0</v>
      </c>
    </row>
    <row r="264" spans="2:10" x14ac:dyDescent="0.25">
      <c r="B264" s="2" t="str">
        <v>Netherlands_bus_2050</v>
      </c>
      <c r="C264" s="8">
        <v>9316</v>
      </c>
      <c r="D264" s="8">
        <v>0.5</v>
      </c>
      <c r="E264" s="8">
        <v>0.1</v>
      </c>
      <c r="F264" s="8">
        <v>0</v>
      </c>
      <c r="G264" s="8">
        <v>0.4</v>
      </c>
      <c r="H264" s="8">
        <v>0</v>
      </c>
      <c r="I264" s="8">
        <v>0</v>
      </c>
      <c r="J264" s="8">
        <v>0</v>
      </c>
    </row>
    <row r="265" spans="2:10" x14ac:dyDescent="0.25">
      <c r="B265" s="2" t="str">
        <v>Norway_bus_2050</v>
      </c>
      <c r="C265" s="8">
        <v>15558</v>
      </c>
      <c r="D265" s="8">
        <v>0.39</v>
      </c>
      <c r="E265" s="8">
        <v>0</v>
      </c>
      <c r="F265" s="8">
        <v>0.22</v>
      </c>
      <c r="G265" s="8">
        <v>0.23</v>
      </c>
      <c r="H265" s="8">
        <v>0.16</v>
      </c>
      <c r="I265" s="8">
        <v>0</v>
      </c>
      <c r="J265" s="8">
        <v>0</v>
      </c>
    </row>
    <row r="266" spans="2:10" x14ac:dyDescent="0.25">
      <c r="B266" s="2" t="str">
        <v>Poland_bus_2050</v>
      </c>
      <c r="C266" s="8">
        <v>126547</v>
      </c>
      <c r="D266" s="8">
        <v>0.39</v>
      </c>
      <c r="E266" s="8">
        <v>0</v>
      </c>
      <c r="F266" s="8">
        <v>0.22</v>
      </c>
      <c r="G266" s="8">
        <v>0.23</v>
      </c>
      <c r="H266" s="8">
        <v>0.16</v>
      </c>
      <c r="I266" s="8">
        <v>0</v>
      </c>
      <c r="J266" s="8">
        <v>0</v>
      </c>
    </row>
    <row r="267" spans="2:10" x14ac:dyDescent="0.25">
      <c r="B267" s="2" t="str">
        <v>Portugal_bus_2050</v>
      </c>
      <c r="C267" s="8">
        <v>17300</v>
      </c>
      <c r="D267" s="8">
        <v>0.6</v>
      </c>
      <c r="E267" s="8">
        <v>0</v>
      </c>
      <c r="F267" s="8">
        <v>0.05</v>
      </c>
      <c r="G267" s="8">
        <v>0.25</v>
      </c>
      <c r="H267" s="8">
        <v>0.1</v>
      </c>
      <c r="I267" s="8">
        <v>0</v>
      </c>
      <c r="J267" s="8">
        <v>0</v>
      </c>
    </row>
    <row r="268" spans="2:10" x14ac:dyDescent="0.25">
      <c r="B268" s="2" t="str">
        <v>Romania_bus_2050</v>
      </c>
      <c r="C268" s="8">
        <v>54351</v>
      </c>
      <c r="D268" s="8">
        <v>0.4</v>
      </c>
      <c r="E268" s="8">
        <v>0</v>
      </c>
      <c r="F268" s="8">
        <v>0.14000000000000001</v>
      </c>
      <c r="G268" s="8">
        <v>0.4</v>
      </c>
      <c r="H268" s="8">
        <v>0.06</v>
      </c>
      <c r="I268" s="8">
        <v>0</v>
      </c>
      <c r="J268" s="8">
        <v>0</v>
      </c>
    </row>
    <row r="269" spans="2:10" x14ac:dyDescent="0.25">
      <c r="B269" s="2" t="str">
        <v>Slovakia_bus_2050</v>
      </c>
      <c r="C269" s="8">
        <v>8282</v>
      </c>
      <c r="D269" s="8">
        <v>0.4</v>
      </c>
      <c r="E269" s="8">
        <v>0</v>
      </c>
      <c r="F269" s="8">
        <v>0.22</v>
      </c>
      <c r="G269" s="8">
        <v>0.23</v>
      </c>
      <c r="H269" s="8">
        <v>0.15</v>
      </c>
      <c r="I269" s="8">
        <v>0</v>
      </c>
      <c r="J269" s="8">
        <v>0</v>
      </c>
    </row>
    <row r="270" spans="2:10" x14ac:dyDescent="0.25">
      <c r="B270" s="2" t="str">
        <v>Slovenia_bus_2050</v>
      </c>
      <c r="C270" s="8">
        <v>2502</v>
      </c>
      <c r="D270" s="8">
        <v>0.4</v>
      </c>
      <c r="E270" s="8">
        <v>0</v>
      </c>
      <c r="F270" s="8">
        <v>0.14000000000000001</v>
      </c>
      <c r="G270" s="8">
        <v>0.4</v>
      </c>
      <c r="H270" s="8">
        <v>0.06</v>
      </c>
      <c r="I270" s="8">
        <v>0</v>
      </c>
      <c r="J270" s="8">
        <v>0</v>
      </c>
    </row>
    <row r="271" spans="2:10" x14ac:dyDescent="0.25">
      <c r="B271" s="2" t="str">
        <v>Spain_bus_2050</v>
      </c>
      <c r="C271" s="8">
        <v>60998</v>
      </c>
      <c r="D271" s="8">
        <v>0.65</v>
      </c>
      <c r="E271" s="8">
        <v>0</v>
      </c>
      <c r="F271" s="8">
        <v>0</v>
      </c>
      <c r="G271" s="8">
        <v>0.2</v>
      </c>
      <c r="H271" s="8">
        <v>0.15</v>
      </c>
      <c r="I271" s="8">
        <v>0</v>
      </c>
      <c r="J271" s="8">
        <v>0</v>
      </c>
    </row>
    <row r="272" spans="2:10" x14ac:dyDescent="0.25">
      <c r="B272" s="2" t="str">
        <v>Sweden_bus_2050</v>
      </c>
      <c r="C272" s="8">
        <v>13594</v>
      </c>
      <c r="D272" s="8">
        <v>0.2</v>
      </c>
      <c r="E272" s="8">
        <v>0</v>
      </c>
      <c r="F272" s="8">
        <v>0.14000000000000001</v>
      </c>
      <c r="G272" s="8">
        <v>0.6</v>
      </c>
      <c r="H272" s="8">
        <v>0.06</v>
      </c>
      <c r="I272" s="8">
        <v>0</v>
      </c>
      <c r="J272" s="8">
        <v>0</v>
      </c>
    </row>
    <row r="273" spans="2:10" x14ac:dyDescent="0.25">
      <c r="B273" s="2" t="str">
        <v>Switzerland_bus_2050</v>
      </c>
      <c r="C273" s="8">
        <v>9224</v>
      </c>
      <c r="D273" s="8">
        <v>0.4</v>
      </c>
      <c r="E273" s="8">
        <v>0</v>
      </c>
      <c r="F273" s="8">
        <v>0.14000000000000001</v>
      </c>
      <c r="G273" s="8">
        <v>0.4</v>
      </c>
      <c r="H273" s="8">
        <v>0.06</v>
      </c>
      <c r="I273" s="8">
        <v>0</v>
      </c>
      <c r="J273" s="8">
        <v>0</v>
      </c>
    </row>
    <row r="274" spans="2:10" x14ac:dyDescent="0.25">
      <c r="B274" s="2" t="str">
        <v>United_Kingdom_bus_2050</v>
      </c>
      <c r="C274" s="8">
        <v>81652</v>
      </c>
      <c r="D274" s="8">
        <v>0.7</v>
      </c>
      <c r="E274" s="8">
        <v>0</v>
      </c>
      <c r="F274" s="8">
        <v>0</v>
      </c>
      <c r="G274" s="8">
        <v>0.25</v>
      </c>
      <c r="H274" s="8">
        <v>0.05</v>
      </c>
      <c r="I274" s="8">
        <v>0</v>
      </c>
      <c r="J274" s="8">
        <v>0</v>
      </c>
    </row>
    <row r="275" spans="2:10" x14ac:dyDescent="0.25">
      <c r="B275" s="2" t="str" cm="1">
        <f t="array" ref="B275:B304">countries&amp;"_truck_2030"</f>
        <v>Austria_truck_2030</v>
      </c>
      <c r="C275" s="8" cm="1">
        <f t="array" ref="C275:C304">truck_fleet</f>
        <v>74473</v>
      </c>
      <c r="D275" s="8" cm="1">
        <f t="array" ref="D275:J304">Truck_splits_2030</f>
        <v>0.32500000000000001</v>
      </c>
      <c r="E275" s="8">
        <v>5.4242164354999997E-3</v>
      </c>
      <c r="F275" s="8">
        <v>0.51948093498699999</v>
      </c>
      <c r="G275" s="8">
        <v>0.15</v>
      </c>
      <c r="H275" s="8">
        <v>9.4848578500000003E-5</v>
      </c>
      <c r="I275" s="8">
        <v>0</v>
      </c>
      <c r="J275" s="8">
        <v>0</v>
      </c>
    </row>
    <row r="276" spans="2:10" x14ac:dyDescent="0.25">
      <c r="B276" s="2" t="str">
        <v>Belgium_truck_2030</v>
      </c>
      <c r="C276" s="8">
        <v>138807</v>
      </c>
      <c r="D276" s="8">
        <v>0.14349999999999999</v>
      </c>
      <c r="E276" s="8">
        <v>1.4934463597499999E-2</v>
      </c>
      <c r="F276" s="8">
        <v>0.67465854591950003</v>
      </c>
      <c r="G276" s="8">
        <v>0.115</v>
      </c>
      <c r="H276" s="8">
        <v>1.9069904839999999E-3</v>
      </c>
      <c r="I276" s="8">
        <v>0.05</v>
      </c>
      <c r="J276" s="8">
        <v>0</v>
      </c>
    </row>
    <row r="277" spans="2:10" x14ac:dyDescent="0.25">
      <c r="B277" s="2" t="str">
        <v>Bulgaria_truck_2030</v>
      </c>
      <c r="C277" s="8">
        <v>53325.61</v>
      </c>
      <c r="D277" s="8">
        <v>2.5000000000000001E-2</v>
      </c>
      <c r="E277" s="8">
        <v>1.1601134139E-2</v>
      </c>
      <c r="F277" s="8">
        <v>0.75585668035050002</v>
      </c>
      <c r="G277" s="8">
        <v>0.155</v>
      </c>
      <c r="H277" s="8">
        <v>5.2542185510999997E-2</v>
      </c>
      <c r="I277" s="8">
        <v>0</v>
      </c>
      <c r="J277" s="8">
        <v>0</v>
      </c>
    </row>
    <row r="278" spans="2:10" x14ac:dyDescent="0.25">
      <c r="B278" s="2" t="str">
        <v>Croatia_truck_2030</v>
      </c>
      <c r="C278" s="8">
        <v>51072</v>
      </c>
      <c r="D278" s="8">
        <v>0</v>
      </c>
      <c r="E278" s="8">
        <v>4.6756769955000003E-3</v>
      </c>
      <c r="F278" s="8">
        <v>0.95030328480000004</v>
      </c>
      <c r="G278" s="8">
        <v>3.5000000000000003E-2</v>
      </c>
      <c r="H278" s="8">
        <v>1.0021038204999999E-2</v>
      </c>
      <c r="I278" s="8">
        <v>0</v>
      </c>
      <c r="J278" s="8">
        <v>0</v>
      </c>
    </row>
    <row r="279" spans="2:10" x14ac:dyDescent="0.25">
      <c r="B279" s="2" t="str">
        <v>Cyprus_truck_2030</v>
      </c>
      <c r="C279" s="8">
        <v>13710</v>
      </c>
      <c r="D279" s="8">
        <v>2.5000000000000001E-2</v>
      </c>
      <c r="E279" s="8">
        <v>7.06872549425E-2</v>
      </c>
      <c r="F279" s="8">
        <v>0.69681274505799995</v>
      </c>
      <c r="G279" s="8">
        <v>0.155</v>
      </c>
      <c r="H279" s="8">
        <v>5.2499999999999998E-2</v>
      </c>
      <c r="I279" s="8">
        <v>0</v>
      </c>
      <c r="J279" s="8">
        <v>0</v>
      </c>
    </row>
    <row r="280" spans="2:10" x14ac:dyDescent="0.25">
      <c r="B280" s="2" t="str">
        <v>Czechia_truck_2030</v>
      </c>
      <c r="C280" s="8">
        <v>186905</v>
      </c>
      <c r="D280" s="8">
        <v>2.5000000000000001E-2</v>
      </c>
      <c r="E280" s="8">
        <v>2.0248161498E-2</v>
      </c>
      <c r="F280" s="8">
        <v>0.78710319123749994</v>
      </c>
      <c r="G280" s="8">
        <v>8.5000000000000006E-2</v>
      </c>
      <c r="H280" s="8">
        <v>4.7648647265499999E-2</v>
      </c>
      <c r="I280" s="8">
        <v>3.5000000000000003E-2</v>
      </c>
      <c r="J280" s="8">
        <v>0</v>
      </c>
    </row>
    <row r="281" spans="2:10" x14ac:dyDescent="0.25">
      <c r="B281" s="2" t="str">
        <v>Denmark_truck_2030</v>
      </c>
      <c r="C281" s="8">
        <v>43227</v>
      </c>
      <c r="D281" s="8">
        <v>2.5000000000000001E-2</v>
      </c>
      <c r="E281" s="8">
        <v>1.5925143425499999E-2</v>
      </c>
      <c r="F281" s="8">
        <v>0.79141593105999997</v>
      </c>
      <c r="G281" s="8">
        <v>8.5000000000000006E-2</v>
      </c>
      <c r="H281" s="8">
        <v>8.2658925514999995E-2</v>
      </c>
      <c r="I281" s="8">
        <v>0</v>
      </c>
      <c r="J281" s="8">
        <v>0</v>
      </c>
    </row>
    <row r="282" spans="2:10" x14ac:dyDescent="0.25">
      <c r="B282" s="2" t="str">
        <v>Estonia_truck_2030</v>
      </c>
      <c r="C282" s="8">
        <v>41014</v>
      </c>
      <c r="D282" s="8">
        <v>6.5000000000000002E-2</v>
      </c>
      <c r="E282" s="8">
        <v>5.0295996294499996E-2</v>
      </c>
      <c r="F282" s="8">
        <v>0.72470400370599997</v>
      </c>
      <c r="G282" s="8">
        <v>7.4999999999999997E-2</v>
      </c>
      <c r="H282" s="8">
        <v>0.04</v>
      </c>
      <c r="I282" s="8">
        <v>4.4999999999999998E-2</v>
      </c>
      <c r="J282" s="8">
        <v>0</v>
      </c>
    </row>
    <row r="283" spans="2:10" x14ac:dyDescent="0.25">
      <c r="B283" s="2" t="str">
        <v>Finland_truck_2030</v>
      </c>
      <c r="C283" s="8">
        <v>94771</v>
      </c>
      <c r="D283" s="8">
        <v>0</v>
      </c>
      <c r="E283" s="8">
        <v>1.36237321845E-2</v>
      </c>
      <c r="F283" s="8">
        <v>0.68528034546500005</v>
      </c>
      <c r="G283" s="8">
        <v>0.14814814800000001</v>
      </c>
      <c r="H283" s="8">
        <v>7.8873699850999998E-2</v>
      </c>
      <c r="I283" s="8">
        <v>7.4074074500000003E-2</v>
      </c>
      <c r="J283" s="8">
        <v>0</v>
      </c>
    </row>
    <row r="284" spans="2:10" x14ac:dyDescent="0.25">
      <c r="B284" s="2" t="str">
        <v>France_truck_2030</v>
      </c>
      <c r="C284" s="8">
        <v>616467</v>
      </c>
      <c r="D284" s="8">
        <v>0.15000003166499998</v>
      </c>
      <c r="E284" s="8">
        <v>1.3891405411999999E-2</v>
      </c>
      <c r="F284" s="8">
        <v>0.66102168426749996</v>
      </c>
      <c r="G284" s="8">
        <v>0.05</v>
      </c>
      <c r="H284" s="8">
        <v>9.0086878656499988E-2</v>
      </c>
      <c r="I284" s="8">
        <v>3.5000000000000003E-2</v>
      </c>
      <c r="J284" s="8">
        <v>0</v>
      </c>
    </row>
    <row r="285" spans="2:10" x14ac:dyDescent="0.25">
      <c r="B285" s="2" t="str">
        <v>Germany_truck_2030</v>
      </c>
      <c r="C285" s="8">
        <v>964696</v>
      </c>
      <c r="D285" s="8">
        <v>0.20000009205050001</v>
      </c>
      <c r="E285" s="8">
        <v>4.7527787615000002E-3</v>
      </c>
      <c r="F285" s="8">
        <v>0.49517673549699998</v>
      </c>
      <c r="G285" s="8">
        <v>0.1</v>
      </c>
      <c r="H285" s="8">
        <v>7.0393692000000001E-5</v>
      </c>
      <c r="I285" s="8">
        <v>0.2</v>
      </c>
      <c r="J285" s="8">
        <v>0</v>
      </c>
    </row>
    <row r="286" spans="2:10" x14ac:dyDescent="0.25">
      <c r="B286" s="2" t="str">
        <v>Greece_truck_2030</v>
      </c>
      <c r="C286" s="8">
        <v>225571</v>
      </c>
      <c r="D286" s="8">
        <v>1.8518518500000001E-2</v>
      </c>
      <c r="E286" s="8">
        <v>0.1085338721105</v>
      </c>
      <c r="F286" s="8">
        <v>0.48398393481649998</v>
      </c>
      <c r="G286" s="8">
        <v>0.17592592600000001</v>
      </c>
      <c r="H286" s="8">
        <v>0.21303774857400001</v>
      </c>
      <c r="I286" s="8">
        <v>0</v>
      </c>
      <c r="J286" s="8">
        <v>0</v>
      </c>
    </row>
    <row r="287" spans="2:10" x14ac:dyDescent="0.25">
      <c r="B287" s="2" t="str">
        <v>Hungary_truck_2030</v>
      </c>
      <c r="C287" s="8">
        <v>95964</v>
      </c>
      <c r="D287" s="8">
        <v>2.5000000000000001E-2</v>
      </c>
      <c r="E287" s="8">
        <v>9.4700910504999999E-3</v>
      </c>
      <c r="F287" s="8">
        <v>0.7578585126520001</v>
      </c>
      <c r="G287" s="8">
        <v>0.155</v>
      </c>
      <c r="H287" s="8">
        <v>5.2671396298000002E-2</v>
      </c>
      <c r="I287" s="8">
        <v>0</v>
      </c>
      <c r="J287" s="8">
        <v>0</v>
      </c>
    </row>
    <row r="288" spans="2:10" x14ac:dyDescent="0.25">
      <c r="B288" s="2" t="str">
        <v>Ireland_truck_2030</v>
      </c>
      <c r="C288" s="8">
        <v>48158</v>
      </c>
      <c r="D288" s="8">
        <v>5.5E-2</v>
      </c>
      <c r="E288" s="8">
        <v>2.5099648249999999E-4</v>
      </c>
      <c r="F288" s="8">
        <v>0.64974900351800002</v>
      </c>
      <c r="G288" s="8">
        <v>0.22</v>
      </c>
      <c r="H288" s="8">
        <v>0</v>
      </c>
      <c r="I288" s="8">
        <v>7.4999999999999997E-2</v>
      </c>
      <c r="J288" s="8">
        <v>0</v>
      </c>
    </row>
    <row r="289" spans="2:10" x14ac:dyDescent="0.25">
      <c r="B289" s="2" t="str">
        <v>Italy_truck_2030</v>
      </c>
      <c r="C289" s="8">
        <v>960284</v>
      </c>
      <c r="D289" s="8">
        <v>0.06</v>
      </c>
      <c r="E289" s="8">
        <v>1.6518357749499998E-2</v>
      </c>
      <c r="F289" s="8">
        <v>0.57843274704199998</v>
      </c>
      <c r="G289" s="8">
        <v>0.105</v>
      </c>
      <c r="H289" s="8">
        <v>4.889521E-5</v>
      </c>
      <c r="I289" s="8">
        <v>0.24</v>
      </c>
      <c r="J289" s="8">
        <v>0</v>
      </c>
    </row>
    <row r="290" spans="2:10" x14ac:dyDescent="0.25">
      <c r="B290" s="2" t="str">
        <v>Latvia_truck_2030</v>
      </c>
      <c r="C290" s="8">
        <v>33144</v>
      </c>
      <c r="D290" s="8">
        <v>2.5000000000000001E-2</v>
      </c>
      <c r="E290" s="8">
        <v>3.2400330924999996E-3</v>
      </c>
      <c r="F290" s="8">
        <v>0.76425296697400003</v>
      </c>
      <c r="G290" s="8">
        <v>0.155</v>
      </c>
      <c r="H290" s="8">
        <v>5.2506999934499997E-2</v>
      </c>
      <c r="I290" s="8">
        <v>0</v>
      </c>
      <c r="J290" s="8">
        <v>0</v>
      </c>
    </row>
    <row r="291" spans="2:10" x14ac:dyDescent="0.25">
      <c r="B291" s="2" t="str">
        <v>Lithuania_truck_2030</v>
      </c>
      <c r="C291" s="8">
        <v>73019</v>
      </c>
      <c r="D291" s="8">
        <v>2.5000000000000001E-2</v>
      </c>
      <c r="E291" s="8">
        <v>2.3802757929999997E-3</v>
      </c>
      <c r="F291" s="8">
        <v>0.76511133509399998</v>
      </c>
      <c r="G291" s="8">
        <v>0.155</v>
      </c>
      <c r="H291" s="8">
        <v>5.2508389113499997E-2</v>
      </c>
      <c r="I291" s="8">
        <v>0</v>
      </c>
      <c r="J291" s="8">
        <v>0</v>
      </c>
    </row>
    <row r="292" spans="2:10" x14ac:dyDescent="0.25">
      <c r="B292" s="2" t="str">
        <v>Luxembourg_truck_2030</v>
      </c>
      <c r="C292" s="8">
        <v>13966</v>
      </c>
      <c r="D292" s="8">
        <v>0.41499999999999998</v>
      </c>
      <c r="E292" s="8">
        <v>6.3395746149999999E-4</v>
      </c>
      <c r="F292" s="8">
        <v>0.54936604253900001</v>
      </c>
      <c r="G292" s="8">
        <v>3.5000000000000003E-2</v>
      </c>
      <c r="H292" s="8">
        <v>0</v>
      </c>
      <c r="I292" s="8">
        <v>0</v>
      </c>
      <c r="J292" s="8">
        <v>0</v>
      </c>
    </row>
    <row r="293" spans="2:10" x14ac:dyDescent="0.25">
      <c r="B293" s="2" t="str">
        <v>Malta_truck_2030</v>
      </c>
      <c r="C293" s="8">
        <v>6834.49</v>
      </c>
      <c r="D293" s="8">
        <v>4.6500000000000007E-2</v>
      </c>
      <c r="E293" s="8">
        <v>3.9836660400000001E-2</v>
      </c>
      <c r="F293" s="8">
        <v>0.9071633396005</v>
      </c>
      <c r="G293" s="8">
        <v>0</v>
      </c>
      <c r="H293" s="8">
        <v>6.5000000000000006E-3</v>
      </c>
      <c r="I293" s="8">
        <v>0</v>
      </c>
      <c r="J293" s="8">
        <v>0</v>
      </c>
    </row>
    <row r="294" spans="2:10" x14ac:dyDescent="0.25">
      <c r="B294" s="2" t="str">
        <v>Netherlands_truck_2030</v>
      </c>
      <c r="C294" s="8">
        <v>158108</v>
      </c>
      <c r="D294" s="8">
        <v>0.136855467033</v>
      </c>
      <c r="E294" s="8">
        <v>0</v>
      </c>
      <c r="F294" s="8">
        <v>0.66059453296750004</v>
      </c>
      <c r="G294" s="8">
        <v>0.20254999999999998</v>
      </c>
      <c r="H294" s="8">
        <v>0</v>
      </c>
      <c r="I294" s="8">
        <v>0</v>
      </c>
      <c r="J294" s="8">
        <v>0</v>
      </c>
    </row>
    <row r="295" spans="2:10" x14ac:dyDescent="0.25">
      <c r="B295" s="2" t="str">
        <v>Norway_truck_2030</v>
      </c>
      <c r="C295" s="8">
        <v>88137</v>
      </c>
      <c r="D295" s="8">
        <v>6.5000000000000002E-2</v>
      </c>
      <c r="E295" s="8">
        <v>1.4039172834E-2</v>
      </c>
      <c r="F295" s="8">
        <v>0.74592523401449995</v>
      </c>
      <c r="G295" s="8">
        <v>0.15</v>
      </c>
      <c r="H295" s="8">
        <v>2.5035593152000001E-2</v>
      </c>
      <c r="I295" s="8">
        <v>0</v>
      </c>
      <c r="J295" s="8">
        <v>0</v>
      </c>
    </row>
    <row r="296" spans="2:10" x14ac:dyDescent="0.25">
      <c r="B296" s="2" t="str">
        <v>Poland_truck_2030</v>
      </c>
      <c r="C296" s="8">
        <v>1234074</v>
      </c>
      <c r="D296" s="8">
        <v>1.7500035218500003E-2</v>
      </c>
      <c r="E296" s="8">
        <v>3.9520248312000003E-2</v>
      </c>
      <c r="F296" s="8">
        <v>0.7754260449425</v>
      </c>
      <c r="G296" s="8">
        <v>8.5000000000000006E-2</v>
      </c>
      <c r="H296" s="8">
        <v>8.2553671528000014E-2</v>
      </c>
      <c r="I296" s="8">
        <v>0</v>
      </c>
      <c r="J296" s="8">
        <v>0</v>
      </c>
    </row>
    <row r="297" spans="2:10" x14ac:dyDescent="0.25">
      <c r="B297" s="2" t="str">
        <v>Portugal_truck_2030</v>
      </c>
      <c r="C297" s="8">
        <v>135000</v>
      </c>
      <c r="D297" s="8">
        <v>0.1</v>
      </c>
      <c r="E297" s="8">
        <v>4.3997116939999996E-3</v>
      </c>
      <c r="F297" s="8">
        <v>0.76057206952699996</v>
      </c>
      <c r="G297" s="8">
        <v>0.1</v>
      </c>
      <c r="H297" s="8">
        <v>3.5028218779499999E-2</v>
      </c>
      <c r="I297" s="8">
        <v>0</v>
      </c>
      <c r="J297" s="8">
        <v>0</v>
      </c>
    </row>
    <row r="298" spans="2:10" x14ac:dyDescent="0.25">
      <c r="B298" s="2" t="str">
        <v>Romania_truck_2030</v>
      </c>
      <c r="C298" s="8">
        <v>437267</v>
      </c>
      <c r="D298" s="8">
        <v>2.5000000000000001E-2</v>
      </c>
      <c r="E298" s="8">
        <v>6.3835702206000003E-2</v>
      </c>
      <c r="F298" s="8">
        <v>0.70366429779450002</v>
      </c>
      <c r="G298" s="8">
        <v>0.155</v>
      </c>
      <c r="H298" s="8">
        <v>5.2499999999999998E-2</v>
      </c>
      <c r="I298" s="8">
        <v>0</v>
      </c>
      <c r="J298" s="8">
        <v>0</v>
      </c>
    </row>
    <row r="299" spans="2:10" x14ac:dyDescent="0.25">
      <c r="B299" s="2" t="str">
        <v>Slovakia_truck_2030</v>
      </c>
      <c r="C299" s="8">
        <v>83341</v>
      </c>
      <c r="D299" s="8">
        <v>2.5000000000000001E-2</v>
      </c>
      <c r="E299" s="8">
        <v>3.0194523324000001E-2</v>
      </c>
      <c r="F299" s="8">
        <v>0.77730547667750005</v>
      </c>
      <c r="G299" s="8">
        <v>8.5000000000000006E-2</v>
      </c>
      <c r="H299" s="8">
        <v>8.2500000000000004E-2</v>
      </c>
      <c r="I299" s="8">
        <v>0</v>
      </c>
      <c r="J299" s="8">
        <v>0</v>
      </c>
    </row>
    <row r="300" spans="2:10" x14ac:dyDescent="0.25">
      <c r="B300" s="2" t="str">
        <v>Slovenia_truck_2030</v>
      </c>
      <c r="C300" s="8">
        <v>37951</v>
      </c>
      <c r="D300" s="8">
        <v>2.5000000000000001E-2</v>
      </c>
      <c r="E300" s="8">
        <v>4.5597001450000006E-3</v>
      </c>
      <c r="F300" s="8">
        <v>0.76294029985549994</v>
      </c>
      <c r="G300" s="8">
        <v>0.155</v>
      </c>
      <c r="H300" s="8">
        <v>5.2499999999999998E-2</v>
      </c>
      <c r="I300" s="8">
        <v>0</v>
      </c>
      <c r="J300" s="8">
        <v>0</v>
      </c>
    </row>
    <row r="301" spans="2:10" x14ac:dyDescent="0.25">
      <c r="B301" s="2" t="str">
        <v>Spain_truck_2030</v>
      </c>
      <c r="C301" s="8">
        <v>571927</v>
      </c>
      <c r="D301" s="8">
        <v>0.2</v>
      </c>
      <c r="E301" s="8">
        <v>7.0342353599999992E-3</v>
      </c>
      <c r="F301" s="8">
        <v>0.59293787956199995</v>
      </c>
      <c r="G301" s="8">
        <v>7.4999999999999997E-2</v>
      </c>
      <c r="H301" s="8">
        <v>2.78850785E-5</v>
      </c>
      <c r="I301" s="8">
        <v>0.125</v>
      </c>
      <c r="J301" s="8">
        <v>0</v>
      </c>
    </row>
    <row r="302" spans="2:10" x14ac:dyDescent="0.25">
      <c r="B302" s="2" t="str">
        <v>Sweden_truck_2030</v>
      </c>
      <c r="C302" s="8">
        <v>85554</v>
      </c>
      <c r="D302" s="8">
        <v>6.5000000000000002E-2</v>
      </c>
      <c r="E302" s="8">
        <v>1.4039172834E-2</v>
      </c>
      <c r="F302" s="8">
        <v>0.74592523401449995</v>
      </c>
      <c r="G302" s="8">
        <v>0.15</v>
      </c>
      <c r="H302" s="8">
        <v>2.5035593152000001E-2</v>
      </c>
      <c r="I302" s="8">
        <v>0</v>
      </c>
      <c r="J302" s="8">
        <v>0</v>
      </c>
    </row>
    <row r="303" spans="2:10" x14ac:dyDescent="0.25">
      <c r="B303" s="2" t="str">
        <v>Switzerland_truck_2030</v>
      </c>
      <c r="C303" s="8">
        <v>61410</v>
      </c>
      <c r="D303" s="8">
        <v>0.32500000000000001</v>
      </c>
      <c r="E303" s="8">
        <v>5.4242164354999997E-3</v>
      </c>
      <c r="F303" s="8">
        <v>0.51948093498699999</v>
      </c>
      <c r="G303" s="8">
        <v>0.15</v>
      </c>
      <c r="H303" s="8">
        <v>9.4848578500000003E-5</v>
      </c>
      <c r="I303" s="8">
        <v>0</v>
      </c>
      <c r="J303" s="8">
        <v>0</v>
      </c>
    </row>
    <row r="304" spans="2:10" x14ac:dyDescent="0.25">
      <c r="B304" s="2" t="str">
        <v>United_Kingdom_truck_2030</v>
      </c>
      <c r="C304" s="8">
        <v>740568</v>
      </c>
      <c r="D304" s="8">
        <v>0.136855467033</v>
      </c>
      <c r="E304" s="8">
        <v>0</v>
      </c>
      <c r="F304" s="8">
        <v>0.66059453296750004</v>
      </c>
      <c r="G304" s="8">
        <v>0.20254999999999998</v>
      </c>
      <c r="H304" s="8">
        <v>0</v>
      </c>
      <c r="I304" s="8">
        <v>0</v>
      </c>
      <c r="J304" s="8">
        <v>0</v>
      </c>
    </row>
    <row r="305" spans="2:10" x14ac:dyDescent="0.25">
      <c r="B305" s="2" t="str" cm="1">
        <f t="array" ref="B305:B334">countries&amp;"_truck_2040"</f>
        <v>Austria_truck_2040</v>
      </c>
      <c r="C305" s="8" cm="1">
        <f t="array" ref="C305:C334">truck_fleet</f>
        <v>74473</v>
      </c>
      <c r="D305" s="8" cm="1">
        <f t="array" ref="D305:J334">Truck_splits_2040</f>
        <v>0.65</v>
      </c>
      <c r="E305" s="8">
        <v>0</v>
      </c>
      <c r="F305" s="8">
        <v>0.05</v>
      </c>
      <c r="G305" s="8">
        <v>0.3</v>
      </c>
      <c r="H305" s="8">
        <v>0</v>
      </c>
      <c r="I305" s="8">
        <v>0</v>
      </c>
      <c r="J305" s="8">
        <v>0</v>
      </c>
    </row>
    <row r="306" spans="2:10" x14ac:dyDescent="0.25">
      <c r="B306" s="2" t="str">
        <v>Belgium_truck_2040</v>
      </c>
      <c r="C306" s="8">
        <v>138807</v>
      </c>
      <c r="D306" s="8">
        <v>0.28699999999999998</v>
      </c>
      <c r="E306" s="8">
        <v>0.01</v>
      </c>
      <c r="F306" s="8">
        <v>0.37</v>
      </c>
      <c r="G306" s="8">
        <v>0.23</v>
      </c>
      <c r="H306" s="8">
        <v>3.0000000000000001E-3</v>
      </c>
      <c r="I306" s="8">
        <v>0.1</v>
      </c>
      <c r="J306" s="8">
        <v>0</v>
      </c>
    </row>
    <row r="307" spans="2:10" x14ac:dyDescent="0.25">
      <c r="B307" s="2" t="str">
        <v>Bulgaria_truck_2040</v>
      </c>
      <c r="C307" s="8">
        <v>53325.61</v>
      </c>
      <c r="D307" s="8">
        <v>0.05</v>
      </c>
      <c r="E307" s="8">
        <v>0</v>
      </c>
      <c r="F307" s="8">
        <v>0.53500000000000003</v>
      </c>
      <c r="G307" s="8">
        <v>0.31</v>
      </c>
      <c r="H307" s="8">
        <v>0.105</v>
      </c>
      <c r="I307" s="8">
        <v>0</v>
      </c>
      <c r="J307" s="8">
        <v>0</v>
      </c>
    </row>
    <row r="308" spans="2:10" x14ac:dyDescent="0.25">
      <c r="B308" s="2" t="str">
        <v>Croatia_truck_2040</v>
      </c>
      <c r="C308" s="8">
        <v>51072</v>
      </c>
      <c r="D308" s="8">
        <v>0</v>
      </c>
      <c r="E308" s="8">
        <v>0</v>
      </c>
      <c r="F308" s="8">
        <v>0.91</v>
      </c>
      <c r="G308" s="8">
        <v>7.0000000000000007E-2</v>
      </c>
      <c r="H308" s="8">
        <v>0.02</v>
      </c>
      <c r="I308" s="8">
        <v>0</v>
      </c>
      <c r="J308" s="8">
        <v>0</v>
      </c>
    </row>
    <row r="309" spans="2:10" x14ac:dyDescent="0.25">
      <c r="B309" s="2" t="str">
        <v>Cyprus_truck_2040</v>
      </c>
      <c r="C309" s="8">
        <v>13710</v>
      </c>
      <c r="D309" s="8">
        <v>0.05</v>
      </c>
      <c r="E309" s="8">
        <v>0</v>
      </c>
      <c r="F309" s="8">
        <v>0.53500000000000003</v>
      </c>
      <c r="G309" s="8">
        <v>0.31</v>
      </c>
      <c r="H309" s="8">
        <v>0.105</v>
      </c>
      <c r="I309" s="8">
        <v>0</v>
      </c>
      <c r="J309" s="8">
        <v>0</v>
      </c>
    </row>
    <row r="310" spans="2:10" x14ac:dyDescent="0.25">
      <c r="B310" s="2" t="str">
        <v>Czechia_truck_2040</v>
      </c>
      <c r="C310" s="8">
        <v>186905</v>
      </c>
      <c r="D310" s="8">
        <v>0.05</v>
      </c>
      <c r="E310" s="8">
        <v>0</v>
      </c>
      <c r="F310" s="8">
        <v>0.61499999999999999</v>
      </c>
      <c r="G310" s="8">
        <v>0.17</v>
      </c>
      <c r="H310" s="8">
        <v>9.5000000000000001E-2</v>
      </c>
      <c r="I310" s="8">
        <v>7.0000000000000007E-2</v>
      </c>
      <c r="J310" s="8">
        <v>0</v>
      </c>
    </row>
    <row r="311" spans="2:10" x14ac:dyDescent="0.25">
      <c r="B311" s="2" t="str">
        <v>Denmark_truck_2040</v>
      </c>
      <c r="C311" s="8">
        <v>43227</v>
      </c>
      <c r="D311" s="8">
        <v>0.05</v>
      </c>
      <c r="E311" s="8">
        <v>0</v>
      </c>
      <c r="F311" s="8">
        <v>0.61499999999999999</v>
      </c>
      <c r="G311" s="8">
        <v>0.17</v>
      </c>
      <c r="H311" s="8">
        <v>0.16500000000000001</v>
      </c>
      <c r="I311" s="8">
        <v>0</v>
      </c>
      <c r="J311" s="8">
        <v>0</v>
      </c>
    </row>
    <row r="312" spans="2:10" x14ac:dyDescent="0.25">
      <c r="B312" s="2" t="str">
        <v>Estonia_truck_2040</v>
      </c>
      <c r="C312" s="8">
        <v>41014</v>
      </c>
      <c r="D312" s="8">
        <v>0.13</v>
      </c>
      <c r="E312" s="8">
        <v>0</v>
      </c>
      <c r="F312" s="8">
        <v>0.55000000000000004</v>
      </c>
      <c r="G312" s="8">
        <v>0.15</v>
      </c>
      <c r="H312" s="8">
        <v>0.08</v>
      </c>
      <c r="I312" s="8">
        <v>0.09</v>
      </c>
      <c r="J312" s="8">
        <v>0</v>
      </c>
    </row>
    <row r="313" spans="2:10" x14ac:dyDescent="0.25">
      <c r="B313" s="2" t="str">
        <v>Finland_truck_2040</v>
      </c>
      <c r="C313" s="8">
        <v>94771</v>
      </c>
      <c r="D313" s="8">
        <v>0</v>
      </c>
      <c r="E313" s="8">
        <v>0</v>
      </c>
      <c r="F313" s="8">
        <v>0.39814814799999998</v>
      </c>
      <c r="G313" s="8">
        <v>0.29629629600000001</v>
      </c>
      <c r="H313" s="8">
        <v>0.157407407</v>
      </c>
      <c r="I313" s="8">
        <v>0.14814814900000001</v>
      </c>
      <c r="J313" s="8">
        <v>0</v>
      </c>
    </row>
    <row r="314" spans="2:10" x14ac:dyDescent="0.25">
      <c r="B314" s="2" t="str">
        <v>France_truck_2040</v>
      </c>
      <c r="C314" s="8">
        <v>616467</v>
      </c>
      <c r="D314" s="8">
        <v>0.3</v>
      </c>
      <c r="E314" s="8">
        <v>0</v>
      </c>
      <c r="F314" s="8">
        <v>0.35</v>
      </c>
      <c r="G314" s="8">
        <v>0.1</v>
      </c>
      <c r="H314" s="8">
        <v>0.18</v>
      </c>
      <c r="I314" s="8">
        <v>7.0000000000000007E-2</v>
      </c>
      <c r="J314" s="8">
        <v>0</v>
      </c>
    </row>
    <row r="315" spans="2:10" x14ac:dyDescent="0.25">
      <c r="B315" s="2" t="str">
        <v>Germany_truck_2040</v>
      </c>
      <c r="C315" s="8">
        <v>964696</v>
      </c>
      <c r="D315" s="8">
        <v>0.4</v>
      </c>
      <c r="E315" s="8">
        <v>0</v>
      </c>
      <c r="F315" s="8">
        <v>0</v>
      </c>
      <c r="G315" s="8">
        <v>0.2</v>
      </c>
      <c r="H315" s="8">
        <v>0</v>
      </c>
      <c r="I315" s="8">
        <v>0.4</v>
      </c>
      <c r="J315" s="8">
        <v>0</v>
      </c>
    </row>
    <row r="316" spans="2:10" x14ac:dyDescent="0.25">
      <c r="B316" s="2" t="str">
        <v>Greece_truck_2040</v>
      </c>
      <c r="C316" s="8">
        <v>225571</v>
      </c>
      <c r="D316" s="8">
        <v>3.7037037000000002E-2</v>
      </c>
      <c r="E316" s="8">
        <v>0</v>
      </c>
      <c r="F316" s="8">
        <v>0.185185185</v>
      </c>
      <c r="G316" s="8">
        <v>0.35185185200000002</v>
      </c>
      <c r="H316" s="8">
        <v>0.42592592600099999</v>
      </c>
      <c r="I316" s="8">
        <v>0</v>
      </c>
      <c r="J316" s="8">
        <v>0</v>
      </c>
    </row>
    <row r="317" spans="2:10" x14ac:dyDescent="0.25">
      <c r="B317" s="2" t="str">
        <v>Hungary_truck_2040</v>
      </c>
      <c r="C317" s="8">
        <v>95964</v>
      </c>
      <c r="D317" s="8">
        <v>0.05</v>
      </c>
      <c r="E317" s="8">
        <v>0</v>
      </c>
      <c r="F317" s="8">
        <v>0.53500000000000003</v>
      </c>
      <c r="G317" s="8">
        <v>0.31</v>
      </c>
      <c r="H317" s="8">
        <v>0.105</v>
      </c>
      <c r="I317" s="8">
        <v>0</v>
      </c>
      <c r="J317" s="8">
        <v>0</v>
      </c>
    </row>
    <row r="318" spans="2:10" x14ac:dyDescent="0.25">
      <c r="B318" s="2" t="str">
        <v>Ireland_truck_2040</v>
      </c>
      <c r="C318" s="8">
        <v>48158</v>
      </c>
      <c r="D318" s="8">
        <v>0.11</v>
      </c>
      <c r="E318" s="8">
        <v>0</v>
      </c>
      <c r="F318" s="8">
        <v>0.3</v>
      </c>
      <c r="G318" s="8">
        <v>0.44</v>
      </c>
      <c r="H318" s="8">
        <v>0</v>
      </c>
      <c r="I318" s="8">
        <v>0.15</v>
      </c>
      <c r="J318" s="8">
        <v>0</v>
      </c>
    </row>
    <row r="319" spans="2:10" x14ac:dyDescent="0.25">
      <c r="B319" s="2" t="str">
        <v>Italy_truck_2040</v>
      </c>
      <c r="C319" s="8">
        <v>960284</v>
      </c>
      <c r="D319" s="8">
        <v>0.12</v>
      </c>
      <c r="E319" s="8">
        <v>0</v>
      </c>
      <c r="F319" s="8">
        <v>0.19</v>
      </c>
      <c r="G319" s="8">
        <v>0.21</v>
      </c>
      <c r="H319" s="8">
        <v>0</v>
      </c>
      <c r="I319" s="8">
        <v>0.48</v>
      </c>
      <c r="J319" s="8">
        <v>0</v>
      </c>
    </row>
    <row r="320" spans="2:10" x14ac:dyDescent="0.25">
      <c r="B320" s="2" t="str">
        <v>Latvia_truck_2040</v>
      </c>
      <c r="C320" s="8">
        <v>33144</v>
      </c>
      <c r="D320" s="8">
        <v>0.05</v>
      </c>
      <c r="E320" s="8">
        <v>0</v>
      </c>
      <c r="F320" s="8">
        <v>0.53500000000000003</v>
      </c>
      <c r="G320" s="8">
        <v>0.31</v>
      </c>
      <c r="H320" s="8">
        <v>0.105</v>
      </c>
      <c r="I320" s="8">
        <v>0</v>
      </c>
      <c r="J320" s="8">
        <v>0</v>
      </c>
    </row>
    <row r="321" spans="2:10" x14ac:dyDescent="0.25">
      <c r="B321" s="2" t="str">
        <v>Lithuania_truck_2040</v>
      </c>
      <c r="C321" s="8">
        <v>73019</v>
      </c>
      <c r="D321" s="8">
        <v>0.05</v>
      </c>
      <c r="E321" s="8">
        <v>0</v>
      </c>
      <c r="F321" s="8">
        <v>0.53500000000000003</v>
      </c>
      <c r="G321" s="8">
        <v>0.31</v>
      </c>
      <c r="H321" s="8">
        <v>0.105</v>
      </c>
      <c r="I321" s="8">
        <v>0</v>
      </c>
      <c r="J321" s="8">
        <v>0</v>
      </c>
    </row>
    <row r="322" spans="2:10" x14ac:dyDescent="0.25">
      <c r="B322" s="2" t="str">
        <v>Luxembourg_truck_2040</v>
      </c>
      <c r="C322" s="8">
        <v>13966</v>
      </c>
      <c r="D322" s="8">
        <v>0.83</v>
      </c>
      <c r="E322" s="8">
        <v>0</v>
      </c>
      <c r="F322" s="8">
        <v>0.1</v>
      </c>
      <c r="G322" s="8">
        <v>7.0000000000000007E-2</v>
      </c>
      <c r="H322" s="8">
        <v>0</v>
      </c>
      <c r="I322" s="8">
        <v>0</v>
      </c>
      <c r="J322" s="8">
        <v>0</v>
      </c>
    </row>
    <row r="323" spans="2:10" x14ac:dyDescent="0.25">
      <c r="B323" s="2" t="str">
        <v>Malta_truck_2040</v>
      </c>
      <c r="C323" s="8">
        <v>6834.49</v>
      </c>
      <c r="D323" s="8">
        <v>9.3000000000000013E-2</v>
      </c>
      <c r="E323" s="8">
        <v>4.0000000000000001E-3</v>
      </c>
      <c r="F323" s="8">
        <v>0.89</v>
      </c>
      <c r="G323" s="8">
        <v>0</v>
      </c>
      <c r="H323" s="8">
        <v>1.3000000000000001E-2</v>
      </c>
      <c r="I323" s="8">
        <v>0</v>
      </c>
      <c r="J323" s="8">
        <v>0</v>
      </c>
    </row>
    <row r="324" spans="2:10" x14ac:dyDescent="0.25">
      <c r="B324" s="2" t="str">
        <v>Netherlands_truck_2040</v>
      </c>
      <c r="C324" s="8">
        <v>158108</v>
      </c>
      <c r="D324" s="8">
        <v>0.2727</v>
      </c>
      <c r="E324" s="8">
        <v>0</v>
      </c>
      <c r="F324" s="8">
        <v>0.32219999999999999</v>
      </c>
      <c r="G324" s="8">
        <v>0.40509999999999996</v>
      </c>
      <c r="H324" s="8">
        <v>0</v>
      </c>
      <c r="I324" s="8">
        <v>0</v>
      </c>
      <c r="J324" s="8">
        <v>0</v>
      </c>
    </row>
    <row r="325" spans="2:10" x14ac:dyDescent="0.25">
      <c r="B325" s="2" t="str">
        <v>Norway_truck_2040</v>
      </c>
      <c r="C325" s="8">
        <v>88137</v>
      </c>
      <c r="D325" s="8">
        <v>0.13</v>
      </c>
      <c r="E325" s="8">
        <v>0</v>
      </c>
      <c r="F325" s="8">
        <v>0.52</v>
      </c>
      <c r="G325" s="8">
        <v>0.3</v>
      </c>
      <c r="H325" s="8">
        <v>0.05</v>
      </c>
      <c r="I325" s="8">
        <v>0</v>
      </c>
      <c r="J325" s="8">
        <v>0</v>
      </c>
    </row>
    <row r="326" spans="2:10" x14ac:dyDescent="0.25">
      <c r="B326" s="2" t="str">
        <v>Poland_truck_2040</v>
      </c>
      <c r="C326" s="8">
        <v>1234074</v>
      </c>
      <c r="D326" s="8">
        <v>3.5000000000000003E-2</v>
      </c>
      <c r="E326" s="8">
        <v>0</v>
      </c>
      <c r="F326" s="8">
        <v>0.63</v>
      </c>
      <c r="G326" s="8">
        <v>0.17</v>
      </c>
      <c r="H326" s="8">
        <v>0.16500000000000001</v>
      </c>
      <c r="I326" s="8">
        <v>0</v>
      </c>
      <c r="J326" s="8">
        <v>0</v>
      </c>
    </row>
    <row r="327" spans="2:10" x14ac:dyDescent="0.25">
      <c r="B327" s="2" t="str">
        <v>Portugal_truck_2040</v>
      </c>
      <c r="C327" s="8">
        <v>135000</v>
      </c>
      <c r="D327" s="8">
        <v>0.2</v>
      </c>
      <c r="E327" s="8">
        <v>0</v>
      </c>
      <c r="F327" s="8">
        <v>0.53</v>
      </c>
      <c r="G327" s="8">
        <v>0.2</v>
      </c>
      <c r="H327" s="8">
        <v>7.0000000000000007E-2</v>
      </c>
      <c r="I327" s="8">
        <v>0</v>
      </c>
      <c r="J327" s="8">
        <v>0</v>
      </c>
    </row>
    <row r="328" spans="2:10" x14ac:dyDescent="0.25">
      <c r="B328" s="2" t="str">
        <v>Romania_truck_2040</v>
      </c>
      <c r="C328" s="8">
        <v>437267</v>
      </c>
      <c r="D328" s="8">
        <v>0.05</v>
      </c>
      <c r="E328" s="8">
        <v>0</v>
      </c>
      <c r="F328" s="8">
        <v>0.53500000000000003</v>
      </c>
      <c r="G328" s="8">
        <v>0.31</v>
      </c>
      <c r="H328" s="8">
        <v>0.105</v>
      </c>
      <c r="I328" s="8">
        <v>0</v>
      </c>
      <c r="J328" s="8">
        <v>0</v>
      </c>
    </row>
    <row r="329" spans="2:10" x14ac:dyDescent="0.25">
      <c r="B329" s="2" t="str">
        <v>Slovakia_truck_2040</v>
      </c>
      <c r="C329" s="8">
        <v>83341</v>
      </c>
      <c r="D329" s="8">
        <v>0.05</v>
      </c>
      <c r="E329" s="8">
        <v>0</v>
      </c>
      <c r="F329" s="8">
        <v>0.61499999999999999</v>
      </c>
      <c r="G329" s="8">
        <v>0.17</v>
      </c>
      <c r="H329" s="8">
        <v>0.16500000000000001</v>
      </c>
      <c r="I329" s="8">
        <v>0</v>
      </c>
      <c r="J329" s="8">
        <v>0</v>
      </c>
    </row>
    <row r="330" spans="2:10" x14ac:dyDescent="0.25">
      <c r="B330" s="2" t="str">
        <v>Slovenia_truck_2040</v>
      </c>
      <c r="C330" s="8">
        <v>37951</v>
      </c>
      <c r="D330" s="8">
        <v>0.05</v>
      </c>
      <c r="E330" s="8">
        <v>0</v>
      </c>
      <c r="F330" s="8">
        <v>0.53500000000000003</v>
      </c>
      <c r="G330" s="8">
        <v>0.31</v>
      </c>
      <c r="H330" s="8">
        <v>0.105</v>
      </c>
      <c r="I330" s="8">
        <v>0</v>
      </c>
      <c r="J330" s="8">
        <v>0</v>
      </c>
    </row>
    <row r="331" spans="2:10" x14ac:dyDescent="0.25">
      <c r="B331" s="2" t="str">
        <v>Spain_truck_2040</v>
      </c>
      <c r="C331" s="8">
        <v>571927</v>
      </c>
      <c r="D331" s="8">
        <v>0.4</v>
      </c>
      <c r="E331" s="8">
        <v>0</v>
      </c>
      <c r="F331" s="8">
        <v>0.2</v>
      </c>
      <c r="G331" s="8">
        <v>0.15</v>
      </c>
      <c r="H331" s="8">
        <v>0</v>
      </c>
      <c r="I331" s="8">
        <v>0.25</v>
      </c>
      <c r="J331" s="8">
        <v>0</v>
      </c>
    </row>
    <row r="332" spans="2:10" x14ac:dyDescent="0.25">
      <c r="B332" s="2" t="str">
        <v>Sweden_truck_2040</v>
      </c>
      <c r="C332" s="8">
        <v>85554</v>
      </c>
      <c r="D332" s="8">
        <v>0.13</v>
      </c>
      <c r="E332" s="8">
        <v>0</v>
      </c>
      <c r="F332" s="8">
        <v>0.52</v>
      </c>
      <c r="G332" s="8">
        <v>0.3</v>
      </c>
      <c r="H332" s="8">
        <v>0.05</v>
      </c>
      <c r="I332" s="8">
        <v>0</v>
      </c>
      <c r="J332" s="8">
        <v>0</v>
      </c>
    </row>
    <row r="333" spans="2:10" x14ac:dyDescent="0.25">
      <c r="B333" s="2" t="str">
        <v>Switzerland_truck_2040</v>
      </c>
      <c r="C333" s="8">
        <v>61410</v>
      </c>
      <c r="D333" s="8">
        <v>0.65</v>
      </c>
      <c r="E333" s="8">
        <v>0</v>
      </c>
      <c r="F333" s="8">
        <v>0.05</v>
      </c>
      <c r="G333" s="8">
        <v>0.3</v>
      </c>
      <c r="H333" s="8">
        <v>0</v>
      </c>
      <c r="I333" s="8">
        <v>0</v>
      </c>
      <c r="J333" s="8">
        <v>0</v>
      </c>
    </row>
    <row r="334" spans="2:10" x14ac:dyDescent="0.25">
      <c r="B334" s="2" t="str">
        <v>United_Kingdom_truck_2040</v>
      </c>
      <c r="C334" s="8">
        <v>740568</v>
      </c>
      <c r="D334" s="8">
        <v>0.2727</v>
      </c>
      <c r="E334" s="8">
        <v>0</v>
      </c>
      <c r="F334" s="8">
        <v>0.32219999999999999</v>
      </c>
      <c r="G334" s="8">
        <v>0.40509999999999996</v>
      </c>
      <c r="H334" s="8">
        <v>0</v>
      </c>
      <c r="I334" s="8">
        <v>0</v>
      </c>
      <c r="J334" s="8">
        <v>0</v>
      </c>
    </row>
    <row r="335" spans="2:10" x14ac:dyDescent="0.25">
      <c r="B335" s="2" t="str" cm="1">
        <f t="array" ref="B335:B364">countries&amp;"_truck_2050"</f>
        <v>Austria_truck_2050</v>
      </c>
      <c r="C335" s="8" cm="1">
        <f t="array" ref="C335:C364">truck_fleet</f>
        <v>74473</v>
      </c>
      <c r="D335" s="8" cm="1">
        <f t="array" ref="D335:J364">Truck_splits_2050</f>
        <v>0.7</v>
      </c>
      <c r="E335" s="8">
        <v>0</v>
      </c>
      <c r="F335" s="8">
        <v>0</v>
      </c>
      <c r="G335" s="8">
        <v>0.3</v>
      </c>
      <c r="H335" s="8">
        <v>0</v>
      </c>
      <c r="I335" s="8">
        <v>0</v>
      </c>
      <c r="J335" s="8">
        <v>0</v>
      </c>
    </row>
    <row r="336" spans="2:10" x14ac:dyDescent="0.25">
      <c r="B336" s="2" t="str">
        <v>Belgium_truck_2050</v>
      </c>
      <c r="C336" s="8">
        <v>138807</v>
      </c>
      <c r="D336" s="8">
        <v>0.45</v>
      </c>
      <c r="E336" s="8">
        <v>0</v>
      </c>
      <c r="F336" s="8">
        <v>0</v>
      </c>
      <c r="G336" s="8">
        <v>0.4</v>
      </c>
      <c r="H336" s="8">
        <v>0</v>
      </c>
      <c r="I336" s="8">
        <v>0.15</v>
      </c>
      <c r="J336" s="8">
        <v>0</v>
      </c>
    </row>
    <row r="337" spans="2:10" x14ac:dyDescent="0.25">
      <c r="B337" s="2" t="str">
        <v>Bulgaria_truck_2050</v>
      </c>
      <c r="C337" s="8">
        <v>53325.61</v>
      </c>
      <c r="D337" s="8">
        <v>0.1</v>
      </c>
      <c r="E337" s="8">
        <v>0</v>
      </c>
      <c r="F337" s="8">
        <v>0.28000000000000003</v>
      </c>
      <c r="G337" s="8">
        <v>0.46</v>
      </c>
      <c r="H337" s="8">
        <v>0.16</v>
      </c>
      <c r="I337" s="8">
        <v>0</v>
      </c>
      <c r="J337" s="8">
        <v>0</v>
      </c>
    </row>
    <row r="338" spans="2:10" x14ac:dyDescent="0.25">
      <c r="B338" s="2" t="str">
        <v>Croatia_truck_2050</v>
      </c>
      <c r="C338" s="8">
        <v>51072</v>
      </c>
      <c r="D338" s="8">
        <v>0</v>
      </c>
      <c r="E338" s="8">
        <v>0</v>
      </c>
      <c r="F338" s="8">
        <v>0.39500000000000002</v>
      </c>
      <c r="G338" s="8">
        <v>0.15</v>
      </c>
      <c r="H338" s="8">
        <v>0.45500000000000002</v>
      </c>
      <c r="I338" s="8">
        <v>0</v>
      </c>
      <c r="J338" s="8">
        <v>0</v>
      </c>
    </row>
    <row r="339" spans="2:10" x14ac:dyDescent="0.25">
      <c r="B339" s="2" t="str">
        <v>Cyprus_truck_2050</v>
      </c>
      <c r="C339" s="8">
        <v>13710</v>
      </c>
      <c r="D339" s="8">
        <v>0.1</v>
      </c>
      <c r="E339" s="8">
        <v>0</v>
      </c>
      <c r="F339" s="8">
        <v>0.28000000000000003</v>
      </c>
      <c r="G339" s="8">
        <v>0.46</v>
      </c>
      <c r="H339" s="8">
        <v>0.16</v>
      </c>
      <c r="I339" s="8">
        <v>0</v>
      </c>
      <c r="J339" s="8">
        <v>0</v>
      </c>
    </row>
    <row r="340" spans="2:10" x14ac:dyDescent="0.25">
      <c r="B340" s="2" t="str">
        <v>Czechia_truck_2050</v>
      </c>
      <c r="C340" s="8">
        <v>186905</v>
      </c>
      <c r="D340" s="8">
        <v>0.1</v>
      </c>
      <c r="E340" s="8">
        <v>0</v>
      </c>
      <c r="F340" s="8">
        <v>0.36</v>
      </c>
      <c r="G340" s="8">
        <v>0.37</v>
      </c>
      <c r="H340" s="8">
        <v>0.12</v>
      </c>
      <c r="I340" s="8">
        <v>0.05</v>
      </c>
      <c r="J340" s="8">
        <v>0</v>
      </c>
    </row>
    <row r="341" spans="2:10" x14ac:dyDescent="0.25">
      <c r="B341" s="2" t="str">
        <v>Denmark_truck_2050</v>
      </c>
      <c r="C341" s="8">
        <v>43227</v>
      </c>
      <c r="D341" s="8">
        <v>0</v>
      </c>
      <c r="E341" s="8">
        <v>0</v>
      </c>
      <c r="F341" s="8">
        <v>0</v>
      </c>
      <c r="G341" s="8">
        <v>0.70044444400000005</v>
      </c>
      <c r="H341" s="8">
        <v>0.299555556</v>
      </c>
      <c r="I341" s="8">
        <v>0</v>
      </c>
      <c r="J341" s="8">
        <v>0</v>
      </c>
    </row>
    <row r="342" spans="2:10" x14ac:dyDescent="0.25">
      <c r="B342" s="2" t="str">
        <v>Estonia_truck_2050</v>
      </c>
      <c r="C342" s="8">
        <v>41014</v>
      </c>
      <c r="D342" s="8">
        <v>0.32</v>
      </c>
      <c r="E342" s="8">
        <v>0</v>
      </c>
      <c r="F342" s="8">
        <v>0.2</v>
      </c>
      <c r="G342" s="8">
        <v>0.4</v>
      </c>
      <c r="H342" s="8">
        <v>0.04</v>
      </c>
      <c r="I342" s="8">
        <v>0.04</v>
      </c>
      <c r="J342" s="8">
        <v>0</v>
      </c>
    </row>
    <row r="343" spans="2:10" x14ac:dyDescent="0.25">
      <c r="B343" s="2" t="str">
        <v>Finland_truck_2050</v>
      </c>
      <c r="C343" s="8">
        <v>94771</v>
      </c>
      <c r="D343" s="8">
        <v>2.7777777999999999E-2</v>
      </c>
      <c r="E343" s="8">
        <v>0</v>
      </c>
      <c r="F343" s="8">
        <v>0</v>
      </c>
      <c r="G343" s="8">
        <v>0.50925925900000002</v>
      </c>
      <c r="H343" s="8">
        <v>0.25</v>
      </c>
      <c r="I343" s="8">
        <v>0.21296296300100001</v>
      </c>
      <c r="J343" s="8">
        <v>0</v>
      </c>
    </row>
    <row r="344" spans="2:10" x14ac:dyDescent="0.25">
      <c r="B344" s="2" t="str">
        <v>France_truck_2050</v>
      </c>
      <c r="C344" s="8">
        <v>616467</v>
      </c>
      <c r="D344" s="8">
        <v>0.47</v>
      </c>
      <c r="E344" s="8">
        <v>0</v>
      </c>
      <c r="F344" s="8">
        <v>0.03</v>
      </c>
      <c r="G344" s="8">
        <v>0.15</v>
      </c>
      <c r="H344" s="8">
        <v>0.23</v>
      </c>
      <c r="I344" s="8">
        <v>0.12</v>
      </c>
      <c r="J344" s="8">
        <v>0</v>
      </c>
    </row>
    <row r="345" spans="2:10" x14ac:dyDescent="0.25">
      <c r="B345" s="2" t="str">
        <v>Germany_truck_2050</v>
      </c>
      <c r="C345" s="8">
        <v>964696</v>
      </c>
      <c r="D345" s="8">
        <v>0.5</v>
      </c>
      <c r="E345" s="8">
        <v>0</v>
      </c>
      <c r="F345" s="8">
        <v>0</v>
      </c>
      <c r="G345" s="8">
        <v>0.48</v>
      </c>
      <c r="H345" s="8">
        <v>0</v>
      </c>
      <c r="I345" s="8">
        <v>0.02</v>
      </c>
      <c r="J345" s="8">
        <v>0</v>
      </c>
    </row>
    <row r="346" spans="2:10" x14ac:dyDescent="0.25">
      <c r="B346" s="2" t="str">
        <v>Greece_truck_2050</v>
      </c>
      <c r="C346" s="8">
        <v>225571</v>
      </c>
      <c r="D346" s="8">
        <v>7.4074074000000004E-2</v>
      </c>
      <c r="E346" s="8">
        <v>0</v>
      </c>
      <c r="F346" s="8">
        <v>0</v>
      </c>
      <c r="G346" s="8">
        <v>0.87037036999999995</v>
      </c>
      <c r="H346" s="8">
        <v>5.5555555999999999E-2</v>
      </c>
      <c r="I346" s="8">
        <v>0</v>
      </c>
      <c r="J346" s="8">
        <v>0</v>
      </c>
    </row>
    <row r="347" spans="2:10" x14ac:dyDescent="0.25">
      <c r="B347" s="2" t="str">
        <v>Hungary_truck_2050</v>
      </c>
      <c r="C347" s="8">
        <v>95964</v>
      </c>
      <c r="D347" s="8">
        <v>0.1</v>
      </c>
      <c r="E347" s="8">
        <v>0</v>
      </c>
      <c r="F347" s="8">
        <v>0.28000000000000003</v>
      </c>
      <c r="G347" s="8">
        <v>0.46</v>
      </c>
      <c r="H347" s="8">
        <v>0.16</v>
      </c>
      <c r="I347" s="8">
        <v>0</v>
      </c>
      <c r="J347" s="8">
        <v>0</v>
      </c>
    </row>
    <row r="348" spans="2:10" x14ac:dyDescent="0.25">
      <c r="B348" s="2" t="str">
        <v>Ireland_truck_2050</v>
      </c>
      <c r="C348" s="8">
        <v>48158</v>
      </c>
      <c r="D348" s="8">
        <v>0.3</v>
      </c>
      <c r="E348" s="8">
        <v>0</v>
      </c>
      <c r="F348" s="8">
        <v>0</v>
      </c>
      <c r="G348" s="8">
        <v>0.55000000000000004</v>
      </c>
      <c r="H348" s="8">
        <v>0</v>
      </c>
      <c r="I348" s="8">
        <v>0.15</v>
      </c>
      <c r="J348" s="8">
        <v>0</v>
      </c>
    </row>
    <row r="349" spans="2:10" x14ac:dyDescent="0.25">
      <c r="B349" s="2" t="str">
        <v>Italy_truck_2050</v>
      </c>
      <c r="C349" s="8">
        <v>960284</v>
      </c>
      <c r="D349" s="8">
        <v>0.27</v>
      </c>
      <c r="E349" s="8">
        <v>0</v>
      </c>
      <c r="F349" s="8">
        <v>0.05</v>
      </c>
      <c r="G349" s="8">
        <v>0.35</v>
      </c>
      <c r="H349" s="8">
        <v>0</v>
      </c>
      <c r="I349" s="8">
        <v>0.33</v>
      </c>
      <c r="J349" s="8">
        <v>0</v>
      </c>
    </row>
    <row r="350" spans="2:10" x14ac:dyDescent="0.25">
      <c r="B350" s="2" t="str">
        <v>Latvia_truck_2050</v>
      </c>
      <c r="C350" s="8">
        <v>33144</v>
      </c>
      <c r="D350" s="8">
        <v>0.1</v>
      </c>
      <c r="E350" s="8">
        <v>0</v>
      </c>
      <c r="F350" s="8">
        <v>0.28000000000000003</v>
      </c>
      <c r="G350" s="8">
        <v>0.46</v>
      </c>
      <c r="H350" s="8">
        <v>0.16</v>
      </c>
      <c r="I350" s="8">
        <v>0</v>
      </c>
      <c r="J350" s="8">
        <v>0</v>
      </c>
    </row>
    <row r="351" spans="2:10" x14ac:dyDescent="0.25">
      <c r="B351" s="2" t="str">
        <v>Lithuania_truck_2050</v>
      </c>
      <c r="C351" s="8">
        <v>73019</v>
      </c>
      <c r="D351" s="8">
        <v>0.1</v>
      </c>
      <c r="E351" s="8">
        <v>0</v>
      </c>
      <c r="F351" s="8">
        <v>0.28000000000000003</v>
      </c>
      <c r="G351" s="8">
        <v>0.46</v>
      </c>
      <c r="H351" s="8">
        <v>0.16</v>
      </c>
      <c r="I351" s="8">
        <v>0</v>
      </c>
      <c r="J351" s="8">
        <v>0</v>
      </c>
    </row>
    <row r="352" spans="2:10" x14ac:dyDescent="0.25">
      <c r="B352" s="2" t="str">
        <v>Luxembourg_truck_2050</v>
      </c>
      <c r="C352" s="8">
        <v>13966</v>
      </c>
      <c r="D352" s="8">
        <v>0.79629629599999996</v>
      </c>
      <c r="E352" s="8">
        <v>0</v>
      </c>
      <c r="F352" s="8">
        <v>0</v>
      </c>
      <c r="G352" s="8">
        <v>0.20370370399999999</v>
      </c>
      <c r="H352" s="8">
        <v>0</v>
      </c>
      <c r="I352" s="8">
        <v>0</v>
      </c>
      <c r="J352" s="8">
        <v>0</v>
      </c>
    </row>
    <row r="353" spans="2:10" x14ac:dyDescent="0.25">
      <c r="B353" s="2" t="str">
        <v>Malta_truck_2050</v>
      </c>
      <c r="C353" s="8">
        <v>6834.49</v>
      </c>
      <c r="D353" s="8">
        <v>0.54</v>
      </c>
      <c r="E353" s="8">
        <v>0</v>
      </c>
      <c r="F353" s="8">
        <v>0.09</v>
      </c>
      <c r="G353" s="8">
        <v>0.28999999999999998</v>
      </c>
      <c r="H353" s="8">
        <v>0.08</v>
      </c>
      <c r="I353" s="8">
        <v>0</v>
      </c>
      <c r="J353" s="8">
        <v>0</v>
      </c>
    </row>
    <row r="354" spans="2:10" x14ac:dyDescent="0.25">
      <c r="B354" s="2" t="str">
        <v>Netherlands_truck_2050</v>
      </c>
      <c r="C354" s="8">
        <v>158108</v>
      </c>
      <c r="D354" s="8">
        <v>0.3</v>
      </c>
      <c r="E354" s="8">
        <v>0</v>
      </c>
      <c r="F354" s="8">
        <v>0.2</v>
      </c>
      <c r="G354" s="8">
        <v>0.5</v>
      </c>
      <c r="H354" s="8">
        <v>0</v>
      </c>
      <c r="I354" s="8">
        <v>0</v>
      </c>
      <c r="J354" s="8">
        <v>0</v>
      </c>
    </row>
    <row r="355" spans="2:10" x14ac:dyDescent="0.25">
      <c r="B355" s="2" t="str">
        <v>Norway_truck_2050</v>
      </c>
      <c r="C355" s="8">
        <v>88137</v>
      </c>
      <c r="D355" s="8">
        <v>0.09</v>
      </c>
      <c r="E355" s="8">
        <v>0</v>
      </c>
      <c r="F355" s="8">
        <v>0</v>
      </c>
      <c r="G355" s="8">
        <v>0.8</v>
      </c>
      <c r="H355" s="8">
        <v>0.11</v>
      </c>
      <c r="I355" s="8">
        <v>0</v>
      </c>
      <c r="J355" s="8">
        <v>0</v>
      </c>
    </row>
    <row r="356" spans="2:10" x14ac:dyDescent="0.25">
      <c r="B356" s="2" t="str">
        <v>Poland_truck_2050</v>
      </c>
      <c r="C356" s="8">
        <v>1234074</v>
      </c>
      <c r="D356" s="8">
        <v>0.09</v>
      </c>
      <c r="E356" s="8">
        <v>0</v>
      </c>
      <c r="F356" s="8">
        <v>0.36499999999999999</v>
      </c>
      <c r="G356" s="8">
        <v>0.32500000000000001</v>
      </c>
      <c r="H356" s="8">
        <v>0.22</v>
      </c>
      <c r="I356" s="8">
        <v>0</v>
      </c>
      <c r="J356" s="8">
        <v>0</v>
      </c>
    </row>
    <row r="357" spans="2:10" x14ac:dyDescent="0.25">
      <c r="B357" s="2" t="str">
        <v>Portugal_truck_2050</v>
      </c>
      <c r="C357" s="8">
        <v>135000</v>
      </c>
      <c r="D357" s="8">
        <v>0.4</v>
      </c>
      <c r="E357" s="8">
        <v>0</v>
      </c>
      <c r="F357" s="8">
        <v>0</v>
      </c>
      <c r="G357" s="8">
        <v>0.55000000000000004</v>
      </c>
      <c r="H357" s="8">
        <v>0.05</v>
      </c>
      <c r="I357" s="8">
        <v>0</v>
      </c>
      <c r="J357" s="8">
        <v>0</v>
      </c>
    </row>
    <row r="358" spans="2:10" x14ac:dyDescent="0.25">
      <c r="B358" s="2" t="str">
        <v>Romania_truck_2050</v>
      </c>
      <c r="C358" s="8">
        <v>437267</v>
      </c>
      <c r="D358" s="8">
        <v>0.1</v>
      </c>
      <c r="E358" s="8">
        <v>0</v>
      </c>
      <c r="F358" s="8">
        <v>0.28000000000000003</v>
      </c>
      <c r="G358" s="8">
        <v>0.46</v>
      </c>
      <c r="H358" s="8">
        <v>0.16</v>
      </c>
      <c r="I358" s="8">
        <v>0</v>
      </c>
      <c r="J358" s="8">
        <v>0</v>
      </c>
    </row>
    <row r="359" spans="2:10" x14ac:dyDescent="0.25">
      <c r="B359" s="2" t="str">
        <v>Slovakia_truck_2050</v>
      </c>
      <c r="C359" s="8">
        <v>83341</v>
      </c>
      <c r="D359" s="8">
        <v>0.1</v>
      </c>
      <c r="E359" s="8">
        <v>0</v>
      </c>
      <c r="F359" s="8">
        <v>0.36</v>
      </c>
      <c r="G359" s="8">
        <v>0.32</v>
      </c>
      <c r="H359" s="8">
        <v>0.22</v>
      </c>
      <c r="I359" s="8">
        <v>0</v>
      </c>
      <c r="J359" s="8">
        <v>0</v>
      </c>
    </row>
    <row r="360" spans="2:10" x14ac:dyDescent="0.25">
      <c r="B360" s="2" t="str">
        <v>Slovenia_truck_2050</v>
      </c>
      <c r="C360" s="8">
        <v>37951</v>
      </c>
      <c r="D360" s="8">
        <v>0.1</v>
      </c>
      <c r="E360" s="8">
        <v>0</v>
      </c>
      <c r="F360" s="8">
        <v>0.28000000000000003</v>
      </c>
      <c r="G360" s="8">
        <v>0.46</v>
      </c>
      <c r="H360" s="8">
        <v>0.16</v>
      </c>
      <c r="I360" s="8">
        <v>0</v>
      </c>
      <c r="J360" s="8">
        <v>0</v>
      </c>
    </row>
    <row r="361" spans="2:10" x14ac:dyDescent="0.25">
      <c r="B361" s="2" t="str">
        <v>Spain_truck_2050</v>
      </c>
      <c r="C361" s="8">
        <v>571927</v>
      </c>
      <c r="D361" s="8">
        <v>0.85</v>
      </c>
      <c r="E361" s="8">
        <v>0</v>
      </c>
      <c r="F361" s="8">
        <v>0</v>
      </c>
      <c r="G361" s="8">
        <v>0.15</v>
      </c>
      <c r="H361" s="8">
        <v>0</v>
      </c>
      <c r="I361" s="8">
        <v>0</v>
      </c>
      <c r="J361" s="8">
        <v>0</v>
      </c>
    </row>
    <row r="362" spans="2:10" x14ac:dyDescent="0.25">
      <c r="B362" s="2" t="str">
        <v>Sweden_truck_2050</v>
      </c>
      <c r="C362" s="8">
        <v>85554</v>
      </c>
      <c r="D362" s="8">
        <v>0.09</v>
      </c>
      <c r="E362" s="8">
        <v>0</v>
      </c>
      <c r="F362" s="8">
        <v>0</v>
      </c>
      <c r="G362" s="8">
        <v>0.8</v>
      </c>
      <c r="H362" s="8">
        <v>0.11</v>
      </c>
      <c r="I362" s="8">
        <v>0</v>
      </c>
      <c r="J362" s="8">
        <v>0</v>
      </c>
    </row>
    <row r="363" spans="2:10" x14ac:dyDescent="0.25">
      <c r="B363" s="2" t="str">
        <v>Switzerland_truck_2050</v>
      </c>
      <c r="C363" s="8">
        <v>61410</v>
      </c>
      <c r="D363" s="8">
        <v>0.7</v>
      </c>
      <c r="E363" s="8">
        <v>0</v>
      </c>
      <c r="F363" s="8">
        <v>0</v>
      </c>
      <c r="G363" s="8">
        <v>0.3</v>
      </c>
      <c r="H363" s="8">
        <v>0</v>
      </c>
      <c r="I363" s="8">
        <v>0</v>
      </c>
      <c r="J363" s="8">
        <v>0</v>
      </c>
    </row>
    <row r="364" spans="2:10" x14ac:dyDescent="0.25">
      <c r="B364" s="2" t="str">
        <v>United_Kingdom_truck_2050</v>
      </c>
      <c r="C364" s="8">
        <v>740568</v>
      </c>
      <c r="D364" s="8">
        <v>0.3</v>
      </c>
      <c r="E364" s="8">
        <v>0</v>
      </c>
      <c r="F364" s="8">
        <v>0.2</v>
      </c>
      <c r="G364" s="8">
        <v>0.5</v>
      </c>
      <c r="H364" s="8">
        <v>0</v>
      </c>
      <c r="I364" s="8">
        <v>0</v>
      </c>
      <c r="J364" s="8">
        <v>0</v>
      </c>
    </row>
    <row r="365" spans="2:10" x14ac:dyDescent="0.25">
      <c r="B365" s="2" t="str" cm="1">
        <f t="array" ref="B365:B394">countries&amp;"_van_2030"</f>
        <v>Austria_van_2030</v>
      </c>
      <c r="C365" s="8" cm="1">
        <f t="array" ref="C365:C394">van_fleet</f>
        <v>493387</v>
      </c>
      <c r="D365" s="8" cm="1">
        <f t="array" ref="D365:J394">Van_splits_2030</f>
        <v>0.41046081735250001</v>
      </c>
      <c r="E365" s="8">
        <v>4.7025325E-5</v>
      </c>
      <c r="F365" s="8">
        <v>0.49716452967250002</v>
      </c>
      <c r="G365" s="8">
        <v>6.5000000000000002E-2</v>
      </c>
      <c r="H365" s="8">
        <v>2.7115320835000001E-2</v>
      </c>
      <c r="I365" s="8">
        <v>0</v>
      </c>
      <c r="J365" s="8">
        <v>2.1230681599999999E-4</v>
      </c>
    </row>
    <row r="366" spans="2:10" x14ac:dyDescent="0.25">
      <c r="B366" s="2" t="str">
        <v>Belgium_van_2030</v>
      </c>
      <c r="C366" s="8">
        <v>861148</v>
      </c>
      <c r="D366" s="8">
        <v>0.27572202759449993</v>
      </c>
      <c r="E366" s="8">
        <v>0.14605666383300001</v>
      </c>
      <c r="F366" s="8">
        <v>0.52464365233350008</v>
      </c>
      <c r="G366" s="8">
        <v>4.1500000000000002E-2</v>
      </c>
      <c r="H366" s="8">
        <v>4.1892184094999996E-3</v>
      </c>
      <c r="I366" s="8">
        <v>0</v>
      </c>
      <c r="J366" s="8">
        <v>7.8884378305000002E-3</v>
      </c>
    </row>
    <row r="367" spans="2:10" x14ac:dyDescent="0.25">
      <c r="B367" s="2" t="str">
        <v>Bulgaria_van_2030</v>
      </c>
      <c r="C367" s="8">
        <v>46393.280700000003</v>
      </c>
      <c r="D367" s="8">
        <v>0.11193670767849999</v>
      </c>
      <c r="E367" s="8">
        <v>5.0150155000000003E-5</v>
      </c>
      <c r="F367" s="8">
        <v>0.75716472847649996</v>
      </c>
      <c r="G367" s="8">
        <v>0.12</v>
      </c>
      <c r="H367" s="8">
        <v>1.03733814195E-2</v>
      </c>
      <c r="I367" s="8">
        <v>0</v>
      </c>
      <c r="J367" s="8">
        <v>4.7503227199999996E-4</v>
      </c>
    </row>
    <row r="368" spans="2:10" x14ac:dyDescent="0.25">
      <c r="B368" s="2" t="str">
        <v>Croatia_van_2030</v>
      </c>
      <c r="C368" s="8">
        <v>162644</v>
      </c>
      <c r="D368" s="8">
        <v>5.8104388154499996E-2</v>
      </c>
      <c r="E368" s="8">
        <v>3.6877191000000002E-5</v>
      </c>
      <c r="F368" s="8">
        <v>0.91654270691149997</v>
      </c>
      <c r="G368" s="8">
        <v>0</v>
      </c>
      <c r="H368" s="8">
        <v>2.3355161419999999E-2</v>
      </c>
      <c r="I368" s="8">
        <v>0</v>
      </c>
      <c r="J368" s="8">
        <v>1.9608663245000001E-3</v>
      </c>
    </row>
    <row r="369" spans="2:10" x14ac:dyDescent="0.25">
      <c r="B369" s="2" t="str">
        <v>Cyprus_van_2030</v>
      </c>
      <c r="C369" s="8">
        <v>104216</v>
      </c>
      <c r="D369" s="8">
        <v>0.11166666665</v>
      </c>
      <c r="E369" s="8">
        <v>0</v>
      </c>
      <c r="F369" s="8">
        <v>0.75808992753749993</v>
      </c>
      <c r="G369" s="8">
        <v>0.12</v>
      </c>
      <c r="H369" s="8">
        <v>0.01</v>
      </c>
      <c r="I369" s="8">
        <v>0</v>
      </c>
      <c r="J369" s="8">
        <v>2.4340581300000001E-4</v>
      </c>
    </row>
    <row r="370" spans="2:10" x14ac:dyDescent="0.25">
      <c r="B370" s="2" t="str">
        <v>Czechia_van_2030</v>
      </c>
      <c r="C370" s="8">
        <v>610405</v>
      </c>
      <c r="D370" s="8">
        <v>0.11274687614899999</v>
      </c>
      <c r="E370" s="8">
        <v>4.1005343000000003E-5</v>
      </c>
      <c r="F370" s="8">
        <v>0.77178857535000001</v>
      </c>
      <c r="G370" s="8">
        <v>6.5000000000000002E-2</v>
      </c>
      <c r="H370" s="8">
        <v>3.7923304864500004E-2</v>
      </c>
      <c r="I370" s="8">
        <v>0</v>
      </c>
      <c r="J370" s="8">
        <v>1.2500238294999999E-2</v>
      </c>
    </row>
    <row r="371" spans="2:10" x14ac:dyDescent="0.25">
      <c r="B371" s="2" t="str">
        <v>Denmark_van_2030</v>
      </c>
      <c r="C371" s="8">
        <v>373267</v>
      </c>
      <c r="D371" s="8">
        <v>0.11222151373350001</v>
      </c>
      <c r="E371" s="8">
        <v>4.9833517000000003E-5</v>
      </c>
      <c r="F371" s="8">
        <v>0.79548888739450008</v>
      </c>
      <c r="G371" s="8">
        <v>6.5000000000000002E-2</v>
      </c>
      <c r="H371" s="8">
        <v>2.7239765356000003E-2</v>
      </c>
      <c r="I371" s="8">
        <v>0</v>
      </c>
      <c r="J371" s="8">
        <v>0</v>
      </c>
    </row>
    <row r="372" spans="2:10" x14ac:dyDescent="0.25">
      <c r="B372" s="2" t="str">
        <v>Estonia_van_2030</v>
      </c>
      <c r="C372" s="8">
        <v>99094</v>
      </c>
      <c r="D372" s="8">
        <v>0.17068899861200001</v>
      </c>
      <c r="E372" s="8">
        <v>5.0611128499999995E-5</v>
      </c>
      <c r="F372" s="8">
        <v>0.79035614893400008</v>
      </c>
      <c r="G372" s="8">
        <v>2.5000000000000001E-2</v>
      </c>
      <c r="H372" s="8">
        <v>9.3604334210000001E-3</v>
      </c>
      <c r="I372" s="8">
        <v>0</v>
      </c>
      <c r="J372" s="8">
        <v>4.5438079059999994E-3</v>
      </c>
    </row>
    <row r="373" spans="2:10" x14ac:dyDescent="0.25">
      <c r="B373" s="2" t="str">
        <v>Finland_van_2030</v>
      </c>
      <c r="C373" s="8">
        <v>343927</v>
      </c>
      <c r="D373" s="8">
        <v>7.7177966323999994E-2</v>
      </c>
      <c r="E373" s="8">
        <v>4.2012187000000002E-5</v>
      </c>
      <c r="F373" s="8">
        <v>0.64900778472249998</v>
      </c>
      <c r="G373" s="8">
        <v>9.2592592500000001E-2</v>
      </c>
      <c r="H373" s="8">
        <v>0.18117964426750002</v>
      </c>
      <c r="I373" s="8">
        <v>0</v>
      </c>
      <c r="J373" s="8">
        <v>0</v>
      </c>
    </row>
    <row r="374" spans="2:10" x14ac:dyDescent="0.25">
      <c r="B374" s="2" t="str">
        <v>France_van_2030</v>
      </c>
      <c r="C374" s="8">
        <v>6279138</v>
      </c>
      <c r="D374" s="8">
        <v>0.27599568561950005</v>
      </c>
      <c r="E374" s="8">
        <v>6.8970015000000006E-5</v>
      </c>
      <c r="F374" s="8">
        <v>0.69297183238899995</v>
      </c>
      <c r="G374" s="8">
        <v>5.0000000000000001E-3</v>
      </c>
      <c r="H374" s="8">
        <v>2.5377408632000002E-2</v>
      </c>
      <c r="I374" s="8">
        <v>0</v>
      </c>
      <c r="J374" s="8">
        <v>5.8610334549999996E-4</v>
      </c>
    </row>
    <row r="375" spans="2:10" x14ac:dyDescent="0.25">
      <c r="B375" s="2" t="str">
        <v>Germany_van_2030</v>
      </c>
      <c r="C375" s="8">
        <v>3141643</v>
      </c>
      <c r="D375" s="8">
        <v>0.40102359337700005</v>
      </c>
      <c r="E375" s="8">
        <v>1.5077195571999999E-2</v>
      </c>
      <c r="F375" s="8">
        <v>0.49570739145250003</v>
      </c>
      <c r="G375" s="8">
        <v>7.4999999999999997E-2</v>
      </c>
      <c r="H375" s="8">
        <v>1.0836152376999999E-2</v>
      </c>
      <c r="I375" s="8">
        <v>0</v>
      </c>
      <c r="J375" s="8">
        <v>2.3556672230000001E-3</v>
      </c>
    </row>
    <row r="376" spans="2:10" x14ac:dyDescent="0.25">
      <c r="B376" s="2" t="str">
        <v>Greece_van_2030</v>
      </c>
      <c r="C376" s="8">
        <v>944308</v>
      </c>
      <c r="D376" s="8">
        <v>5.1354037239500001E-2</v>
      </c>
      <c r="E376" s="8">
        <v>6.5748945999999996E-5</v>
      </c>
      <c r="F376" s="8">
        <v>0.81202869727899996</v>
      </c>
      <c r="G376" s="8">
        <v>0.125</v>
      </c>
      <c r="H376" s="8">
        <v>1.08000269615E-2</v>
      </c>
      <c r="I376" s="8">
        <v>0</v>
      </c>
      <c r="J376" s="8">
        <v>7.5148957600000002E-4</v>
      </c>
    </row>
    <row r="377" spans="2:10" x14ac:dyDescent="0.25">
      <c r="B377" s="2" t="str">
        <v>Hungary_van_2030</v>
      </c>
      <c r="C377" s="8">
        <v>501553</v>
      </c>
      <c r="D377" s="8">
        <v>0.11267962607799999</v>
      </c>
      <c r="E377" s="8">
        <v>5.7525161500000001E-5</v>
      </c>
      <c r="F377" s="8">
        <v>0.75662861661250003</v>
      </c>
      <c r="G377" s="8">
        <v>0.12</v>
      </c>
      <c r="H377" s="8">
        <v>1.0595148723000001E-2</v>
      </c>
      <c r="I377" s="8">
        <v>0</v>
      </c>
      <c r="J377" s="8">
        <v>3.9083427E-5</v>
      </c>
    </row>
    <row r="378" spans="2:10" x14ac:dyDescent="0.25">
      <c r="B378" s="2" t="str">
        <v>Ireland_van_2030</v>
      </c>
      <c r="C378" s="8">
        <v>404521</v>
      </c>
      <c r="D378" s="8">
        <v>0.11235937398650001</v>
      </c>
      <c r="E378" s="8">
        <v>4.5071106499999997E-5</v>
      </c>
      <c r="F378" s="8">
        <v>0.797586857541</v>
      </c>
      <c r="G378" s="8">
        <v>6.5000000000000002E-2</v>
      </c>
      <c r="H378" s="8">
        <v>2.5000000000000001E-2</v>
      </c>
      <c r="I378" s="8">
        <v>0</v>
      </c>
      <c r="J378" s="8">
        <v>8.6973670000000005E-6</v>
      </c>
    </row>
    <row r="379" spans="2:10" x14ac:dyDescent="0.25">
      <c r="B379" s="2" t="str">
        <v>Italy_van_2030</v>
      </c>
      <c r="C379" s="8">
        <v>4318840</v>
      </c>
      <c r="D379" s="8">
        <v>0.19030647443950002</v>
      </c>
      <c r="E379" s="8">
        <v>3.9000824499999998E-5</v>
      </c>
      <c r="F379" s="8">
        <v>0.629099196134</v>
      </c>
      <c r="G379" s="8">
        <v>8.5000000000000006E-2</v>
      </c>
      <c r="H379" s="8">
        <v>8.4068438317499994E-2</v>
      </c>
      <c r="I379" s="8">
        <v>0</v>
      </c>
      <c r="J379" s="8">
        <v>1.1486890286000001E-2</v>
      </c>
    </row>
    <row r="380" spans="2:10" x14ac:dyDescent="0.25">
      <c r="B380" s="2" t="str">
        <v>Latvia_van_2030</v>
      </c>
      <c r="C380" s="8">
        <v>63177</v>
      </c>
      <c r="D380" s="8">
        <v>0.11204798993499999</v>
      </c>
      <c r="E380" s="8">
        <v>3.7273058499999997E-5</v>
      </c>
      <c r="F380" s="8">
        <v>0.75766410713249988</v>
      </c>
      <c r="G380" s="8">
        <v>0.12</v>
      </c>
      <c r="H380" s="8">
        <v>1.0055617099E-2</v>
      </c>
      <c r="I380" s="8">
        <v>0</v>
      </c>
      <c r="J380" s="8">
        <v>1.9501277599999998E-4</v>
      </c>
    </row>
    <row r="381" spans="2:10" x14ac:dyDescent="0.25">
      <c r="B381" s="2" t="str">
        <v>Lithuania_van_2030</v>
      </c>
      <c r="C381" s="8">
        <v>56012</v>
      </c>
      <c r="D381" s="8">
        <v>0.11199093534249999</v>
      </c>
      <c r="E381" s="8">
        <v>2.7753402E-5</v>
      </c>
      <c r="F381" s="8">
        <v>0.75750222611200002</v>
      </c>
      <c r="G381" s="8">
        <v>0.12</v>
      </c>
      <c r="H381" s="8">
        <v>1.0214270975E-2</v>
      </c>
      <c r="I381" s="8">
        <v>0</v>
      </c>
      <c r="J381" s="8">
        <v>2.6481417000000001E-4</v>
      </c>
    </row>
    <row r="382" spans="2:10" x14ac:dyDescent="0.25">
      <c r="B382" s="2" t="str">
        <v>Luxembourg_van_2030</v>
      </c>
      <c r="C382" s="8">
        <v>40872</v>
      </c>
      <c r="D382" s="8">
        <v>0.42766808138249995</v>
      </c>
      <c r="E382" s="8">
        <v>5.8885641999999999E-5</v>
      </c>
      <c r="F382" s="8">
        <v>0.57125747618550005</v>
      </c>
      <c r="G382" s="8">
        <v>5.0000000000000001E-4</v>
      </c>
      <c r="H382" s="8">
        <v>0</v>
      </c>
      <c r="I382" s="8">
        <v>0</v>
      </c>
      <c r="J382" s="8">
        <v>5.1555679050000001E-4</v>
      </c>
    </row>
    <row r="383" spans="2:10" x14ac:dyDescent="0.25">
      <c r="B383" s="2" t="str">
        <v>Malta_van_2030</v>
      </c>
      <c r="C383" s="8">
        <v>45738.51</v>
      </c>
      <c r="D383" s="8">
        <v>0.153052826596</v>
      </c>
      <c r="E383" s="8">
        <v>9.0000000000000011E-3</v>
      </c>
      <c r="F383" s="8">
        <v>0.83523338682799997</v>
      </c>
      <c r="G383" s="8">
        <v>0</v>
      </c>
      <c r="H383" s="8">
        <v>1.5E-3</v>
      </c>
      <c r="I383" s="8">
        <v>0</v>
      </c>
      <c r="J383" s="8">
        <v>1.213786577E-3</v>
      </c>
    </row>
    <row r="384" spans="2:10" x14ac:dyDescent="0.25">
      <c r="B384" s="2" t="str">
        <v>Netherlands_van_2030</v>
      </c>
      <c r="C384" s="8">
        <v>1057084</v>
      </c>
      <c r="D384" s="8">
        <v>0.26997377258400002</v>
      </c>
      <c r="E384" s="8">
        <v>5.4995940890000001E-3</v>
      </c>
      <c r="F384" s="8">
        <v>0.61349569787150005</v>
      </c>
      <c r="G384" s="8">
        <v>9.1649999999999995E-2</v>
      </c>
      <c r="H384" s="8">
        <v>0</v>
      </c>
      <c r="I384" s="8">
        <v>0</v>
      </c>
      <c r="J384" s="8">
        <v>1.9380935457000002E-2</v>
      </c>
    </row>
    <row r="385" spans="2:10" x14ac:dyDescent="0.25">
      <c r="B385" s="2" t="str">
        <v>Norway_van_2030</v>
      </c>
      <c r="C385" s="8">
        <v>535454</v>
      </c>
      <c r="D385" s="8">
        <v>1</v>
      </c>
      <c r="E385" s="8">
        <v>0</v>
      </c>
      <c r="F385" s="8">
        <v>0</v>
      </c>
      <c r="G385" s="8">
        <v>0</v>
      </c>
      <c r="H385" s="8">
        <v>0</v>
      </c>
      <c r="I385" s="8">
        <v>0</v>
      </c>
      <c r="J385" s="8">
        <v>0</v>
      </c>
    </row>
    <row r="386" spans="2:10" x14ac:dyDescent="0.25">
      <c r="B386" s="2" t="str">
        <v>Poland_van_2030</v>
      </c>
      <c r="C386" s="8">
        <v>2905731</v>
      </c>
      <c r="D386" s="8">
        <v>0.1119158471965</v>
      </c>
      <c r="E386" s="8">
        <v>6.4286645499999996E-5</v>
      </c>
      <c r="F386" s="8">
        <v>0.76213172590400002</v>
      </c>
      <c r="G386" s="8">
        <v>7.0000000000000007E-2</v>
      </c>
      <c r="H386" s="8">
        <v>2.6261754152500004E-2</v>
      </c>
      <c r="I386" s="8">
        <v>0</v>
      </c>
      <c r="J386" s="8">
        <v>2.9626386102499999E-2</v>
      </c>
    </row>
    <row r="387" spans="2:10" x14ac:dyDescent="0.25">
      <c r="B387" s="2" t="str">
        <v>Portugal_van_2030</v>
      </c>
      <c r="C387" s="8">
        <v>1150000</v>
      </c>
      <c r="D387" s="8">
        <v>0.206825978001</v>
      </c>
      <c r="E387" s="8">
        <v>4.3076294999999999E-5</v>
      </c>
      <c r="F387" s="8">
        <v>0.71767453255899993</v>
      </c>
      <c r="G387" s="8">
        <v>0.05</v>
      </c>
      <c r="H387" s="8">
        <v>2.5018433088500002E-2</v>
      </c>
      <c r="I387" s="8">
        <v>0</v>
      </c>
      <c r="J387" s="8">
        <v>4.3798005750000002E-4</v>
      </c>
    </row>
    <row r="388" spans="2:10" x14ac:dyDescent="0.25">
      <c r="B388" s="2" t="str">
        <v>Romania_van_2030</v>
      </c>
      <c r="C388" s="8">
        <v>750751</v>
      </c>
      <c r="D388" s="8">
        <v>0.1139833106415</v>
      </c>
      <c r="E388" s="8">
        <v>4.0588723000000003E-5</v>
      </c>
      <c r="F388" s="8">
        <v>0.75595192512899989</v>
      </c>
      <c r="G388" s="8">
        <v>0.12</v>
      </c>
      <c r="H388" s="8">
        <v>0.01</v>
      </c>
      <c r="I388" s="8">
        <v>0</v>
      </c>
      <c r="J388" s="8">
        <v>2.4175506999999998E-5</v>
      </c>
    </row>
    <row r="389" spans="2:10" x14ac:dyDescent="0.25">
      <c r="B389" s="2" t="str">
        <v>Slovakia_van_2030</v>
      </c>
      <c r="C389" s="8">
        <v>285860</v>
      </c>
      <c r="D389" s="8">
        <v>0.11176347659649999</v>
      </c>
      <c r="E389" s="8">
        <v>4.27371325E-5</v>
      </c>
      <c r="F389" s="8">
        <v>0.79819378627199999</v>
      </c>
      <c r="G389" s="8">
        <v>6.5000000000000002E-2</v>
      </c>
      <c r="H389" s="8">
        <v>2.5000000000000001E-2</v>
      </c>
      <c r="I389" s="8">
        <v>0</v>
      </c>
      <c r="J389" s="8">
        <v>0</v>
      </c>
    </row>
    <row r="390" spans="2:10" x14ac:dyDescent="0.25">
      <c r="B390" s="2" t="str">
        <v>Slovenia_van_2030</v>
      </c>
      <c r="C390" s="8">
        <v>94850</v>
      </c>
      <c r="D390" s="8">
        <v>0.11207828923199999</v>
      </c>
      <c r="E390" s="8">
        <v>4.9757371E-5</v>
      </c>
      <c r="F390" s="8">
        <v>0.75056639631300004</v>
      </c>
      <c r="G390" s="8">
        <v>0.12</v>
      </c>
      <c r="H390" s="8">
        <v>1.1227672857499999E-2</v>
      </c>
      <c r="I390" s="8">
        <v>0</v>
      </c>
      <c r="J390" s="8">
        <v>6.0778842275000002E-3</v>
      </c>
    </row>
    <row r="391" spans="2:10" x14ac:dyDescent="0.25">
      <c r="B391" s="2" t="str">
        <v>Spain_van_2030</v>
      </c>
      <c r="C391" s="8">
        <v>3898195</v>
      </c>
      <c r="D391" s="8">
        <v>0.20078810583800002</v>
      </c>
      <c r="E391" s="8">
        <v>7.5970221000000004E-5</v>
      </c>
      <c r="F391" s="8">
        <v>0.62372158351250007</v>
      </c>
      <c r="G391" s="8">
        <v>0</v>
      </c>
      <c r="H391" s="8">
        <v>0.17511942076099998</v>
      </c>
      <c r="I391" s="8">
        <v>0</v>
      </c>
      <c r="J391" s="8">
        <v>2.9491966899999997E-4</v>
      </c>
    </row>
    <row r="392" spans="2:10" x14ac:dyDescent="0.25">
      <c r="B392" s="2" t="str">
        <v>Sweden_van_2030</v>
      </c>
      <c r="C392" s="8">
        <v>605668</v>
      </c>
      <c r="D392" s="8">
        <v>0.21538269205000002</v>
      </c>
      <c r="E392" s="8">
        <v>4.4821388000000005E-5</v>
      </c>
      <c r="F392" s="8">
        <v>0.67807072959149994</v>
      </c>
      <c r="G392" s="8">
        <v>0.1</v>
      </c>
      <c r="H392" s="8">
        <v>6.5017569710000001E-3</v>
      </c>
      <c r="I392" s="8">
        <v>0</v>
      </c>
      <c r="J392" s="8">
        <v>0</v>
      </c>
    </row>
    <row r="393" spans="2:10" x14ac:dyDescent="0.25">
      <c r="B393" s="2" t="str">
        <v>Switzerland_van_2030</v>
      </c>
      <c r="C393" s="8">
        <v>426290</v>
      </c>
      <c r="D393" s="8">
        <v>0.40102359337700005</v>
      </c>
      <c r="E393" s="8">
        <v>1.5077195571999999E-2</v>
      </c>
      <c r="F393" s="8">
        <v>0.49570739145250003</v>
      </c>
      <c r="G393" s="8">
        <v>7.4999999999999997E-2</v>
      </c>
      <c r="H393" s="8">
        <v>1.0836152376999999E-2</v>
      </c>
      <c r="I393" s="8">
        <v>0</v>
      </c>
      <c r="J393" s="8">
        <v>2.3556672230000001E-3</v>
      </c>
    </row>
    <row r="394" spans="2:10" x14ac:dyDescent="0.25">
      <c r="B394" s="2" t="str">
        <v>United_Kingdom_van_2030</v>
      </c>
      <c r="C394" s="8">
        <v>5323255</v>
      </c>
      <c r="D394" s="8">
        <v>0.26997377258400002</v>
      </c>
      <c r="E394" s="8">
        <v>5.4995940890000001E-3</v>
      </c>
      <c r="F394" s="8">
        <v>0.61349569787150005</v>
      </c>
      <c r="G394" s="8">
        <v>9.1649999999999995E-2</v>
      </c>
      <c r="H394" s="8">
        <v>0</v>
      </c>
      <c r="I394" s="8">
        <v>0</v>
      </c>
      <c r="J394" s="8">
        <v>1.9380935457000002E-2</v>
      </c>
    </row>
    <row r="395" spans="2:10" x14ac:dyDescent="0.25">
      <c r="B395" s="2" t="str" cm="1">
        <f t="array" ref="B395:B424">countries&amp;"_van_2040"</f>
        <v>Austria_van_2040</v>
      </c>
      <c r="C395" s="8" cm="1">
        <f t="array" ref="C395:C424">van_fleet</f>
        <v>493387</v>
      </c>
      <c r="D395" s="8" cm="1">
        <f t="array" ref="D395:J424">Van_splits_2040</f>
        <v>0.82</v>
      </c>
      <c r="E395" s="8">
        <v>0</v>
      </c>
      <c r="F395" s="8">
        <v>0</v>
      </c>
      <c r="G395" s="8">
        <v>0.13</v>
      </c>
      <c r="H395" s="8">
        <v>0.05</v>
      </c>
      <c r="I395" s="8">
        <v>0</v>
      </c>
      <c r="J395" s="8">
        <v>0</v>
      </c>
    </row>
    <row r="396" spans="2:10" x14ac:dyDescent="0.25">
      <c r="B396" s="2" t="str">
        <v>Belgium_van_2040</v>
      </c>
      <c r="C396" s="8">
        <v>861148</v>
      </c>
      <c r="D396" s="8">
        <v>0.54899999999999993</v>
      </c>
      <c r="E396" s="8">
        <v>0.29199999999999998</v>
      </c>
      <c r="F396" s="8">
        <v>7.2999999999999995E-2</v>
      </c>
      <c r="G396" s="8">
        <v>8.3000000000000004E-2</v>
      </c>
      <c r="H396" s="8">
        <v>3.0000000000000001E-3</v>
      </c>
      <c r="I396" s="8">
        <v>0</v>
      </c>
      <c r="J396" s="8">
        <v>0</v>
      </c>
    </row>
    <row r="397" spans="2:10" x14ac:dyDescent="0.25">
      <c r="B397" s="2" t="str">
        <v>Bulgaria_van_2040</v>
      </c>
      <c r="C397" s="8">
        <v>46393.280700000003</v>
      </c>
      <c r="D397" s="8">
        <v>0.22333333329999999</v>
      </c>
      <c r="E397" s="8">
        <v>0</v>
      </c>
      <c r="F397" s="8">
        <v>0.51666666669999994</v>
      </c>
      <c r="G397" s="8">
        <v>0.24</v>
      </c>
      <c r="H397" s="8">
        <v>0.02</v>
      </c>
      <c r="I397" s="8">
        <v>0</v>
      </c>
      <c r="J397" s="8">
        <v>0</v>
      </c>
    </row>
    <row r="398" spans="2:10" x14ac:dyDescent="0.25">
      <c r="B398" s="2" t="str">
        <v>Croatia_van_2040</v>
      </c>
      <c r="C398" s="8">
        <v>162644</v>
      </c>
      <c r="D398" s="8">
        <v>0.11599999999999999</v>
      </c>
      <c r="E398" s="8">
        <v>0</v>
      </c>
      <c r="F398" s="8">
        <v>0.83799999999999997</v>
      </c>
      <c r="G398" s="8">
        <v>0</v>
      </c>
      <c r="H398" s="8">
        <v>4.5999999999999999E-2</v>
      </c>
      <c r="I398" s="8">
        <v>0</v>
      </c>
      <c r="J398" s="8">
        <v>0</v>
      </c>
    </row>
    <row r="399" spans="2:10" x14ac:dyDescent="0.25">
      <c r="B399" s="2" t="str">
        <v>Cyprus_van_2040</v>
      </c>
      <c r="C399" s="8">
        <v>104216</v>
      </c>
      <c r="D399" s="8">
        <v>0.22333333329999999</v>
      </c>
      <c r="E399" s="8">
        <v>0</v>
      </c>
      <c r="F399" s="8">
        <v>0.51666666669999994</v>
      </c>
      <c r="G399" s="8">
        <v>0.24</v>
      </c>
      <c r="H399" s="8">
        <v>0.02</v>
      </c>
      <c r="I399" s="8">
        <v>0</v>
      </c>
      <c r="J399" s="8">
        <v>0</v>
      </c>
    </row>
    <row r="400" spans="2:10" x14ac:dyDescent="0.25">
      <c r="B400" s="2" t="str">
        <v>Czechia_van_2040</v>
      </c>
      <c r="C400" s="8">
        <v>610405</v>
      </c>
      <c r="D400" s="8">
        <v>0.22333333329999999</v>
      </c>
      <c r="E400" s="8">
        <v>0</v>
      </c>
      <c r="F400" s="8">
        <v>0.59666666670000001</v>
      </c>
      <c r="G400" s="8">
        <v>0.13</v>
      </c>
      <c r="H400" s="8">
        <v>0.05</v>
      </c>
      <c r="I400" s="8">
        <v>0</v>
      </c>
      <c r="J400" s="8">
        <v>0</v>
      </c>
    </row>
    <row r="401" spans="2:10" x14ac:dyDescent="0.25">
      <c r="B401" s="2" t="str">
        <v>Denmark_van_2040</v>
      </c>
      <c r="C401" s="8">
        <v>373267</v>
      </c>
      <c r="D401" s="8">
        <v>0.22333333329999999</v>
      </c>
      <c r="E401" s="8">
        <v>0</v>
      </c>
      <c r="F401" s="8">
        <v>0.59666666670000001</v>
      </c>
      <c r="G401" s="8">
        <v>0.13</v>
      </c>
      <c r="H401" s="8">
        <v>0.05</v>
      </c>
      <c r="I401" s="8">
        <v>0</v>
      </c>
      <c r="J401" s="8">
        <v>0</v>
      </c>
    </row>
    <row r="402" spans="2:10" x14ac:dyDescent="0.25">
      <c r="B402" s="2" t="str">
        <v>Estonia_van_2040</v>
      </c>
      <c r="C402" s="8">
        <v>99094</v>
      </c>
      <c r="D402" s="8">
        <v>0.34</v>
      </c>
      <c r="E402" s="8">
        <v>0</v>
      </c>
      <c r="F402" s="8">
        <v>0.6</v>
      </c>
      <c r="G402" s="8">
        <v>0.05</v>
      </c>
      <c r="H402" s="8">
        <v>0.01</v>
      </c>
      <c r="I402" s="8">
        <v>0</v>
      </c>
      <c r="J402" s="8">
        <v>0</v>
      </c>
    </row>
    <row r="403" spans="2:10" x14ac:dyDescent="0.25">
      <c r="B403" s="2" t="str">
        <v>Finland_van_2040</v>
      </c>
      <c r="C403" s="8">
        <v>343927</v>
      </c>
      <c r="D403" s="8">
        <v>0.14814814800000001</v>
      </c>
      <c r="E403" s="8">
        <v>0</v>
      </c>
      <c r="F403" s="8">
        <v>0.30555555600000001</v>
      </c>
      <c r="G403" s="8">
        <v>0.185185185</v>
      </c>
      <c r="H403" s="8">
        <v>0.36111111100000004</v>
      </c>
      <c r="I403" s="8">
        <v>0</v>
      </c>
      <c r="J403" s="8">
        <v>0</v>
      </c>
    </row>
    <row r="404" spans="2:10" x14ac:dyDescent="0.25">
      <c r="B404" s="2" t="str">
        <v>France_van_2040</v>
      </c>
      <c r="C404" s="8">
        <v>6279138</v>
      </c>
      <c r="D404" s="8">
        <v>0.55000000000000004</v>
      </c>
      <c r="E404" s="8">
        <v>0</v>
      </c>
      <c r="F404" s="8">
        <v>0.39</v>
      </c>
      <c r="G404" s="8">
        <v>0.01</v>
      </c>
      <c r="H404" s="8">
        <v>0.05</v>
      </c>
      <c r="I404" s="8">
        <v>0</v>
      </c>
      <c r="J404" s="8">
        <v>0</v>
      </c>
    </row>
    <row r="405" spans="2:10" x14ac:dyDescent="0.25">
      <c r="B405" s="2" t="str">
        <v>Germany_van_2040</v>
      </c>
      <c r="C405" s="8">
        <v>3141643</v>
      </c>
      <c r="D405" s="8">
        <v>0.8</v>
      </c>
      <c r="E405" s="8">
        <v>0.03</v>
      </c>
      <c r="F405" s="8">
        <v>0.02</v>
      </c>
      <c r="G405" s="8">
        <v>0.15</v>
      </c>
      <c r="H405" s="8">
        <v>0</v>
      </c>
      <c r="I405" s="8">
        <v>0</v>
      </c>
      <c r="J405" s="8">
        <v>0</v>
      </c>
    </row>
    <row r="406" spans="2:10" x14ac:dyDescent="0.25">
      <c r="B406" s="2" t="str">
        <v>Greece_van_2040</v>
      </c>
      <c r="C406" s="8">
        <v>944308</v>
      </c>
      <c r="D406" s="8">
        <v>0.10185185199999999</v>
      </c>
      <c r="E406" s="8">
        <v>0</v>
      </c>
      <c r="F406" s="8">
        <v>0.62814814799999996</v>
      </c>
      <c r="G406" s="8">
        <v>0.25</v>
      </c>
      <c r="H406" s="8">
        <v>0.02</v>
      </c>
      <c r="I406" s="8">
        <v>0</v>
      </c>
      <c r="J406" s="8">
        <v>0</v>
      </c>
    </row>
    <row r="407" spans="2:10" x14ac:dyDescent="0.25">
      <c r="B407" s="2" t="str">
        <v>Hungary_van_2040</v>
      </c>
      <c r="C407" s="8">
        <v>501553</v>
      </c>
      <c r="D407" s="8">
        <v>0.22333333329999999</v>
      </c>
      <c r="E407" s="8">
        <v>0</v>
      </c>
      <c r="F407" s="8">
        <v>0.51666666669999994</v>
      </c>
      <c r="G407" s="8">
        <v>0.24</v>
      </c>
      <c r="H407" s="8">
        <v>0.02</v>
      </c>
      <c r="I407" s="8">
        <v>0</v>
      </c>
      <c r="J407" s="8">
        <v>0</v>
      </c>
    </row>
    <row r="408" spans="2:10" x14ac:dyDescent="0.25">
      <c r="B408" s="2" t="str">
        <v>Ireland_van_2040</v>
      </c>
      <c r="C408" s="8">
        <v>404521</v>
      </c>
      <c r="D408" s="8">
        <v>0.22333333329999999</v>
      </c>
      <c r="E408" s="8">
        <v>0</v>
      </c>
      <c r="F408" s="8">
        <v>0.59666666670000001</v>
      </c>
      <c r="G408" s="8">
        <v>0.13</v>
      </c>
      <c r="H408" s="8">
        <v>0.05</v>
      </c>
      <c r="I408" s="8">
        <v>0</v>
      </c>
      <c r="J408" s="8">
        <v>0</v>
      </c>
    </row>
    <row r="409" spans="2:10" x14ac:dyDescent="0.25">
      <c r="B409" s="2" t="str">
        <v>Italy_van_2040</v>
      </c>
      <c r="C409" s="8">
        <v>4318840</v>
      </c>
      <c r="D409" s="8">
        <v>0.38</v>
      </c>
      <c r="E409" s="8">
        <v>0</v>
      </c>
      <c r="F409" s="8">
        <v>0.31</v>
      </c>
      <c r="G409" s="8">
        <v>0.17</v>
      </c>
      <c r="H409" s="8">
        <v>0.13</v>
      </c>
      <c r="I409" s="8">
        <v>0</v>
      </c>
      <c r="J409" s="8">
        <v>0.01</v>
      </c>
    </row>
    <row r="410" spans="2:10" x14ac:dyDescent="0.25">
      <c r="B410" s="2" t="str">
        <v>Latvia_van_2040</v>
      </c>
      <c r="C410" s="8">
        <v>63177</v>
      </c>
      <c r="D410" s="8">
        <v>0.22333333329999999</v>
      </c>
      <c r="E410" s="8">
        <v>0</v>
      </c>
      <c r="F410" s="8">
        <v>0.51666666669999994</v>
      </c>
      <c r="G410" s="8">
        <v>0.24</v>
      </c>
      <c r="H410" s="8">
        <v>0.02</v>
      </c>
      <c r="I410" s="8">
        <v>0</v>
      </c>
      <c r="J410" s="8">
        <v>0</v>
      </c>
    </row>
    <row r="411" spans="2:10" x14ac:dyDescent="0.25">
      <c r="B411" s="2" t="str">
        <v>Lithuania_van_2040</v>
      </c>
      <c r="C411" s="8">
        <v>56012</v>
      </c>
      <c r="D411" s="8">
        <v>0.22333333329999999</v>
      </c>
      <c r="E411" s="8">
        <v>0</v>
      </c>
      <c r="F411" s="8">
        <v>0.51666666669999994</v>
      </c>
      <c r="G411" s="8">
        <v>0.24</v>
      </c>
      <c r="H411" s="8">
        <v>0.02</v>
      </c>
      <c r="I411" s="8">
        <v>0</v>
      </c>
      <c r="J411" s="8">
        <v>0</v>
      </c>
    </row>
    <row r="412" spans="2:10" x14ac:dyDescent="0.25">
      <c r="B412" s="2" t="str">
        <v>Luxembourg_van_2040</v>
      </c>
      <c r="C412" s="8">
        <v>40872</v>
      </c>
      <c r="D412" s="8">
        <v>0.85</v>
      </c>
      <c r="E412" s="8">
        <v>0</v>
      </c>
      <c r="F412" s="8">
        <v>0.14899999999999999</v>
      </c>
      <c r="G412" s="8">
        <v>1E-3</v>
      </c>
      <c r="H412" s="8">
        <v>0</v>
      </c>
      <c r="I412" s="8">
        <v>0</v>
      </c>
      <c r="J412" s="8">
        <v>0</v>
      </c>
    </row>
    <row r="413" spans="2:10" x14ac:dyDescent="0.25">
      <c r="B413" s="2" t="str">
        <v>Malta_van_2040</v>
      </c>
      <c r="C413" s="8">
        <v>45738.51</v>
      </c>
      <c r="D413" s="8">
        <v>0.30499999999999999</v>
      </c>
      <c r="E413" s="8">
        <v>1.8000000000000002E-2</v>
      </c>
      <c r="F413" s="8">
        <v>0.67400000000000004</v>
      </c>
      <c r="G413" s="8">
        <v>0</v>
      </c>
      <c r="H413" s="8">
        <v>3.0000000000000001E-3</v>
      </c>
      <c r="I413" s="8">
        <v>0</v>
      </c>
      <c r="J413" s="8">
        <v>0</v>
      </c>
    </row>
    <row r="414" spans="2:10" x14ac:dyDescent="0.25">
      <c r="B414" s="2" t="str">
        <v>Netherlands_van_2040</v>
      </c>
      <c r="C414" s="8">
        <v>1057084</v>
      </c>
      <c r="D414" s="8">
        <v>0.52400000000000002</v>
      </c>
      <c r="E414" s="8">
        <v>4.4000000000000003E-3</v>
      </c>
      <c r="F414" s="8">
        <v>0.27279999999999999</v>
      </c>
      <c r="G414" s="8">
        <v>0.18329999999999999</v>
      </c>
      <c r="H414" s="8">
        <v>0</v>
      </c>
      <c r="I414" s="8">
        <v>0</v>
      </c>
      <c r="J414" s="8">
        <v>1.55E-2</v>
      </c>
    </row>
    <row r="415" spans="2:10" x14ac:dyDescent="0.25">
      <c r="B415" s="2" t="str">
        <v>Norway_van_2040</v>
      </c>
      <c r="C415" s="8">
        <v>535454</v>
      </c>
      <c r="D415" s="8">
        <v>1</v>
      </c>
      <c r="E415" s="8">
        <v>0</v>
      </c>
      <c r="F415" s="8">
        <v>0</v>
      </c>
      <c r="G415" s="8">
        <v>0</v>
      </c>
      <c r="H415" s="8">
        <v>0</v>
      </c>
      <c r="I415" s="8">
        <v>0</v>
      </c>
      <c r="J415" s="8">
        <v>0</v>
      </c>
    </row>
    <row r="416" spans="2:10" x14ac:dyDescent="0.25">
      <c r="B416" s="2" t="str">
        <v>Poland_van_2040</v>
      </c>
      <c r="C416" s="8">
        <v>2905731</v>
      </c>
      <c r="D416" s="8">
        <v>0.22333333329999999</v>
      </c>
      <c r="E416" s="8">
        <v>0</v>
      </c>
      <c r="F416" s="8">
        <v>0.58666666670000001</v>
      </c>
      <c r="G416" s="8">
        <v>0.14000000000000001</v>
      </c>
      <c r="H416" s="8">
        <v>0.05</v>
      </c>
      <c r="I416" s="8">
        <v>0</v>
      </c>
      <c r="J416" s="8">
        <v>0</v>
      </c>
    </row>
    <row r="417" spans="2:10" x14ac:dyDescent="0.25">
      <c r="B417" s="2" t="str">
        <v>Portugal_van_2040</v>
      </c>
      <c r="C417" s="8">
        <v>1150000</v>
      </c>
      <c r="D417" s="8">
        <v>0.41333333329999999</v>
      </c>
      <c r="E417" s="8">
        <v>0</v>
      </c>
      <c r="F417" s="8">
        <v>0.43666666669999998</v>
      </c>
      <c r="G417" s="8">
        <v>0.1</v>
      </c>
      <c r="H417" s="8">
        <v>0.05</v>
      </c>
      <c r="I417" s="8">
        <v>0</v>
      </c>
      <c r="J417" s="8">
        <v>0</v>
      </c>
    </row>
    <row r="418" spans="2:10" x14ac:dyDescent="0.25">
      <c r="B418" s="2" t="str">
        <v>Romania_van_2040</v>
      </c>
      <c r="C418" s="8">
        <v>750751</v>
      </c>
      <c r="D418" s="8">
        <v>0.22333333329999999</v>
      </c>
      <c r="E418" s="8">
        <v>0</v>
      </c>
      <c r="F418" s="8">
        <v>0.51666666669999994</v>
      </c>
      <c r="G418" s="8">
        <v>0.24</v>
      </c>
      <c r="H418" s="8">
        <v>0.02</v>
      </c>
      <c r="I418" s="8">
        <v>0</v>
      </c>
      <c r="J418" s="8">
        <v>0</v>
      </c>
    </row>
    <row r="419" spans="2:10" x14ac:dyDescent="0.25">
      <c r="B419" s="2" t="str">
        <v>Slovakia_van_2040</v>
      </c>
      <c r="C419" s="8">
        <v>285860</v>
      </c>
      <c r="D419" s="8">
        <v>0.22333333329999999</v>
      </c>
      <c r="E419" s="8">
        <v>0</v>
      </c>
      <c r="F419" s="8">
        <v>0.59666666670000001</v>
      </c>
      <c r="G419" s="8">
        <v>0.13</v>
      </c>
      <c r="H419" s="8">
        <v>0.05</v>
      </c>
      <c r="I419" s="8">
        <v>0</v>
      </c>
      <c r="J419" s="8">
        <v>0</v>
      </c>
    </row>
    <row r="420" spans="2:10" x14ac:dyDescent="0.25">
      <c r="B420" s="2" t="str">
        <v>Slovenia_van_2040</v>
      </c>
      <c r="C420" s="8">
        <v>94850</v>
      </c>
      <c r="D420" s="8">
        <v>0.22333333329999999</v>
      </c>
      <c r="E420" s="8">
        <v>0</v>
      </c>
      <c r="F420" s="8">
        <v>0.51666666669999994</v>
      </c>
      <c r="G420" s="8">
        <v>0.24</v>
      </c>
      <c r="H420" s="8">
        <v>0.02</v>
      </c>
      <c r="I420" s="8">
        <v>0</v>
      </c>
      <c r="J420" s="8">
        <v>0</v>
      </c>
    </row>
    <row r="421" spans="2:10" x14ac:dyDescent="0.25">
      <c r="B421" s="2" t="str">
        <v>Spain_van_2040</v>
      </c>
      <c r="C421" s="8">
        <v>3898195</v>
      </c>
      <c r="D421" s="8">
        <v>0.4</v>
      </c>
      <c r="E421" s="8">
        <v>0</v>
      </c>
      <c r="F421" s="8">
        <v>0.25</v>
      </c>
      <c r="G421" s="8">
        <v>0</v>
      </c>
      <c r="H421" s="8">
        <v>0.35</v>
      </c>
      <c r="I421" s="8">
        <v>0</v>
      </c>
      <c r="J421" s="8">
        <v>0</v>
      </c>
    </row>
    <row r="422" spans="2:10" x14ac:dyDescent="0.25">
      <c r="B422" s="2" t="str">
        <v>Sweden_van_2040</v>
      </c>
      <c r="C422" s="8">
        <v>605668</v>
      </c>
      <c r="D422" s="8">
        <v>0.42200000000000004</v>
      </c>
      <c r="E422" s="8">
        <v>0</v>
      </c>
      <c r="F422" s="8">
        <v>0.37799999999999995</v>
      </c>
      <c r="G422" s="8">
        <v>0.2</v>
      </c>
      <c r="H422" s="8">
        <v>0</v>
      </c>
      <c r="I422" s="8">
        <v>0</v>
      </c>
      <c r="J422" s="8">
        <v>0</v>
      </c>
    </row>
    <row r="423" spans="2:10" x14ac:dyDescent="0.25">
      <c r="B423" s="2" t="str">
        <v>Switzerland_van_2040</v>
      </c>
      <c r="C423" s="8">
        <v>426290</v>
      </c>
      <c r="D423" s="8">
        <v>0.8</v>
      </c>
      <c r="E423" s="8">
        <v>0.03</v>
      </c>
      <c r="F423" s="8">
        <v>0.02</v>
      </c>
      <c r="G423" s="8">
        <v>0.15</v>
      </c>
      <c r="H423" s="8">
        <v>0</v>
      </c>
      <c r="I423" s="8">
        <v>0</v>
      </c>
      <c r="J423" s="8">
        <v>0</v>
      </c>
    </row>
    <row r="424" spans="2:10" x14ac:dyDescent="0.25">
      <c r="B424" s="2" t="str">
        <v>United_Kingdom_van_2040</v>
      </c>
      <c r="C424" s="8">
        <v>5323255</v>
      </c>
      <c r="D424" s="8">
        <v>0.52400000000000002</v>
      </c>
      <c r="E424" s="8">
        <v>4.4000000000000003E-3</v>
      </c>
      <c r="F424" s="8">
        <v>0.27279999999999999</v>
      </c>
      <c r="G424" s="8">
        <v>0.18329999999999999</v>
      </c>
      <c r="H424" s="8">
        <v>0</v>
      </c>
      <c r="I424" s="8">
        <v>0</v>
      </c>
      <c r="J424" s="8">
        <v>1.55E-2</v>
      </c>
    </row>
    <row r="425" spans="2:10" x14ac:dyDescent="0.25">
      <c r="B425" s="2" t="str" cm="1">
        <f t="array" ref="B425:B454">countries&amp;"_van_2050"</f>
        <v>Austria_van_2050</v>
      </c>
      <c r="C425" s="8" cm="1">
        <f t="array" ref="C425:C454">van_fleet</f>
        <v>493387</v>
      </c>
      <c r="D425" s="8" cm="1">
        <f t="array" ref="D425:J454">Van_splits_2050</f>
        <v>0.85</v>
      </c>
      <c r="E425" s="8">
        <v>0</v>
      </c>
      <c r="F425" s="8">
        <v>0</v>
      </c>
      <c r="G425" s="8">
        <v>0.15</v>
      </c>
      <c r="H425" s="8">
        <v>0</v>
      </c>
      <c r="I425" s="8">
        <v>0</v>
      </c>
      <c r="J425" s="8">
        <v>0</v>
      </c>
    </row>
    <row r="426" spans="2:10" x14ac:dyDescent="0.25">
      <c r="B426" s="2" t="str">
        <v>Belgium_van_2050</v>
      </c>
      <c r="C426" s="8">
        <v>861148</v>
      </c>
      <c r="D426" s="8">
        <v>0.85</v>
      </c>
      <c r="E426" s="8">
        <v>0</v>
      </c>
      <c r="F426" s="8">
        <v>0</v>
      </c>
      <c r="G426" s="8">
        <v>0.15</v>
      </c>
      <c r="H426" s="8">
        <v>0</v>
      </c>
      <c r="I426" s="8">
        <v>0</v>
      </c>
      <c r="J426" s="8">
        <v>0</v>
      </c>
    </row>
    <row r="427" spans="2:10" x14ac:dyDescent="0.25">
      <c r="B427" s="2" t="str">
        <v>Bulgaria_van_2050</v>
      </c>
      <c r="C427" s="8">
        <v>46393.280700000003</v>
      </c>
      <c r="D427" s="8">
        <v>0.40666666669999996</v>
      </c>
      <c r="E427" s="8">
        <v>0</v>
      </c>
      <c r="F427" s="8">
        <v>0.23333333329999997</v>
      </c>
      <c r="G427" s="8">
        <v>0.33</v>
      </c>
      <c r="H427" s="8">
        <v>0.03</v>
      </c>
      <c r="I427" s="8">
        <v>0</v>
      </c>
      <c r="J427" s="8">
        <v>0</v>
      </c>
    </row>
    <row r="428" spans="2:10" x14ac:dyDescent="0.25">
      <c r="B428" s="2" t="str">
        <v>Croatia_van_2050</v>
      </c>
      <c r="C428" s="8">
        <v>162644</v>
      </c>
      <c r="D428" s="8">
        <v>0.55200000000000005</v>
      </c>
      <c r="E428" s="8">
        <v>0</v>
      </c>
      <c r="F428" s="8">
        <v>0.22699999999999998</v>
      </c>
      <c r="G428" s="8">
        <v>5.5E-2</v>
      </c>
      <c r="H428" s="8">
        <v>0.16600000000000001</v>
      </c>
      <c r="I428" s="8">
        <v>0</v>
      </c>
      <c r="J428" s="8">
        <v>0</v>
      </c>
    </row>
    <row r="429" spans="2:10" x14ac:dyDescent="0.25">
      <c r="B429" s="2" t="str">
        <v>Cyprus_van_2050</v>
      </c>
      <c r="C429" s="8">
        <v>104216</v>
      </c>
      <c r="D429" s="8">
        <v>0.40666666669999996</v>
      </c>
      <c r="E429" s="8">
        <v>0</v>
      </c>
      <c r="F429" s="8">
        <v>0.23333333329999997</v>
      </c>
      <c r="G429" s="8">
        <v>0.33</v>
      </c>
      <c r="H429" s="8">
        <v>0.03</v>
      </c>
      <c r="I429" s="8">
        <v>0</v>
      </c>
      <c r="J429" s="8">
        <v>0</v>
      </c>
    </row>
    <row r="430" spans="2:10" x14ac:dyDescent="0.25">
      <c r="B430" s="2" t="str">
        <v>Czechia_van_2050</v>
      </c>
      <c r="C430" s="8">
        <v>610405</v>
      </c>
      <c r="D430" s="8">
        <v>0.40666666669999996</v>
      </c>
      <c r="E430" s="8">
        <v>0</v>
      </c>
      <c r="F430" s="8">
        <v>0.2933333333</v>
      </c>
      <c r="G430" s="8">
        <v>0.24</v>
      </c>
      <c r="H430" s="8">
        <v>0.06</v>
      </c>
      <c r="I430" s="8">
        <v>0</v>
      </c>
      <c r="J430" s="8">
        <v>0</v>
      </c>
    </row>
    <row r="431" spans="2:10" x14ac:dyDescent="0.25">
      <c r="B431" s="2" t="str">
        <v>Denmark_van_2050</v>
      </c>
      <c r="C431" s="8">
        <v>373267</v>
      </c>
      <c r="D431" s="8">
        <v>0.4</v>
      </c>
      <c r="E431" s="8">
        <v>0</v>
      </c>
      <c r="F431" s="8">
        <v>0</v>
      </c>
      <c r="G431" s="8">
        <v>0.6</v>
      </c>
      <c r="H431" s="8">
        <v>0</v>
      </c>
      <c r="I431" s="8">
        <v>0</v>
      </c>
      <c r="J431" s="8">
        <v>0</v>
      </c>
    </row>
    <row r="432" spans="2:10" x14ac:dyDescent="0.25">
      <c r="B432" s="2" t="str">
        <v>Estonia_van_2050</v>
      </c>
      <c r="C432" s="8">
        <v>99094</v>
      </c>
      <c r="D432" s="8">
        <v>0.75</v>
      </c>
      <c r="E432" s="8">
        <v>0</v>
      </c>
      <c r="F432" s="8">
        <v>0.15</v>
      </c>
      <c r="G432" s="8">
        <v>0.05</v>
      </c>
      <c r="H432" s="8">
        <v>0.05</v>
      </c>
      <c r="I432" s="8">
        <v>0</v>
      </c>
      <c r="J432" s="8">
        <v>0</v>
      </c>
    </row>
    <row r="433" spans="2:10" x14ac:dyDescent="0.25">
      <c r="B433" s="2" t="str">
        <v>Finland_van_2050</v>
      </c>
      <c r="C433" s="8">
        <v>343927</v>
      </c>
      <c r="D433" s="8">
        <v>0.40740740700099998</v>
      </c>
      <c r="E433" s="8">
        <v>0</v>
      </c>
      <c r="F433" s="8">
        <v>0</v>
      </c>
      <c r="G433" s="8">
        <v>0.27777777799999998</v>
      </c>
      <c r="H433" s="8">
        <v>0.31481481500000003</v>
      </c>
      <c r="I433" s="8">
        <v>0</v>
      </c>
      <c r="J433" s="8">
        <v>0</v>
      </c>
    </row>
    <row r="434" spans="2:10" x14ac:dyDescent="0.25">
      <c r="B434" s="2" t="str">
        <v>France_van_2050</v>
      </c>
      <c r="C434" s="8">
        <v>6279138</v>
      </c>
      <c r="D434" s="8">
        <v>0.86</v>
      </c>
      <c r="E434" s="8">
        <v>0</v>
      </c>
      <c r="F434" s="8">
        <v>0.03</v>
      </c>
      <c r="G434" s="8">
        <v>0.03</v>
      </c>
      <c r="H434" s="8">
        <v>0.08</v>
      </c>
      <c r="I434" s="8">
        <v>0</v>
      </c>
      <c r="J434" s="8">
        <v>0</v>
      </c>
    </row>
    <row r="435" spans="2:10" x14ac:dyDescent="0.25">
      <c r="B435" s="2" t="str">
        <v>Germany_van_2050</v>
      </c>
      <c r="C435" s="8">
        <v>3141643</v>
      </c>
      <c r="D435" s="8">
        <v>0.9</v>
      </c>
      <c r="E435" s="8">
        <v>5.0000000000000001E-3</v>
      </c>
      <c r="F435" s="8">
        <v>5.0000000000000001E-3</v>
      </c>
      <c r="G435" s="8">
        <v>0.09</v>
      </c>
      <c r="H435" s="8">
        <v>0</v>
      </c>
      <c r="I435" s="8">
        <v>0</v>
      </c>
      <c r="J435" s="8">
        <v>0</v>
      </c>
    </row>
    <row r="436" spans="2:10" x14ac:dyDescent="0.25">
      <c r="B436" s="2" t="str">
        <v>Greece_van_2050</v>
      </c>
      <c r="C436" s="8">
        <v>944308</v>
      </c>
      <c r="D436" s="8">
        <v>0.442222222</v>
      </c>
      <c r="E436" s="8">
        <v>0</v>
      </c>
      <c r="F436" s="8">
        <v>0</v>
      </c>
      <c r="G436" s="8">
        <v>0.52777777800000003</v>
      </c>
      <c r="H436" s="8">
        <v>0.03</v>
      </c>
      <c r="I436" s="8">
        <v>0</v>
      </c>
      <c r="J436" s="8">
        <v>0</v>
      </c>
    </row>
    <row r="437" spans="2:10" x14ac:dyDescent="0.25">
      <c r="B437" s="2" t="str">
        <v>Hungary_van_2050</v>
      </c>
      <c r="C437" s="8">
        <v>501553</v>
      </c>
      <c r="D437" s="8">
        <v>0.40666666669999996</v>
      </c>
      <c r="E437" s="8">
        <v>0</v>
      </c>
      <c r="F437" s="8">
        <v>0.23333333329999997</v>
      </c>
      <c r="G437" s="8">
        <v>0.33</v>
      </c>
      <c r="H437" s="8">
        <v>0.03</v>
      </c>
      <c r="I437" s="8">
        <v>0</v>
      </c>
      <c r="J437" s="8">
        <v>0</v>
      </c>
    </row>
    <row r="438" spans="2:10" x14ac:dyDescent="0.25">
      <c r="B438" s="2" t="str">
        <v>Ireland_van_2050</v>
      </c>
      <c r="C438" s="8">
        <v>404521</v>
      </c>
      <c r="D438" s="8">
        <v>0.40666666669999996</v>
      </c>
      <c r="E438" s="8">
        <v>0</v>
      </c>
      <c r="F438" s="8">
        <v>0.2933333333</v>
      </c>
      <c r="G438" s="8">
        <v>0.24</v>
      </c>
      <c r="H438" s="8">
        <v>0.06</v>
      </c>
      <c r="I438" s="8">
        <v>0</v>
      </c>
      <c r="J438" s="8">
        <v>0</v>
      </c>
    </row>
    <row r="439" spans="2:10" x14ac:dyDescent="0.25">
      <c r="B439" s="2" t="str">
        <v>Italy_van_2050</v>
      </c>
      <c r="C439" s="8">
        <v>4318840</v>
      </c>
      <c r="D439" s="8">
        <v>0.75</v>
      </c>
      <c r="E439" s="8">
        <v>0</v>
      </c>
      <c r="F439" s="8">
        <v>0</v>
      </c>
      <c r="G439" s="8">
        <v>0.24</v>
      </c>
      <c r="H439" s="8">
        <v>0.01</v>
      </c>
      <c r="I439" s="8">
        <v>0</v>
      </c>
      <c r="J439" s="8">
        <v>0</v>
      </c>
    </row>
    <row r="440" spans="2:10" x14ac:dyDescent="0.25">
      <c r="B440" s="2" t="str">
        <v>Latvia_van_2050</v>
      </c>
      <c r="C440" s="8">
        <v>63177</v>
      </c>
      <c r="D440" s="8">
        <v>0.40666666669999996</v>
      </c>
      <c r="E440" s="8">
        <v>0</v>
      </c>
      <c r="F440" s="8">
        <v>0.23333333329999997</v>
      </c>
      <c r="G440" s="8">
        <v>0.33</v>
      </c>
      <c r="H440" s="8">
        <v>0.03</v>
      </c>
      <c r="I440" s="8">
        <v>0</v>
      </c>
      <c r="J440" s="8">
        <v>0</v>
      </c>
    </row>
    <row r="441" spans="2:10" x14ac:dyDescent="0.25">
      <c r="B441" s="2" t="str">
        <v>Lithuania_van_2050</v>
      </c>
      <c r="C441" s="8">
        <v>56012</v>
      </c>
      <c r="D441" s="8">
        <v>0.40666666669999996</v>
      </c>
      <c r="E441" s="8">
        <v>0</v>
      </c>
      <c r="F441" s="8">
        <v>0.23333333329999997</v>
      </c>
      <c r="G441" s="8">
        <v>0.33</v>
      </c>
      <c r="H441" s="8">
        <v>0.03</v>
      </c>
      <c r="I441" s="8">
        <v>0</v>
      </c>
      <c r="J441" s="8">
        <v>0</v>
      </c>
    </row>
    <row r="442" spans="2:10" x14ac:dyDescent="0.25">
      <c r="B442" s="2" t="str">
        <v>Luxembourg_van_2050</v>
      </c>
      <c r="C442" s="8">
        <v>40872</v>
      </c>
      <c r="D442" s="8">
        <v>0.93518518500000003</v>
      </c>
      <c r="E442" s="8">
        <v>0</v>
      </c>
      <c r="F442" s="8">
        <v>0</v>
      </c>
      <c r="G442" s="8">
        <v>6.4814814999999998E-2</v>
      </c>
      <c r="H442" s="8">
        <v>0</v>
      </c>
      <c r="I442" s="8">
        <v>0</v>
      </c>
      <c r="J442" s="8">
        <v>0</v>
      </c>
    </row>
    <row r="443" spans="2:10" x14ac:dyDescent="0.25">
      <c r="B443" s="2" t="str">
        <v>Malta_van_2050</v>
      </c>
      <c r="C443" s="8">
        <v>45738.51</v>
      </c>
      <c r="D443" s="8">
        <v>0.40666666669999996</v>
      </c>
      <c r="E443" s="8">
        <v>0</v>
      </c>
      <c r="F443" s="8">
        <v>0.23333333329999997</v>
      </c>
      <c r="G443" s="8">
        <v>0.33</v>
      </c>
      <c r="H443" s="8">
        <v>0.03</v>
      </c>
      <c r="I443" s="8">
        <v>0</v>
      </c>
      <c r="J443" s="8">
        <v>0</v>
      </c>
    </row>
    <row r="444" spans="2:10" x14ac:dyDescent="0.25">
      <c r="B444" s="2" t="str">
        <v>Netherlands_van_2050</v>
      </c>
      <c r="C444" s="8">
        <v>1057084</v>
      </c>
      <c r="D444" s="8">
        <v>0.7</v>
      </c>
      <c r="E444" s="8">
        <v>0</v>
      </c>
      <c r="F444" s="8">
        <v>0.05</v>
      </c>
      <c r="G444" s="8">
        <v>0.25</v>
      </c>
      <c r="H444" s="8">
        <v>0</v>
      </c>
      <c r="I444" s="8">
        <v>0</v>
      </c>
      <c r="J444" s="8">
        <v>0</v>
      </c>
    </row>
    <row r="445" spans="2:10" x14ac:dyDescent="0.25">
      <c r="B445" s="2" t="str">
        <v>Norway_van_2050</v>
      </c>
      <c r="C445" s="8">
        <v>535454</v>
      </c>
      <c r="D445" s="8">
        <v>1</v>
      </c>
      <c r="E445" s="8">
        <v>0</v>
      </c>
      <c r="F445" s="8">
        <v>0</v>
      </c>
      <c r="G445" s="8">
        <v>0</v>
      </c>
      <c r="H445" s="8">
        <v>0</v>
      </c>
      <c r="I445" s="8">
        <v>0</v>
      </c>
      <c r="J445" s="8">
        <v>0</v>
      </c>
    </row>
    <row r="446" spans="2:10" x14ac:dyDescent="0.25">
      <c r="B446" s="2" t="str">
        <v>Poland_van_2050</v>
      </c>
      <c r="C446" s="8">
        <v>2905731</v>
      </c>
      <c r="D446" s="8">
        <v>0.3966666667</v>
      </c>
      <c r="E446" s="8">
        <v>0</v>
      </c>
      <c r="F446" s="8">
        <v>0.2933333333</v>
      </c>
      <c r="G446" s="8">
        <v>0.25</v>
      </c>
      <c r="H446" s="8">
        <v>0.06</v>
      </c>
      <c r="I446" s="8">
        <v>0</v>
      </c>
      <c r="J446" s="8">
        <v>0</v>
      </c>
    </row>
    <row r="447" spans="2:10" x14ac:dyDescent="0.25">
      <c r="B447" s="2" t="str">
        <v>Portugal_van_2050</v>
      </c>
      <c r="C447" s="8">
        <v>1150000</v>
      </c>
      <c r="D447" s="8">
        <v>0.71666666670000001</v>
      </c>
      <c r="E447" s="8">
        <v>0</v>
      </c>
      <c r="F447" s="8">
        <v>3.3333333329999999E-2</v>
      </c>
      <c r="G447" s="8">
        <v>0.2</v>
      </c>
      <c r="H447" s="8">
        <v>0.05</v>
      </c>
      <c r="I447" s="8">
        <v>0</v>
      </c>
      <c r="J447" s="8">
        <v>0</v>
      </c>
    </row>
    <row r="448" spans="2:10" x14ac:dyDescent="0.25">
      <c r="B448" s="2" t="str">
        <v>Romania_van_2050</v>
      </c>
      <c r="C448" s="8">
        <v>750751</v>
      </c>
      <c r="D448" s="8">
        <v>0.40666666669999996</v>
      </c>
      <c r="E448" s="8">
        <v>0</v>
      </c>
      <c r="F448" s="8">
        <v>0.23333333329999997</v>
      </c>
      <c r="G448" s="8">
        <v>0.33</v>
      </c>
      <c r="H448" s="8">
        <v>0.03</v>
      </c>
      <c r="I448" s="8">
        <v>0</v>
      </c>
      <c r="J448" s="8">
        <v>0</v>
      </c>
    </row>
    <row r="449" spans="2:10" x14ac:dyDescent="0.25">
      <c r="B449" s="2" t="str">
        <v>Slovakia_van_2050</v>
      </c>
      <c r="C449" s="8">
        <v>285860</v>
      </c>
      <c r="D449" s="8">
        <v>0.40666666669999996</v>
      </c>
      <c r="E449" s="8">
        <v>0</v>
      </c>
      <c r="F449" s="8">
        <v>0.2933333333</v>
      </c>
      <c r="G449" s="8">
        <v>0.24</v>
      </c>
      <c r="H449" s="8">
        <v>0.06</v>
      </c>
      <c r="I449" s="8">
        <v>0</v>
      </c>
      <c r="J449" s="8">
        <v>0</v>
      </c>
    </row>
    <row r="450" spans="2:10" x14ac:dyDescent="0.25">
      <c r="B450" s="2" t="str">
        <v>Slovenia_van_2050</v>
      </c>
      <c r="C450" s="8">
        <v>94850</v>
      </c>
      <c r="D450" s="8">
        <v>0.40666666669999996</v>
      </c>
      <c r="E450" s="8">
        <v>0</v>
      </c>
      <c r="F450" s="8">
        <v>0.23333333329999997</v>
      </c>
      <c r="G450" s="8">
        <v>0.33</v>
      </c>
      <c r="H450" s="8">
        <v>0.03</v>
      </c>
      <c r="I450" s="8">
        <v>0</v>
      </c>
      <c r="J450" s="8">
        <v>0</v>
      </c>
    </row>
    <row r="451" spans="2:10" x14ac:dyDescent="0.25">
      <c r="B451" s="2" t="str">
        <v>Spain_van_2050</v>
      </c>
      <c r="C451" s="8">
        <v>3898195</v>
      </c>
      <c r="D451" s="8">
        <v>0.6</v>
      </c>
      <c r="E451" s="8">
        <v>0</v>
      </c>
      <c r="F451" s="8">
        <v>0</v>
      </c>
      <c r="G451" s="8">
        <v>0.19</v>
      </c>
      <c r="H451" s="8">
        <v>0.21</v>
      </c>
      <c r="I451" s="8">
        <v>0</v>
      </c>
      <c r="J451" s="8">
        <v>0</v>
      </c>
    </row>
    <row r="452" spans="2:10" x14ac:dyDescent="0.25">
      <c r="B452" s="2" t="str">
        <v>Sweden_van_2050</v>
      </c>
      <c r="C452" s="8">
        <v>605668</v>
      </c>
      <c r="D452" s="8">
        <v>0.67</v>
      </c>
      <c r="E452" s="8">
        <v>0</v>
      </c>
      <c r="F452" s="8">
        <v>0</v>
      </c>
      <c r="G452" s="8">
        <v>0.33</v>
      </c>
      <c r="H452" s="8">
        <v>0</v>
      </c>
      <c r="I452" s="8">
        <v>0</v>
      </c>
      <c r="J452" s="8">
        <v>0</v>
      </c>
    </row>
    <row r="453" spans="2:10" x14ac:dyDescent="0.25">
      <c r="B453" s="2" t="str">
        <v>Switzerland_van_2050</v>
      </c>
      <c r="C453" s="8">
        <v>426290</v>
      </c>
      <c r="D453" s="8">
        <v>0.9</v>
      </c>
      <c r="E453" s="8">
        <v>5.0000000000000001E-3</v>
      </c>
      <c r="F453" s="8">
        <v>5.0000000000000001E-3</v>
      </c>
      <c r="G453" s="8">
        <v>0.09</v>
      </c>
      <c r="H453" s="8">
        <v>0</v>
      </c>
      <c r="I453" s="8">
        <v>0</v>
      </c>
      <c r="J453" s="8">
        <v>0</v>
      </c>
    </row>
    <row r="454" spans="2:10" x14ac:dyDescent="0.25">
      <c r="B454" s="2" t="str">
        <v>United_Kingdom_van_2050</v>
      </c>
      <c r="C454" s="8">
        <v>5323255</v>
      </c>
      <c r="D454" s="8">
        <v>0.7</v>
      </c>
      <c r="E454" s="8">
        <v>0</v>
      </c>
      <c r="F454" s="8">
        <v>0.05</v>
      </c>
      <c r="G454" s="8">
        <v>0.25</v>
      </c>
      <c r="H454" s="8">
        <v>0</v>
      </c>
      <c r="I454" s="8">
        <v>0</v>
      </c>
      <c r="J454" s="8">
        <v>0</v>
      </c>
    </row>
    <row r="455" spans="2:10" x14ac:dyDescent="0.25">
      <c r="B455" s="2" t="str" cm="1">
        <f t="array" ref="B455:B484">countries&amp;"_car_2030"</f>
        <v>Austria_car_2030</v>
      </c>
      <c r="C455" s="8" cm="1">
        <f t="array" ref="C455:C484">Cars_amount</f>
        <v>5150890</v>
      </c>
      <c r="D455" s="8" cm="1">
        <f t="array" ref="D455:J484">Car_splits_2030</f>
        <v>0.37523016055299996</v>
      </c>
      <c r="E455" s="8">
        <v>0.13833523542800003</v>
      </c>
      <c r="F455" s="8">
        <v>0.38566206721599999</v>
      </c>
      <c r="G455" s="8">
        <v>0.1</v>
      </c>
      <c r="H455" s="8">
        <v>3.3172397450000003E-4</v>
      </c>
      <c r="I455" s="8">
        <v>0</v>
      </c>
      <c r="J455" s="8">
        <v>4.4081283E-4</v>
      </c>
    </row>
    <row r="456" spans="2:10" x14ac:dyDescent="0.25">
      <c r="B456" s="2" t="str">
        <v>Belgium_car_2030</v>
      </c>
      <c r="C456" s="8">
        <v>5955127</v>
      </c>
      <c r="D456" s="8">
        <v>0.27606932095949993</v>
      </c>
      <c r="E456" s="8">
        <v>0.28306394157350001</v>
      </c>
      <c r="F456" s="8">
        <v>0.39333418392949998</v>
      </c>
      <c r="G456" s="8">
        <v>4.0999999999999995E-2</v>
      </c>
      <c r="H456" s="8">
        <v>3.0495416850000001E-3</v>
      </c>
      <c r="I456" s="8">
        <v>0</v>
      </c>
      <c r="J456" s="8">
        <v>3.4830118549999999E-3</v>
      </c>
    </row>
    <row r="457" spans="2:10" x14ac:dyDescent="0.25">
      <c r="B457" s="2" t="str">
        <v>Bulgaria_car_2030</v>
      </c>
      <c r="C457" s="8">
        <v>2896777</v>
      </c>
      <c r="D457" s="8">
        <v>0.12362165331</v>
      </c>
      <c r="E457" s="8">
        <v>0.35884468389949997</v>
      </c>
      <c r="F457" s="8">
        <v>0.31496319068199996</v>
      </c>
      <c r="G457" s="8">
        <v>9.5000000000000001E-2</v>
      </c>
      <c r="H457" s="8">
        <v>2.0937571890500002E-2</v>
      </c>
      <c r="I457" s="8">
        <v>0</v>
      </c>
      <c r="J457" s="8">
        <v>8.6632900218999997E-2</v>
      </c>
    </row>
    <row r="458" spans="2:10" x14ac:dyDescent="0.25">
      <c r="B458" s="2" t="str">
        <v>Croatia_car_2030</v>
      </c>
      <c r="C458" s="8">
        <v>1840767</v>
      </c>
      <c r="D458" s="8">
        <v>4.7543146201500006E-2</v>
      </c>
      <c r="E458" s="8">
        <v>0.59342863698850001</v>
      </c>
      <c r="F458" s="8">
        <v>0.33482076542450001</v>
      </c>
      <c r="G458" s="8">
        <v>0</v>
      </c>
      <c r="H458" s="8">
        <v>1.5161531010000001E-3</v>
      </c>
      <c r="I458" s="8">
        <v>0</v>
      </c>
      <c r="J458" s="8">
        <v>2.2691298286500003E-2</v>
      </c>
    </row>
    <row r="459" spans="2:10" x14ac:dyDescent="0.25">
      <c r="B459" s="2" t="str">
        <v>Cyprus_car_2030</v>
      </c>
      <c r="C459" s="8">
        <v>601131</v>
      </c>
      <c r="D459" s="8">
        <v>0.12333333335</v>
      </c>
      <c r="E459" s="8">
        <v>0.58770439970999999</v>
      </c>
      <c r="F459" s="8">
        <v>0.183483557899</v>
      </c>
      <c r="G459" s="8">
        <v>9.5000000000000001E-2</v>
      </c>
      <c r="H459" s="8">
        <v>0.01</v>
      </c>
      <c r="I459" s="8">
        <v>0</v>
      </c>
      <c r="J459" s="8">
        <v>4.7870904200000001E-4</v>
      </c>
    </row>
    <row r="460" spans="2:10" x14ac:dyDescent="0.25">
      <c r="B460" s="2" t="str">
        <v>Czechia_car_2030</v>
      </c>
      <c r="C460" s="8">
        <v>6305934</v>
      </c>
      <c r="D460" s="8">
        <v>9.3791870112500009E-2</v>
      </c>
      <c r="E460" s="8">
        <v>0.47787074342300007</v>
      </c>
      <c r="F460" s="8">
        <v>0.32272773393199999</v>
      </c>
      <c r="G460" s="8">
        <v>7.4999999999999997E-2</v>
      </c>
      <c r="H460" s="8">
        <v>2.1400413625500003E-2</v>
      </c>
      <c r="I460" s="8">
        <v>0</v>
      </c>
      <c r="J460" s="8">
        <v>9.2092389090000001E-3</v>
      </c>
    </row>
    <row r="461" spans="2:10" x14ac:dyDescent="0.25">
      <c r="B461" s="2" t="str">
        <v>Denmark_car_2030</v>
      </c>
      <c r="C461" s="8">
        <v>2801076</v>
      </c>
      <c r="D461" s="8">
        <v>0.1254320916495</v>
      </c>
      <c r="E461" s="8">
        <v>0.52775080441300004</v>
      </c>
      <c r="F461" s="8">
        <v>0.28181570405700002</v>
      </c>
      <c r="G461" s="8">
        <v>4.4999999999999998E-2</v>
      </c>
      <c r="H461" s="8">
        <v>2.0001399882E-2</v>
      </c>
      <c r="I461" s="8">
        <v>0</v>
      </c>
      <c r="J461" s="8">
        <v>0</v>
      </c>
    </row>
    <row r="462" spans="2:10" x14ac:dyDescent="0.25">
      <c r="B462" s="2" t="str">
        <v>Estonia_car_2030</v>
      </c>
      <c r="C462" s="8">
        <v>849294</v>
      </c>
      <c r="D462" s="8">
        <v>0.17109732433200001</v>
      </c>
      <c r="E462" s="8">
        <v>0.41768500521500002</v>
      </c>
      <c r="F462" s="8">
        <v>0.37153920041499999</v>
      </c>
      <c r="G462" s="8">
        <v>5.0000000000000001E-3</v>
      </c>
      <c r="H462" s="8">
        <v>2.6517520411500003E-2</v>
      </c>
      <c r="I462" s="8">
        <v>0</v>
      </c>
      <c r="J462" s="8">
        <v>8.1609496279999999E-3</v>
      </c>
    </row>
    <row r="463" spans="2:10" x14ac:dyDescent="0.25">
      <c r="B463" s="2" t="str">
        <v>Finland_car_2030</v>
      </c>
      <c r="C463" s="8">
        <v>3673750</v>
      </c>
      <c r="D463" s="8">
        <v>0.315341835653</v>
      </c>
      <c r="E463" s="8">
        <v>0.33852015962750004</v>
      </c>
      <c r="F463" s="8">
        <v>0.28659342383149999</v>
      </c>
      <c r="G463" s="8">
        <v>4.4999999999999998E-2</v>
      </c>
      <c r="H463" s="8">
        <v>1.4544580988499999E-2</v>
      </c>
      <c r="I463" s="8">
        <v>0</v>
      </c>
      <c r="J463" s="8">
        <v>0</v>
      </c>
    </row>
    <row r="464" spans="2:10" x14ac:dyDescent="0.25">
      <c r="B464" s="2" t="str">
        <v>France_car_2030</v>
      </c>
      <c r="C464" s="8">
        <v>38856492</v>
      </c>
      <c r="D464" s="8">
        <v>0.35177531894450004</v>
      </c>
      <c r="E464" s="8">
        <v>0.195232592122</v>
      </c>
      <c r="F464" s="8">
        <v>0.40559090948150001</v>
      </c>
      <c r="G464" s="8">
        <v>1.2500000000000001E-2</v>
      </c>
      <c r="H464" s="8">
        <v>4.3954876000000003E-5</v>
      </c>
      <c r="I464" s="8">
        <v>0</v>
      </c>
      <c r="J464" s="8">
        <v>3.4857224577499998E-2</v>
      </c>
    </row>
    <row r="465" spans="2:10" x14ac:dyDescent="0.25">
      <c r="B465" s="2" t="str">
        <v>Germany_car_2030</v>
      </c>
      <c r="C465" s="8">
        <v>48763036</v>
      </c>
      <c r="D465" s="8">
        <v>0.35089844041000001</v>
      </c>
      <c r="E465" s="8">
        <v>0.19772126224200001</v>
      </c>
      <c r="F465" s="8">
        <v>0.29553347357650001</v>
      </c>
      <c r="G465" s="8">
        <v>0.14000000000000001</v>
      </c>
      <c r="H465" s="8">
        <v>1.16205475185E-2</v>
      </c>
      <c r="I465" s="8">
        <v>0</v>
      </c>
      <c r="J465" s="8">
        <v>4.226276254E-3</v>
      </c>
    </row>
    <row r="466" spans="2:10" x14ac:dyDescent="0.25">
      <c r="B466" s="2" t="str">
        <v>Greece_car_2030</v>
      </c>
      <c r="C466" s="8">
        <v>5726012</v>
      </c>
      <c r="D466" s="8">
        <v>0.27096607537499995</v>
      </c>
      <c r="E466" s="8">
        <v>0.3382744740925</v>
      </c>
      <c r="F466" s="8">
        <v>0.20021417475949999</v>
      </c>
      <c r="G466" s="8">
        <v>0.15</v>
      </c>
      <c r="H466" s="8">
        <v>5.4426067585000007E-3</v>
      </c>
      <c r="I466" s="8">
        <v>0</v>
      </c>
      <c r="J466" s="8">
        <v>3.5102669016000003E-2</v>
      </c>
    </row>
    <row r="467" spans="2:10" x14ac:dyDescent="0.25">
      <c r="B467" s="2" t="str">
        <v>Hungary_car_2030</v>
      </c>
      <c r="C467" s="8">
        <v>4094129</v>
      </c>
      <c r="D467" s="8">
        <v>0.12362795610850001</v>
      </c>
      <c r="E467" s="8">
        <v>0.48146710712749996</v>
      </c>
      <c r="F467" s="8">
        <v>0.28677937260850001</v>
      </c>
      <c r="G467" s="8">
        <v>9.5000000000000001E-2</v>
      </c>
      <c r="H467" s="8">
        <v>1.02294235005E-2</v>
      </c>
      <c r="I467" s="8">
        <v>0</v>
      </c>
      <c r="J467" s="8">
        <v>2.8961406564999999E-3</v>
      </c>
    </row>
    <row r="468" spans="2:10" x14ac:dyDescent="0.25">
      <c r="B468" s="2" t="str">
        <v>Ireland_car_2030</v>
      </c>
      <c r="C468" s="8">
        <v>2335130</v>
      </c>
      <c r="D468" s="8">
        <v>0.26563954380600002</v>
      </c>
      <c r="E468" s="8">
        <v>0.3198767995315</v>
      </c>
      <c r="F468" s="8">
        <v>0.36419709166199998</v>
      </c>
      <c r="G468" s="8">
        <v>2.5000000000000001E-2</v>
      </c>
      <c r="H468" s="8">
        <v>2.5000000000000001E-2</v>
      </c>
      <c r="I468" s="8">
        <v>0</v>
      </c>
      <c r="J468" s="8">
        <v>2.8656500100000001E-4</v>
      </c>
    </row>
    <row r="469" spans="2:10" x14ac:dyDescent="0.25">
      <c r="B469" s="2" t="str">
        <v>Italy_car_2030</v>
      </c>
      <c r="C469" s="8">
        <v>40213061</v>
      </c>
      <c r="D469" s="8">
        <v>0.24526298402400001</v>
      </c>
      <c r="E469" s="8">
        <v>0.21146121139399998</v>
      </c>
      <c r="F469" s="8">
        <v>0.38936230048699999</v>
      </c>
      <c r="G469" s="8">
        <v>0.05</v>
      </c>
      <c r="H469" s="8">
        <v>3.5624053923500001E-2</v>
      </c>
      <c r="I469" s="8">
        <v>0</v>
      </c>
      <c r="J469" s="8">
        <v>6.8289450173499994E-2</v>
      </c>
    </row>
    <row r="470" spans="2:10" x14ac:dyDescent="0.25">
      <c r="B470" s="2" t="str">
        <v>Latvia_car_2030</v>
      </c>
      <c r="C470" s="8">
        <v>769723</v>
      </c>
      <c r="D470" s="8">
        <v>0.12347043277250001</v>
      </c>
      <c r="E470" s="8">
        <v>0.38259240327849997</v>
      </c>
      <c r="F470" s="8">
        <v>0.3570360310115</v>
      </c>
      <c r="G470" s="8">
        <v>9.5000000000000001E-2</v>
      </c>
      <c r="H470" s="8">
        <v>1.00524325715E-2</v>
      </c>
      <c r="I470" s="8">
        <v>0</v>
      </c>
      <c r="J470" s="8">
        <v>3.1848700367500003E-2</v>
      </c>
    </row>
    <row r="471" spans="2:10" x14ac:dyDescent="0.25">
      <c r="B471" s="2" t="str">
        <v>Lithuania_car_2030</v>
      </c>
      <c r="C471" s="8">
        <v>1650384</v>
      </c>
      <c r="D471" s="8">
        <v>0.12402284237449999</v>
      </c>
      <c r="E471" s="8">
        <v>0.34522400579099999</v>
      </c>
      <c r="F471" s="8">
        <v>0.39233034386050003</v>
      </c>
      <c r="G471" s="8">
        <v>9.5000000000000001E-2</v>
      </c>
      <c r="H471" s="8">
        <v>1.0006357616000001E-2</v>
      </c>
      <c r="I471" s="8">
        <v>0</v>
      </c>
      <c r="J471" s="8">
        <v>3.3416450359000004E-2</v>
      </c>
    </row>
    <row r="472" spans="2:10" x14ac:dyDescent="0.25">
      <c r="B472" s="2" t="str">
        <v>Luxembourg_car_2030</v>
      </c>
      <c r="C472" s="8">
        <v>444818</v>
      </c>
      <c r="D472" s="8">
        <v>0.38547208636949998</v>
      </c>
      <c r="E472" s="8">
        <v>0.19468227517549999</v>
      </c>
      <c r="F472" s="8">
        <v>0.40474205714200001</v>
      </c>
      <c r="G472" s="8">
        <v>1.4999999999999999E-2</v>
      </c>
      <c r="H472" s="8">
        <v>0</v>
      </c>
      <c r="I472" s="8">
        <v>0</v>
      </c>
      <c r="J472" s="8">
        <v>1.035813145E-4</v>
      </c>
    </row>
    <row r="473" spans="2:10" x14ac:dyDescent="0.25">
      <c r="B473" s="2" t="str">
        <v>Malta_car_2030</v>
      </c>
      <c r="C473" s="8">
        <v>317234</v>
      </c>
      <c r="D473" s="8">
        <v>0.25848330851649998</v>
      </c>
      <c r="E473" s="8">
        <v>0.40650291449050002</v>
      </c>
      <c r="F473" s="8">
        <v>0.33138820399649999</v>
      </c>
      <c r="G473" s="8">
        <v>0</v>
      </c>
      <c r="H473" s="8">
        <v>0</v>
      </c>
      <c r="I473" s="8">
        <v>0</v>
      </c>
      <c r="J473" s="8">
        <v>3.625572998E-3</v>
      </c>
    </row>
    <row r="474" spans="2:10" x14ac:dyDescent="0.25">
      <c r="B474" s="2" t="str">
        <v>Netherlands_car_2030</v>
      </c>
      <c r="C474" s="8">
        <v>8917107</v>
      </c>
      <c r="D474" s="8">
        <v>0.21776823334249998</v>
      </c>
      <c r="E474" s="8">
        <v>0.51462264348800002</v>
      </c>
      <c r="F474" s="8">
        <v>0.17153447334250002</v>
      </c>
      <c r="G474" s="8">
        <v>7.8350000000000003E-2</v>
      </c>
      <c r="H474" s="8">
        <v>0</v>
      </c>
      <c r="I474" s="8">
        <v>0</v>
      </c>
      <c r="J474" s="8">
        <v>1.77246498285E-2</v>
      </c>
    </row>
    <row r="475" spans="2:10" x14ac:dyDescent="0.25">
      <c r="B475" s="2" t="str">
        <v>Norway_car_2030</v>
      </c>
      <c r="C475" s="8">
        <v>3018728</v>
      </c>
      <c r="D475" s="8">
        <v>1</v>
      </c>
      <c r="E475" s="8">
        <v>0</v>
      </c>
      <c r="F475" s="8">
        <v>0</v>
      </c>
      <c r="G475" s="8">
        <v>0</v>
      </c>
      <c r="H475" s="8">
        <v>0</v>
      </c>
      <c r="I475" s="8">
        <v>0</v>
      </c>
      <c r="J475" s="8">
        <v>0</v>
      </c>
    </row>
    <row r="476" spans="2:10" x14ac:dyDescent="0.25">
      <c r="B476" s="2" t="str">
        <v>Poland_car_2030</v>
      </c>
      <c r="C476" s="8">
        <v>21458101</v>
      </c>
      <c r="D476" s="8">
        <v>0.11335407589350001</v>
      </c>
      <c r="E476" s="8">
        <v>0.43964345419250006</v>
      </c>
      <c r="F476" s="8">
        <v>0.30707693351249998</v>
      </c>
      <c r="G476" s="8">
        <v>5.5E-2</v>
      </c>
      <c r="H476" s="8">
        <v>2.0061879296E-2</v>
      </c>
      <c r="I476" s="8">
        <v>0</v>
      </c>
      <c r="J476" s="8">
        <v>6.4863657106999997E-2</v>
      </c>
    </row>
    <row r="477" spans="2:10" x14ac:dyDescent="0.25">
      <c r="B477" s="2" t="str">
        <v>Portugal_car_2030</v>
      </c>
      <c r="C477" s="8">
        <v>5778584</v>
      </c>
      <c r="D477" s="8">
        <v>0.26018595554750001</v>
      </c>
      <c r="E477" s="8">
        <v>0.30180375040899998</v>
      </c>
      <c r="F477" s="8">
        <v>0.37829950498099996</v>
      </c>
      <c r="G477" s="8">
        <v>3.5000000000000003E-2</v>
      </c>
      <c r="H477" s="8">
        <v>2.0002984743999998E-2</v>
      </c>
      <c r="I477" s="8">
        <v>0</v>
      </c>
      <c r="J477" s="8">
        <v>4.7078043199999999E-3</v>
      </c>
    </row>
    <row r="478" spans="2:10" x14ac:dyDescent="0.25">
      <c r="B478" s="2" t="str">
        <v>Romania_car_2030</v>
      </c>
      <c r="C478" s="8">
        <v>7865186</v>
      </c>
      <c r="D478" s="8">
        <v>0.1235982319865</v>
      </c>
      <c r="E478" s="8">
        <v>0.41270309632300001</v>
      </c>
      <c r="F478" s="8">
        <v>0.34756694852249997</v>
      </c>
      <c r="G478" s="8">
        <v>9.5000000000000001E-2</v>
      </c>
      <c r="H478" s="8">
        <v>0.01</v>
      </c>
      <c r="I478" s="8">
        <v>0</v>
      </c>
      <c r="J478" s="8">
        <v>1.11317231695E-2</v>
      </c>
    </row>
    <row r="479" spans="2:10" x14ac:dyDescent="0.25">
      <c r="B479" s="2" t="str">
        <v>Slovakia_car_2030</v>
      </c>
      <c r="C479" s="8">
        <v>2555491</v>
      </c>
      <c r="D479" s="8">
        <v>0.12335051695200001</v>
      </c>
      <c r="E479" s="8">
        <v>0.46336961980800007</v>
      </c>
      <c r="F479" s="8">
        <v>0.34827986324050003</v>
      </c>
      <c r="G479" s="8">
        <v>4.4999999999999998E-2</v>
      </c>
      <c r="H479" s="8">
        <v>0.02</v>
      </c>
      <c r="I479" s="8">
        <v>0</v>
      </c>
      <c r="J479" s="8">
        <v>0</v>
      </c>
    </row>
    <row r="480" spans="2:10" x14ac:dyDescent="0.25">
      <c r="B480" s="2" t="str">
        <v>Slovenia_car_2030</v>
      </c>
      <c r="C480" s="8">
        <v>1207755</v>
      </c>
      <c r="D480" s="8">
        <v>0.14841134837349998</v>
      </c>
      <c r="E480" s="8">
        <v>0.41099872312149999</v>
      </c>
      <c r="F480" s="8">
        <v>0.35561181369549999</v>
      </c>
      <c r="G480" s="8">
        <v>7.0000000000000007E-2</v>
      </c>
      <c r="H480" s="8">
        <v>1.0105884292499999E-2</v>
      </c>
      <c r="I480" s="8">
        <v>0</v>
      </c>
      <c r="J480" s="8">
        <v>4.8722306690000003E-3</v>
      </c>
    </row>
    <row r="481" spans="2:10" x14ac:dyDescent="0.25">
      <c r="B481" s="2" t="str">
        <v>Spain_car_2030</v>
      </c>
      <c r="C481" s="8">
        <v>26605478</v>
      </c>
      <c r="D481" s="8">
        <v>0.35044618484099999</v>
      </c>
      <c r="E481" s="8">
        <v>0.20617728210149999</v>
      </c>
      <c r="F481" s="8">
        <v>0.44012377069049996</v>
      </c>
      <c r="G481" s="8">
        <v>0</v>
      </c>
      <c r="H481" s="8">
        <v>9.9696037949999986E-4</v>
      </c>
      <c r="I481" s="8">
        <v>0</v>
      </c>
      <c r="J481" s="8">
        <v>2.2558019889999999E-3</v>
      </c>
    </row>
    <row r="482" spans="2:10" x14ac:dyDescent="0.25">
      <c r="B482" s="2" t="str">
        <v>Sweden_car_2030</v>
      </c>
      <c r="C482" s="8">
        <v>4979761</v>
      </c>
      <c r="D482" s="8">
        <v>0.25580480811450002</v>
      </c>
      <c r="E482" s="8">
        <v>0.28420036949549998</v>
      </c>
      <c r="F482" s="8">
        <v>0.35169384280749999</v>
      </c>
      <c r="G482" s="8">
        <v>0.1</v>
      </c>
      <c r="H482" s="8">
        <v>8.3009795835000001E-3</v>
      </c>
      <c r="I482" s="8">
        <v>0</v>
      </c>
      <c r="J482" s="8">
        <v>0</v>
      </c>
    </row>
    <row r="483" spans="2:10" x14ac:dyDescent="0.25">
      <c r="B483" s="2" t="str">
        <v>Switzerland_car_2030</v>
      </c>
      <c r="C483" s="8">
        <v>4812896</v>
      </c>
      <c r="D483" s="8">
        <v>0.35089844041000001</v>
      </c>
      <c r="E483" s="8">
        <v>0.19772126224200001</v>
      </c>
      <c r="F483" s="8">
        <v>0.29553347357650001</v>
      </c>
      <c r="G483" s="8">
        <v>0.14000000000000001</v>
      </c>
      <c r="H483" s="8">
        <v>1.16205475185E-2</v>
      </c>
      <c r="I483" s="8">
        <v>0</v>
      </c>
      <c r="J483" s="8">
        <v>4.226276254E-3</v>
      </c>
    </row>
    <row r="484" spans="2:10" x14ac:dyDescent="0.25">
      <c r="B484" s="2" t="str">
        <v>United_Kingdom_car_2030</v>
      </c>
      <c r="C484" s="8">
        <v>32169932</v>
      </c>
      <c r="D484" s="8">
        <v>0.35089844041000001</v>
      </c>
      <c r="E484" s="8">
        <v>0.19772126224200001</v>
      </c>
      <c r="F484" s="8">
        <v>0.29553347357650001</v>
      </c>
      <c r="G484" s="8">
        <v>0.14000000000000001</v>
      </c>
      <c r="H484" s="8">
        <v>1.16205475185E-2</v>
      </c>
      <c r="I484" s="8">
        <v>0</v>
      </c>
      <c r="J484" s="8">
        <v>4.226276254E-3</v>
      </c>
    </row>
    <row r="485" spans="2:10" x14ac:dyDescent="0.25">
      <c r="B485" s="2" t="str" cm="1">
        <f t="array" ref="B485:B514">countries&amp;"_car_2040"</f>
        <v>Austria_car_2040</v>
      </c>
      <c r="C485" s="8" cm="1">
        <f t="array" ref="C485:C514">Cars_amount</f>
        <v>5150890</v>
      </c>
      <c r="D485" s="8" cm="1">
        <f t="array" ref="D485:J514">Car_splits_2040</f>
        <v>0.75</v>
      </c>
      <c r="E485" s="8">
        <v>2.5000000000000001E-2</v>
      </c>
      <c r="F485" s="8">
        <v>2.5000000000000001E-2</v>
      </c>
      <c r="G485" s="8">
        <v>0.2</v>
      </c>
      <c r="H485" s="8">
        <v>0</v>
      </c>
      <c r="I485" s="8">
        <v>0</v>
      </c>
      <c r="J485" s="8">
        <v>0</v>
      </c>
    </row>
    <row r="486" spans="2:10" x14ac:dyDescent="0.25">
      <c r="B486" s="2" t="str">
        <v>Belgium_car_2040</v>
      </c>
      <c r="C486" s="8">
        <v>5955127</v>
      </c>
      <c r="D486" s="8">
        <v>0.54899999999999993</v>
      </c>
      <c r="E486" s="8">
        <v>0.29199999999999998</v>
      </c>
      <c r="F486" s="8">
        <v>7.2999999999999995E-2</v>
      </c>
      <c r="G486" s="8">
        <v>8.199999999999999E-2</v>
      </c>
      <c r="H486" s="8">
        <v>4.0000000000000001E-3</v>
      </c>
      <c r="I486" s="8">
        <v>0</v>
      </c>
      <c r="J486" s="8">
        <v>0</v>
      </c>
    </row>
    <row r="487" spans="2:10" x14ac:dyDescent="0.25">
      <c r="B487" s="2" t="str">
        <v>Bulgaria_car_2040</v>
      </c>
      <c r="C487" s="8">
        <v>2896777</v>
      </c>
      <c r="D487" s="8">
        <v>0.24666666670000001</v>
      </c>
      <c r="E487" s="8">
        <v>0.5433333333</v>
      </c>
      <c r="F487" s="8">
        <v>0</v>
      </c>
      <c r="G487" s="8">
        <v>0.19</v>
      </c>
      <c r="H487" s="8">
        <v>0.02</v>
      </c>
      <c r="I487" s="8">
        <v>0</v>
      </c>
      <c r="J487" s="8">
        <v>0</v>
      </c>
    </row>
    <row r="488" spans="2:10" x14ac:dyDescent="0.25">
      <c r="B488" s="2" t="str">
        <v>Croatia_car_2040</v>
      </c>
      <c r="C488" s="8">
        <v>1840767</v>
      </c>
      <c r="D488" s="8">
        <v>9.5000000000000001E-2</v>
      </c>
      <c r="E488" s="8">
        <v>0.90200000000000002</v>
      </c>
      <c r="F488" s="8">
        <v>0</v>
      </c>
      <c r="G488" s="8">
        <v>0</v>
      </c>
      <c r="H488" s="8">
        <v>3.0000000000000001E-3</v>
      </c>
      <c r="I488" s="8">
        <v>0</v>
      </c>
      <c r="J488" s="8">
        <v>0</v>
      </c>
    </row>
    <row r="489" spans="2:10" x14ac:dyDescent="0.25">
      <c r="B489" s="2" t="str">
        <v>Cyprus_car_2040</v>
      </c>
      <c r="C489" s="8">
        <v>601131</v>
      </c>
      <c r="D489" s="8">
        <v>0.24666666670000001</v>
      </c>
      <c r="E489" s="8">
        <v>0.5433333333</v>
      </c>
      <c r="F489" s="8">
        <v>0</v>
      </c>
      <c r="G489" s="8">
        <v>0.19</v>
      </c>
      <c r="H489" s="8">
        <v>0.02</v>
      </c>
      <c r="I489" s="8">
        <v>0</v>
      </c>
      <c r="J489" s="8">
        <v>0</v>
      </c>
    </row>
    <row r="490" spans="2:10" x14ac:dyDescent="0.25">
      <c r="B490" s="2" t="str">
        <v>Czechia_car_2040</v>
      </c>
      <c r="C490" s="8">
        <v>6305934</v>
      </c>
      <c r="D490" s="8">
        <v>0.18666666670000001</v>
      </c>
      <c r="E490" s="8">
        <v>0.62333333330000007</v>
      </c>
      <c r="F490" s="8">
        <v>0</v>
      </c>
      <c r="G490" s="8">
        <v>0.15</v>
      </c>
      <c r="H490" s="8">
        <v>0.04</v>
      </c>
      <c r="I490" s="8">
        <v>0</v>
      </c>
      <c r="J490" s="8">
        <v>0</v>
      </c>
    </row>
    <row r="491" spans="2:10" x14ac:dyDescent="0.25">
      <c r="B491" s="2" t="str">
        <v>Denmark_car_2040</v>
      </c>
      <c r="C491" s="8">
        <v>2801076</v>
      </c>
      <c r="D491" s="8">
        <v>0.24666666670000001</v>
      </c>
      <c r="E491" s="8">
        <v>0.62333333330000007</v>
      </c>
      <c r="F491" s="8">
        <v>0</v>
      </c>
      <c r="G491" s="8">
        <v>0.09</v>
      </c>
      <c r="H491" s="8">
        <v>0.04</v>
      </c>
      <c r="I491" s="8">
        <v>0</v>
      </c>
      <c r="J491" s="8">
        <v>0</v>
      </c>
    </row>
    <row r="492" spans="2:10" x14ac:dyDescent="0.25">
      <c r="B492" s="2" t="str">
        <v>Estonia_car_2040</v>
      </c>
      <c r="C492" s="8">
        <v>849294</v>
      </c>
      <c r="D492" s="8">
        <v>0.34</v>
      </c>
      <c r="E492" s="8">
        <v>0.42599999999999999</v>
      </c>
      <c r="F492" s="8">
        <v>0.17399999999999999</v>
      </c>
      <c r="G492" s="8">
        <v>0.01</v>
      </c>
      <c r="H492" s="8">
        <v>0.05</v>
      </c>
      <c r="I492" s="8">
        <v>0</v>
      </c>
      <c r="J492" s="8">
        <v>0</v>
      </c>
    </row>
    <row r="493" spans="2:10" x14ac:dyDescent="0.25">
      <c r="B493" s="2" t="str">
        <v>Finland_car_2040</v>
      </c>
      <c r="C493" s="8">
        <v>3673750</v>
      </c>
      <c r="D493" s="8">
        <v>0.627070707</v>
      </c>
      <c r="E493" s="8">
        <v>0.25515151520000001</v>
      </c>
      <c r="F493" s="8">
        <v>0</v>
      </c>
      <c r="G493" s="8">
        <v>0.09</v>
      </c>
      <c r="H493" s="8">
        <v>2.7777777999999999E-2</v>
      </c>
      <c r="I493" s="8">
        <v>0</v>
      </c>
      <c r="J493" s="8">
        <v>0</v>
      </c>
    </row>
    <row r="494" spans="2:10" x14ac:dyDescent="0.25">
      <c r="B494" s="2" t="str">
        <v>France_car_2040</v>
      </c>
      <c r="C494" s="8">
        <v>38856492</v>
      </c>
      <c r="D494" s="8">
        <v>0.7016</v>
      </c>
      <c r="E494" s="8">
        <v>0.15039999999999998</v>
      </c>
      <c r="F494" s="8">
        <v>5.5E-2</v>
      </c>
      <c r="G494" s="8">
        <v>2.5000000000000001E-2</v>
      </c>
      <c r="H494" s="8">
        <v>0</v>
      </c>
      <c r="I494" s="8">
        <v>0</v>
      </c>
      <c r="J494" s="8">
        <v>6.8000000000000005E-2</v>
      </c>
    </row>
    <row r="495" spans="2:10" x14ac:dyDescent="0.25">
      <c r="B495" s="2" t="str">
        <v>Germany_car_2040</v>
      </c>
      <c r="C495" s="8">
        <v>48763036</v>
      </c>
      <c r="D495" s="8">
        <v>0.7</v>
      </c>
      <c r="E495" s="8">
        <v>0</v>
      </c>
      <c r="F495" s="8">
        <v>0</v>
      </c>
      <c r="G495" s="8">
        <v>0.28000000000000003</v>
      </c>
      <c r="H495" s="8">
        <v>0.02</v>
      </c>
      <c r="I495" s="8">
        <v>0</v>
      </c>
      <c r="J495" s="8">
        <v>0</v>
      </c>
    </row>
    <row r="496" spans="2:10" x14ac:dyDescent="0.25">
      <c r="B496" s="2" t="str">
        <v>Greece_car_2040</v>
      </c>
      <c r="C496" s="8">
        <v>5726012</v>
      </c>
      <c r="D496" s="8">
        <v>0.54185185199999997</v>
      </c>
      <c r="E496" s="8">
        <v>0.14814814800000001</v>
      </c>
      <c r="F496" s="8">
        <v>0</v>
      </c>
      <c r="G496" s="8">
        <v>0.3</v>
      </c>
      <c r="H496" s="8">
        <v>0.01</v>
      </c>
      <c r="I496" s="8">
        <v>0</v>
      </c>
      <c r="J496" s="8">
        <v>0</v>
      </c>
    </row>
    <row r="497" spans="2:10" x14ac:dyDescent="0.25">
      <c r="B497" s="2" t="str">
        <v>Hungary_car_2040</v>
      </c>
      <c r="C497" s="8">
        <v>4094129</v>
      </c>
      <c r="D497" s="8">
        <v>0.24666666670000001</v>
      </c>
      <c r="E497" s="8">
        <v>0.5433333333</v>
      </c>
      <c r="F497" s="8">
        <v>0</v>
      </c>
      <c r="G497" s="8">
        <v>0.19</v>
      </c>
      <c r="H497" s="8">
        <v>0.02</v>
      </c>
      <c r="I497" s="8">
        <v>0</v>
      </c>
      <c r="J497" s="8">
        <v>0</v>
      </c>
    </row>
    <row r="498" spans="2:10" x14ac:dyDescent="0.25">
      <c r="B498" s="2" t="str">
        <v>Ireland_car_2040</v>
      </c>
      <c r="C498" s="8">
        <v>2335130</v>
      </c>
      <c r="D498" s="8">
        <v>0.53</v>
      </c>
      <c r="E498" s="8">
        <v>0.37</v>
      </c>
      <c r="F498" s="8">
        <v>0</v>
      </c>
      <c r="G498" s="8">
        <v>0.05</v>
      </c>
      <c r="H498" s="8">
        <v>0.05</v>
      </c>
      <c r="I498" s="8">
        <v>0</v>
      </c>
      <c r="J498" s="8">
        <v>0</v>
      </c>
    </row>
    <row r="499" spans="2:10" x14ac:dyDescent="0.25">
      <c r="B499" s="2" t="str">
        <v>Italy_car_2040</v>
      </c>
      <c r="C499" s="8">
        <v>40213061</v>
      </c>
      <c r="D499" s="8">
        <v>0.49</v>
      </c>
      <c r="E499" s="8">
        <v>0.17</v>
      </c>
      <c r="F499" s="8">
        <v>0.13</v>
      </c>
      <c r="G499" s="8">
        <v>0.1</v>
      </c>
      <c r="H499" s="8">
        <v>4.4999999999999998E-2</v>
      </c>
      <c r="I499" s="8">
        <v>0</v>
      </c>
      <c r="J499" s="8">
        <v>6.5000000000000002E-2</v>
      </c>
    </row>
    <row r="500" spans="2:10" x14ac:dyDescent="0.25">
      <c r="B500" s="2" t="str">
        <v>Latvia_car_2040</v>
      </c>
      <c r="C500" s="8">
        <v>769723</v>
      </c>
      <c r="D500" s="8">
        <v>0.24666666670000001</v>
      </c>
      <c r="E500" s="8">
        <v>0.5433333333</v>
      </c>
      <c r="F500" s="8">
        <v>0</v>
      </c>
      <c r="G500" s="8">
        <v>0.19</v>
      </c>
      <c r="H500" s="8">
        <v>0.02</v>
      </c>
      <c r="I500" s="8">
        <v>0</v>
      </c>
      <c r="J500" s="8">
        <v>0</v>
      </c>
    </row>
    <row r="501" spans="2:10" x14ac:dyDescent="0.25">
      <c r="B501" s="2" t="str">
        <v>Lithuania_car_2040</v>
      </c>
      <c r="C501" s="8">
        <v>1650384</v>
      </c>
      <c r="D501" s="8">
        <v>0.24666666670000001</v>
      </c>
      <c r="E501" s="8">
        <v>0.5433333333</v>
      </c>
      <c r="F501" s="8">
        <v>0</v>
      </c>
      <c r="G501" s="8">
        <v>0.19</v>
      </c>
      <c r="H501" s="8">
        <v>0.02</v>
      </c>
      <c r="I501" s="8">
        <v>0</v>
      </c>
      <c r="J501" s="8">
        <v>0</v>
      </c>
    </row>
    <row r="502" spans="2:10" x14ac:dyDescent="0.25">
      <c r="B502" s="2" t="str">
        <v>Luxembourg_car_2040</v>
      </c>
      <c r="C502" s="8">
        <v>444818</v>
      </c>
      <c r="D502" s="8">
        <v>0.77</v>
      </c>
      <c r="E502" s="8">
        <v>0.15</v>
      </c>
      <c r="F502" s="8">
        <v>0.05</v>
      </c>
      <c r="G502" s="8">
        <v>0.03</v>
      </c>
      <c r="H502" s="8">
        <v>0</v>
      </c>
      <c r="I502" s="8">
        <v>0</v>
      </c>
      <c r="J502" s="8">
        <v>0</v>
      </c>
    </row>
    <row r="503" spans="2:10" x14ac:dyDescent="0.25">
      <c r="B503" s="2" t="str">
        <v>Malta_car_2040</v>
      </c>
      <c r="C503" s="8">
        <v>317234</v>
      </c>
      <c r="D503" s="8">
        <v>0.51500000000000001</v>
      </c>
      <c r="E503" s="8">
        <v>0.36399999999999999</v>
      </c>
      <c r="F503" s="8">
        <v>0.11800000000000001</v>
      </c>
      <c r="G503" s="8">
        <v>0</v>
      </c>
      <c r="H503" s="8">
        <v>0</v>
      </c>
      <c r="I503" s="8">
        <v>0</v>
      </c>
      <c r="J503" s="8">
        <v>3.0000000000000001E-3</v>
      </c>
    </row>
    <row r="504" spans="2:10" x14ac:dyDescent="0.25">
      <c r="B504" s="2" t="str">
        <v>Netherlands_car_2040</v>
      </c>
      <c r="C504" s="8">
        <v>8917107</v>
      </c>
      <c r="D504" s="8">
        <v>0.4199</v>
      </c>
      <c r="E504" s="8">
        <v>0.38369999999999999</v>
      </c>
      <c r="F504" s="8">
        <v>3.9699999999999999E-2</v>
      </c>
      <c r="G504" s="8">
        <v>0.15670000000000001</v>
      </c>
      <c r="H504" s="8">
        <v>0</v>
      </c>
      <c r="I504" s="8">
        <v>0</v>
      </c>
      <c r="J504" s="8">
        <v>0</v>
      </c>
    </row>
    <row r="505" spans="2:10" x14ac:dyDescent="0.25">
      <c r="B505" s="2" t="str">
        <v>Norway_car_2040</v>
      </c>
      <c r="C505" s="8">
        <v>3018728</v>
      </c>
      <c r="D505" s="8">
        <v>1</v>
      </c>
      <c r="E505" s="8">
        <v>0</v>
      </c>
      <c r="F505" s="8">
        <v>0</v>
      </c>
      <c r="G505" s="8">
        <v>0</v>
      </c>
      <c r="H505" s="8">
        <v>0</v>
      </c>
      <c r="I505" s="8">
        <v>0</v>
      </c>
      <c r="J505" s="8">
        <v>0</v>
      </c>
    </row>
    <row r="506" spans="2:10" x14ac:dyDescent="0.25">
      <c r="B506" s="2" t="str">
        <v>Poland_car_2040</v>
      </c>
      <c r="C506" s="8">
        <v>21458101</v>
      </c>
      <c r="D506" s="8">
        <v>0.22666666670000002</v>
      </c>
      <c r="E506" s="8">
        <v>0.62333333330000007</v>
      </c>
      <c r="F506" s="8">
        <v>0</v>
      </c>
      <c r="G506" s="8">
        <v>0.11</v>
      </c>
      <c r="H506" s="8">
        <v>0.04</v>
      </c>
      <c r="I506" s="8">
        <v>0</v>
      </c>
      <c r="J506" s="8">
        <v>0</v>
      </c>
    </row>
    <row r="507" spans="2:10" x14ac:dyDescent="0.25">
      <c r="B507" s="2" t="str">
        <v>Portugal_car_2040</v>
      </c>
      <c r="C507" s="8">
        <v>5778584</v>
      </c>
      <c r="D507" s="8">
        <v>0.52</v>
      </c>
      <c r="E507" s="8">
        <v>0.37</v>
      </c>
      <c r="F507" s="8">
        <v>0</v>
      </c>
      <c r="G507" s="8">
        <v>7.0000000000000007E-2</v>
      </c>
      <c r="H507" s="8">
        <v>0.04</v>
      </c>
      <c r="I507" s="8">
        <v>0</v>
      </c>
      <c r="J507" s="8">
        <v>0</v>
      </c>
    </row>
    <row r="508" spans="2:10" x14ac:dyDescent="0.25">
      <c r="B508" s="2" t="str">
        <v>Romania_car_2040</v>
      </c>
      <c r="C508" s="8">
        <v>7865186</v>
      </c>
      <c r="D508" s="8">
        <v>0.24666666670000001</v>
      </c>
      <c r="E508" s="8">
        <v>0.5433333333</v>
      </c>
      <c r="F508" s="8">
        <v>0</v>
      </c>
      <c r="G508" s="8">
        <v>0.19</v>
      </c>
      <c r="H508" s="8">
        <v>0.02</v>
      </c>
      <c r="I508" s="8">
        <v>0</v>
      </c>
      <c r="J508" s="8">
        <v>0</v>
      </c>
    </row>
    <row r="509" spans="2:10" x14ac:dyDescent="0.25">
      <c r="B509" s="2" t="str">
        <v>Slovakia_car_2040</v>
      </c>
      <c r="C509" s="8">
        <v>2555491</v>
      </c>
      <c r="D509" s="8">
        <v>0.24666666670000001</v>
      </c>
      <c r="E509" s="8">
        <v>0.62333333330000007</v>
      </c>
      <c r="F509" s="8">
        <v>0</v>
      </c>
      <c r="G509" s="8">
        <v>0.09</v>
      </c>
      <c r="H509" s="8">
        <v>0.04</v>
      </c>
      <c r="I509" s="8">
        <v>0</v>
      </c>
      <c r="J509" s="8">
        <v>0</v>
      </c>
    </row>
    <row r="510" spans="2:10" x14ac:dyDescent="0.25">
      <c r="B510" s="2" t="str">
        <v>Slovenia_car_2040</v>
      </c>
      <c r="C510" s="8">
        <v>1207755</v>
      </c>
      <c r="D510" s="8">
        <v>0.296666667</v>
      </c>
      <c r="E510" s="8">
        <v>0.5433333333</v>
      </c>
      <c r="F510" s="8">
        <v>0</v>
      </c>
      <c r="G510" s="8">
        <v>0.14000000000000001</v>
      </c>
      <c r="H510" s="8">
        <v>0.02</v>
      </c>
      <c r="I510" s="8">
        <v>0</v>
      </c>
      <c r="J510" s="8">
        <v>0</v>
      </c>
    </row>
    <row r="511" spans="2:10" x14ac:dyDescent="0.25">
      <c r="B511" s="2" t="str">
        <v>Spain_car_2040</v>
      </c>
      <c r="C511" s="8">
        <v>26605478</v>
      </c>
      <c r="D511" s="8">
        <v>0.7</v>
      </c>
      <c r="E511" s="8">
        <v>0.2</v>
      </c>
      <c r="F511" s="8">
        <v>0.1</v>
      </c>
      <c r="G511" s="8">
        <v>0</v>
      </c>
      <c r="H511" s="8">
        <v>0</v>
      </c>
      <c r="I511" s="8">
        <v>0</v>
      </c>
      <c r="J511" s="8">
        <v>0</v>
      </c>
    </row>
    <row r="512" spans="2:10" x14ac:dyDescent="0.25">
      <c r="B512" s="2" t="str">
        <v>Sweden_car_2040</v>
      </c>
      <c r="C512" s="8">
        <v>4979761</v>
      </c>
      <c r="D512" s="8">
        <v>0.5</v>
      </c>
      <c r="E512" s="8">
        <v>0.17399999999999999</v>
      </c>
      <c r="F512" s="8">
        <v>0.11599999999999999</v>
      </c>
      <c r="G512" s="8">
        <v>0.2</v>
      </c>
      <c r="H512" s="8">
        <v>0.01</v>
      </c>
      <c r="I512" s="8">
        <v>0</v>
      </c>
      <c r="J512" s="8">
        <v>0</v>
      </c>
    </row>
    <row r="513" spans="2:10" x14ac:dyDescent="0.25">
      <c r="B513" s="2" t="str">
        <v>Switzerland_car_2040</v>
      </c>
      <c r="C513" s="8">
        <v>4812896</v>
      </c>
      <c r="D513" s="8">
        <v>0.7</v>
      </c>
      <c r="E513" s="8">
        <v>0</v>
      </c>
      <c r="F513" s="8">
        <v>0</v>
      </c>
      <c r="G513" s="8">
        <v>0.28000000000000003</v>
      </c>
      <c r="H513" s="8">
        <v>0.02</v>
      </c>
      <c r="I513" s="8">
        <v>0</v>
      </c>
      <c r="J513" s="8">
        <v>0</v>
      </c>
    </row>
    <row r="514" spans="2:10" x14ac:dyDescent="0.25">
      <c r="B514" s="2" t="str">
        <v>United_Kingdom_car_2040</v>
      </c>
      <c r="C514" s="8">
        <v>32169932</v>
      </c>
      <c r="D514" s="8">
        <v>0.7</v>
      </c>
      <c r="E514" s="8">
        <v>0</v>
      </c>
      <c r="F514" s="8">
        <v>0</v>
      </c>
      <c r="G514" s="8">
        <v>0.28000000000000003</v>
      </c>
      <c r="H514" s="8">
        <v>0.02</v>
      </c>
      <c r="I514" s="8">
        <v>0</v>
      </c>
      <c r="J514" s="8">
        <v>0</v>
      </c>
    </row>
    <row r="515" spans="2:10" x14ac:dyDescent="0.25">
      <c r="B515" s="2" t="str" cm="1">
        <f t="array" ref="B515:B544">countries&amp;"_car_2050"</f>
        <v>Austria_car_2050</v>
      </c>
      <c r="C515" s="8" cm="1">
        <f t="array" ref="C515:C544">Cars_amount</f>
        <v>5150890</v>
      </c>
      <c r="D515" s="8" cm="1">
        <f t="array" ref="D515:J544">Car_splits_2050</f>
        <v>0.8</v>
      </c>
      <c r="E515" s="8">
        <v>0</v>
      </c>
      <c r="F515" s="8">
        <v>0</v>
      </c>
      <c r="G515" s="8">
        <v>0.2</v>
      </c>
      <c r="H515" s="8">
        <v>0</v>
      </c>
      <c r="I515" s="8">
        <v>0</v>
      </c>
      <c r="J515" s="8">
        <v>0</v>
      </c>
    </row>
    <row r="516" spans="2:10" x14ac:dyDescent="0.25">
      <c r="B516" s="2" t="str">
        <v>Belgium_car_2050</v>
      </c>
      <c r="C516" s="8">
        <v>5955127</v>
      </c>
      <c r="D516" s="8">
        <v>0.85</v>
      </c>
      <c r="E516" s="8">
        <v>0</v>
      </c>
      <c r="F516" s="8">
        <v>0</v>
      </c>
      <c r="G516" s="8">
        <v>0.15</v>
      </c>
      <c r="H516" s="8">
        <v>0</v>
      </c>
      <c r="I516" s="8">
        <v>0</v>
      </c>
      <c r="J516" s="8">
        <v>0</v>
      </c>
    </row>
    <row r="517" spans="2:10" x14ac:dyDescent="0.25">
      <c r="B517" s="2" t="str">
        <v>Bulgaria_car_2050</v>
      </c>
      <c r="C517" s="8">
        <v>2896777</v>
      </c>
      <c r="D517" s="8">
        <v>0.69</v>
      </c>
      <c r="E517" s="8">
        <v>0.05</v>
      </c>
      <c r="F517" s="8">
        <v>0</v>
      </c>
      <c r="G517" s="8">
        <v>0.23</v>
      </c>
      <c r="H517" s="8">
        <v>0.03</v>
      </c>
      <c r="I517" s="8">
        <v>0</v>
      </c>
      <c r="J517" s="8">
        <v>0</v>
      </c>
    </row>
    <row r="518" spans="2:10" x14ac:dyDescent="0.25">
      <c r="B518" s="2" t="str">
        <v>Croatia_car_2050</v>
      </c>
      <c r="C518" s="8">
        <v>1840767</v>
      </c>
      <c r="D518" s="8">
        <v>0.90500000000000003</v>
      </c>
      <c r="E518" s="8">
        <v>0.05</v>
      </c>
      <c r="F518" s="8">
        <v>0</v>
      </c>
      <c r="G518" s="8">
        <v>0.02</v>
      </c>
      <c r="H518" s="8">
        <v>2.5000000000000001E-2</v>
      </c>
      <c r="I518" s="8">
        <v>0</v>
      </c>
      <c r="J518" s="8">
        <v>0</v>
      </c>
    </row>
    <row r="519" spans="2:10" x14ac:dyDescent="0.25">
      <c r="B519" s="2" t="str">
        <v>Cyprus_car_2050</v>
      </c>
      <c r="C519" s="8">
        <v>601131</v>
      </c>
      <c r="D519" s="8">
        <v>0.69</v>
      </c>
      <c r="E519" s="8">
        <v>0.05</v>
      </c>
      <c r="F519" s="8">
        <v>0</v>
      </c>
      <c r="G519" s="8">
        <v>0.23</v>
      </c>
      <c r="H519" s="8">
        <v>0.03</v>
      </c>
      <c r="I519" s="8">
        <v>0</v>
      </c>
      <c r="J519" s="8">
        <v>0</v>
      </c>
    </row>
    <row r="520" spans="2:10" x14ac:dyDescent="0.25">
      <c r="B520" s="2" t="str">
        <v>Czechia_car_2050</v>
      </c>
      <c r="C520" s="8">
        <v>6305934</v>
      </c>
      <c r="D520" s="8">
        <v>0.7</v>
      </c>
      <c r="E520" s="8">
        <v>0.05</v>
      </c>
      <c r="F520" s="8">
        <v>0</v>
      </c>
      <c r="G520" s="8">
        <v>0.2</v>
      </c>
      <c r="H520" s="8">
        <v>0.05</v>
      </c>
      <c r="I520" s="8">
        <v>0</v>
      </c>
      <c r="J520" s="8">
        <v>0</v>
      </c>
    </row>
    <row r="521" spans="2:10" x14ac:dyDescent="0.25">
      <c r="B521" s="2" t="str">
        <v>Denmark_car_2050</v>
      </c>
      <c r="C521" s="8">
        <v>2801076</v>
      </c>
      <c r="D521" s="8">
        <v>0.8</v>
      </c>
      <c r="E521" s="8">
        <v>0</v>
      </c>
      <c r="F521" s="8">
        <v>0</v>
      </c>
      <c r="G521" s="8">
        <v>0.2</v>
      </c>
      <c r="H521" s="8">
        <v>0</v>
      </c>
      <c r="I521" s="8">
        <v>0</v>
      </c>
      <c r="J521" s="8">
        <v>0</v>
      </c>
    </row>
    <row r="522" spans="2:10" x14ac:dyDescent="0.25">
      <c r="B522" s="2" t="str">
        <v>Estonia_car_2050</v>
      </c>
      <c r="C522" s="8">
        <v>849294</v>
      </c>
      <c r="D522" s="8">
        <v>0.7</v>
      </c>
      <c r="E522" s="8">
        <v>0.1</v>
      </c>
      <c r="F522" s="8">
        <v>0.05</v>
      </c>
      <c r="G522" s="8">
        <v>0.1</v>
      </c>
      <c r="H522" s="8">
        <v>0.05</v>
      </c>
      <c r="I522" s="8">
        <v>0</v>
      </c>
      <c r="J522" s="8">
        <v>0</v>
      </c>
    </row>
    <row r="523" spans="2:10" x14ac:dyDescent="0.25">
      <c r="B523" s="2" t="str">
        <v>Finland_car_2050</v>
      </c>
      <c r="C523" s="8">
        <v>3673750</v>
      </c>
      <c r="D523" s="8">
        <v>0.75574074099999999</v>
      </c>
      <c r="E523" s="8">
        <v>0</v>
      </c>
      <c r="F523" s="8">
        <v>0</v>
      </c>
      <c r="G523" s="8">
        <v>0.20722222200000001</v>
      </c>
      <c r="H523" s="8">
        <v>3.7037037000000002E-2</v>
      </c>
      <c r="I523" s="8">
        <v>0</v>
      </c>
      <c r="J523" s="8">
        <v>0</v>
      </c>
    </row>
    <row r="524" spans="2:10" x14ac:dyDescent="0.25">
      <c r="B524" s="2" t="str">
        <v>France_car_2050</v>
      </c>
      <c r="C524" s="8">
        <v>38856492</v>
      </c>
      <c r="D524" s="8">
        <v>0.95</v>
      </c>
      <c r="E524" s="8">
        <v>0</v>
      </c>
      <c r="F524" s="8">
        <v>0</v>
      </c>
      <c r="G524" s="8">
        <v>0.05</v>
      </c>
      <c r="H524" s="8">
        <v>0</v>
      </c>
      <c r="I524" s="8">
        <v>0</v>
      </c>
      <c r="J524" s="8">
        <v>0</v>
      </c>
    </row>
    <row r="525" spans="2:10" x14ac:dyDescent="0.25">
      <c r="B525" s="2" t="str">
        <v>Germany_car_2050</v>
      </c>
      <c r="C525" s="8">
        <v>48763036</v>
      </c>
      <c r="D525" s="8">
        <v>0.7</v>
      </c>
      <c r="E525" s="8">
        <v>0</v>
      </c>
      <c r="F525" s="8">
        <v>0</v>
      </c>
      <c r="G525" s="8">
        <v>0.28000000000000003</v>
      </c>
      <c r="H525" s="8">
        <v>0.02</v>
      </c>
      <c r="I525" s="8">
        <v>0</v>
      </c>
      <c r="J525" s="8">
        <v>0</v>
      </c>
    </row>
    <row r="526" spans="2:10" x14ac:dyDescent="0.25">
      <c r="B526" s="2" t="str">
        <v>Greece_car_2050</v>
      </c>
      <c r="C526" s="8">
        <v>5726012</v>
      </c>
      <c r="D526" s="8">
        <v>0.64814814799999998</v>
      </c>
      <c r="E526" s="8">
        <v>0</v>
      </c>
      <c r="F526" s="8">
        <v>0</v>
      </c>
      <c r="G526" s="8">
        <v>0.35185185200000002</v>
      </c>
      <c r="H526" s="8">
        <v>0</v>
      </c>
      <c r="I526" s="8">
        <v>0</v>
      </c>
      <c r="J526" s="8">
        <v>0</v>
      </c>
    </row>
    <row r="527" spans="2:10" x14ac:dyDescent="0.25">
      <c r="B527" s="2" t="str">
        <v>Hungary_car_2050</v>
      </c>
      <c r="C527" s="8">
        <v>4094129</v>
      </c>
      <c r="D527" s="8">
        <v>0.69</v>
      </c>
      <c r="E527" s="8">
        <v>0.05</v>
      </c>
      <c r="F527" s="8">
        <v>0</v>
      </c>
      <c r="G527" s="8">
        <v>0.23</v>
      </c>
      <c r="H527" s="8">
        <v>0.03</v>
      </c>
      <c r="I527" s="8">
        <v>0</v>
      </c>
      <c r="J527" s="8">
        <v>0</v>
      </c>
    </row>
    <row r="528" spans="2:10" x14ac:dyDescent="0.25">
      <c r="B528" s="2" t="str">
        <v>Ireland_car_2050</v>
      </c>
      <c r="C528" s="8">
        <v>2335130</v>
      </c>
      <c r="D528" s="8">
        <v>0.85</v>
      </c>
      <c r="E528" s="8">
        <v>0</v>
      </c>
      <c r="F528" s="8">
        <v>0</v>
      </c>
      <c r="G528" s="8">
        <v>0.1</v>
      </c>
      <c r="H528" s="8">
        <v>0.05</v>
      </c>
      <c r="I528" s="8">
        <v>0</v>
      </c>
      <c r="J528" s="8">
        <v>0</v>
      </c>
    </row>
    <row r="529" spans="2:10" x14ac:dyDescent="0.25">
      <c r="B529" s="2" t="str">
        <v>Italy_car_2050</v>
      </c>
      <c r="C529" s="8">
        <v>40213061</v>
      </c>
      <c r="D529" s="8">
        <v>0.85</v>
      </c>
      <c r="E529" s="8">
        <v>0</v>
      </c>
      <c r="F529" s="8">
        <v>0</v>
      </c>
      <c r="G529" s="8">
        <v>0.15</v>
      </c>
      <c r="H529" s="8">
        <v>0</v>
      </c>
      <c r="I529" s="8">
        <v>0</v>
      </c>
      <c r="J529" s="8">
        <v>0</v>
      </c>
    </row>
    <row r="530" spans="2:10" x14ac:dyDescent="0.25">
      <c r="B530" s="2" t="str">
        <v>Latvia_car_2050</v>
      </c>
      <c r="C530" s="8">
        <v>769723</v>
      </c>
      <c r="D530" s="8">
        <v>0.69</v>
      </c>
      <c r="E530" s="8">
        <v>0.05</v>
      </c>
      <c r="F530" s="8">
        <v>0</v>
      </c>
      <c r="G530" s="8">
        <v>0.23</v>
      </c>
      <c r="H530" s="8">
        <v>0.03</v>
      </c>
      <c r="I530" s="8">
        <v>0</v>
      </c>
      <c r="J530" s="8">
        <v>0</v>
      </c>
    </row>
    <row r="531" spans="2:10" x14ac:dyDescent="0.25">
      <c r="B531" s="2" t="str">
        <v>Lithuania_car_2050</v>
      </c>
      <c r="C531" s="8">
        <v>1650384</v>
      </c>
      <c r="D531" s="8">
        <v>0.69</v>
      </c>
      <c r="E531" s="8">
        <v>0.05</v>
      </c>
      <c r="F531" s="8">
        <v>0</v>
      </c>
      <c r="G531" s="8">
        <v>0.23</v>
      </c>
      <c r="H531" s="8">
        <v>0.03</v>
      </c>
      <c r="I531" s="8">
        <v>0</v>
      </c>
      <c r="J531" s="8">
        <v>0</v>
      </c>
    </row>
    <row r="532" spans="2:10" x14ac:dyDescent="0.25">
      <c r="B532" s="2" t="str">
        <v>Luxembourg_car_2050</v>
      </c>
      <c r="C532" s="8">
        <v>444818</v>
      </c>
      <c r="D532" s="8">
        <v>0.88</v>
      </c>
      <c r="E532" s="8">
        <v>0.05</v>
      </c>
      <c r="F532" s="8">
        <v>0.01</v>
      </c>
      <c r="G532" s="8">
        <v>0.06</v>
      </c>
      <c r="H532" s="8">
        <v>0</v>
      </c>
      <c r="I532" s="8">
        <v>0</v>
      </c>
      <c r="J532" s="8">
        <v>0</v>
      </c>
    </row>
    <row r="533" spans="2:10" x14ac:dyDescent="0.25">
      <c r="B533" s="2" t="str">
        <v>Malta_car_2050</v>
      </c>
      <c r="C533" s="8">
        <v>317234</v>
      </c>
      <c r="D533" s="8">
        <v>0.69</v>
      </c>
      <c r="E533" s="8">
        <v>0.05</v>
      </c>
      <c r="F533" s="8">
        <v>0</v>
      </c>
      <c r="G533" s="8">
        <v>0.23</v>
      </c>
      <c r="H533" s="8">
        <v>0.03</v>
      </c>
      <c r="I533" s="8">
        <v>0</v>
      </c>
      <c r="J533" s="8">
        <v>0</v>
      </c>
    </row>
    <row r="534" spans="2:10" x14ac:dyDescent="0.25">
      <c r="B534" s="2" t="str">
        <v>Netherlands_car_2050</v>
      </c>
      <c r="C534" s="8">
        <v>8917107</v>
      </c>
      <c r="D534" s="8">
        <v>0.7</v>
      </c>
      <c r="E534" s="8">
        <v>0.05</v>
      </c>
      <c r="F534" s="8">
        <v>0</v>
      </c>
      <c r="G534" s="8">
        <v>0.25</v>
      </c>
      <c r="H534" s="8">
        <v>0</v>
      </c>
      <c r="I534" s="8">
        <v>0</v>
      </c>
      <c r="J534" s="8">
        <v>0</v>
      </c>
    </row>
    <row r="535" spans="2:10" x14ac:dyDescent="0.25">
      <c r="B535" s="2" t="str">
        <v>Norway_car_2050</v>
      </c>
      <c r="C535" s="8">
        <v>3018728</v>
      </c>
      <c r="D535" s="8">
        <v>1</v>
      </c>
      <c r="E535" s="8">
        <v>0</v>
      </c>
      <c r="F535" s="8">
        <v>0</v>
      </c>
      <c r="G535" s="8">
        <v>0</v>
      </c>
      <c r="H535" s="8">
        <v>0</v>
      </c>
      <c r="I535" s="8">
        <v>0</v>
      </c>
      <c r="J535" s="8">
        <v>0</v>
      </c>
    </row>
    <row r="536" spans="2:10" x14ac:dyDescent="0.25">
      <c r="B536" s="2" t="str">
        <v>Poland_car_2050</v>
      </c>
      <c r="C536" s="8">
        <v>21458101</v>
      </c>
      <c r="D536" s="8">
        <v>0.73</v>
      </c>
      <c r="E536" s="8">
        <v>0.05</v>
      </c>
      <c r="F536" s="8">
        <v>0</v>
      </c>
      <c r="G536" s="8">
        <v>0.17</v>
      </c>
      <c r="H536" s="8">
        <v>0.05</v>
      </c>
      <c r="I536" s="8">
        <v>0</v>
      </c>
      <c r="J536" s="8">
        <v>0</v>
      </c>
    </row>
    <row r="537" spans="2:10" x14ac:dyDescent="0.25">
      <c r="B537" s="2" t="str">
        <v>Portugal_car_2050</v>
      </c>
      <c r="C537" s="8">
        <v>5778584</v>
      </c>
      <c r="D537" s="8">
        <v>0.81666666669999999</v>
      </c>
      <c r="E537" s="8">
        <v>3.3333333329999999E-2</v>
      </c>
      <c r="F537" s="8">
        <v>0</v>
      </c>
      <c r="G537" s="8">
        <v>0.1</v>
      </c>
      <c r="H537" s="8">
        <v>0.05</v>
      </c>
      <c r="I537" s="8">
        <v>0</v>
      </c>
      <c r="J537" s="8">
        <v>0</v>
      </c>
    </row>
    <row r="538" spans="2:10" x14ac:dyDescent="0.25">
      <c r="B538" s="2" t="str">
        <v>Romania_car_2050</v>
      </c>
      <c r="C538" s="8">
        <v>7865186</v>
      </c>
      <c r="D538" s="8">
        <v>0.69</v>
      </c>
      <c r="E538" s="8">
        <v>0.05</v>
      </c>
      <c r="F538" s="8">
        <v>0</v>
      </c>
      <c r="G538" s="8">
        <v>0.23</v>
      </c>
      <c r="H538" s="8">
        <v>0.03</v>
      </c>
      <c r="I538" s="8">
        <v>0</v>
      </c>
      <c r="J538" s="8">
        <v>0</v>
      </c>
    </row>
    <row r="539" spans="2:10" x14ac:dyDescent="0.25">
      <c r="B539" s="2" t="str">
        <v>Slovakia_car_2050</v>
      </c>
      <c r="C539" s="8">
        <v>2555491</v>
      </c>
      <c r="D539" s="8">
        <v>0.74</v>
      </c>
      <c r="E539" s="8">
        <v>0.05</v>
      </c>
      <c r="F539" s="8">
        <v>0</v>
      </c>
      <c r="G539" s="8">
        <v>0.16</v>
      </c>
      <c r="H539" s="8">
        <v>0.05</v>
      </c>
      <c r="I539" s="8">
        <v>0</v>
      </c>
      <c r="J539" s="8">
        <v>0</v>
      </c>
    </row>
    <row r="540" spans="2:10" x14ac:dyDescent="0.25">
      <c r="B540" s="2" t="str">
        <v>Slovenia_car_2050</v>
      </c>
      <c r="C540" s="8">
        <v>1207755</v>
      </c>
      <c r="D540" s="8">
        <v>0.72</v>
      </c>
      <c r="E540" s="8">
        <v>0.05</v>
      </c>
      <c r="F540" s="8">
        <v>0</v>
      </c>
      <c r="G540" s="8">
        <v>0.2</v>
      </c>
      <c r="H540" s="8">
        <v>0.03</v>
      </c>
      <c r="I540" s="8">
        <v>0</v>
      </c>
      <c r="J540" s="8">
        <v>0</v>
      </c>
    </row>
    <row r="541" spans="2:10" x14ac:dyDescent="0.25">
      <c r="B541" s="2" t="str">
        <v>Spain_car_2050</v>
      </c>
      <c r="C541" s="8">
        <v>26605478</v>
      </c>
      <c r="D541" s="8">
        <v>0.95</v>
      </c>
      <c r="E541" s="8">
        <v>0</v>
      </c>
      <c r="F541" s="8">
        <v>0</v>
      </c>
      <c r="G541" s="8">
        <v>4.0999999999999995E-2</v>
      </c>
      <c r="H541" s="8">
        <v>9.0000000000000011E-3</v>
      </c>
      <c r="I541" s="8">
        <v>0</v>
      </c>
      <c r="J541" s="8">
        <v>0</v>
      </c>
    </row>
    <row r="542" spans="2:10" x14ac:dyDescent="0.25">
      <c r="B542" s="2" t="str">
        <v>Sweden_car_2050</v>
      </c>
      <c r="C542" s="8">
        <v>4979761</v>
      </c>
      <c r="D542" s="8">
        <v>0.5</v>
      </c>
      <c r="E542" s="8">
        <v>0</v>
      </c>
      <c r="F542" s="8">
        <v>0</v>
      </c>
      <c r="G542" s="8">
        <v>0.5</v>
      </c>
      <c r="H542" s="8">
        <v>0</v>
      </c>
      <c r="I542" s="8">
        <v>0</v>
      </c>
      <c r="J542" s="8">
        <v>0</v>
      </c>
    </row>
    <row r="543" spans="2:10" x14ac:dyDescent="0.25">
      <c r="B543" s="2" t="str">
        <v>Switzerland_car_2050</v>
      </c>
      <c r="C543" s="8">
        <v>4812896</v>
      </c>
      <c r="D543" s="8">
        <v>0.7</v>
      </c>
      <c r="E543" s="8">
        <v>0</v>
      </c>
      <c r="F543" s="8">
        <v>0</v>
      </c>
      <c r="G543" s="8">
        <v>0.28000000000000003</v>
      </c>
      <c r="H543" s="8">
        <v>0.02</v>
      </c>
      <c r="I543" s="8">
        <v>0</v>
      </c>
      <c r="J543" s="8">
        <v>0</v>
      </c>
    </row>
    <row r="544" spans="2:10" x14ac:dyDescent="0.25">
      <c r="B544" s="2" t="str">
        <v>United_Kingdom_car_2050</v>
      </c>
      <c r="C544" s="8">
        <v>32169932</v>
      </c>
      <c r="D544" s="8">
        <v>0.7</v>
      </c>
      <c r="E544" s="8">
        <v>0</v>
      </c>
      <c r="F544" s="8">
        <v>0</v>
      </c>
      <c r="G544" s="8">
        <v>0.28000000000000003</v>
      </c>
      <c r="H544" s="8">
        <v>0.02</v>
      </c>
      <c r="I544" s="8">
        <v>0</v>
      </c>
      <c r="J544" s="8">
        <v>0</v>
      </c>
    </row>
    <row r="545" spans="2:10" x14ac:dyDescent="0.25">
      <c r="B545" s="2" t="s">
        <v>326</v>
      </c>
      <c r="C545" s="8">
        <v>9316</v>
      </c>
      <c r="D545" s="8">
        <v>0.431370472</v>
      </c>
      <c r="E545" s="8">
        <v>1.7685414999999999E-2</v>
      </c>
      <c r="F545" s="8">
        <v>0.30707369299999998</v>
      </c>
      <c r="G545" s="8">
        <v>0.11935</v>
      </c>
      <c r="H545" s="8">
        <v>0.124151471</v>
      </c>
      <c r="I545" s="8">
        <v>3.6894899999999998E-4</v>
      </c>
      <c r="J545" s="8">
        <v>0</v>
      </c>
    </row>
    <row r="546" spans="2:10" x14ac:dyDescent="0.25">
      <c r="B546" s="2" t="s">
        <v>327</v>
      </c>
      <c r="C546" s="8">
        <v>158108</v>
      </c>
      <c r="D546" s="8">
        <v>0.3</v>
      </c>
      <c r="E546" s="8">
        <v>0</v>
      </c>
      <c r="F546" s="8">
        <v>0.2</v>
      </c>
      <c r="G546" s="8">
        <v>0.5</v>
      </c>
      <c r="H546" s="8">
        <v>0</v>
      </c>
      <c r="I546" s="8">
        <v>0</v>
      </c>
      <c r="J546" s="8">
        <v>0</v>
      </c>
    </row>
    <row r="547" spans="2:10" x14ac:dyDescent="0.25">
      <c r="B547" s="2" t="s">
        <v>328</v>
      </c>
      <c r="C547" s="8">
        <v>1057084</v>
      </c>
      <c r="D547" s="8">
        <v>0.7</v>
      </c>
      <c r="E547" s="8">
        <v>0</v>
      </c>
      <c r="F547" s="8">
        <v>0.05</v>
      </c>
      <c r="G547" s="8">
        <v>0.25</v>
      </c>
      <c r="H547" s="8">
        <v>0</v>
      </c>
      <c r="I547" s="8">
        <v>0</v>
      </c>
      <c r="J547" s="8">
        <v>0</v>
      </c>
    </row>
    <row r="548" spans="2:10" x14ac:dyDescent="0.25">
      <c r="B548" s="2" t="s">
        <v>329</v>
      </c>
      <c r="C548" s="8">
        <v>8917107</v>
      </c>
      <c r="D548" s="8">
        <v>0.21776823300000001</v>
      </c>
      <c r="E548" s="8">
        <v>0.51462264300000005</v>
      </c>
      <c r="F548" s="8">
        <v>0.17153447299999999</v>
      </c>
      <c r="G548" s="8">
        <v>7.8350000000000003E-2</v>
      </c>
      <c r="H548" s="8">
        <v>0</v>
      </c>
      <c r="I548" s="8">
        <v>0</v>
      </c>
      <c r="J548" s="8">
        <v>1.7724650000000002E-2</v>
      </c>
    </row>
    <row r="549" spans="2:10" x14ac:dyDescent="0.25">
      <c r="B549" s="2" t="s">
        <v>330</v>
      </c>
      <c r="C549" s="8">
        <v>3290412.483</v>
      </c>
      <c r="D549" s="8">
        <v>0.21776823300000001</v>
      </c>
      <c r="E549" s="8">
        <v>0.51462264300000005</v>
      </c>
      <c r="F549" s="8">
        <v>0.17153447299999999</v>
      </c>
      <c r="G549" s="8">
        <v>7.8350000000000003E-2</v>
      </c>
      <c r="H549" s="8">
        <v>0</v>
      </c>
      <c r="I549" s="8">
        <v>0</v>
      </c>
      <c r="J549" s="8">
        <v>1.7724650000000002E-2</v>
      </c>
    </row>
    <row r="550" spans="2:10" x14ac:dyDescent="0.25">
      <c r="B550" s="2" t="s">
        <v>331</v>
      </c>
      <c r="C550" s="8">
        <v>5626694.517</v>
      </c>
      <c r="D550" s="8">
        <v>0.21776823300000001</v>
      </c>
      <c r="E550" s="8">
        <v>0.51462264300000005</v>
      </c>
      <c r="F550" s="8">
        <v>0.17153447299999999</v>
      </c>
      <c r="G550" s="8">
        <v>7.8350000000000003E-2</v>
      </c>
      <c r="H550" s="8">
        <v>0</v>
      </c>
      <c r="I550" s="8">
        <v>0</v>
      </c>
      <c r="J550" s="8">
        <v>1.7724650000000002E-2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5"/>
  </sheetPr>
  <dimension ref="E5:J57"/>
  <sheetViews>
    <sheetView topLeftCell="A16" workbookViewId="0">
      <selection activeCell="E33" sqref="E33"/>
    </sheetView>
  </sheetViews>
  <sheetFormatPr defaultColWidth="9.140625" defaultRowHeight="15" x14ac:dyDescent="0.25"/>
  <cols>
    <col min="1" max="5" width="9.140625" style="3"/>
    <col min="6" max="6" width="28.85546875" style="3" customWidth="1"/>
    <col min="7" max="7" width="10.85546875" style="3" customWidth="1"/>
    <col min="8" max="8" width="43" style="3" customWidth="1"/>
    <col min="9" max="16384" width="9.140625" style="3"/>
  </cols>
  <sheetData>
    <row r="5" spans="5:8" x14ac:dyDescent="0.25">
      <c r="E5" s="23" t="s">
        <v>4</v>
      </c>
      <c r="F5" s="23"/>
      <c r="G5" s="23"/>
      <c r="H5" s="23"/>
    </row>
    <row r="6" spans="5:8" x14ac:dyDescent="0.25">
      <c r="E6" s="23"/>
      <c r="F6" s="23"/>
      <c r="G6" s="23"/>
      <c r="H6" s="23"/>
    </row>
    <row r="7" spans="5:8" x14ac:dyDescent="0.25">
      <c r="E7" s="23"/>
      <c r="F7" s="23"/>
      <c r="G7" s="23"/>
      <c r="H7" s="23"/>
    </row>
    <row r="8" spans="5:8" x14ac:dyDescent="0.25">
      <c r="E8" s="23"/>
      <c r="F8" s="23"/>
      <c r="G8" s="23"/>
      <c r="H8" s="23"/>
    </row>
    <row r="10" spans="5:8" x14ac:dyDescent="0.25">
      <c r="E10" s="2" t="s">
        <v>0</v>
      </c>
      <c r="F10" s="2" t="s">
        <v>1</v>
      </c>
      <c r="G10" s="2" t="s">
        <v>2</v>
      </c>
      <c r="H10" s="2" t="s">
        <v>3</v>
      </c>
    </row>
    <row r="11" spans="5:8" ht="45" x14ac:dyDescent="0.25">
      <c r="E11" s="1" t="s">
        <v>69</v>
      </c>
      <c r="F11" s="9" t="s">
        <v>70</v>
      </c>
      <c r="G11" s="1" t="s">
        <v>71</v>
      </c>
      <c r="H11" s="1" t="s">
        <v>72</v>
      </c>
    </row>
    <row r="12" spans="5:8" ht="75" x14ac:dyDescent="0.25">
      <c r="E12" s="1" t="s">
        <v>73</v>
      </c>
      <c r="F12" s="12" t="s">
        <v>74</v>
      </c>
      <c r="G12" s="1" t="s">
        <v>71</v>
      </c>
      <c r="H12" s="1"/>
    </row>
    <row r="13" spans="5:8" ht="409.5" x14ac:dyDescent="0.25">
      <c r="E13" s="1" t="s">
        <v>76</v>
      </c>
      <c r="F13" s="1" t="s">
        <v>77</v>
      </c>
      <c r="G13" s="1" t="s">
        <v>71</v>
      </c>
      <c r="H13" s="9" t="s">
        <v>78</v>
      </c>
    </row>
    <row r="14" spans="5:8" ht="45" x14ac:dyDescent="0.25">
      <c r="E14" s="1" t="s">
        <v>114</v>
      </c>
      <c r="F14" s="12" t="s">
        <v>115</v>
      </c>
      <c r="G14" s="1" t="s">
        <v>71</v>
      </c>
      <c r="H14" s="1" t="s">
        <v>116</v>
      </c>
    </row>
    <row r="15" spans="5:8" ht="135" x14ac:dyDescent="0.25">
      <c r="E15" s="1" t="s">
        <v>117</v>
      </c>
      <c r="F15" s="12" t="s">
        <v>118</v>
      </c>
      <c r="G15" s="1" t="s">
        <v>71</v>
      </c>
      <c r="H15" s="1"/>
    </row>
    <row r="16" spans="5:8" ht="75" x14ac:dyDescent="0.25">
      <c r="E16" s="1" t="s">
        <v>123</v>
      </c>
      <c r="F16" s="12" t="s">
        <v>124</v>
      </c>
      <c r="G16" s="1" t="s">
        <v>71</v>
      </c>
      <c r="H16" s="1"/>
    </row>
    <row r="17" spans="5:10" ht="60" x14ac:dyDescent="0.25">
      <c r="E17" s="1" t="s">
        <v>127</v>
      </c>
      <c r="F17" s="12" t="s">
        <v>130</v>
      </c>
      <c r="G17" s="1" t="s">
        <v>128</v>
      </c>
      <c r="H17" s="1"/>
    </row>
    <row r="18" spans="5:10" x14ac:dyDescent="0.25">
      <c r="E18" s="1" t="s">
        <v>129</v>
      </c>
      <c r="F18" s="12" t="s">
        <v>131</v>
      </c>
      <c r="G18" s="1" t="s">
        <v>128</v>
      </c>
      <c r="H18" s="1" t="s">
        <v>132</v>
      </c>
    </row>
    <row r="19" spans="5:10" ht="30" x14ac:dyDescent="0.25">
      <c r="E19" s="1" t="s">
        <v>133</v>
      </c>
      <c r="F19" s="12" t="s">
        <v>134</v>
      </c>
      <c r="G19" s="1" t="s">
        <v>71</v>
      </c>
      <c r="H19" s="1"/>
    </row>
    <row r="20" spans="5:10" ht="45" x14ac:dyDescent="0.25">
      <c r="E20" s="1" t="s">
        <v>174</v>
      </c>
      <c r="F20" s="12" t="s">
        <v>175</v>
      </c>
      <c r="G20" s="1" t="s">
        <v>71</v>
      </c>
      <c r="H20" s="1"/>
    </row>
    <row r="21" spans="5:10" ht="75" x14ac:dyDescent="0.25">
      <c r="E21" s="1" t="s">
        <v>190</v>
      </c>
      <c r="F21" s="12" t="s">
        <v>191</v>
      </c>
      <c r="G21" s="1" t="s">
        <v>71</v>
      </c>
      <c r="H21" s="1"/>
    </row>
    <row r="22" spans="5:10" ht="45" x14ac:dyDescent="0.25">
      <c r="E22" s="1" t="s">
        <v>210</v>
      </c>
      <c r="F22" s="12" t="s">
        <v>211</v>
      </c>
      <c r="G22" s="1" t="s">
        <v>71</v>
      </c>
      <c r="H22" s="1"/>
    </row>
    <row r="23" spans="5:10" ht="30" x14ac:dyDescent="0.25">
      <c r="E23" s="1" t="s">
        <v>212</v>
      </c>
      <c r="F23" s="12" t="s">
        <v>213</v>
      </c>
      <c r="G23" s="1" t="s">
        <v>128</v>
      </c>
      <c r="H23" s="1"/>
    </row>
    <row r="24" spans="5:10" ht="45" x14ac:dyDescent="0.25">
      <c r="E24" s="1" t="s">
        <v>214</v>
      </c>
      <c r="F24" s="12" t="s">
        <v>215</v>
      </c>
      <c r="G24" s="1" t="s">
        <v>71</v>
      </c>
      <c r="H24" s="1"/>
    </row>
    <row r="25" spans="5:10" ht="45" x14ac:dyDescent="0.25">
      <c r="E25" s="1" t="s">
        <v>226</v>
      </c>
      <c r="F25" s="12" t="s">
        <v>227</v>
      </c>
      <c r="G25" s="1" t="s">
        <v>128</v>
      </c>
      <c r="H25" s="1"/>
    </row>
    <row r="26" spans="5:10" ht="45" x14ac:dyDescent="0.25">
      <c r="E26" s="1" t="s">
        <v>228</v>
      </c>
      <c r="F26" s="12" t="s">
        <v>229</v>
      </c>
      <c r="G26" s="1" t="s">
        <v>128</v>
      </c>
      <c r="H26" s="1" t="s">
        <v>230</v>
      </c>
    </row>
    <row r="27" spans="5:10" ht="105" x14ac:dyDescent="0.25">
      <c r="E27" s="1" t="s">
        <v>232</v>
      </c>
      <c r="F27" s="12" t="s">
        <v>237</v>
      </c>
      <c r="G27" s="1" t="s">
        <v>128</v>
      </c>
      <c r="H27" s="1"/>
    </row>
    <row r="28" spans="5:10" ht="135" x14ac:dyDescent="0.25">
      <c r="E28" s="1" t="s">
        <v>232</v>
      </c>
      <c r="F28" s="12" t="s">
        <v>233</v>
      </c>
      <c r="G28" s="10" t="s">
        <v>128</v>
      </c>
      <c r="H28" s="1"/>
      <c r="J28" s="3">
        <f>365*250</f>
        <v>91250</v>
      </c>
    </row>
    <row r="29" spans="5:10" ht="60" x14ac:dyDescent="0.25">
      <c r="E29" s="1" t="s">
        <v>299</v>
      </c>
      <c r="F29" s="12" t="s">
        <v>300</v>
      </c>
      <c r="G29" s="1" t="s">
        <v>71</v>
      </c>
      <c r="H29" s="1"/>
    </row>
    <row r="30" spans="5:10" ht="45" x14ac:dyDescent="0.25">
      <c r="E30" s="1" t="s">
        <v>301</v>
      </c>
      <c r="F30" s="12" t="s">
        <v>302</v>
      </c>
      <c r="G30" s="1" t="s">
        <v>71</v>
      </c>
      <c r="H30" s="1"/>
    </row>
    <row r="31" spans="5:10" ht="45" x14ac:dyDescent="0.25">
      <c r="E31" s="1" t="s">
        <v>304</v>
      </c>
      <c r="F31" s="12" t="s">
        <v>305</v>
      </c>
      <c r="G31" s="1" t="s">
        <v>71</v>
      </c>
      <c r="H31" s="1"/>
    </row>
    <row r="32" spans="5:10" ht="45" x14ac:dyDescent="0.25">
      <c r="E32" s="1" t="s">
        <v>318</v>
      </c>
      <c r="F32" s="12" t="s">
        <v>319</v>
      </c>
      <c r="G32" s="1" t="s">
        <v>71</v>
      </c>
      <c r="H32" s="1"/>
    </row>
    <row r="33" spans="5:8" x14ac:dyDescent="0.25">
      <c r="E33" s="1"/>
      <c r="F33" s="1"/>
      <c r="G33" s="1"/>
      <c r="H33" s="1"/>
    </row>
    <row r="34" spans="5:8" x14ac:dyDescent="0.25">
      <c r="E34" s="1"/>
      <c r="F34" s="1"/>
      <c r="G34" s="1"/>
      <c r="H34" s="1"/>
    </row>
    <row r="35" spans="5:8" x14ac:dyDescent="0.25">
      <c r="E35" s="1"/>
      <c r="F35" s="1"/>
      <c r="G35" s="1"/>
      <c r="H35" s="1"/>
    </row>
    <row r="36" spans="5:8" x14ac:dyDescent="0.25">
      <c r="E36" s="1"/>
      <c r="F36" s="1"/>
      <c r="G36" s="1"/>
      <c r="H36" s="1"/>
    </row>
    <row r="37" spans="5:8" x14ac:dyDescent="0.25">
      <c r="E37" s="1"/>
      <c r="F37" s="1"/>
      <c r="G37" s="1"/>
      <c r="H37" s="1"/>
    </row>
    <row r="38" spans="5:8" x14ac:dyDescent="0.25">
      <c r="E38" s="1"/>
      <c r="F38" s="1"/>
      <c r="G38" s="1"/>
      <c r="H38" s="1"/>
    </row>
    <row r="39" spans="5:8" x14ac:dyDescent="0.25">
      <c r="E39" s="1"/>
      <c r="F39" s="1"/>
      <c r="G39" s="1"/>
      <c r="H39" s="1"/>
    </row>
    <row r="40" spans="5:8" x14ac:dyDescent="0.25">
      <c r="E40" s="1"/>
      <c r="F40" s="1"/>
      <c r="G40" s="1"/>
      <c r="H40" s="1"/>
    </row>
    <row r="41" spans="5:8" x14ac:dyDescent="0.25">
      <c r="E41" s="1"/>
      <c r="F41" s="1"/>
      <c r="G41" s="1"/>
      <c r="H41" s="1"/>
    </row>
    <row r="42" spans="5:8" x14ac:dyDescent="0.25">
      <c r="E42" s="1"/>
      <c r="F42" s="1"/>
      <c r="G42" s="1"/>
      <c r="H42" s="1"/>
    </row>
    <row r="43" spans="5:8" x14ac:dyDescent="0.25">
      <c r="E43" s="1"/>
      <c r="F43" s="1"/>
      <c r="G43" s="1"/>
      <c r="H43" s="1"/>
    </row>
    <row r="44" spans="5:8" x14ac:dyDescent="0.25">
      <c r="E44" s="1"/>
      <c r="F44" s="1"/>
      <c r="G44" s="1"/>
      <c r="H44" s="1"/>
    </row>
    <row r="45" spans="5:8" x14ac:dyDescent="0.25">
      <c r="E45" s="1"/>
      <c r="F45" s="1"/>
      <c r="G45" s="1"/>
      <c r="H45" s="1"/>
    </row>
    <row r="46" spans="5:8" x14ac:dyDescent="0.25">
      <c r="E46" s="1"/>
      <c r="F46" s="1"/>
      <c r="G46" s="1"/>
      <c r="H46" s="1"/>
    </row>
    <row r="47" spans="5:8" x14ac:dyDescent="0.25">
      <c r="E47" s="1"/>
      <c r="F47" s="1"/>
      <c r="G47" s="1"/>
      <c r="H47" s="1"/>
    </row>
    <row r="48" spans="5:8" x14ac:dyDescent="0.25">
      <c r="E48" s="1"/>
      <c r="F48" s="1"/>
      <c r="G48" s="1"/>
      <c r="H48" s="1"/>
    </row>
    <row r="49" spans="5:8" x14ac:dyDescent="0.25">
      <c r="E49" s="1"/>
      <c r="F49" s="1"/>
      <c r="G49" s="1"/>
      <c r="H49" s="1"/>
    </row>
    <row r="50" spans="5:8" x14ac:dyDescent="0.25">
      <c r="E50" s="1"/>
      <c r="F50" s="1"/>
      <c r="G50" s="1"/>
      <c r="H50" s="1"/>
    </row>
    <row r="51" spans="5:8" x14ac:dyDescent="0.25">
      <c r="E51" s="1"/>
      <c r="F51" s="1"/>
      <c r="G51" s="1"/>
      <c r="H51" s="1"/>
    </row>
    <row r="52" spans="5:8" x14ac:dyDescent="0.25">
      <c r="E52" s="1"/>
      <c r="F52" s="1"/>
      <c r="G52" s="1"/>
      <c r="H52" s="1"/>
    </row>
    <row r="53" spans="5:8" x14ac:dyDescent="0.25">
      <c r="E53" s="1"/>
      <c r="F53" s="1"/>
      <c r="G53" s="1"/>
      <c r="H53" s="1"/>
    </row>
    <row r="54" spans="5:8" x14ac:dyDescent="0.25">
      <c r="E54" s="1"/>
      <c r="F54" s="1"/>
      <c r="G54" s="1"/>
      <c r="H54" s="1"/>
    </row>
    <row r="55" spans="5:8" x14ac:dyDescent="0.25">
      <c r="E55" s="1"/>
      <c r="F55" s="1"/>
      <c r="G55" s="1"/>
      <c r="H55" s="1"/>
    </row>
    <row r="56" spans="5:8" x14ac:dyDescent="0.25">
      <c r="E56" s="1"/>
      <c r="F56" s="1"/>
      <c r="G56" s="1"/>
      <c r="H56" s="1"/>
    </row>
    <row r="57" spans="5:8" x14ac:dyDescent="0.25">
      <c r="E57" s="1"/>
      <c r="F57" s="1"/>
      <c r="G57" s="1"/>
      <c r="H57" s="1"/>
    </row>
  </sheetData>
  <mergeCells count="1">
    <mergeCell ref="E5:H8"/>
  </mergeCells>
  <hyperlinks>
    <hyperlink ref="F11" r:id="rId1" location="/CBS/nl/dataset/83628NED/table?dl=47FB8" display="https://opendata.cbs.nl/statline/ - /CBS/nl/dataset/83628NED/table?dl=47FB8" xr:uid="{916D628D-5BEC-4961-8A74-F83F6BA02F95}"/>
    <hyperlink ref="F12" r:id="rId2" xr:uid="{586591A7-968E-4783-91D0-73AD469AD983}"/>
    <hyperlink ref="F14" r:id="rId3" xr:uid="{7DBB28F5-09DF-4BED-B37B-5856A93E4C4E}"/>
    <hyperlink ref="F15" r:id="rId4" location=":~:text=Highlights&amp;text=In%202023%2C%20the%20average%20working,to%2039.8%20hours%20in%20Greece." xr:uid="{C4F6A91F-B309-4D83-AC54-86AD8BBFCC1C}"/>
    <hyperlink ref="F16" r:id="rId5" xr:uid="{C0BA1DF9-A414-4E7B-90AE-0FEB51AD4C72}"/>
    <hyperlink ref="F17" r:id="rId6" xr:uid="{93B4B4A0-B071-41B4-B3A5-50BCB1A78A80}"/>
    <hyperlink ref="F18" r:id="rId7" xr:uid="{2400DDA6-7176-49DA-BE2C-14E9A4BEA3E9}"/>
    <hyperlink ref="F19" r:id="rId8" xr:uid="{6A294539-85A2-4BB2-B30D-DC6934911B25}"/>
    <hyperlink ref="F20" r:id="rId9" xr:uid="{23F3EE14-C778-46B5-BBA6-A3BA66C7322C}"/>
    <hyperlink ref="F21" r:id="rId10" xr:uid="{422E54B6-C275-438E-BD2E-17F3876FCAB2}"/>
    <hyperlink ref="F22" r:id="rId11" xr:uid="{E77B2663-9A31-41B3-A2DF-BA83E8321BB4}"/>
    <hyperlink ref="F23" r:id="rId12" xr:uid="{2F28729F-B718-4944-BB35-524162178AE2}"/>
    <hyperlink ref="F24" r:id="rId13" xr:uid="{6BE27AAF-17F0-49B6-905D-BDCAB43DA586}"/>
    <hyperlink ref="F25" r:id="rId14" xr:uid="{D163FEEF-CF0B-47E9-9207-2F93A8C070A1}"/>
    <hyperlink ref="F26" r:id="rId15" xr:uid="{3DBC6F3E-35AB-4615-90B4-764C18C480AB}"/>
    <hyperlink ref="F27" r:id="rId16" xr:uid="{0828E96D-AA7B-4F7B-BBF0-E874E72B512E}"/>
    <hyperlink ref="F28" r:id="rId17" location=":~:text=Op%20dit%20moment%20gebruikt%20een,dieselvrachtwagen%20(Mobilyze%2C%202023)." xr:uid="{DA77632B-4EA1-4DD3-B377-48C96A8B3561}"/>
    <hyperlink ref="F29" r:id="rId18" xr:uid="{490D06F9-C37C-4A22-B2A8-E677862B5EA2}"/>
    <hyperlink ref="F30" r:id="rId19" xr:uid="{FA47A267-078D-4B14-AE26-CAE70CC6C5EF}"/>
    <hyperlink ref="F31" r:id="rId20" xr:uid="{41921A91-7877-4E45-B49D-4181195B02EF}"/>
    <hyperlink ref="F32" r:id="rId21" xr:uid="{5E016400-A0E3-4FD7-8F92-EDC8A216B86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A4069-1B00-4971-AF67-4F58E6C1D114}">
  <sheetPr>
    <tabColor rgb="FFFF0000"/>
  </sheetPr>
  <dimension ref="H22"/>
  <sheetViews>
    <sheetView workbookViewId="0">
      <selection activeCell="D32" sqref="D32:N49"/>
    </sheetView>
  </sheetViews>
  <sheetFormatPr defaultRowHeight="15" x14ac:dyDescent="0.25"/>
  <sheetData>
    <row r="22" spans="8:8" x14ac:dyDescent="0.25">
      <c r="H22" t="s">
        <v>209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4679-6168-4368-8EEE-4AC98C107D80}">
  <sheetPr>
    <tabColor theme="7"/>
  </sheetPr>
  <dimension ref="D6:H38"/>
  <sheetViews>
    <sheetView workbookViewId="0">
      <selection activeCell="G39" sqref="G39"/>
    </sheetView>
  </sheetViews>
  <sheetFormatPr defaultColWidth="8.7109375" defaultRowHeight="15" x14ac:dyDescent="0.25"/>
  <cols>
    <col min="1" max="3" width="8.7109375" style="3"/>
    <col min="4" max="4" width="22.85546875" style="3" bestFit="1" customWidth="1"/>
    <col min="5" max="5" width="8.7109375" style="3"/>
    <col min="6" max="6" width="14.5703125" style="3" customWidth="1"/>
    <col min="7" max="7" width="15.140625" style="3" customWidth="1"/>
    <col min="8" max="8" width="15.5703125" style="3" customWidth="1"/>
    <col min="9" max="16384" width="8.7109375" style="3"/>
  </cols>
  <sheetData>
    <row r="6" spans="4:8" ht="75" x14ac:dyDescent="0.25">
      <c r="E6" s="10" t="s">
        <v>127</v>
      </c>
      <c r="F6" s="10" t="s">
        <v>223</v>
      </c>
      <c r="G6" s="10" t="s">
        <v>236</v>
      </c>
      <c r="H6" s="10" t="s">
        <v>231</v>
      </c>
    </row>
    <row r="7" spans="4:8" ht="30" x14ac:dyDescent="0.25">
      <c r="D7" s="2" t="s">
        <v>220</v>
      </c>
      <c r="E7" s="2" t="s">
        <v>221</v>
      </c>
      <c r="F7" s="2" t="s">
        <v>222</v>
      </c>
      <c r="G7" s="2" t="s">
        <v>224</v>
      </c>
      <c r="H7" s="2" t="s">
        <v>225</v>
      </c>
    </row>
    <row r="8" spans="4:8" x14ac:dyDescent="0.25">
      <c r="D8" s="2" t="s">
        <v>218</v>
      </c>
      <c r="E8" s="18">
        <v>0.14510000000000001</v>
      </c>
      <c r="F8" s="6">
        <v>0.76</v>
      </c>
      <c r="G8" s="6">
        <v>1.1000000000000001</v>
      </c>
      <c r="H8" s="6">
        <f>0.269</f>
        <v>0.26900000000000002</v>
      </c>
    </row>
    <row r="9" spans="4:8" x14ac:dyDescent="0.25">
      <c r="D9" s="2" t="s">
        <v>219</v>
      </c>
      <c r="E9" s="18">
        <v>6.4899999999999999E-2</v>
      </c>
      <c r="F9" s="19" cm="1">
        <f t="array" ref="F9:F13">(bus_elctricity_consumption/car_electricity_consumption)*car_other_consumption</f>
        <v>0.33993108201240518</v>
      </c>
      <c r="G9" s="19" cm="1">
        <f t="array" ref="G9:G13">(truck_elctricity_consumption/car_electricity_consumption)*car_other_consumption</f>
        <v>0.49200551343900761</v>
      </c>
      <c r="H9" s="19" cm="1">
        <f t="array" ref="H9:H13">(van_elctricity_consumption/car_electricity_consumption)*car_other_consumption</f>
        <v>0.12031771192281185</v>
      </c>
    </row>
    <row r="10" spans="4:8" x14ac:dyDescent="0.25">
      <c r="D10" s="2" t="s">
        <v>161</v>
      </c>
      <c r="E10" s="18">
        <v>5.57E-2</v>
      </c>
      <c r="F10" s="19">
        <v>0.29174362508614748</v>
      </c>
      <c r="G10" s="19">
        <v>0.42226050999310821</v>
      </c>
      <c r="H10" s="19">
        <v>0.1032618883528601</v>
      </c>
    </row>
    <row r="11" spans="4:8" x14ac:dyDescent="0.25">
      <c r="D11" s="2" t="s">
        <v>162</v>
      </c>
      <c r="E11" s="18">
        <v>7.6E-3</v>
      </c>
      <c r="F11" s="19">
        <v>3.9807029634734661E-2</v>
      </c>
      <c r="G11" s="19">
        <v>5.7615437629221229E-2</v>
      </c>
      <c r="H11" s="19">
        <v>1.4089593383873191E-2</v>
      </c>
    </row>
    <row r="12" spans="4:8" x14ac:dyDescent="0.25">
      <c r="D12" s="2" t="s">
        <v>188</v>
      </c>
      <c r="E12" s="18">
        <v>9.1999999999999998E-2</v>
      </c>
      <c r="F12" s="19">
        <v>0.48187456926257749</v>
      </c>
      <c r="G12" s="19">
        <v>0.69745003445899378</v>
      </c>
      <c r="H12" s="19">
        <v>0.17055823569951756</v>
      </c>
    </row>
    <row r="13" spans="4:8" x14ac:dyDescent="0.25">
      <c r="D13" s="2" t="s">
        <v>217</v>
      </c>
      <c r="E13" s="18">
        <v>4.6100000000000002E-2</v>
      </c>
      <c r="F13" s="19">
        <v>0.24146106133700895</v>
      </c>
      <c r="G13" s="19">
        <v>0.34948311509303931</v>
      </c>
      <c r="H13" s="19">
        <v>8.5464507236388695E-2</v>
      </c>
    </row>
    <row r="15" spans="4:8" x14ac:dyDescent="0.25">
      <c r="F15" s="3">
        <v>90000</v>
      </c>
    </row>
    <row r="16" spans="4:8" x14ac:dyDescent="0.25">
      <c r="G16" s="3">
        <f>365*250</f>
        <v>91250</v>
      </c>
    </row>
    <row r="17" spans="6:8" x14ac:dyDescent="0.25">
      <c r="F17" s="3" t="s">
        <v>242</v>
      </c>
      <c r="G17" s="3" t="s">
        <v>234</v>
      </c>
      <c r="H17" s="3">
        <v>18000</v>
      </c>
    </row>
    <row r="18" spans="6:8" x14ac:dyDescent="0.25">
      <c r="F18" s="3">
        <f>270*365</f>
        <v>98550</v>
      </c>
      <c r="G18" s="3" t="s">
        <v>235</v>
      </c>
    </row>
    <row r="22" spans="6:8" x14ac:dyDescent="0.25">
      <c r="G22" s="3" t="s">
        <v>238</v>
      </c>
      <c r="H22" s="3" t="s">
        <v>239</v>
      </c>
    </row>
    <row r="25" spans="6:8" x14ac:dyDescent="0.25">
      <c r="F25" s="3" t="s">
        <v>240</v>
      </c>
    </row>
    <row r="26" spans="6:8" x14ac:dyDescent="0.25">
      <c r="H26" s="20" t="s">
        <v>241</v>
      </c>
    </row>
    <row r="36" spans="7:7" x14ac:dyDescent="0.25">
      <c r="G36" s="3">
        <f>18000/365</f>
        <v>49.315068493150683</v>
      </c>
    </row>
    <row r="38" spans="7:7" x14ac:dyDescent="0.25">
      <c r="G38" s="3">
        <f>50</f>
        <v>50</v>
      </c>
    </row>
  </sheetData>
  <hyperlinks>
    <hyperlink ref="H26" r:id="rId1" xr:uid="{FB3B6FA8-C0E5-4366-B0C6-D097AFDB5C7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CBA0ECC009C04C8BB73947A234DE15" ma:contentTypeVersion="18" ma:contentTypeDescription="Create a new document." ma:contentTypeScope="" ma:versionID="3beaac6dd983e6911d32f018369308ea">
  <xsd:schema xmlns:xsd="http://www.w3.org/2001/XMLSchema" xmlns:xs="http://www.w3.org/2001/XMLSchema" xmlns:p="http://schemas.microsoft.com/office/2006/metadata/properties" xmlns:ns3="a7bff1ec-bbb9-45e4-84a2-adaa208d54a0" xmlns:ns4="1b554f1f-8d05-4155-8c47-29ef166fc1e7" targetNamespace="http://schemas.microsoft.com/office/2006/metadata/properties" ma:root="true" ma:fieldsID="0cb61f4be42bc24d901638c6d9be7894" ns3:_="" ns4:_="">
    <xsd:import namespace="a7bff1ec-bbb9-45e4-84a2-adaa208d54a0"/>
    <xsd:import namespace="1b554f1f-8d05-4155-8c47-29ef166fc1e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GenerationTime" minOccurs="0"/>
                <xsd:element ref="ns3:MediaServiceEventHashCode" minOccurs="0"/>
                <xsd:element ref="ns3:MediaServiceObjectDetectorVersions" minOccurs="0"/>
                <xsd:element ref="ns3:MediaServiceSystemTags" minOccurs="0"/>
                <xsd:element ref="ns3:MediaServiceSearchProperties"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bff1ec-bbb9-45e4-84a2-adaa208d5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activity" ma:index="24" nillable="true" ma:displayName="_activity" ma:hidden="true" ma:internalName="_activity">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554f1f-8d05-4155-8c47-29ef166fc1e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7bff1ec-bbb9-45e4-84a2-adaa208d54a0" xsi:nil="true"/>
  </documentManagement>
</p:properties>
</file>

<file path=customXml/itemProps1.xml><?xml version="1.0" encoding="utf-8"?>
<ds:datastoreItem xmlns:ds="http://schemas.openxmlformats.org/officeDocument/2006/customXml" ds:itemID="{F88DA481-586F-4D50-A506-AD65A6950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bff1ec-bbb9-45e4-84a2-adaa208d54a0"/>
    <ds:schemaRef ds:uri="1b554f1f-8d05-4155-8c47-29ef166fc1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63892F7-9D5E-461E-94B6-1F070CC989FA}">
  <ds:schemaRefs>
    <ds:schemaRef ds:uri="http://schemas.microsoft.com/sharepoint/v3/contenttype/forms"/>
  </ds:schemaRefs>
</ds:datastoreItem>
</file>

<file path=customXml/itemProps3.xml><?xml version="1.0" encoding="utf-8"?>
<ds:datastoreItem xmlns:ds="http://schemas.openxmlformats.org/officeDocument/2006/customXml" ds:itemID="{7D6D054C-525B-4D56-BBD5-36D3E02782FC}">
  <ds:schemaRefs>
    <ds:schemaRef ds:uri="http://purl.org/dc/elements/1.1/"/>
    <ds:schemaRef ds:uri="1b554f1f-8d05-4155-8c47-29ef166fc1e7"/>
    <ds:schemaRef ds:uri="http://purl.org/dc/dcmitype/"/>
    <ds:schemaRef ds:uri="http://schemas.microsoft.com/office/2006/documentManagement/types"/>
    <ds:schemaRef ds:uri="http://purl.org/dc/terms/"/>
    <ds:schemaRef ds:uri="a7bff1ec-bbb9-45e4-84a2-adaa208d54a0"/>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163</vt:i4>
      </vt:variant>
    </vt:vector>
  </HeadingPairs>
  <TitlesOfParts>
    <vt:vector size="175" baseType="lpstr">
      <vt:lpstr>Reference_values</vt:lpstr>
      <vt:lpstr>Country scaling parameters</vt:lpstr>
      <vt:lpstr>BTV splits</vt:lpstr>
      <vt:lpstr>ENTSO-E scenarios</vt:lpstr>
      <vt:lpstr>Sheet5</vt:lpstr>
      <vt:lpstr>Vehicle splits</vt:lpstr>
      <vt:lpstr>Fleet sizes</vt:lpstr>
      <vt:lpstr>parameters for model</vt:lpstr>
      <vt:lpstr>fleet_output</vt:lpstr>
      <vt:lpstr>Sources</vt:lpstr>
      <vt:lpstr>Sheet2</vt:lpstr>
      <vt:lpstr>Vehicle consumptions</vt:lpstr>
      <vt:lpstr>bus_elctricity_consumption</vt:lpstr>
      <vt:lpstr>bus_fleet</vt:lpstr>
      <vt:lpstr>bus_parameters</vt:lpstr>
      <vt:lpstr>bus_reference_country_values</vt:lpstr>
      <vt:lpstr>bus_scaling_factors_used</vt:lpstr>
      <vt:lpstr>Bus_split_DE_2040_CNG</vt:lpstr>
      <vt:lpstr>Bus_split_DE_2040_Diesel</vt:lpstr>
      <vt:lpstr>Bus_split_DE_2040_Electricity</vt:lpstr>
      <vt:lpstr>Bus_split_DE_2040_Gasoline</vt:lpstr>
      <vt:lpstr>Bus_split_DE_2040_Hydrogen</vt:lpstr>
      <vt:lpstr>Bus_split_DE_2040_LNG</vt:lpstr>
      <vt:lpstr>Bus_split_DE_2050_CNG</vt:lpstr>
      <vt:lpstr>Bus_split_DE_2050_Diesel</vt:lpstr>
      <vt:lpstr>Bus_split_DE_2050_Electricity</vt:lpstr>
      <vt:lpstr>Bus_split_DE_2050_Gasoline</vt:lpstr>
      <vt:lpstr>Bus_split_DE_2050_Hydrogen</vt:lpstr>
      <vt:lpstr>Bus_split_DE_2050_LNG</vt:lpstr>
      <vt:lpstr>Bus_split_GA_2040_CNG</vt:lpstr>
      <vt:lpstr>Bus_split_GA_2040_Diesel</vt:lpstr>
      <vt:lpstr>Bus_split_GA_2040_Electricity</vt:lpstr>
      <vt:lpstr>Bus_split_GA_2040_Gasoline</vt:lpstr>
      <vt:lpstr>Bus_split_GA_2040_Hydrogen</vt:lpstr>
      <vt:lpstr>Bus_split_GA_2040_LNG</vt:lpstr>
      <vt:lpstr>Bus_split_GA_2050_CNG</vt:lpstr>
      <vt:lpstr>Bus_split_GA_2050_Diesel</vt:lpstr>
      <vt:lpstr>Bus_split_GA_2050_Electricity</vt:lpstr>
      <vt:lpstr>Bus_split_GA_2050_Gasoline</vt:lpstr>
      <vt:lpstr>Bus_split_GA_2050_Hydrogen</vt:lpstr>
      <vt:lpstr>Bus_split_GA_2050_LNG</vt:lpstr>
      <vt:lpstr>Bus_split_REF_2019_CNG</vt:lpstr>
      <vt:lpstr>Bus_split_REF_2019_Diesel</vt:lpstr>
      <vt:lpstr>Bus_split_REF_2019_Electricity</vt:lpstr>
      <vt:lpstr>Bus_split_REF_2019_Gasoline</vt:lpstr>
      <vt:lpstr>Bus_split_REF_2019_Hydrogen</vt:lpstr>
      <vt:lpstr>Bus_split_REF_2019_LNG</vt:lpstr>
      <vt:lpstr>Bus_splits_2030</vt:lpstr>
      <vt:lpstr>Bus_splits_2040</vt:lpstr>
      <vt:lpstr>Bus_splits_2050</vt:lpstr>
      <vt:lpstr>car_electricity_consumption</vt:lpstr>
      <vt:lpstr>car_other_consumption</vt:lpstr>
      <vt:lpstr>Car_splits_2030</vt:lpstr>
      <vt:lpstr>Car_splits_2040</vt:lpstr>
      <vt:lpstr>Car_splits_2050</vt:lpstr>
      <vt:lpstr>Cars_amount</vt:lpstr>
      <vt:lpstr>Cars_split_DE_2040_CNG</vt:lpstr>
      <vt:lpstr>Cars_split_DE_2040_Diesel</vt:lpstr>
      <vt:lpstr>Cars_split_DE_2040_Electricity</vt:lpstr>
      <vt:lpstr>Cars_split_DE_2040_Gasoline</vt:lpstr>
      <vt:lpstr>Cars_split_DE_2040_Hydrogen</vt:lpstr>
      <vt:lpstr>Cars_split_DE_2040_LPG</vt:lpstr>
      <vt:lpstr>Cars_split_DE_2050_CNG</vt:lpstr>
      <vt:lpstr>Cars_split_DE_2050_Diesel</vt:lpstr>
      <vt:lpstr>Cars_split_DE_2050_Electricity</vt:lpstr>
      <vt:lpstr>Cars_split_DE_2050_Gasoline</vt:lpstr>
      <vt:lpstr>Cars_split_DE_2050_Hydrogen</vt:lpstr>
      <vt:lpstr>Cars_split_DE_2050_LPG</vt:lpstr>
      <vt:lpstr>Cars_split_GA_2040_CNG</vt:lpstr>
      <vt:lpstr>Cars_split_GA_2040_Diesel</vt:lpstr>
      <vt:lpstr>Cars_split_GA_2040_Electricity</vt:lpstr>
      <vt:lpstr>Cars_split_GA_2040_Gasoline</vt:lpstr>
      <vt:lpstr>Cars_split_GA_2040_Hydrogen</vt:lpstr>
      <vt:lpstr>Cars_split_GA_2040_LPG</vt:lpstr>
      <vt:lpstr>Cars_split_GA_2050_CNG</vt:lpstr>
      <vt:lpstr>Cars_split_GA_2050_Diesel</vt:lpstr>
      <vt:lpstr>Cars_split_GA_2050_Electricity</vt:lpstr>
      <vt:lpstr>Cars_split_GA_2050_Gasoline</vt:lpstr>
      <vt:lpstr>Cars_split_GA_2050_Hydrogen</vt:lpstr>
      <vt:lpstr>Cars_split_GA_2050_LPG</vt:lpstr>
      <vt:lpstr>Cars_split_REF_2019_CNG</vt:lpstr>
      <vt:lpstr>Cars_split_REF_2019_Diesel</vt:lpstr>
      <vt:lpstr>Cars_split_REF_2019_Electricity</vt:lpstr>
      <vt:lpstr>Cars_split_REF_2019_Gasoline</vt:lpstr>
      <vt:lpstr>Cars_split_REF_2019_Hydrogen</vt:lpstr>
      <vt:lpstr>Cars_split_REF_2019_LPG</vt:lpstr>
      <vt:lpstr>countries</vt:lpstr>
      <vt:lpstr>Country_abbreviations</vt:lpstr>
      <vt:lpstr>country_scaling_factors</vt:lpstr>
      <vt:lpstr>Fleet_split_country_abbreviations</vt:lpstr>
      <vt:lpstr>own_driveway_fleet</vt:lpstr>
      <vt:lpstr>parameters</vt:lpstr>
      <vt:lpstr>percent_living_in_houses</vt:lpstr>
      <vt:lpstr>reference_country</vt:lpstr>
      <vt:lpstr>reference_country_values</vt:lpstr>
      <vt:lpstr>Scaling_Factor_Categories</vt:lpstr>
      <vt:lpstr>scaling_factors_used</vt:lpstr>
      <vt:lpstr>scaling_input_values</vt:lpstr>
      <vt:lpstr>street_parking_fleet</vt:lpstr>
      <vt:lpstr>truck_elctricity_consumption</vt:lpstr>
      <vt:lpstr>truck_fleet</vt:lpstr>
      <vt:lpstr>truck_parameters</vt:lpstr>
      <vt:lpstr>truck_reference_country_values</vt:lpstr>
      <vt:lpstr>truck_scaling_factors_used</vt:lpstr>
      <vt:lpstr>Truck_split_DE_2040_CNG</vt:lpstr>
      <vt:lpstr>Truck_split_DE_2040_Diesel</vt:lpstr>
      <vt:lpstr>Truck_split_DE_2040_Electricity</vt:lpstr>
      <vt:lpstr>Truck_split_DE_2040_Gasoline</vt:lpstr>
      <vt:lpstr>Truck_split_DE_2040_Hydrogen</vt:lpstr>
      <vt:lpstr>Truck_split_DE_2040_LNG</vt:lpstr>
      <vt:lpstr>Truck_split_DE_2050_CNG</vt:lpstr>
      <vt:lpstr>Truck_split_DE_2050_Diesel</vt:lpstr>
      <vt:lpstr>Truck_split_DE_2050_Electricity</vt:lpstr>
      <vt:lpstr>Truck_split_DE_2050_Gasoline</vt:lpstr>
      <vt:lpstr>Truck_split_DE_2050_Hydrogen</vt:lpstr>
      <vt:lpstr>Truck_split_DE_2050_LNG</vt:lpstr>
      <vt:lpstr>Truck_split_GA_2040_CNG</vt:lpstr>
      <vt:lpstr>Truck_split_GA_2040_Diesel</vt:lpstr>
      <vt:lpstr>Truck_split_GA_2040_Electricity</vt:lpstr>
      <vt:lpstr>Truck_split_GA_2040_Gasoline</vt:lpstr>
      <vt:lpstr>Truck_split_GA_2040_Hydrogen</vt:lpstr>
      <vt:lpstr>Truck_split_GA_2040_LNG</vt:lpstr>
      <vt:lpstr>Truck_split_GA_2050_CNG</vt:lpstr>
      <vt:lpstr>Truck_split_GA_2050_Diesel</vt:lpstr>
      <vt:lpstr>Truck_split_GA_2050_Electricity</vt:lpstr>
      <vt:lpstr>Truck_split_GA_2050_Gasoline</vt:lpstr>
      <vt:lpstr>Truck_split_GA_2050_Hydrogen</vt:lpstr>
      <vt:lpstr>Truck_split_GA_2050_LNG</vt:lpstr>
      <vt:lpstr>Truck_split_REF_2019_CNG</vt:lpstr>
      <vt:lpstr>Truck_split_REF_2019_Diesel</vt:lpstr>
      <vt:lpstr>Truck_split_REF_2019_Electricity</vt:lpstr>
      <vt:lpstr>Truck_split_REF_2019_Gasoline</vt:lpstr>
      <vt:lpstr>Truck_split_REF_2019_Hydrogen</vt:lpstr>
      <vt:lpstr>Truck_split_REF_2019_LNG</vt:lpstr>
      <vt:lpstr>Truck_splits_2030</vt:lpstr>
      <vt:lpstr>Truck_splits_2040</vt:lpstr>
      <vt:lpstr>Truck_splits_2050</vt:lpstr>
      <vt:lpstr>van_elctricity_consumption</vt:lpstr>
      <vt:lpstr>van_fleet</vt:lpstr>
      <vt:lpstr>van_parameters</vt:lpstr>
      <vt:lpstr>van_reference_country_values</vt:lpstr>
      <vt:lpstr>van_scaling_factors_used</vt:lpstr>
      <vt:lpstr>Van_split_DE_2040_CNG</vt:lpstr>
      <vt:lpstr>Van_split_DE_2040_Diesel</vt:lpstr>
      <vt:lpstr>Van_split_DE_2040_Electricity</vt:lpstr>
      <vt:lpstr>Van_split_DE_2040_Gasoline</vt:lpstr>
      <vt:lpstr>Van_split_DE_2040_Hydrogen</vt:lpstr>
      <vt:lpstr>Van_split_DE_2040_LPG</vt:lpstr>
      <vt:lpstr>Van_split_DE_2050_CNG</vt:lpstr>
      <vt:lpstr>Van_split_DE_2050_Diesel</vt:lpstr>
      <vt:lpstr>Van_split_DE_2050_Electricity</vt:lpstr>
      <vt:lpstr>Van_split_DE_2050_Gasoline</vt:lpstr>
      <vt:lpstr>Van_split_DE_2050_Hydrogen</vt:lpstr>
      <vt:lpstr>Van_split_DE_2050_LPG</vt:lpstr>
      <vt:lpstr>Van_split_GA_2040_CNG</vt:lpstr>
      <vt:lpstr>Van_split_GA_2040_Diesel</vt:lpstr>
      <vt:lpstr>Van_split_GA_2040_Electricity</vt:lpstr>
      <vt:lpstr>Van_split_GA_2040_Gasoline</vt:lpstr>
      <vt:lpstr>Van_split_GA_2040_Hydrogen</vt:lpstr>
      <vt:lpstr>Van_split_GA_2040_LPG</vt:lpstr>
      <vt:lpstr>Van_split_GA_2050_CNG</vt:lpstr>
      <vt:lpstr>Van_split_GA_2050_Diesel</vt:lpstr>
      <vt:lpstr>Van_split_GA_2050_Electricity</vt:lpstr>
      <vt:lpstr>Van_split_GA_2050_Gasoline</vt:lpstr>
      <vt:lpstr>Van_split_GA_2050_Hydrogen</vt:lpstr>
      <vt:lpstr>Van_split_GA_2050_LPG</vt:lpstr>
      <vt:lpstr>Van_split_REF_2019_CNG</vt:lpstr>
      <vt:lpstr>Van_split_REF_2019_Diesel</vt:lpstr>
      <vt:lpstr>Van_split_REF_2019_Electricity</vt:lpstr>
      <vt:lpstr>Van_split_REF_2019_Gasoline</vt:lpstr>
      <vt:lpstr>Van_split_REF_2019_Hydrogen</vt:lpstr>
      <vt:lpstr>Van_split_REF_2019_LPG</vt:lpstr>
      <vt:lpstr>Van_splits_2030</vt:lpstr>
      <vt:lpstr>Van_splits_2040</vt:lpstr>
      <vt:lpstr>Van_splits_2050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2024-11-28T11:04:27Z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0x010100D5CBA0ECC009C04C8BB73947A234DE15</vt:lpwstr>
  </property>
</Properties>
</file>