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tervanwissekerkeng\TNO\Effect Concentratie gebortezorg SAZ - Team\Work\"/>
    </mc:Choice>
  </mc:AlternateContent>
  <xr:revisionPtr revIDLastSave="427" documentId="8_{23CF5626-6126-4D0E-AADF-8790840B59D2}" xr6:coauthVersionLast="45" xr6:coauthVersionMax="45" xr10:uidLastSave="{127CF0F8-1039-4041-AE65-CF0D3AACBA72}"/>
  <bookViews>
    <workbookView xWindow="-13710" yWindow="-16320" windowWidth="29040" windowHeight="15840" xr2:uid="{875B6FC6-6F47-4A0B-9E13-83E9ED8E4E85}"/>
  </bookViews>
  <sheets>
    <sheet name="Voor Erik" sheetId="8" r:id="rId1"/>
    <sheet name="Uitgangspunten" sheetId="4" r:id="rId2"/>
  </sheets>
  <definedNames>
    <definedName name="Aandeel_acute_sectio">'Voor Erik'!$D$15</definedName>
    <definedName name="Aandeel_electieve_sectio">'Voor Erik'!$D$18</definedName>
    <definedName name="Aandeel_overige_sectio">'Voor Erik'!$D$16</definedName>
    <definedName name="Aandeel_post_partum_ops">'Voor Erik'!$D$17</definedName>
    <definedName name="Aandeel_sectio">'Voor Erik'!$D$14</definedName>
    <definedName name="Aandeel_spoed_sectio">'Voor Erik'!$D$19</definedName>
    <definedName name="aantal_FTE">'Voor Erik'!$D$27</definedName>
    <definedName name="Acute_sectio_in_bedrijfstijd">'Voor Erik'!$D$23</definedName>
    <definedName name="Bevalling_2e_lijn">'Voor Erik'!$D$13</definedName>
    <definedName name="bevallingen_in_bedrijfstijd">'Voor Erik'!$D$20</definedName>
    <definedName name="BVO_per_partus_2e_lijn">'Voor Erik'!$D$26</definedName>
    <definedName name="electieve_sectio_in_bedrijfstijd">'Voor Erik'!$D$21</definedName>
    <definedName name="FTE_kraam_direct">'Voor Erik'!$D$28</definedName>
    <definedName name="FTE_kraam_indirect">'Voor Erik'!$D$29</definedName>
    <definedName name="investering_per_partus">'Voor Erik'!$D$24</definedName>
    <definedName name="OK_per_partus">'Voor Erik'!$D$25</definedName>
    <definedName name="salaris">'Voor Erik'!$D$30</definedName>
    <definedName name="Salaris_kraam_direct">'Voor Erik'!$D$31</definedName>
    <definedName name="Salaris_kraam_indirect">'Voor Erik'!$D$32</definedName>
    <definedName name="spoed_sectio_in_bedrijfstijd">'Voor Erik'!$D$22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8" l="1"/>
  <c r="K31" i="8"/>
  <c r="K30" i="8"/>
  <c r="K29" i="8"/>
  <c r="N36" i="4"/>
  <c r="N34" i="4"/>
  <c r="K28" i="8"/>
  <c r="K27" i="8"/>
  <c r="D28" i="8"/>
  <c r="D29" i="8"/>
  <c r="D27" i="8"/>
  <c r="K26" i="8" s="1"/>
  <c r="K24" i="8"/>
  <c r="K23" i="8"/>
  <c r="K12" i="8"/>
  <c r="K8" i="8"/>
  <c r="K22" i="8"/>
  <c r="N19" i="8"/>
  <c r="K19" i="8"/>
  <c r="N18" i="8"/>
  <c r="K18" i="8"/>
  <c r="K17" i="8"/>
  <c r="N17" i="8"/>
  <c r="N16" i="8"/>
  <c r="K16" i="8"/>
  <c r="N15" i="8"/>
  <c r="K15" i="8"/>
  <c r="K11" i="8"/>
  <c r="D26" i="8"/>
  <c r="D25" i="8"/>
  <c r="D24" i="8"/>
  <c r="D23" i="8"/>
  <c r="D22" i="8"/>
  <c r="D21" i="8"/>
  <c r="D20" i="8"/>
  <c r="D19" i="8"/>
  <c r="D18" i="8"/>
  <c r="D16" i="8"/>
  <c r="D15" i="8"/>
  <c r="W9" i="8"/>
  <c r="R16" i="8"/>
  <c r="D14" i="8"/>
  <c r="R8" i="8"/>
  <c r="D17" i="8"/>
  <c r="R12" i="8"/>
  <c r="R23" i="8"/>
  <c r="R24" i="8"/>
  <c r="AI15" i="4"/>
  <c r="AI14" i="4"/>
  <c r="D13" i="8"/>
  <c r="W18" i="8"/>
  <c r="W17" i="8"/>
  <c r="V18" i="8"/>
  <c r="V17" i="8"/>
  <c r="W16" i="8"/>
  <c r="V16" i="8"/>
  <c r="V9" i="8"/>
  <c r="S19" i="8"/>
  <c r="R18" i="8"/>
  <c r="R17" i="8"/>
  <c r="S15" i="8"/>
  <c r="R22" i="8" l="1"/>
  <c r="AH8" i="4"/>
  <c r="N14" i="8"/>
  <c r="K14" i="8"/>
  <c r="C8" i="8" l="1"/>
  <c r="D6" i="8"/>
  <c r="C6" i="8"/>
  <c r="B6" i="8"/>
  <c r="E6" i="4" l="1"/>
  <c r="L28" i="4" s="1"/>
  <c r="H49" i="4"/>
  <c r="I47" i="4"/>
  <c r="R24" i="4" l="1"/>
  <c r="J7" i="4"/>
  <c r="L27" i="4"/>
  <c r="E47" i="4" l="1"/>
  <c r="E48" i="4"/>
  <c r="E49" i="4"/>
  <c r="E50" i="4"/>
  <c r="E51" i="4"/>
  <c r="E52" i="4"/>
  <c r="E53" i="4"/>
  <c r="E54" i="4"/>
  <c r="E55" i="4"/>
  <c r="E46" i="4"/>
  <c r="I50" i="4"/>
  <c r="I49" i="4"/>
  <c r="I48" i="4"/>
  <c r="D15" i="4"/>
  <c r="AF11" i="4"/>
  <c r="AF10" i="4"/>
  <c r="E5" i="4"/>
  <c r="E4" i="4"/>
  <c r="AF3" i="4"/>
  <c r="AG10" i="4" l="1"/>
  <c r="AH10" i="4"/>
  <c r="AI10" i="4" s="1"/>
  <c r="AK10" i="4" s="1"/>
  <c r="AG3" i="4"/>
  <c r="AH3" i="4"/>
  <c r="I51" i="4"/>
  <c r="I52" i="4" s="1"/>
  <c r="AE12" i="4"/>
  <c r="AF12" i="4" s="1"/>
  <c r="AI3" i="4"/>
  <c r="AK3" i="4" s="1"/>
  <c r="L9" i="4"/>
  <c r="AE7" i="4" s="1"/>
  <c r="AF7" i="4" s="1"/>
  <c r="AF5" i="4"/>
  <c r="AG11" i="4"/>
  <c r="AH11" i="4" s="1"/>
  <c r="E10" i="4"/>
  <c r="M28" i="4"/>
  <c r="N28" i="4" s="1"/>
  <c r="AG12" i="4"/>
  <c r="AE6" i="4"/>
  <c r="AF6" i="4" s="1"/>
  <c r="M27" i="4"/>
  <c r="N27" i="4" s="1"/>
  <c r="AL6" i="4" l="1"/>
  <c r="AL12" i="4"/>
  <c r="AH12" i="4"/>
  <c r="AL7" i="4"/>
  <c r="AH7" i="4"/>
  <c r="R21" i="4"/>
  <c r="L4" i="4"/>
  <c r="R23" i="4"/>
  <c r="T30" i="4"/>
  <c r="R30" i="4"/>
  <c r="T29" i="4"/>
  <c r="R29" i="4"/>
  <c r="L8" i="4"/>
  <c r="AI12" i="4"/>
  <c r="AK12" i="4" s="1"/>
  <c r="AN12" i="4" s="1"/>
  <c r="L32" i="4"/>
  <c r="M32" i="4" s="1"/>
  <c r="N32" i="4" s="1"/>
  <c r="E15" i="4"/>
  <c r="E20" i="4" s="1"/>
  <c r="F20" i="4" s="1"/>
  <c r="G20" i="4" s="1"/>
  <c r="AI11" i="4"/>
  <c r="AK11" i="4" s="1"/>
  <c r="AG7" i="4"/>
  <c r="AG6" i="4"/>
  <c r="L12" i="4"/>
  <c r="E8" i="4"/>
  <c r="R28" i="4" s="1"/>
  <c r="L13" i="4"/>
  <c r="E41" i="4" s="1"/>
  <c r="F41" i="4" s="1"/>
  <c r="G41" i="4" s="1"/>
  <c r="AG5" i="4"/>
  <c r="AH5" i="4" s="1"/>
  <c r="AH6" i="4" l="1"/>
  <c r="AI6" i="4" s="1"/>
  <c r="AK6" i="4" s="1"/>
  <c r="AN6" i="4" s="1"/>
  <c r="L20" i="4"/>
  <c r="M20" i="4" s="1"/>
  <c r="N20" i="4" s="1"/>
  <c r="R32" i="4"/>
  <c r="L22" i="4"/>
  <c r="M22" i="4" s="1"/>
  <c r="N22" i="4" s="1"/>
  <c r="L21" i="4"/>
  <c r="M21" i="4" s="1"/>
  <c r="N21" i="4" s="1"/>
  <c r="L23" i="4"/>
  <c r="M23" i="4" s="1"/>
  <c r="N23" i="4" s="1"/>
  <c r="L24" i="4"/>
  <c r="M24" i="4" s="1"/>
  <c r="N24" i="4" s="1"/>
  <c r="R25" i="4"/>
  <c r="AE9" i="4"/>
  <c r="AF9" i="4" s="1"/>
  <c r="AE4" i="4"/>
  <c r="AF4" i="4" s="1"/>
  <c r="L30" i="4"/>
  <c r="M30" i="4" s="1"/>
  <c r="T28" i="4"/>
  <c r="T22" i="4"/>
  <c r="N9" i="8" s="1"/>
  <c r="R31" i="4"/>
  <c r="T21" i="4"/>
  <c r="N8" i="8" s="1"/>
  <c r="E12" i="4"/>
  <c r="E33" i="4" s="1"/>
  <c r="F33" i="4" s="1"/>
  <c r="G33" i="4" s="1"/>
  <c r="E21" i="4"/>
  <c r="F21" i="4" s="1"/>
  <c r="G21" i="4" s="1"/>
  <c r="E23" i="4"/>
  <c r="F23" i="4" s="1"/>
  <c r="G23" i="4" s="1"/>
  <c r="E24" i="4"/>
  <c r="F24" i="4" s="1"/>
  <c r="G24" i="4" s="1"/>
  <c r="E25" i="4"/>
  <c r="F25" i="4" s="1"/>
  <c r="G25" i="4" s="1"/>
  <c r="AI7" i="4"/>
  <c r="AK7" i="4" s="1"/>
  <c r="AN7" i="4" s="1"/>
  <c r="E26" i="4"/>
  <c r="F26" i="4" s="1"/>
  <c r="G26" i="4" s="1"/>
  <c r="AI5" i="4"/>
  <c r="AK5" i="4" s="1"/>
  <c r="E22" i="4"/>
  <c r="F22" i="4" s="1"/>
  <c r="G22" i="4" s="1"/>
  <c r="AG9" i="4"/>
  <c r="E38" i="4"/>
  <c r="F38" i="4" s="1"/>
  <c r="G38" i="4" s="1"/>
  <c r="E37" i="4"/>
  <c r="F37" i="4" s="1"/>
  <c r="G37" i="4" s="1"/>
  <c r="E39" i="4"/>
  <c r="F39" i="4" s="1"/>
  <c r="G39" i="4" s="1"/>
  <c r="T32" i="4" l="1"/>
  <c r="AL4" i="4"/>
  <c r="T31" i="4"/>
  <c r="AL9" i="4"/>
  <c r="AO9" i="4" s="1"/>
  <c r="AH9" i="4"/>
  <c r="AI9" i="4" s="1"/>
  <c r="AK9" i="4" s="1"/>
  <c r="AN9" i="4" s="1"/>
  <c r="M33" i="4"/>
  <c r="E31" i="4"/>
  <c r="F31" i="4" s="1"/>
  <c r="G31" i="4" s="1"/>
  <c r="E30" i="4"/>
  <c r="F30" i="4" s="1"/>
  <c r="G30" i="4" s="1"/>
  <c r="AG4" i="4"/>
  <c r="AH4" i="4" s="1"/>
  <c r="AI4" i="4" s="1"/>
  <c r="AK4" i="4" s="1"/>
  <c r="E32" i="4"/>
  <c r="F32" i="4" s="1"/>
  <c r="G32" i="4" s="1"/>
  <c r="E29" i="4"/>
  <c r="F29" i="4" s="1"/>
  <c r="G29" i="4" s="1"/>
  <c r="E28" i="4"/>
  <c r="F28" i="4" s="1"/>
  <c r="G28" i="4" s="1"/>
  <c r="N30" i="4"/>
  <c r="N33" i="4" s="1"/>
  <c r="AM9" i="4" l="1"/>
  <c r="R36" i="4"/>
  <c r="AN4" i="4"/>
  <c r="AN14" i="4" s="1"/>
  <c r="AK14" i="4"/>
  <c r="F42" i="4"/>
  <c r="G42" i="4"/>
  <c r="R44" i="4" l="1"/>
  <c r="M36" i="4"/>
  <c r="R41" i="4" s="1"/>
  <c r="M34" i="4"/>
  <c r="R39" i="4" s="1"/>
  <c r="R35" i="4"/>
  <c r="AK15" i="4"/>
  <c r="AA39" i="4" l="1"/>
  <c r="AA41" i="4"/>
  <c r="AA44" i="4"/>
  <c r="D32" i="8" s="1"/>
  <c r="R31" i="8" l="1"/>
  <c r="R28" i="8"/>
  <c r="R26" i="8"/>
  <c r="M37" i="4"/>
  <c r="R40" i="4" s="1"/>
  <c r="R42" i="4"/>
  <c r="N37" i="4"/>
  <c r="R43" i="4" s="1"/>
  <c r="AA42" i="4" l="1"/>
  <c r="D30" i="8" s="1"/>
  <c r="AA40" i="4"/>
  <c r="AA43" i="4"/>
  <c r="D31" i="8" s="1"/>
  <c r="R30" i="8" l="1"/>
  <c r="R27" i="8"/>
  <c r="R2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Ing. N.G. Egter van Wissekerke</author>
  </authors>
  <commentList>
    <comment ref="C3" authorId="0" shapeId="0" xr:uid="{E1267C6E-5E3C-4374-A688-CA84768363E4}">
      <text>
        <r>
          <rPr>
            <b/>
            <sz val="9"/>
            <color indexed="81"/>
            <rFont val="Tahoma"/>
            <charset val="1"/>
          </rPr>
          <t xml:space="preserve">Bron: CBS = aantal geboren 
misschien veranderen in aantal partussen = </t>
        </r>
      </text>
    </comment>
    <comment ref="B4" authorId="0" shapeId="0" xr:uid="{F0D63BDE-F5A3-4564-AF78-407BFD14B956}">
      <text>
        <r>
          <rPr>
            <b/>
            <sz val="9"/>
            <color indexed="81"/>
            <rFont val="Tahoma"/>
            <family val="2"/>
          </rPr>
          <t>Bron: Perined</t>
        </r>
      </text>
    </comment>
    <comment ref="I4" authorId="0" shapeId="0" xr:uid="{F9B9245F-AEEF-49EB-BFEC-6ECF4C001276}">
      <text>
        <r>
          <rPr>
            <b/>
            <sz val="9"/>
            <color indexed="81"/>
            <rFont val="Tahoma"/>
            <charset val="1"/>
          </rPr>
          <t xml:space="preserve">Bron: Perined
fluxus 6,3%
ruptuur 2,0%
placenta 2,4%
som &gt; 100% door multi probl.
</t>
        </r>
      </text>
    </comment>
    <comment ref="I6" authorId="0" shapeId="0" xr:uid="{6766582B-E2A4-49D7-AE43-37F5B73B42E1}">
      <text>
        <r>
          <rPr>
            <b/>
            <sz val="9"/>
            <color indexed="81"/>
            <rFont val="Tahoma"/>
            <charset val="1"/>
          </rPr>
          <t>bron: perined
15,2% langer dan 2 dagen op kinderafdeling of nicu</t>
        </r>
      </text>
    </comment>
    <comment ref="I12" authorId="0" shapeId="0" xr:uid="{28541B47-2172-446E-A263-4237FE8B438B}">
      <text>
        <r>
          <rPr>
            <b/>
            <sz val="9"/>
            <color indexed="81"/>
            <rFont val="Tahoma"/>
            <charset val="1"/>
          </rPr>
          <t>Bron: Perined en werkgroep</t>
        </r>
      </text>
    </comment>
    <comment ref="I13" authorId="0" shapeId="0" xr:uid="{4C2E7BE7-BBD4-464E-ABA3-3B78C423774B}">
      <text>
        <r>
          <rPr>
            <b/>
            <sz val="9"/>
            <color indexed="81"/>
            <rFont val="Tahoma"/>
            <charset val="1"/>
          </rPr>
          <t>bron: werkgroep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9" authorId="0" shapeId="0" xr:uid="{FF3D7D68-39EE-412B-B3E7-2E2CB8076A63}">
      <text>
        <r>
          <rPr>
            <b/>
            <sz val="9"/>
            <color indexed="81"/>
            <rFont val="Tahoma"/>
            <family val="2"/>
          </rPr>
          <t>Bron: Esther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0" shapeId="0" xr:uid="{D54DFDBB-67D8-458E-804D-57CD52469CC4}">
      <text>
        <r>
          <rPr>
            <b/>
            <sz val="9"/>
            <color indexed="81"/>
            <rFont val="Tahoma"/>
            <family val="2"/>
          </rPr>
          <t>Bron: Esther</t>
        </r>
      </text>
    </comment>
    <comment ref="B27" authorId="0" shapeId="0" xr:uid="{91EC0DB8-EB83-4ACE-816C-4174FA6B681F}">
      <text>
        <r>
          <rPr>
            <b/>
            <sz val="9"/>
            <color indexed="81"/>
            <rFont val="Tahoma"/>
            <family val="2"/>
          </rPr>
          <t>BRON: Esther</t>
        </r>
      </text>
    </comment>
    <comment ref="N29" authorId="0" shapeId="0" xr:uid="{862AB9B2-2763-47A3-945D-D77C13A10CA4}">
      <text>
        <r>
          <rPr>
            <b/>
            <sz val="9"/>
            <color indexed="81"/>
            <rFont val="Tahoma"/>
            <family val="2"/>
          </rPr>
          <t>bron: LNR rapportage 2015 van de 10 NICU's in NL: Tabel A1, Perined, September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 xr:uid="{BF219446-3803-48A2-8230-EFC8658FE4C7}">
      <text>
        <r>
          <rPr>
            <b/>
            <sz val="9"/>
            <color indexed="81"/>
            <rFont val="Tahoma"/>
            <family val="2"/>
          </rPr>
          <t>Bron: Esther</t>
        </r>
      </text>
    </comment>
    <comment ref="B45" authorId="0" shapeId="0" xr:uid="{1E2B2458-40C6-4E68-A463-838A03A3C200}">
      <text>
        <r>
          <rPr>
            <b/>
            <sz val="9"/>
            <color indexed="81"/>
            <rFont val="Tahoma"/>
            <family val="2"/>
          </rPr>
          <t>Bron: Esther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 xr:uid="{B776FDF4-B3CA-4AF0-8A62-58B21BB97343}">
      <text>
        <r>
          <rPr>
            <b/>
            <sz val="9"/>
            <color indexed="81"/>
            <rFont val="Tahoma"/>
            <family val="2"/>
          </rPr>
          <t>Bron: CAO ziekenhuizen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<sst xmlns="http://schemas.openxmlformats.org/spreadsheetml/2006/main" count="306" uniqueCount="192">
  <si>
    <t>Bevallingen</t>
  </si>
  <si>
    <t>Thuis</t>
  </si>
  <si>
    <t>1e lijn</t>
  </si>
  <si>
    <t>2e lijn</t>
  </si>
  <si>
    <t>Sectio's</t>
  </si>
  <si>
    <t>Electief</t>
  </si>
  <si>
    <t>Semi-electief</t>
  </si>
  <si>
    <t>Spoed</t>
  </si>
  <si>
    <t>Acuut</t>
  </si>
  <si>
    <t>Morbide Neonaten</t>
  </si>
  <si>
    <t>Naar NICU</t>
  </si>
  <si>
    <t>OK teams</t>
  </si>
  <si>
    <t>Acute sectio</t>
  </si>
  <si>
    <t>Overige Sectio's</t>
  </si>
  <si>
    <t>Anesthesist</t>
  </si>
  <si>
    <t>Anesthesist Ass.</t>
  </si>
  <si>
    <t>Ok medewerker</t>
  </si>
  <si>
    <t>Kinderarts</t>
  </si>
  <si>
    <t>OenG VPK</t>
  </si>
  <si>
    <t>Kinder VPK</t>
  </si>
  <si>
    <t>Gynaecoloog</t>
  </si>
  <si>
    <t>Post partum operaties</t>
  </si>
  <si>
    <t>Epiduraal</t>
  </si>
  <si>
    <t>Remifentanil</t>
  </si>
  <si>
    <t>Overig medisch handelen</t>
  </si>
  <si>
    <t>Pijnbestrijding</t>
  </si>
  <si>
    <t>Epidruaal zetten</t>
  </si>
  <si>
    <t>Kraamafdeling</t>
  </si>
  <si>
    <t>Kinderafdeling</t>
  </si>
  <si>
    <t>NICU</t>
  </si>
  <si>
    <t>Verkoever VPK</t>
  </si>
  <si>
    <t>Verloskundige</t>
  </si>
  <si>
    <t>FTE</t>
  </si>
  <si>
    <t>weken</t>
  </si>
  <si>
    <t>uren</t>
  </si>
  <si>
    <t>feest</t>
  </si>
  <si>
    <t>verlof</t>
  </si>
  <si>
    <t>ziek</t>
  </si>
  <si>
    <t>minuten</t>
  </si>
  <si>
    <t>loonkosten</t>
  </si>
  <si>
    <t>Salarishuis</t>
  </si>
  <si>
    <t>OK medewerker</t>
  </si>
  <si>
    <t>kl. Verloskundige</t>
  </si>
  <si>
    <t>maandlast</t>
  </si>
  <si>
    <t>jaarsalaris</t>
  </si>
  <si>
    <t>Naar kinderafd.</t>
  </si>
  <si>
    <t>PROD</t>
  </si>
  <si>
    <t>ALS</t>
  </si>
  <si>
    <t>Net M2</t>
  </si>
  <si>
    <t>GFA IN</t>
  </si>
  <si>
    <t>GFA Circ.</t>
  </si>
  <si>
    <t>GFA m2</t>
  </si>
  <si>
    <t>NORM €</t>
  </si>
  <si>
    <t>M².UNIT</t>
  </si>
  <si>
    <t>UNIT.TYPE</t>
  </si>
  <si>
    <t>UNIT.CAP</t>
  </si>
  <si>
    <t>DUR.TREAT</t>
  </si>
  <si>
    <t>OR</t>
  </si>
  <si>
    <t>OD</t>
  </si>
  <si>
    <t>OH</t>
  </si>
  <si>
    <t>N/G</t>
  </si>
  <si>
    <t>PRICE</t>
  </si>
  <si>
    <t>General nursing</t>
  </si>
  <si>
    <t>Bed</t>
  </si>
  <si>
    <t>Child care</t>
  </si>
  <si>
    <t>Maternity nursing</t>
  </si>
  <si>
    <t>Neonatology</t>
  </si>
  <si>
    <t>Day nursing</t>
  </si>
  <si>
    <t>Patient-related facilities - Nursing</t>
  </si>
  <si>
    <t>Operating theatres High turnover</t>
  </si>
  <si>
    <t>Operating room</t>
  </si>
  <si>
    <t>Operating theatres Low turnover</t>
  </si>
  <si>
    <t>Delivery</t>
  </si>
  <si>
    <t>Suite</t>
  </si>
  <si>
    <t>room</t>
  </si>
  <si>
    <t xml:space="preserve">ALOS = </t>
  </si>
  <si>
    <t>per FTE</t>
  </si>
  <si>
    <t xml:space="preserve">1 op </t>
  </si>
  <si>
    <t>1 op</t>
  </si>
  <si>
    <t xml:space="preserve">Remifentanil toedienen </t>
  </si>
  <si>
    <t>PERSONEELSINZET</t>
  </si>
  <si>
    <t>Werkbaretijd per FTE</t>
  </si>
  <si>
    <t>DELTA oude/nieuwe situatie uitdrukken in:</t>
  </si>
  <si>
    <t>Productie verschuivingen</t>
  </si>
  <si>
    <t>Infrastructuur</t>
  </si>
  <si>
    <t>Totaal</t>
  </si>
  <si>
    <t>(des)investeringen</t>
  </si>
  <si>
    <t>OK-benutting</t>
  </si>
  <si>
    <t>Personeel</t>
  </si>
  <si>
    <t>overige bevallingen</t>
  </si>
  <si>
    <t>in EURO's x 1 mln.</t>
  </si>
  <si>
    <t>aantal FTE</t>
  </si>
  <si>
    <t>salariskosten</t>
  </si>
  <si>
    <t>overig</t>
  </si>
  <si>
    <t>Indirecte FTE</t>
  </si>
  <si>
    <t>Directe FTE</t>
  </si>
  <si>
    <t>op basis 2e lijns partussen</t>
  </si>
  <si>
    <t>1 op 1 aan kraamafdeling gerelateerd</t>
  </si>
  <si>
    <t>indirect aan kraamafdeling gerelateerd</t>
  </si>
  <si>
    <t>Resultaat concentratie/spreiding geboortezorg</t>
  </si>
  <si>
    <t>Tijdstip productie</t>
  </si>
  <si>
    <t>post partum operaties</t>
  </si>
  <si>
    <t>Sectio's Electief</t>
  </si>
  <si>
    <t>Sectio's spoed</t>
  </si>
  <si>
    <t>Sectio's Acuut</t>
  </si>
  <si>
    <t xml:space="preserve">Binnen </t>
  </si>
  <si>
    <t>bedrijfstijd</t>
  </si>
  <si>
    <t xml:space="preserve">Buiten </t>
  </si>
  <si>
    <t>in aantal OK's</t>
  </si>
  <si>
    <t>tijd per op.</t>
  </si>
  <si>
    <t>Getallen uit dashboard/browser "selectie ziekenhuizen"</t>
  </si>
  <si>
    <t>NIEUWE OUTPUT OP BASIS VAN AANNAMES EN BEREKENINGEN VOOR PERSONEEL, PRODUCTIE EN INFRASTRUCTUUR</t>
  </si>
  <si>
    <t>BEVALLINGEN</t>
  </si>
  <si>
    <t>UITWERKING FORMULE (LINEAIR OP BASIS VAN BLAD MET UITGANGSPUNTEN)</t>
  </si>
  <si>
    <t>Formules/relaties met bevallingen</t>
  </si>
  <si>
    <t>1.01</t>
  </si>
  <si>
    <t>1.01a</t>
  </si>
  <si>
    <r>
      <t xml:space="preserve">= </t>
    </r>
    <r>
      <rPr>
        <sz val="11"/>
        <color rgb="FFFF0000"/>
        <rFont val="Calibri"/>
        <family val="2"/>
        <scheme val="minor"/>
      </rPr>
      <t>bevallingen 2e lijn</t>
    </r>
    <r>
      <rPr>
        <sz val="11"/>
        <color theme="1"/>
        <rFont val="Calibri"/>
        <family val="2"/>
        <scheme val="minor"/>
      </rPr>
      <t>*19,4%</t>
    </r>
  </si>
  <si>
    <r>
      <t>=</t>
    </r>
    <r>
      <rPr>
        <sz val="11"/>
        <color theme="9"/>
        <rFont val="Calibri"/>
        <family val="2"/>
        <scheme val="minor"/>
      </rPr>
      <t xml:space="preserve"> 1.01 - 1.01b</t>
    </r>
  </si>
  <si>
    <t>1.01b</t>
  </si>
  <si>
    <r>
      <t xml:space="preserve">= </t>
    </r>
    <r>
      <rPr>
        <sz val="11"/>
        <color rgb="FFFF0000"/>
        <rFont val="Calibri"/>
        <family val="2"/>
        <scheme val="minor"/>
      </rPr>
      <t>bevallingen 2e lijn</t>
    </r>
    <r>
      <rPr>
        <sz val="11"/>
        <color theme="1"/>
        <rFont val="Calibri"/>
        <family val="2"/>
        <scheme val="minor"/>
      </rPr>
      <t xml:space="preserve"> * 19,4% * 30,3%</t>
    </r>
  </si>
  <si>
    <t>1.02</t>
  </si>
  <si>
    <r>
      <t>=</t>
    </r>
    <r>
      <rPr>
        <sz val="11"/>
        <color rgb="FFFF0000"/>
        <rFont val="Calibri"/>
        <family val="2"/>
        <scheme val="minor"/>
      </rPr>
      <t>bevallingen 2e lijn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9"/>
        <rFont val="Calibri"/>
        <family val="2"/>
        <scheme val="minor"/>
      </rPr>
      <t>1.01</t>
    </r>
  </si>
  <si>
    <t>1.03</t>
  </si>
  <si>
    <r>
      <t>=</t>
    </r>
    <r>
      <rPr>
        <sz val="11"/>
        <color rgb="FFFF0000"/>
        <rFont val="Calibri"/>
        <family val="2"/>
        <scheme val="minor"/>
      </rPr>
      <t>bevallingen 2e lijn</t>
    </r>
  </si>
  <si>
    <t>1.04</t>
  </si>
  <si>
    <r>
      <t>= (</t>
    </r>
    <r>
      <rPr>
        <sz val="11"/>
        <color rgb="FFFF0000"/>
        <rFont val="Calibri"/>
        <family val="2"/>
        <scheme val="minor"/>
      </rPr>
      <t>bevallingen 2 lijn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9"/>
        <rFont val="Calibri"/>
        <family val="2"/>
        <scheme val="minor"/>
      </rPr>
      <t>1.01</t>
    </r>
    <r>
      <rPr>
        <sz val="11"/>
        <color theme="1"/>
        <rFont val="Calibri"/>
        <family val="2"/>
        <scheme val="minor"/>
      </rPr>
      <t>) * 8,2%</t>
    </r>
  </si>
  <si>
    <t>1.05</t>
  </si>
  <si>
    <t>1.05a</t>
  </si>
  <si>
    <r>
      <t xml:space="preserve">= </t>
    </r>
    <r>
      <rPr>
        <sz val="11"/>
        <color theme="9"/>
        <rFont val="Calibri"/>
        <family val="2"/>
        <scheme val="minor"/>
      </rPr>
      <t>1.02</t>
    </r>
    <r>
      <rPr>
        <sz val="11"/>
        <color theme="1"/>
        <rFont val="Calibri"/>
        <family val="2"/>
        <scheme val="minor"/>
      </rPr>
      <t xml:space="preserve"> * 40%</t>
    </r>
  </si>
  <si>
    <r>
      <t xml:space="preserve">= </t>
    </r>
    <r>
      <rPr>
        <sz val="11"/>
        <color theme="9"/>
        <rFont val="Calibri"/>
        <family val="2"/>
        <scheme val="minor"/>
      </rPr>
      <t>1.02 -1.05</t>
    </r>
  </si>
  <si>
    <t>1.06</t>
  </si>
  <si>
    <t>1.06a</t>
  </si>
  <si>
    <r>
      <t>=</t>
    </r>
    <r>
      <rPr>
        <sz val="11"/>
        <color theme="9"/>
        <rFont val="Calibri"/>
        <family val="2"/>
        <scheme val="minor"/>
      </rPr>
      <t xml:space="preserve"> 1.01</t>
    </r>
    <r>
      <rPr>
        <sz val="11"/>
        <color theme="1"/>
        <rFont val="Calibri"/>
        <family val="2"/>
        <scheme val="minor"/>
      </rPr>
      <t xml:space="preserve"> * 44% * 50%</t>
    </r>
  </si>
  <si>
    <r>
      <t xml:space="preserve">= </t>
    </r>
    <r>
      <rPr>
        <sz val="11"/>
        <color theme="9"/>
        <rFont val="Calibri"/>
        <family val="2"/>
        <scheme val="minor"/>
      </rPr>
      <t>1.01</t>
    </r>
    <r>
      <rPr>
        <sz val="11"/>
        <color theme="1"/>
        <rFont val="Calibri"/>
        <family val="2"/>
        <scheme val="minor"/>
      </rPr>
      <t xml:space="preserve"> * 44% * 50%</t>
    </r>
  </si>
  <si>
    <t>1.07</t>
  </si>
  <si>
    <t>1.07a</t>
  </si>
  <si>
    <r>
      <t>=</t>
    </r>
    <r>
      <rPr>
        <sz val="11"/>
        <color theme="9"/>
        <rFont val="Calibri"/>
        <family val="2"/>
        <scheme val="minor"/>
      </rPr>
      <t xml:space="preserve"> 1.01</t>
    </r>
    <r>
      <rPr>
        <sz val="11"/>
        <color theme="1"/>
        <rFont val="Calibri"/>
        <family val="2"/>
        <scheme val="minor"/>
      </rPr>
      <t xml:space="preserve"> * 25,7% * 40%</t>
    </r>
  </si>
  <si>
    <r>
      <t xml:space="preserve">= </t>
    </r>
    <r>
      <rPr>
        <sz val="11"/>
        <color theme="9"/>
        <rFont val="Calibri"/>
        <family val="2"/>
        <scheme val="minor"/>
      </rPr>
      <t>1.01</t>
    </r>
    <r>
      <rPr>
        <sz val="11"/>
        <color theme="1"/>
        <rFont val="Calibri"/>
        <family val="2"/>
        <scheme val="minor"/>
      </rPr>
      <t xml:space="preserve"> * 25,7% * 60%</t>
    </r>
  </si>
  <si>
    <t>1.08</t>
  </si>
  <si>
    <t>1.08a</t>
  </si>
  <si>
    <r>
      <t xml:space="preserve">= </t>
    </r>
    <r>
      <rPr>
        <sz val="11"/>
        <color theme="9"/>
        <rFont val="Calibri"/>
        <family val="2"/>
        <scheme val="minor"/>
      </rPr>
      <t>1.01</t>
    </r>
    <r>
      <rPr>
        <sz val="11"/>
        <color theme="1"/>
        <rFont val="Calibri"/>
        <family val="2"/>
        <scheme val="minor"/>
      </rPr>
      <t xml:space="preserve"> * 30,3% * 40%</t>
    </r>
  </si>
  <si>
    <r>
      <t xml:space="preserve">= </t>
    </r>
    <r>
      <rPr>
        <sz val="11"/>
        <color theme="9"/>
        <rFont val="Calibri"/>
        <family val="2"/>
        <scheme val="minor"/>
      </rPr>
      <t>1.01</t>
    </r>
    <r>
      <rPr>
        <sz val="11"/>
        <color theme="1"/>
        <rFont val="Calibri"/>
        <family val="2"/>
        <scheme val="minor"/>
      </rPr>
      <t xml:space="preserve"> * 30,3% * 60%</t>
    </r>
  </si>
  <si>
    <t>1.09</t>
  </si>
  <si>
    <t>1.09a</t>
  </si>
  <si>
    <r>
      <t xml:space="preserve">= </t>
    </r>
    <r>
      <rPr>
        <sz val="11"/>
        <color theme="9"/>
        <rFont val="Calibri"/>
        <family val="2"/>
        <scheme val="minor"/>
      </rPr>
      <t>1.04</t>
    </r>
    <r>
      <rPr>
        <sz val="11"/>
        <color theme="1"/>
        <rFont val="Calibri"/>
        <family val="2"/>
        <scheme val="minor"/>
      </rPr>
      <t xml:space="preserve"> * 40%</t>
    </r>
  </si>
  <si>
    <r>
      <t xml:space="preserve">= </t>
    </r>
    <r>
      <rPr>
        <sz val="11"/>
        <color theme="9"/>
        <rFont val="Calibri"/>
        <family val="2"/>
        <scheme val="minor"/>
      </rPr>
      <t>1.04 -1.09</t>
    </r>
  </si>
  <si>
    <t>2.01</t>
  </si>
  <si>
    <r>
      <t xml:space="preserve">= </t>
    </r>
    <r>
      <rPr>
        <sz val="11"/>
        <color rgb="FFFF0000"/>
        <rFont val="Calibri"/>
        <family val="2"/>
        <scheme val="minor"/>
      </rPr>
      <t>bevallingen 2e lijn</t>
    </r>
    <r>
      <rPr>
        <sz val="11"/>
        <color theme="1"/>
        <rFont val="Calibri"/>
        <family val="2"/>
        <scheme val="minor"/>
      </rPr>
      <t>* 3482,48</t>
    </r>
  </si>
  <si>
    <t>2.02</t>
  </si>
  <si>
    <r>
      <t xml:space="preserve">=( </t>
    </r>
    <r>
      <rPr>
        <sz val="11"/>
        <color theme="9"/>
        <rFont val="Calibri"/>
        <family val="2"/>
        <scheme val="minor"/>
      </rPr>
      <t>1.01 + 1.04</t>
    </r>
    <r>
      <rPr>
        <sz val="11"/>
        <color theme="1"/>
        <rFont val="Calibri"/>
        <family val="2"/>
        <scheme val="minor"/>
      </rPr>
      <t>) * 0,0005</t>
    </r>
  </si>
  <si>
    <t>3.01</t>
  </si>
  <si>
    <r>
      <t xml:space="preserve">= </t>
    </r>
    <r>
      <rPr>
        <sz val="11"/>
        <color rgb="FFFF0000"/>
        <rFont val="Calibri"/>
        <family val="2"/>
        <scheme val="minor"/>
      </rPr>
      <t>bevallingen 2e lijn</t>
    </r>
    <r>
      <rPr>
        <sz val="11"/>
        <color theme="1"/>
        <rFont val="Calibri"/>
        <family val="2"/>
        <scheme val="minor"/>
      </rPr>
      <t xml:space="preserve"> * 0,02414</t>
    </r>
  </si>
  <si>
    <t>3.02</t>
  </si>
  <si>
    <r>
      <t xml:space="preserve">= </t>
    </r>
    <r>
      <rPr>
        <sz val="11"/>
        <color rgb="FFFF0000"/>
        <rFont val="Calibri"/>
        <family val="2"/>
        <scheme val="minor"/>
      </rPr>
      <t>bevallingen 2e lijn</t>
    </r>
    <r>
      <rPr>
        <sz val="11"/>
        <color theme="1"/>
        <rFont val="Calibri"/>
        <family val="2"/>
        <scheme val="minor"/>
      </rPr>
      <t xml:space="preserve"> * 0,02281</t>
    </r>
  </si>
  <si>
    <t>3.03</t>
  </si>
  <si>
    <r>
      <t xml:space="preserve">= </t>
    </r>
    <r>
      <rPr>
        <sz val="11"/>
        <color rgb="FFFF0000"/>
        <rFont val="Calibri"/>
        <family val="2"/>
        <scheme val="minor"/>
      </rPr>
      <t>bevallingen 2e lijn</t>
    </r>
    <r>
      <rPr>
        <sz val="11"/>
        <color theme="1"/>
        <rFont val="Calibri"/>
        <family val="2"/>
        <scheme val="minor"/>
      </rPr>
      <t xml:space="preserve"> * 0,00133</t>
    </r>
  </si>
  <si>
    <t>3.04</t>
  </si>
  <si>
    <r>
      <t xml:space="preserve">= </t>
    </r>
    <r>
      <rPr>
        <sz val="11"/>
        <color rgb="FFFF0000"/>
        <rFont val="Calibri"/>
        <family val="2"/>
        <scheme val="minor"/>
      </rPr>
      <t>bevallingen 2e lijn</t>
    </r>
    <r>
      <rPr>
        <sz val="11"/>
        <color theme="1"/>
        <rFont val="Calibri"/>
        <family val="2"/>
        <scheme val="minor"/>
      </rPr>
      <t xml:space="preserve"> * 0,00174</t>
    </r>
  </si>
  <si>
    <t>3.05</t>
  </si>
  <si>
    <r>
      <t xml:space="preserve">= </t>
    </r>
    <r>
      <rPr>
        <sz val="11"/>
        <color rgb="FFFF0000"/>
        <rFont val="Calibri"/>
        <family val="2"/>
        <scheme val="minor"/>
      </rPr>
      <t>bevallingen 2e lijn</t>
    </r>
    <r>
      <rPr>
        <sz val="11"/>
        <color theme="1"/>
        <rFont val="Calibri"/>
        <family val="2"/>
        <scheme val="minor"/>
      </rPr>
      <t xml:space="preserve"> * 0,00158</t>
    </r>
  </si>
  <si>
    <t>3.06</t>
  </si>
  <si>
    <r>
      <t xml:space="preserve">= </t>
    </r>
    <r>
      <rPr>
        <sz val="11"/>
        <color rgb="FFFF0000"/>
        <rFont val="Calibri"/>
        <family val="2"/>
        <scheme val="minor"/>
      </rPr>
      <t>bevallingen 2e lijn</t>
    </r>
    <r>
      <rPr>
        <sz val="11"/>
        <color theme="1"/>
        <rFont val="Calibri"/>
        <family val="2"/>
        <scheme val="minor"/>
      </rPr>
      <t xml:space="preserve"> * 0,00016</t>
    </r>
  </si>
  <si>
    <t>circ.</t>
  </si>
  <si>
    <t>Titel</t>
  </si>
  <si>
    <t>waarde</t>
  </si>
  <si>
    <t xml:space="preserve">oppervakte </t>
  </si>
  <si>
    <t>2.03</t>
  </si>
  <si>
    <t>in m2 BVO</t>
  </si>
  <si>
    <r>
      <t xml:space="preserve">= </t>
    </r>
    <r>
      <rPr>
        <sz val="11"/>
        <color rgb="FFFF0000"/>
        <rFont val="Calibri"/>
        <family val="2"/>
        <scheme val="minor"/>
      </rPr>
      <t>bevallingen 2e lijn</t>
    </r>
    <r>
      <rPr>
        <sz val="11"/>
        <color theme="1"/>
        <rFont val="Calibri"/>
        <family val="2"/>
        <scheme val="minor"/>
      </rPr>
      <t>* 0,9377</t>
    </r>
  </si>
  <si>
    <t>salaris</t>
  </si>
  <si>
    <t>direct</t>
  </si>
  <si>
    <t>indirect</t>
  </si>
  <si>
    <t>Bevallingen_2e_lijn</t>
  </si>
  <si>
    <t>Aandeel_sectio</t>
  </si>
  <si>
    <t>Aandeel post partum ops</t>
  </si>
  <si>
    <t>bevalling in_bedrijfstijd</t>
  </si>
  <si>
    <t>Salaris_kraam_indirect</t>
  </si>
  <si>
    <t>Aandeel_acute_sectio</t>
  </si>
  <si>
    <t>Aandeel_overige_sectio</t>
  </si>
  <si>
    <t>Aandeel_electieve_sectio</t>
  </si>
  <si>
    <t>Aandeel_spoed_sectio</t>
  </si>
  <si>
    <t>electieve_sectio_in_bedrijfstijd</t>
  </si>
  <si>
    <t>spoed_sectio_in_bedrijfstijd</t>
  </si>
  <si>
    <t>Acute_sectio_in_bedrijfstijd</t>
  </si>
  <si>
    <t>investering_per_partus</t>
  </si>
  <si>
    <t>OK_per_partus</t>
  </si>
  <si>
    <t>BVO_per_partus_2e_lijn</t>
  </si>
  <si>
    <t>aantal_FTE</t>
  </si>
  <si>
    <t>FTE_kraam_direct</t>
  </si>
  <si>
    <t>FTE_kraam_indirect</t>
  </si>
  <si>
    <t>Salaris_kraam_direct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</si>
</sst>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64" formatCode="0.0%"/>
    <numFmt numFmtId="165" formatCode="_ * #,##0.0_ ;_ * \-#,##0.0_ ;_ * &quot;-&quot;??_ ;_ @_ "/>
    <numFmt numFmtId="166" formatCode="_ * #,##0_ ;_ * \-#,##0_ ;_ * &quot;-&quot;??_ ;_ @_ "/>
    <numFmt numFmtId="167" formatCode="_ * #,##0.0_ ;_ * \-#,##0.0_ ;_ * &quot;-&quot;?_ ;_ @_ "/>
    <numFmt numFmtId="168" formatCode="_ * #,##0_ ;_ * \-#,##0_ ;_ * &quot;-&quot;?_ ;_ @_ "/>
    <numFmt numFmtId="169" formatCode="0.0"/>
    <numFmt numFmtId="170" formatCode="_ * #,##0.00_ ;_ * \-#,##0.00_ ;_ * &quot;-&quot;?_ ;_ @_ "/>
    <numFmt numFmtId="171" formatCode="0.00000"/>
    <numFmt numFmtId="172" formatCode="_ * #,##0.00000_ ;_ * \-#,##0.00000_ ;_ * &quot;-&quot;?_ ;_ @_ "/>
    <numFmt numFmtId="176" formatCode="0.0000"/>
    <numFmt numFmtId="178" formatCode="_ * #,##0.0000_ ;_ * \-#,##0.0000_ ;_ * &quot;-&quot;??_ ;_ @_ 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5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name val="Calibri"/>
      <family val="2"/>
    </font>
    <font>
      <sz val="10"/>
      <color rgb="FF000000"/>
      <name val="Calibri"/>
      <family val="2"/>
    </font>
    <font>
      <sz val="11"/>
      <color theme="5"/>
      <name val="Calibri"/>
      <family val="2"/>
      <scheme val="minor"/>
    </font>
    <font>
      <sz val="9"/>
      <name val="Calibri"/>
      <family val="2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9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9" fontId="0" fillId="0" borderId="0" xfId="2" applyFont="1"/>
    <xf numFmtId="166" fontId="0" fillId="0" borderId="0" xfId="1" applyNumberFormat="1" applyFont="1"/>
    <xf numFmtId="0" fontId="3" fillId="0" borderId="0" xfId="0" applyFont="1"/>
    <xf numFmtId="166" fontId="4" fillId="0" borderId="0" xfId="1" applyNumberFormat="1" applyFont="1"/>
    <xf numFmtId="166" fontId="4" fillId="0" borderId="0" xfId="0" applyNumberFormat="1" applyFont="1"/>
    <xf numFmtId="166" fontId="4" fillId="2" borderId="0" xfId="1" applyNumberFormat="1" applyFont="1" applyFill="1"/>
    <xf numFmtId="0" fontId="2" fillId="0" borderId="0" xfId="0" applyFont="1"/>
    <xf numFmtId="0" fontId="5" fillId="0" borderId="0" xfId="0" applyFont="1"/>
    <xf numFmtId="0" fontId="3" fillId="3" borderId="0" xfId="0" applyFont="1" applyFill="1"/>
    <xf numFmtId="164" fontId="6" fillId="0" borderId="0" xfId="2" applyNumberFormat="1" applyFont="1"/>
    <xf numFmtId="0" fontId="6" fillId="0" borderId="0" xfId="0" applyFont="1"/>
    <xf numFmtId="0" fontId="6" fillId="2" borderId="0" xfId="0" applyFont="1" applyFill="1"/>
    <xf numFmtId="164" fontId="6" fillId="0" borderId="1" xfId="2" applyNumberFormat="1" applyFont="1" applyBorder="1"/>
    <xf numFmtId="9" fontId="6" fillId="0" borderId="1" xfId="2" applyFont="1" applyBorder="1"/>
    <xf numFmtId="0" fontId="9" fillId="0" borderId="0" xfId="0" applyFont="1" applyBorder="1" applyAlignment="1">
      <alignment horizontal="left" indent="1"/>
    </xf>
    <xf numFmtId="0" fontId="10" fillId="2" borderId="0" xfId="0" applyFont="1" applyFill="1"/>
    <xf numFmtId="166" fontId="0" fillId="3" borderId="0" xfId="1" applyNumberFormat="1" applyFont="1" applyFill="1"/>
    <xf numFmtId="0" fontId="6" fillId="2" borderId="0" xfId="0" applyFont="1" applyFill="1" applyAlignment="1">
      <alignment horizontal="left"/>
    </xf>
    <xf numFmtId="0" fontId="8" fillId="0" borderId="0" xfId="0" applyFont="1" applyAlignment="1">
      <alignment horizontal="left" indent="1"/>
    </xf>
    <xf numFmtId="0" fontId="5" fillId="2" borderId="0" xfId="0" applyFont="1" applyFill="1"/>
    <xf numFmtId="0" fontId="3" fillId="7" borderId="0" xfId="0" applyFont="1" applyFill="1"/>
    <xf numFmtId="0" fontId="2" fillId="7" borderId="0" xfId="0" applyFont="1" applyFill="1"/>
    <xf numFmtId="0" fontId="12" fillId="0" borderId="0" xfId="0" applyFont="1"/>
    <xf numFmtId="166" fontId="13" fillId="0" borderId="0" xfId="1" applyNumberFormat="1" applyFont="1"/>
    <xf numFmtId="0" fontId="0" fillId="7" borderId="0" xfId="0" applyFont="1" applyFill="1"/>
    <xf numFmtId="0" fontId="0" fillId="0" borderId="0" xfId="0" applyFont="1"/>
    <xf numFmtId="9" fontId="0" fillId="0" borderId="0" xfId="0" applyNumberFormat="1" applyFont="1"/>
    <xf numFmtId="168" fontId="0" fillId="0" borderId="1" xfId="0" applyNumberFormat="1" applyFont="1" applyBorder="1"/>
    <xf numFmtId="168" fontId="0" fillId="3" borderId="1" xfId="0" applyNumberFormat="1" applyFont="1" applyFill="1" applyBorder="1"/>
    <xf numFmtId="0" fontId="0" fillId="4" borderId="0" xfId="0" applyFont="1" applyFill="1" applyAlignment="1"/>
    <xf numFmtId="0" fontId="16" fillId="4" borderId="2" xfId="0" applyFont="1" applyFill="1" applyBorder="1" applyAlignment="1"/>
    <xf numFmtId="0" fontId="0" fillId="4" borderId="3" xfId="0" applyFont="1" applyFill="1" applyBorder="1" applyAlignment="1">
      <alignment horizontal="center"/>
    </xf>
    <xf numFmtId="0" fontId="0" fillId="4" borderId="2" xfId="0" applyFont="1" applyFill="1" applyBorder="1" applyAlignment="1"/>
    <xf numFmtId="168" fontId="0" fillId="3" borderId="0" xfId="0" applyNumberFormat="1" applyFont="1" applyFill="1"/>
    <xf numFmtId="0" fontId="16" fillId="0" borderId="2" xfId="0" applyFont="1" applyBorder="1" applyAlignment="1"/>
    <xf numFmtId="0" fontId="16" fillId="4" borderId="2" xfId="0" applyFont="1" applyFill="1" applyBorder="1"/>
    <xf numFmtId="0" fontId="0" fillId="4" borderId="2" xfId="0" applyFont="1" applyFill="1" applyBorder="1"/>
    <xf numFmtId="0" fontId="0" fillId="4" borderId="0" xfId="0" applyFont="1" applyFill="1"/>
    <xf numFmtId="0" fontId="16" fillId="4" borderId="4" xfId="0" applyFont="1" applyFill="1" applyBorder="1"/>
    <xf numFmtId="0" fontId="0" fillId="4" borderId="4" xfId="0" applyFont="1" applyFill="1" applyBorder="1"/>
    <xf numFmtId="0" fontId="0" fillId="4" borderId="5" xfId="0" applyFont="1" applyFill="1" applyBorder="1" applyAlignment="1">
      <alignment horizontal="center"/>
    </xf>
    <xf numFmtId="0" fontId="0" fillId="0" borderId="0" xfId="0" applyFont="1" applyAlignment="1"/>
    <xf numFmtId="0" fontId="0" fillId="2" borderId="0" xfId="0" applyFont="1" applyFill="1"/>
    <xf numFmtId="168" fontId="0" fillId="0" borderId="0" xfId="0" applyNumberFormat="1" applyFont="1"/>
    <xf numFmtId="170" fontId="0" fillId="0" borderId="0" xfId="0" applyNumberFormat="1" applyFont="1"/>
    <xf numFmtId="170" fontId="0" fillId="2" borderId="0" xfId="0" applyNumberFormat="1" applyFont="1" applyFill="1"/>
    <xf numFmtId="167" fontId="0" fillId="0" borderId="0" xfId="0" applyNumberFormat="1" applyFont="1"/>
    <xf numFmtId="0" fontId="14" fillId="4" borderId="0" xfId="0" applyFont="1" applyFill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0" xfId="0" quotePrefix="1" applyFont="1" applyFill="1" applyAlignment="1">
      <alignment horizontal="center" vertical="center"/>
    </xf>
    <xf numFmtId="0" fontId="3" fillId="4" borderId="0" xfId="0" applyFont="1" applyFill="1" applyAlignment="1"/>
    <xf numFmtId="166" fontId="3" fillId="4" borderId="0" xfId="1" applyNumberFormat="1" applyFont="1" applyFill="1" applyAlignment="1"/>
    <xf numFmtId="0" fontId="14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166" fontId="0" fillId="4" borderId="6" xfId="1" applyNumberFormat="1" applyFont="1" applyFill="1" applyBorder="1" applyAlignment="1"/>
    <xf numFmtId="166" fontId="0" fillId="4" borderId="2" xfId="1" applyNumberFormat="1" applyFont="1" applyFill="1" applyBorder="1" applyAlignment="1"/>
    <xf numFmtId="166" fontId="0" fillId="4" borderId="2" xfId="1" applyNumberFormat="1" applyFont="1" applyFill="1" applyBorder="1"/>
    <xf numFmtId="166" fontId="0" fillId="4" borderId="4" xfId="1" applyNumberFormat="1" applyFont="1" applyFill="1" applyBorder="1"/>
    <xf numFmtId="166" fontId="0" fillId="4" borderId="6" xfId="0" applyNumberFormat="1" applyFont="1" applyFill="1" applyBorder="1" applyAlignment="1"/>
    <xf numFmtId="166" fontId="0" fillId="4" borderId="2" xfId="0" applyNumberFormat="1" applyFont="1" applyFill="1" applyBorder="1" applyAlignment="1"/>
    <xf numFmtId="166" fontId="0" fillId="4" borderId="2" xfId="0" applyNumberFormat="1" applyFont="1" applyFill="1" applyBorder="1"/>
    <xf numFmtId="166" fontId="0" fillId="4" borderId="4" xfId="0" applyNumberFormat="1" applyFont="1" applyFill="1" applyBorder="1"/>
    <xf numFmtId="0" fontId="3" fillId="5" borderId="1" xfId="0" applyFont="1" applyFill="1" applyBorder="1" applyAlignment="1">
      <alignment vertical="top"/>
    </xf>
    <xf numFmtId="166" fontId="3" fillId="5" borderId="1" xfId="1" applyNumberFormat="1" applyFont="1" applyFill="1" applyBorder="1" applyAlignment="1">
      <alignment vertical="top"/>
    </xf>
    <xf numFmtId="0" fontId="0" fillId="4" borderId="0" xfId="0" applyFont="1" applyFill="1" applyBorder="1"/>
    <xf numFmtId="0" fontId="0" fillId="8" borderId="11" xfId="0" applyFont="1" applyFill="1" applyBorder="1" applyAlignment="1"/>
    <xf numFmtId="0" fontId="0" fillId="8" borderId="8" xfId="0" applyFont="1" applyFill="1" applyBorder="1" applyAlignment="1"/>
    <xf numFmtId="0" fontId="0" fillId="8" borderId="9" xfId="0" applyFont="1" applyFill="1" applyBorder="1" applyAlignment="1"/>
    <xf numFmtId="0" fontId="0" fillId="8" borderId="10" xfId="0" applyFont="1" applyFill="1" applyBorder="1" applyAlignment="1"/>
    <xf numFmtId="0" fontId="0" fillId="8" borderId="0" xfId="0" applyFont="1" applyFill="1" applyBorder="1" applyAlignment="1"/>
    <xf numFmtId="0" fontId="0" fillId="8" borderId="3" xfId="0" applyFont="1" applyFill="1" applyBorder="1" applyAlignment="1"/>
    <xf numFmtId="0" fontId="0" fillId="8" borderId="12" xfId="0" applyFont="1" applyFill="1" applyBorder="1" applyAlignment="1"/>
    <xf numFmtId="0" fontId="0" fillId="8" borderId="13" xfId="0" applyFont="1" applyFill="1" applyBorder="1" applyAlignment="1"/>
    <xf numFmtId="0" fontId="0" fillId="8" borderId="5" xfId="0" applyFont="1" applyFill="1" applyBorder="1" applyAlignment="1"/>
    <xf numFmtId="0" fontId="0" fillId="8" borderId="0" xfId="0" applyFont="1" applyFill="1" applyBorder="1" applyAlignment="1">
      <alignment horizontal="right"/>
    </xf>
    <xf numFmtId="0" fontId="2" fillId="8" borderId="0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8" borderId="0" xfId="0" applyFont="1" applyFill="1" applyAlignment="1">
      <alignment horizontal="right"/>
    </xf>
    <xf numFmtId="166" fontId="0" fillId="0" borderId="0" xfId="0" applyNumberFormat="1" applyFont="1"/>
    <xf numFmtId="0" fontId="7" fillId="2" borderId="0" xfId="0" applyFont="1" applyFill="1"/>
    <xf numFmtId="1" fontId="6" fillId="4" borderId="2" xfId="0" applyNumberFormat="1" applyFont="1" applyFill="1" applyBorder="1" applyAlignment="1"/>
    <xf numFmtId="0" fontId="6" fillId="4" borderId="2" xfId="0" applyFont="1" applyFill="1" applyBorder="1" applyAlignment="1"/>
    <xf numFmtId="1" fontId="6" fillId="4" borderId="2" xfId="0" applyNumberFormat="1" applyFont="1" applyFill="1" applyBorder="1"/>
    <xf numFmtId="0" fontId="6" fillId="4" borderId="2" xfId="0" applyFont="1" applyFill="1" applyBorder="1"/>
    <xf numFmtId="0" fontId="6" fillId="4" borderId="4" xfId="0" applyFont="1" applyFill="1" applyBorder="1"/>
    <xf numFmtId="0" fontId="11" fillId="8" borderId="0" xfId="0" applyFont="1" applyFill="1" applyBorder="1" applyAlignment="1">
      <alignment horizontal="right"/>
    </xf>
    <xf numFmtId="167" fontId="0" fillId="3" borderId="1" xfId="0" applyNumberFormat="1" applyFont="1" applyFill="1" applyBorder="1"/>
    <xf numFmtId="169" fontId="6" fillId="4" borderId="6" xfId="0" applyNumberFormat="1" applyFont="1" applyFill="1" applyBorder="1" applyAlignment="1"/>
    <xf numFmtId="169" fontId="6" fillId="4" borderId="2" xfId="0" applyNumberFormat="1" applyFont="1" applyFill="1" applyBorder="1" applyAlignment="1"/>
    <xf numFmtId="9" fontId="6" fillId="4" borderId="2" xfId="0" applyNumberFormat="1" applyFont="1" applyFill="1" applyBorder="1" applyAlignment="1"/>
    <xf numFmtId="165" fontId="2" fillId="8" borderId="0" xfId="0" applyNumberFormat="1" applyFont="1" applyFill="1" applyBorder="1" applyAlignment="1"/>
    <xf numFmtId="43" fontId="2" fillId="8" borderId="0" xfId="1" applyFont="1" applyFill="1" applyBorder="1" applyAlignment="1"/>
    <xf numFmtId="43" fontId="2" fillId="8" borderId="0" xfId="0" applyNumberFormat="1" applyFont="1" applyFill="1" applyBorder="1" applyAlignment="1"/>
    <xf numFmtId="165" fontId="2" fillId="8" borderId="0" xfId="0" applyNumberFormat="1" applyFont="1" applyFill="1" applyAlignment="1"/>
    <xf numFmtId="165" fontId="0" fillId="3" borderId="1" xfId="0" applyNumberFormat="1" applyFont="1" applyFill="1" applyBorder="1"/>
    <xf numFmtId="166" fontId="4" fillId="0" borderId="0" xfId="1" applyNumberFormat="1" applyFont="1" applyFill="1"/>
    <xf numFmtId="165" fontId="4" fillId="0" borderId="0" xfId="1" applyNumberFormat="1" applyFont="1" applyFill="1"/>
    <xf numFmtId="0" fontId="8" fillId="8" borderId="0" xfId="0" applyFont="1" applyFill="1" applyBorder="1" applyAlignment="1">
      <alignment horizontal="right"/>
    </xf>
    <xf numFmtId="168" fontId="0" fillId="0" borderId="0" xfId="0" applyNumberFormat="1" applyFont="1" applyAlignment="1"/>
    <xf numFmtId="0" fontId="0" fillId="8" borderId="0" xfId="0" applyFont="1" applyFill="1" applyAlignment="1"/>
    <xf numFmtId="0" fontId="5" fillId="8" borderId="0" xfId="0" applyFont="1" applyFill="1" applyBorder="1" applyAlignment="1">
      <alignment horizontal="right"/>
    </xf>
    <xf numFmtId="0" fontId="0" fillId="7" borderId="11" xfId="0" applyFont="1" applyFill="1" applyBorder="1" applyAlignment="1">
      <alignment horizontal="right"/>
    </xf>
    <xf numFmtId="0" fontId="2" fillId="7" borderId="11" xfId="0" applyFont="1" applyFill="1" applyBorder="1" applyAlignment="1">
      <alignment horizontal="right"/>
    </xf>
    <xf numFmtId="0" fontId="0" fillId="7" borderId="0" xfId="0" applyFont="1" applyFill="1" applyBorder="1" applyAlignment="1"/>
    <xf numFmtId="0" fontId="0" fillId="7" borderId="11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17" fillId="8" borderId="0" xfId="0" applyFont="1" applyFill="1" applyBorder="1" applyAlignment="1"/>
    <xf numFmtId="0" fontId="18" fillId="8" borderId="11" xfId="0" applyFont="1" applyFill="1" applyBorder="1" applyAlignment="1"/>
    <xf numFmtId="9" fontId="6" fillId="0" borderId="0" xfId="0" applyNumberFormat="1" applyFont="1"/>
    <xf numFmtId="2" fontId="0" fillId="0" borderId="0" xfId="0" applyNumberFormat="1" applyFont="1"/>
    <xf numFmtId="168" fontId="19" fillId="8" borderId="0" xfId="0" applyNumberFormat="1" applyFont="1" applyFill="1" applyBorder="1" applyAlignment="1"/>
    <xf numFmtId="168" fontId="20" fillId="0" borderId="0" xfId="0" applyNumberFormat="1" applyFont="1" applyAlignment="1"/>
    <xf numFmtId="168" fontId="19" fillId="8" borderId="0" xfId="0" applyNumberFormat="1" applyFont="1" applyFill="1"/>
    <xf numFmtId="168" fontId="20" fillId="8" borderId="0" xfId="0" applyNumberFormat="1" applyFont="1" applyFill="1" applyBorder="1" applyAlignment="1"/>
    <xf numFmtId="0" fontId="0" fillId="0" borderId="0" xfId="0" quotePrefix="1" applyFont="1" applyAlignment="1"/>
    <xf numFmtId="0" fontId="6" fillId="0" borderId="0" xfId="0" applyFont="1" applyAlignment="1">
      <alignment horizontal="left"/>
    </xf>
    <xf numFmtId="0" fontId="2" fillId="0" borderId="0" xfId="0" applyFont="1" applyAlignment="1"/>
    <xf numFmtId="164" fontId="0" fillId="0" borderId="0" xfId="0" applyNumberFormat="1" applyFont="1"/>
    <xf numFmtId="0" fontId="0" fillId="9" borderId="0" xfId="0" applyFill="1"/>
    <xf numFmtId="0" fontId="21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22" fillId="4" borderId="8" xfId="0" applyFont="1" applyFill="1" applyBorder="1"/>
    <xf numFmtId="0" fontId="22" fillId="4" borderId="9" xfId="0" applyFont="1" applyFill="1" applyBorder="1"/>
    <xf numFmtId="0" fontId="23" fillId="4" borderId="9" xfId="0" applyFont="1" applyFill="1" applyBorder="1"/>
    <xf numFmtId="3" fontId="24" fillId="0" borderId="2" xfId="0" applyNumberFormat="1" applyFont="1" applyBorder="1" applyAlignment="1">
      <alignment horizontal="left" vertical="center" wrapText="1" indent="1"/>
    </xf>
    <xf numFmtId="3" fontId="24" fillId="0" borderId="4" xfId="0" applyNumberFormat="1" applyFont="1" applyBorder="1" applyAlignment="1">
      <alignment horizontal="left" vertical="center" wrapText="1" indent="1"/>
    </xf>
    <xf numFmtId="3" fontId="24" fillId="0" borderId="0" xfId="0" applyNumberFormat="1" applyFont="1" applyAlignment="1">
      <alignment horizontal="left" vertical="center" wrapText="1" indent="1"/>
    </xf>
    <xf numFmtId="0" fontId="25" fillId="4" borderId="11" xfId="0" applyFont="1" applyFill="1" applyBorder="1"/>
    <xf numFmtId="0" fontId="26" fillId="4" borderId="0" xfId="0" applyFont="1" applyFill="1"/>
    <xf numFmtId="0" fontId="27" fillId="4" borderId="0" xfId="0" applyFont="1" applyFill="1"/>
    <xf numFmtId="0" fontId="23" fillId="4" borderId="0" xfId="0" applyFont="1" applyFill="1"/>
    <xf numFmtId="3" fontId="0" fillId="0" borderId="4" xfId="0" applyNumberFormat="1" applyBorder="1"/>
    <xf numFmtId="3" fontId="28" fillId="0" borderId="4" xfId="0" applyNumberFormat="1" applyFont="1" applyBorder="1"/>
    <xf numFmtId="0" fontId="22" fillId="4" borderId="11" xfId="0" applyFont="1" applyFill="1" applyBorder="1"/>
    <xf numFmtId="0" fontId="22" fillId="4" borderId="0" xfId="0" applyFont="1" applyFill="1"/>
    <xf numFmtId="0" fontId="22" fillId="10" borderId="11" xfId="0" applyFont="1" applyFill="1" applyBorder="1" applyAlignment="1">
      <alignment horizontal="right"/>
    </xf>
    <xf numFmtId="0" fontId="29" fillId="10" borderId="11" xfId="0" applyFont="1" applyFill="1" applyBorder="1" applyAlignment="1">
      <alignment horizontal="right"/>
    </xf>
    <xf numFmtId="0" fontId="29" fillId="10" borderId="0" xfId="0" applyFont="1" applyFill="1" applyAlignment="1">
      <alignment horizontal="right"/>
    </xf>
    <xf numFmtId="0" fontId="23" fillId="10" borderId="0" xfId="0" applyFont="1" applyFill="1"/>
    <xf numFmtId="3" fontId="0" fillId="0" borderId="0" xfId="0" applyNumberFormat="1"/>
    <xf numFmtId="0" fontId="22" fillId="4" borderId="0" xfId="0" applyFont="1" applyFill="1" applyAlignment="1">
      <alignment horizontal="right" indent="1"/>
    </xf>
    <xf numFmtId="0" fontId="0" fillId="11" borderId="0" xfId="0" quotePrefix="1" applyFill="1"/>
    <xf numFmtId="10" fontId="21" fillId="0" borderId="0" xfId="0" applyNumberFormat="1" applyFont="1"/>
    <xf numFmtId="0" fontId="21" fillId="0" borderId="0" xfId="0" quotePrefix="1" applyFont="1"/>
    <xf numFmtId="0" fontId="30" fillId="4" borderId="0" xfId="0" applyFont="1" applyFill="1" applyAlignment="1">
      <alignment horizontal="right"/>
    </xf>
    <xf numFmtId="10" fontId="21" fillId="0" borderId="0" xfId="0" quotePrefix="1" applyNumberFormat="1" applyFont="1"/>
    <xf numFmtId="0" fontId="29" fillId="4" borderId="0" xfId="0" applyFont="1" applyFill="1" applyAlignment="1">
      <alignment horizontal="right" indent="1"/>
    </xf>
    <xf numFmtId="0" fontId="22" fillId="0" borderId="0" xfId="0" applyFont="1" applyAlignment="1">
      <alignment horizontal="right" indent="1"/>
    </xf>
    <xf numFmtId="168" fontId="23" fillId="4" borderId="0" xfId="0" applyNumberFormat="1" applyFont="1" applyFill="1"/>
    <xf numFmtId="9" fontId="21" fillId="0" borderId="0" xfId="0" applyNumberFormat="1" applyFont="1" applyAlignment="1">
      <alignment horizontal="right"/>
    </xf>
    <xf numFmtId="9" fontId="21" fillId="0" borderId="0" xfId="0" applyNumberFormat="1" applyFont="1"/>
    <xf numFmtId="9" fontId="21" fillId="0" borderId="0" xfId="0" quotePrefix="1" applyNumberFormat="1" applyFont="1"/>
    <xf numFmtId="0" fontId="29" fillId="4" borderId="0" xfId="0" applyFont="1" applyFill="1" applyAlignment="1">
      <alignment horizontal="right"/>
    </xf>
    <xf numFmtId="0" fontId="22" fillId="10" borderId="11" xfId="0" applyFont="1" applyFill="1" applyBorder="1"/>
    <xf numFmtId="0" fontId="31" fillId="4" borderId="0" xfId="0" applyFont="1" applyFill="1" applyAlignment="1">
      <alignment horizontal="right" indent="1"/>
    </xf>
    <xf numFmtId="0" fontId="23" fillId="0" borderId="0" xfId="0" applyFont="1"/>
    <xf numFmtId="0" fontId="22" fillId="4" borderId="12" xfId="0" applyFont="1" applyFill="1" applyBorder="1"/>
    <xf numFmtId="0" fontId="22" fillId="4" borderId="13" xfId="0" applyFont="1" applyFill="1" applyBorder="1"/>
    <xf numFmtId="0" fontId="23" fillId="4" borderId="13" xfId="0" applyFont="1" applyFill="1" applyBorder="1"/>
    <xf numFmtId="0" fontId="32" fillId="0" borderId="0" xfId="0" applyFont="1" applyAlignment="1"/>
    <xf numFmtId="2" fontId="32" fillId="0" borderId="0" xfId="0" applyNumberFormat="1" applyFont="1"/>
    <xf numFmtId="171" fontId="32" fillId="0" borderId="0" xfId="0" applyNumberFormat="1" applyFont="1"/>
    <xf numFmtId="172" fontId="21" fillId="0" borderId="0" xfId="0" applyNumberFormat="1" applyFont="1"/>
    <xf numFmtId="168" fontId="0" fillId="3" borderId="6" xfId="0" applyNumberFormat="1" applyFont="1" applyFill="1" applyBorder="1" applyAlignment="1">
      <alignment horizontal="center" vertical="center"/>
    </xf>
    <xf numFmtId="168" fontId="0" fillId="3" borderId="2" xfId="0" applyNumberFormat="1" applyFont="1" applyFill="1" applyBorder="1" applyAlignment="1">
      <alignment horizontal="center" vertical="center"/>
    </xf>
    <xf numFmtId="168" fontId="0" fillId="3" borderId="4" xfId="0" applyNumberFormat="1" applyFont="1" applyFill="1" applyBorder="1" applyAlignment="1">
      <alignment horizontal="center" vertical="center"/>
    </xf>
    <xf numFmtId="2" fontId="21" fillId="0" borderId="0" xfId="0" applyNumberFormat="1" applyFont="1"/>
    <xf numFmtId="0" fontId="23" fillId="4" borderId="0" xfId="0" applyFont="1" applyFill="1" applyAlignment="1">
      <alignment horizontal="right"/>
    </xf>
    <xf numFmtId="0" fontId="33" fillId="4" borderId="0" xfId="0" applyFont="1" applyFill="1" applyAlignment="1">
      <alignment horizontal="right"/>
    </xf>
    <xf numFmtId="43" fontId="23" fillId="4" borderId="0" xfId="1" applyFont="1" applyFill="1" applyBorder="1" applyAlignment="1"/>
    <xf numFmtId="43" fontId="23" fillId="4" borderId="0" xfId="0" applyNumberFormat="1" applyFont="1" applyFill="1"/>
    <xf numFmtId="165" fontId="23" fillId="4" borderId="0" xfId="0" applyNumberFormat="1" applyFont="1" applyFill="1"/>
    <xf numFmtId="9" fontId="34" fillId="4" borderId="6" xfId="0" applyNumberFormat="1" applyFont="1" applyFill="1" applyBorder="1" applyAlignment="1"/>
    <xf numFmtId="9" fontId="34" fillId="4" borderId="2" xfId="0" applyNumberFormat="1" applyFont="1" applyFill="1" applyBorder="1" applyAlignment="1"/>
    <xf numFmtId="9" fontId="34" fillId="4" borderId="4" xfId="0" applyNumberFormat="1" applyFont="1" applyFill="1" applyBorder="1" applyAlignment="1"/>
    <xf numFmtId="9" fontId="6" fillId="4" borderId="2" xfId="2" applyFont="1" applyFill="1" applyBorder="1" applyAlignment="1"/>
    <xf numFmtId="9" fontId="6" fillId="6" borderId="2" xfId="2" applyFont="1" applyFill="1" applyBorder="1" applyAlignment="1"/>
    <xf numFmtId="9" fontId="6" fillId="4" borderId="2" xfId="0" applyNumberFormat="1" applyFont="1" applyFill="1" applyBorder="1"/>
    <xf numFmtId="9" fontId="6" fillId="6" borderId="2" xfId="0" applyNumberFormat="1" applyFont="1" applyFill="1" applyBorder="1"/>
    <xf numFmtId="9" fontId="6" fillId="4" borderId="4" xfId="0" applyNumberFormat="1" applyFont="1" applyFill="1" applyBorder="1"/>
    <xf numFmtId="9" fontId="6" fillId="6" borderId="4" xfId="0" applyNumberFormat="1" applyFont="1" applyFill="1" applyBorder="1"/>
    <xf numFmtId="166" fontId="28" fillId="0" borderId="7" xfId="1" applyNumberFormat="1" applyFont="1" applyFill="1" applyBorder="1" applyAlignment="1">
      <alignment horizontal="left" vertical="top" indent="1"/>
    </xf>
    <xf numFmtId="0" fontId="39" fillId="4" borderId="0" xfId="0" applyFont="1" applyFill="1" applyAlignment="1">
      <alignment horizontal="right"/>
    </xf>
    <xf numFmtId="0" fontId="40" fillId="4" borderId="0" xfId="0" applyFont="1" applyFill="1" applyAlignment="1">
      <alignment horizontal="right"/>
    </xf>
    <xf numFmtId="0" fontId="40" fillId="10" borderId="0" xfId="0" applyFont="1" applyFill="1" applyAlignment="1">
      <alignment horizontal="right"/>
    </xf>
    <xf numFmtId="0" fontId="41" fillId="4" borderId="0" xfId="0" applyFont="1" applyFill="1"/>
    <xf numFmtId="0" fontId="39" fillId="4" borderId="0" xfId="0" applyFont="1" applyFill="1"/>
    <xf numFmtId="0" fontId="33" fillId="4" borderId="0" xfId="0" applyFont="1" applyFill="1"/>
    <xf numFmtId="0" fontId="3" fillId="0" borderId="0" xfId="0" applyFont="1" applyAlignment="1">
      <alignment horizontal="right"/>
    </xf>
    <xf numFmtId="176" fontId="21" fillId="0" borderId="0" xfId="0" applyNumberFormat="1" applyFont="1"/>
    <xf numFmtId="166" fontId="23" fillId="4" borderId="0" xfId="1" applyNumberFormat="1" applyFont="1" applyFill="1"/>
    <xf numFmtId="10" fontId="0" fillId="0" borderId="0" xfId="2" applyNumberFormat="1" applyFont="1"/>
    <xf numFmtId="178" fontId="0" fillId="0" borderId="0" xfId="1" applyNumberFormat="1" applyFont="1"/>
    <xf numFmtId="0" fontId="0" fillId="0" borderId="0" xfId="0" applyAlignment="1">
      <alignment horizontal="left"/>
    </xf>
    <xf numFmtId="166" fontId="0" fillId="3" borderId="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6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E01A8DA1-4F77-4691-929A-70563694A853}"/>
            </a:ext>
          </a:extLst>
        </xdr:cNvPr>
        <xdr:cNvSpPr>
          <a:spLocks noChangeAspect="1" noChangeArrowheads="1"/>
        </xdr:cNvSpPr>
      </xdr:nvSpPr>
      <xdr:spPr bwMode="auto">
        <a:xfrm>
          <a:off x="180975" y="96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190500</xdr:colOff>
      <xdr:row>5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C9CBD79A-FEDA-435D-9DD7-65B6DF0FF9FF}"/>
            </a:ext>
          </a:extLst>
        </xdr:cNvPr>
        <xdr:cNvSpPr>
          <a:spLocks noChangeAspect="1" noChangeArrowheads="1"/>
        </xdr:cNvSpPr>
      </xdr:nvSpPr>
      <xdr:spPr bwMode="auto">
        <a:xfrm>
          <a:off x="1838325" y="76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190500</xdr:colOff>
      <xdr:row>5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6C8361C-1181-4E68-A147-B844CA4F16C5}"/>
            </a:ext>
          </a:extLst>
        </xdr:cNvPr>
        <xdr:cNvSpPr>
          <a:spLocks noChangeAspect="1" noChangeArrowheads="1"/>
        </xdr:cNvSpPr>
      </xdr:nvSpPr>
      <xdr:spPr bwMode="auto">
        <a:xfrm>
          <a:off x="2667000" y="76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4</xdr:row>
      <xdr:rowOff>0</xdr:rowOff>
    </xdr:from>
    <xdr:ext cx="190500" cy="190500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7D2A1AFA-DC70-4C3C-BB21-D891E4E057D8}"/>
            </a:ext>
          </a:extLst>
        </xdr:cNvPr>
        <xdr:cNvSpPr>
          <a:spLocks noChangeAspect="1" noChangeArrowheads="1"/>
        </xdr:cNvSpPr>
      </xdr:nvSpPr>
      <xdr:spPr bwMode="auto">
        <a:xfrm>
          <a:off x="1009650" y="76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490B-3C83-4642-818C-FE57202192E2}">
  <dimension ref="B1:W57"/>
  <sheetViews>
    <sheetView tabSelected="1" workbookViewId="0">
      <selection activeCell="D15" sqref="D15:E15"/>
    </sheetView>
  </sheetViews>
  <sheetFormatPr defaultRowHeight="15" x14ac:dyDescent="0.25"/>
  <cols>
    <col min="1" max="1" width="2.7109375" customWidth="1"/>
    <col min="2" max="2" width="26.7109375" customWidth="1"/>
    <col min="3" max="5" width="12.42578125" customWidth="1"/>
    <col min="6" max="6" width="3.28515625" customWidth="1"/>
    <col min="7" max="7" width="3.5703125" customWidth="1"/>
    <col min="8" max="8" width="3.42578125" customWidth="1"/>
    <col min="9" max="9" width="39.140625" customWidth="1"/>
    <col min="10" max="10" width="3.85546875" customWidth="1"/>
    <col min="11" max="11" width="13.7109375" style="23" bestFit="1" customWidth="1"/>
    <col min="12" max="12" width="9.140625" style="23"/>
    <col min="13" max="13" width="5.5703125" style="23" bestFit="1" customWidth="1"/>
    <col min="14" max="14" width="9.140625" style="23"/>
    <col min="15" max="15" width="4.85546875" customWidth="1"/>
    <col min="16" max="16" width="5.28515625" style="3" customWidth="1"/>
    <col min="17" max="17" width="30.85546875" bestFit="1" customWidth="1"/>
    <col min="18" max="19" width="7.140625" style="121" bestFit="1" customWidth="1"/>
    <col min="20" max="20" width="5" style="193" bestFit="1" customWidth="1"/>
    <col min="21" max="21" width="33.42578125" bestFit="1" customWidth="1"/>
    <col min="22" max="23" width="6" style="121" bestFit="1" customWidth="1"/>
  </cols>
  <sheetData>
    <row r="1" spans="2:23" x14ac:dyDescent="0.25">
      <c r="B1" t="s">
        <v>110</v>
      </c>
      <c r="G1" s="120"/>
      <c r="H1" t="s">
        <v>111</v>
      </c>
    </row>
    <row r="2" spans="2:23" x14ac:dyDescent="0.25">
      <c r="G2" s="120"/>
    </row>
    <row r="3" spans="2:23" x14ac:dyDescent="0.25">
      <c r="B3" s="122" t="s">
        <v>112</v>
      </c>
      <c r="C3" s="123"/>
      <c r="D3" s="123"/>
      <c r="E3" s="124"/>
      <c r="G3" s="120"/>
    </row>
    <row r="4" spans="2:23" x14ac:dyDescent="0.25">
      <c r="B4" s="125" t="s">
        <v>1</v>
      </c>
      <c r="C4" s="125" t="s">
        <v>2</v>
      </c>
      <c r="D4" s="125" t="s">
        <v>3</v>
      </c>
      <c r="E4" s="125" t="s">
        <v>93</v>
      </c>
      <c r="G4" s="120"/>
      <c r="H4" s="126"/>
      <c r="I4" s="127"/>
      <c r="J4" s="127"/>
      <c r="K4" s="128"/>
      <c r="L4" s="128"/>
      <c r="M4" s="128"/>
      <c r="N4" s="128"/>
      <c r="P4" s="3" t="s">
        <v>113</v>
      </c>
    </row>
    <row r="5" spans="2:23" ht="15.75" x14ac:dyDescent="0.25">
      <c r="B5" s="129">
        <v>21740</v>
      </c>
      <c r="C5" s="129">
        <v>25279</v>
      </c>
      <c r="D5" s="129">
        <v>119653</v>
      </c>
      <c r="E5" s="130">
        <v>1853</v>
      </c>
      <c r="F5" s="131"/>
      <c r="G5" s="120"/>
      <c r="H5" s="132" t="s">
        <v>99</v>
      </c>
      <c r="I5" s="133"/>
      <c r="J5" s="133"/>
      <c r="K5" s="134"/>
      <c r="L5" s="135"/>
      <c r="M5" s="135"/>
      <c r="N5" s="135"/>
    </row>
    <row r="6" spans="2:23" x14ac:dyDescent="0.25">
      <c r="B6" s="130">
        <f>B5</f>
        <v>21740</v>
      </c>
      <c r="C6" s="136">
        <f>C5</f>
        <v>25279</v>
      </c>
      <c r="D6" s="137">
        <f>D5+E5</f>
        <v>121506</v>
      </c>
      <c r="G6" s="120"/>
      <c r="H6" s="138" t="s">
        <v>82</v>
      </c>
      <c r="I6" s="139"/>
      <c r="J6" s="139"/>
      <c r="K6" s="135"/>
      <c r="L6" s="135"/>
      <c r="M6" s="135"/>
      <c r="N6" s="135"/>
      <c r="Q6" t="s">
        <v>114</v>
      </c>
    </row>
    <row r="7" spans="2:23" x14ac:dyDescent="0.25">
      <c r="G7" s="120"/>
      <c r="H7" s="140"/>
      <c r="I7" s="141" t="s">
        <v>83</v>
      </c>
      <c r="J7" s="142"/>
      <c r="K7" s="143"/>
      <c r="L7" s="143"/>
      <c r="M7" s="143"/>
      <c r="N7" s="143"/>
    </row>
    <row r="8" spans="2:23" x14ac:dyDescent="0.25">
      <c r="B8" t="s">
        <v>85</v>
      </c>
      <c r="C8" s="144">
        <f>SUM(B5:E5)</f>
        <v>168525</v>
      </c>
      <c r="G8" s="120"/>
      <c r="H8" s="138"/>
      <c r="I8" s="145" t="s">
        <v>4</v>
      </c>
      <c r="J8" s="187" t="s">
        <v>115</v>
      </c>
      <c r="K8" s="153">
        <f>Bevalling_2e_lijn*Aandeel_sectio</f>
        <v>23572.164000000001</v>
      </c>
      <c r="L8" s="135" t="s">
        <v>93</v>
      </c>
      <c r="M8" s="191" t="s">
        <v>116</v>
      </c>
      <c r="N8" s="153">
        <f>Uitgangspunten!T21</f>
        <v>16429.869297450001</v>
      </c>
      <c r="P8" s="187" t="s">
        <v>115</v>
      </c>
      <c r="Q8" s="146" t="s">
        <v>117</v>
      </c>
      <c r="R8" s="147">
        <f>Uitgangspunten!D10</f>
        <v>0.19400000000000001</v>
      </c>
      <c r="S8" s="147"/>
      <c r="T8" s="187" t="s">
        <v>116</v>
      </c>
      <c r="U8" s="146" t="s">
        <v>118</v>
      </c>
      <c r="V8" s="148"/>
      <c r="W8" s="148"/>
    </row>
    <row r="9" spans="2:23" x14ac:dyDescent="0.25">
      <c r="G9" s="120"/>
      <c r="H9" s="138"/>
      <c r="I9" s="145"/>
      <c r="J9" s="187"/>
      <c r="K9" s="135"/>
      <c r="L9" s="149" t="s">
        <v>8</v>
      </c>
      <c r="M9" s="191" t="s">
        <v>119</v>
      </c>
      <c r="N9" s="153">
        <f>Uitgangspunten!T22</f>
        <v>7142.396552549998</v>
      </c>
      <c r="P9" s="187"/>
      <c r="T9" s="187" t="s">
        <v>119</v>
      </c>
      <c r="U9" s="146" t="s">
        <v>120</v>
      </c>
      <c r="V9" s="150">
        <f>Uitgangspunten!D10</f>
        <v>0.19400000000000001</v>
      </c>
      <c r="W9" s="150">
        <f>Uitgangspunten!D15</f>
        <v>0.30299999999999994</v>
      </c>
    </row>
    <row r="10" spans="2:23" x14ac:dyDescent="0.25">
      <c r="G10" s="120"/>
      <c r="H10" s="138"/>
      <c r="I10" s="145" t="s">
        <v>89</v>
      </c>
      <c r="J10" s="187" t="s">
        <v>121</v>
      </c>
      <c r="K10" s="153">
        <f>Bevalling_2e_lijn-(Bevalling_2e_lijn*Aandeel_sectio)</f>
        <v>97933.835999999996</v>
      </c>
      <c r="L10" s="135"/>
      <c r="M10" s="192"/>
      <c r="N10" s="135"/>
      <c r="P10" s="187" t="s">
        <v>121</v>
      </c>
      <c r="Q10" s="146" t="s">
        <v>122</v>
      </c>
    </row>
    <row r="11" spans="2:23" x14ac:dyDescent="0.25">
      <c r="G11" s="120"/>
      <c r="H11" s="138"/>
      <c r="I11" s="145" t="s">
        <v>85</v>
      </c>
      <c r="J11" s="187" t="s">
        <v>123</v>
      </c>
      <c r="K11" s="153">
        <f>Bevalling_2e_lijn</f>
        <v>121506</v>
      </c>
      <c r="L11" s="135"/>
      <c r="M11" s="192"/>
      <c r="N11" s="135"/>
      <c r="P11" s="187" t="s">
        <v>123</v>
      </c>
      <c r="Q11" s="146" t="s">
        <v>124</v>
      </c>
    </row>
    <row r="12" spans="2:23" x14ac:dyDescent="0.25">
      <c r="B12" t="s">
        <v>164</v>
      </c>
      <c r="D12" t="s">
        <v>165</v>
      </c>
      <c r="G12" s="120"/>
      <c r="H12" s="138"/>
      <c r="I12" s="145" t="s">
        <v>101</v>
      </c>
      <c r="J12" s="187" t="s">
        <v>125</v>
      </c>
      <c r="K12" s="153">
        <f>(Bevalling_2e_lijn*(1-Aandeel_sectio))*Aandeel_post_partum_ops</f>
        <v>8030.5745520000009</v>
      </c>
      <c r="L12" s="135"/>
      <c r="M12" s="192"/>
      <c r="N12" s="135"/>
      <c r="P12" s="187" t="s">
        <v>125</v>
      </c>
      <c r="Q12" s="146" t="s">
        <v>126</v>
      </c>
      <c r="R12" s="147">
        <f>Uitgangspunten!K4</f>
        <v>8.2000000000000003E-2</v>
      </c>
    </row>
    <row r="13" spans="2:23" x14ac:dyDescent="0.25">
      <c r="B13" s="198" t="s">
        <v>173</v>
      </c>
      <c r="D13" s="144">
        <f>D6</f>
        <v>121506</v>
      </c>
      <c r="G13" s="120"/>
      <c r="H13" s="138"/>
      <c r="I13" s="151" t="s">
        <v>100</v>
      </c>
      <c r="J13" s="187"/>
      <c r="K13" s="172" t="s">
        <v>105</v>
      </c>
      <c r="L13" s="135"/>
      <c r="M13" s="192"/>
      <c r="N13" s="172" t="s">
        <v>107</v>
      </c>
      <c r="P13" s="187"/>
    </row>
    <row r="14" spans="2:23" x14ac:dyDescent="0.25">
      <c r="B14" s="198" t="s">
        <v>174</v>
      </c>
      <c r="D14" s="196">
        <f>Uitgangspunten!D10</f>
        <v>0.19400000000000001</v>
      </c>
      <c r="G14" s="120"/>
      <c r="H14" s="138"/>
      <c r="I14" s="152"/>
      <c r="J14" s="187"/>
      <c r="K14" s="173" t="str">
        <f>Uitgangspunten!R27</f>
        <v>bedrijfstijd</v>
      </c>
      <c r="L14" s="135"/>
      <c r="M14" s="192"/>
      <c r="N14" s="173" t="str">
        <f>Uitgangspunten!T27</f>
        <v>bedrijfstijd</v>
      </c>
      <c r="P14" s="187"/>
    </row>
    <row r="15" spans="2:23" x14ac:dyDescent="0.25">
      <c r="B15" s="198" t="s">
        <v>178</v>
      </c>
      <c r="D15" s="196">
        <f>Uitgangspunten!D15</f>
        <v>0.30299999999999994</v>
      </c>
      <c r="G15" s="120"/>
      <c r="H15" s="138"/>
      <c r="I15" s="145" t="s">
        <v>89</v>
      </c>
      <c r="J15" s="187" t="s">
        <v>127</v>
      </c>
      <c r="K15" s="153">
        <f>(Bevalling_2e_lijn-(Bevalling_2e_lijn*Aandeel_sectio))*bevallingen_in_bedrijfstijd</f>
        <v>39173.534399999997</v>
      </c>
      <c r="L15" s="135"/>
      <c r="M15" s="191" t="s">
        <v>128</v>
      </c>
      <c r="N15" s="153">
        <f>(Bevalling_2e_lijn-(Bevalling_2e_lijn*Aandeel_sectio))*(1-bevallingen_in_bedrijfstijd)</f>
        <v>58760.301599999999</v>
      </c>
      <c r="P15" s="187" t="s">
        <v>127</v>
      </c>
      <c r="Q15" s="146" t="s">
        <v>129</v>
      </c>
      <c r="S15" s="154">
        <f>Uitgangspunten!F8</f>
        <v>0.4</v>
      </c>
      <c r="T15" s="187" t="s">
        <v>128</v>
      </c>
      <c r="U15" s="146" t="s">
        <v>130</v>
      </c>
      <c r="V15" s="148"/>
      <c r="W15" s="148"/>
    </row>
    <row r="16" spans="2:23" x14ac:dyDescent="0.25">
      <c r="B16" s="198" t="s">
        <v>179</v>
      </c>
      <c r="D16" s="196">
        <f>Uitgangspunten!D12+Uitgangspunten!D13+Uitgangspunten!D14</f>
        <v>0.69700000000000006</v>
      </c>
      <c r="G16" s="120"/>
      <c r="H16" s="138"/>
      <c r="I16" s="145" t="s">
        <v>102</v>
      </c>
      <c r="J16" s="187" t="s">
        <v>131</v>
      </c>
      <c r="K16" s="153">
        <f>Bevalling_2e_lijn*Aandeel_sectio*electieve_sectio_in_bedrijfstijd*Aandeel_electieve_sectio</f>
        <v>5185.87608</v>
      </c>
      <c r="L16" s="135"/>
      <c r="M16" s="187" t="s">
        <v>132</v>
      </c>
      <c r="N16" s="153">
        <f>Bevalling_2e_lijn*Aandeel_sectio*(1-electieve_sectio_in_bedrijfstijd)*Aandeel_electieve_sectio</f>
        <v>5185.87608</v>
      </c>
      <c r="P16" s="187" t="s">
        <v>131</v>
      </c>
      <c r="Q16" s="146" t="s">
        <v>133</v>
      </c>
      <c r="R16" s="155">
        <f>Uitgangspunten!D12+Uitgangspunten!D13</f>
        <v>0.44</v>
      </c>
      <c r="S16" s="155">
        <v>0.5</v>
      </c>
      <c r="T16" s="187" t="s">
        <v>132</v>
      </c>
      <c r="U16" s="146" t="s">
        <v>134</v>
      </c>
      <c r="V16" s="156">
        <f>Uitgangspunten!D12+Uitgangspunten!D13</f>
        <v>0.44</v>
      </c>
      <c r="W16" s="156">
        <f>1-Uitgangspunten!F12</f>
        <v>0.5</v>
      </c>
    </row>
    <row r="17" spans="2:23" x14ac:dyDescent="0.25">
      <c r="B17" s="198" t="s">
        <v>175</v>
      </c>
      <c r="D17" s="196">
        <f>Uitgangspunten!K4</f>
        <v>8.2000000000000003E-2</v>
      </c>
      <c r="G17" s="120"/>
      <c r="H17" s="138"/>
      <c r="I17" s="145" t="s">
        <v>103</v>
      </c>
      <c r="J17" s="187" t="s">
        <v>135</v>
      </c>
      <c r="K17" s="153">
        <f>Bevalling_2e_lijn*Aandeel_sectio*spoed_sectio_in_bedrijfstijd*Aandeel_spoed_sectio</f>
        <v>2423.2184592000003</v>
      </c>
      <c r="L17" s="135"/>
      <c r="M17" s="187" t="s">
        <v>136</v>
      </c>
      <c r="N17" s="153">
        <f>Bevalling_2e_lijn*Aandeel_sectio*(1-spoed_sectio_in_bedrijfstijd)*Aandeel_spoed_sectio</f>
        <v>3634.8276888</v>
      </c>
      <c r="P17" s="187" t="s">
        <v>135</v>
      </c>
      <c r="Q17" s="146" t="s">
        <v>137</v>
      </c>
      <c r="R17" s="147">
        <f>Uitgangspunten!D14</f>
        <v>0.25700000000000001</v>
      </c>
      <c r="S17" s="155">
        <v>0.4</v>
      </c>
      <c r="T17" s="187" t="s">
        <v>136</v>
      </c>
      <c r="U17" s="146" t="s">
        <v>138</v>
      </c>
      <c r="V17" s="150">
        <f>Uitgangspunten!D14</f>
        <v>0.25700000000000001</v>
      </c>
      <c r="W17" s="156">
        <f>1-Uitgangspunten!F14</f>
        <v>0.6</v>
      </c>
    </row>
    <row r="18" spans="2:23" x14ac:dyDescent="0.25">
      <c r="B18" s="198" t="s">
        <v>180</v>
      </c>
      <c r="D18" s="196">
        <f>Uitgangspunten!D12+Uitgangspunten!D13</f>
        <v>0.44</v>
      </c>
      <c r="G18" s="120"/>
      <c r="H18" s="138"/>
      <c r="I18" s="145" t="s">
        <v>104</v>
      </c>
      <c r="J18" s="187" t="s">
        <v>139</v>
      </c>
      <c r="K18" s="153">
        <f>Bevalling_2e_lijn*Aandeel_sectio*Acute_sectio_in_bedrijfstijd*Aandeel_acute_sectio</f>
        <v>2856.9462767999999</v>
      </c>
      <c r="L18" s="135"/>
      <c r="M18" s="187" t="s">
        <v>140</v>
      </c>
      <c r="N18" s="153">
        <f>Bevalling_2e_lijn*Aandeel_sectio*Acute_sectio_in_bedrijfstijd*Aandeel_acute_sectio</f>
        <v>2856.9462767999999</v>
      </c>
      <c r="P18" s="187" t="s">
        <v>139</v>
      </c>
      <c r="Q18" s="146" t="s">
        <v>141</v>
      </c>
      <c r="R18" s="147">
        <f>Uitgangspunten!D15</f>
        <v>0.30299999999999994</v>
      </c>
      <c r="S18" s="155">
        <v>0.4</v>
      </c>
      <c r="T18" s="187" t="s">
        <v>140</v>
      </c>
      <c r="U18" s="146" t="s">
        <v>142</v>
      </c>
      <c r="V18" s="150">
        <f>Uitgangspunten!D15</f>
        <v>0.30299999999999994</v>
      </c>
      <c r="W18" s="156">
        <f>1-Uitgangspunten!F15</f>
        <v>0.6</v>
      </c>
    </row>
    <row r="19" spans="2:23" x14ac:dyDescent="0.25">
      <c r="B19" s="198" t="s">
        <v>181</v>
      </c>
      <c r="D19" s="196">
        <f>Uitgangspunten!D14</f>
        <v>0.25700000000000001</v>
      </c>
      <c r="G19" s="120"/>
      <c r="H19" s="138"/>
      <c r="I19" s="145" t="s">
        <v>101</v>
      </c>
      <c r="J19" s="187" t="s">
        <v>143</v>
      </c>
      <c r="K19" s="153">
        <f>(Bevalling_2e_lijn*(1-Aandeel_sectio))*Aandeel_post_partum_ops*bevallingen_in_bedrijfstijd</f>
        <v>3212.2298208000007</v>
      </c>
      <c r="L19" s="135"/>
      <c r="M19" s="187" t="s">
        <v>144</v>
      </c>
      <c r="N19" s="153">
        <f>(Bevalling_2e_lijn*(1-Aandeel_sectio))*Aandeel_post_partum_ops*(1-bevallingen_in_bedrijfstijd)</f>
        <v>4818.3447312000008</v>
      </c>
      <c r="P19" s="187" t="s">
        <v>143</v>
      </c>
      <c r="Q19" s="146" t="s">
        <v>145</v>
      </c>
      <c r="S19" s="155">
        <f>Uitgangspunten!F8</f>
        <v>0.4</v>
      </c>
      <c r="T19" s="187" t="s">
        <v>144</v>
      </c>
      <c r="U19" s="146" t="s">
        <v>146</v>
      </c>
      <c r="V19" s="148"/>
      <c r="W19" s="148"/>
    </row>
    <row r="20" spans="2:23" x14ac:dyDescent="0.25">
      <c r="B20" s="198" t="s">
        <v>176</v>
      </c>
      <c r="D20" s="196">
        <f>Uitgangspunten!F8</f>
        <v>0.4</v>
      </c>
      <c r="G20" s="120"/>
      <c r="H20" s="138"/>
      <c r="I20" s="157"/>
      <c r="J20" s="188"/>
      <c r="K20" s="135"/>
      <c r="L20" s="135"/>
      <c r="M20" s="135"/>
      <c r="N20" s="135"/>
      <c r="P20" s="188"/>
    </row>
    <row r="21" spans="2:23" x14ac:dyDescent="0.25">
      <c r="B21" s="198" t="s">
        <v>182</v>
      </c>
      <c r="D21" s="196">
        <f>Uitgangspunten!F12</f>
        <v>0.5</v>
      </c>
      <c r="G21" s="120"/>
      <c r="H21" s="158"/>
      <c r="I21" s="142" t="s">
        <v>84</v>
      </c>
      <c r="J21" s="189"/>
      <c r="K21" s="143"/>
      <c r="L21" s="143"/>
      <c r="M21" s="143"/>
      <c r="N21" s="143"/>
      <c r="P21" s="188"/>
    </row>
    <row r="22" spans="2:23" x14ac:dyDescent="0.25">
      <c r="B22" s="198" t="s">
        <v>183</v>
      </c>
      <c r="D22" s="196">
        <f>Uitgangspunten!F14</f>
        <v>0.4</v>
      </c>
      <c r="G22" s="120"/>
      <c r="H22" s="138"/>
      <c r="I22" s="145" t="s">
        <v>86</v>
      </c>
      <c r="J22" s="187" t="s">
        <v>147</v>
      </c>
      <c r="K22" s="174">
        <f>Bevalling_2e_lijn*investering_per_partus/1000000</f>
        <v>423.26361169383512</v>
      </c>
      <c r="L22" s="135" t="s">
        <v>90</v>
      </c>
      <c r="M22" s="135"/>
      <c r="N22" s="135"/>
      <c r="P22" s="187" t="s">
        <v>147</v>
      </c>
      <c r="Q22" s="146" t="s">
        <v>148</v>
      </c>
      <c r="R22" s="171">
        <f>Uitgangspunten!AK15</f>
        <v>3483.4791013928129</v>
      </c>
    </row>
    <row r="23" spans="2:23" x14ac:dyDescent="0.25">
      <c r="B23" s="198" t="s">
        <v>184</v>
      </c>
      <c r="D23" s="196">
        <f>Uitgangspunten!F15</f>
        <v>0.4</v>
      </c>
      <c r="G23" s="120"/>
      <c r="H23" s="138"/>
      <c r="I23" s="145" t="s">
        <v>87</v>
      </c>
      <c r="J23" s="187" t="s">
        <v>149</v>
      </c>
      <c r="K23" s="175">
        <f>(Bevalling_2e_lijn*Aandeel_sectio+(Bevalling_2e_lijn*(1-Aandeel_sectio))*Aandeel_post_partum_ops)*OK_per_partus</f>
        <v>15.801369276000001</v>
      </c>
      <c r="L23" s="135" t="s">
        <v>108</v>
      </c>
      <c r="M23" s="135"/>
      <c r="N23" s="135"/>
      <c r="P23" s="187" t="s">
        <v>149</v>
      </c>
      <c r="Q23" s="146" t="s">
        <v>150</v>
      </c>
      <c r="R23" s="121">
        <f>Uitgangspunten!AO9</f>
        <v>5.0000000000000001E-4</v>
      </c>
    </row>
    <row r="24" spans="2:23" x14ac:dyDescent="0.25">
      <c r="B24" s="198" t="s">
        <v>185</v>
      </c>
      <c r="D24" s="197">
        <f>Uitgangspunten!AK15</f>
        <v>3483.4791013928129</v>
      </c>
      <c r="G24" s="120"/>
      <c r="H24" s="138"/>
      <c r="I24" s="145" t="s">
        <v>166</v>
      </c>
      <c r="J24" s="187" t="s">
        <v>167</v>
      </c>
      <c r="K24" s="195">
        <f>Bevalling_2e_lijn*BVO_per_partus_2e_lijn</f>
        <v>113934.62257689566</v>
      </c>
      <c r="L24" s="135" t="s">
        <v>168</v>
      </c>
      <c r="M24" s="135"/>
      <c r="N24" s="135"/>
      <c r="P24" s="187" t="s">
        <v>167</v>
      </c>
      <c r="Q24" s="146" t="s">
        <v>169</v>
      </c>
      <c r="R24" s="194">
        <f>Uitgangspunten!AI15</f>
        <v>0.93768721360999185</v>
      </c>
    </row>
    <row r="25" spans="2:23" x14ac:dyDescent="0.25">
      <c r="B25" s="198" t="s">
        <v>186</v>
      </c>
      <c r="D25" s="197">
        <f>Uitgangspunten!AO9</f>
        <v>5.0000000000000001E-4</v>
      </c>
      <c r="G25" s="120"/>
      <c r="H25" s="158"/>
      <c r="I25" s="142" t="s">
        <v>88</v>
      </c>
      <c r="J25" s="189"/>
      <c r="K25" s="143"/>
      <c r="L25" s="143"/>
      <c r="M25" s="143"/>
      <c r="N25" s="143"/>
      <c r="P25" s="190"/>
    </row>
    <row r="26" spans="2:23" x14ac:dyDescent="0.25">
      <c r="B26" s="198" t="s">
        <v>187</v>
      </c>
      <c r="D26" s="197">
        <f>Uitgangspunten!AI15</f>
        <v>0.93768721360999185</v>
      </c>
      <c r="G26" s="120"/>
      <c r="H26" s="138"/>
      <c r="I26" s="145" t="s">
        <v>91</v>
      </c>
      <c r="J26" s="187" t="s">
        <v>151</v>
      </c>
      <c r="K26" s="176">
        <f>Bevalling_2e_lijn*aantal_FTE</f>
        <v>2932.8481686931068</v>
      </c>
      <c r="L26" s="135" t="s">
        <v>96</v>
      </c>
      <c r="M26" s="135"/>
      <c r="N26" s="135"/>
      <c r="P26" s="187" t="s">
        <v>151</v>
      </c>
      <c r="Q26" s="146" t="s">
        <v>152</v>
      </c>
      <c r="R26" s="167">
        <f>K26/D$6</f>
        <v>2.4137476080959844E-2</v>
      </c>
      <c r="S26" s="167"/>
    </row>
    <row r="27" spans="2:23" x14ac:dyDescent="0.25">
      <c r="B27" s="198" t="s">
        <v>188</v>
      </c>
      <c r="D27">
        <f>Uitgangspunten!AA39</f>
        <v>2.4137476080959844E-2</v>
      </c>
      <c r="G27" s="120"/>
      <c r="H27" s="138"/>
      <c r="I27" s="159" t="s">
        <v>97</v>
      </c>
      <c r="J27" s="187" t="s">
        <v>153</v>
      </c>
      <c r="K27" s="176">
        <f>Bevalling_2e_lijn*FTE_kraam_direct</f>
        <v>2771.5473205479457</v>
      </c>
      <c r="L27" s="135" t="s">
        <v>32</v>
      </c>
      <c r="M27" s="135"/>
      <c r="N27" s="135"/>
      <c r="P27" s="187" t="s">
        <v>153</v>
      </c>
      <c r="Q27" s="146" t="s">
        <v>154</v>
      </c>
      <c r="R27" s="167">
        <f t="shared" ref="R27:R31" si="0">K27/D$6</f>
        <v>2.2809962640099629E-2</v>
      </c>
      <c r="S27" s="167"/>
    </row>
    <row r="28" spans="2:23" x14ac:dyDescent="0.25">
      <c r="B28" s="198" t="s">
        <v>189</v>
      </c>
      <c r="D28">
        <f>Uitgangspunten!AA40</f>
        <v>2.2809962640099629E-2</v>
      </c>
      <c r="G28" s="120"/>
      <c r="H28" s="138"/>
      <c r="I28" s="159" t="s">
        <v>98</v>
      </c>
      <c r="J28" s="187" t="s">
        <v>155</v>
      </c>
      <c r="K28" s="176">
        <f>Bevalling_2e_lijn*FTE_kraam_indirect</f>
        <v>161.3008481451613</v>
      </c>
      <c r="L28" s="135" t="s">
        <v>32</v>
      </c>
      <c r="M28" s="135"/>
      <c r="N28" s="135"/>
      <c r="P28" s="187" t="s">
        <v>155</v>
      </c>
      <c r="Q28" s="146" t="s">
        <v>156</v>
      </c>
      <c r="R28" s="167">
        <f t="shared" si="0"/>
        <v>1.3275134408602151E-3</v>
      </c>
      <c r="S28" s="167"/>
    </row>
    <row r="29" spans="2:23" x14ac:dyDescent="0.25">
      <c r="B29" s="198" t="s">
        <v>190</v>
      </c>
      <c r="D29">
        <f>Uitgangspunten!AA41</f>
        <v>1.3275134408602151E-3</v>
      </c>
      <c r="G29" s="120"/>
      <c r="H29" s="138"/>
      <c r="I29" s="145" t="s">
        <v>92</v>
      </c>
      <c r="J29" s="187" t="s">
        <v>157</v>
      </c>
      <c r="K29" s="176">
        <f>Bevalling_2e_lijn*salaris/1000000</f>
        <v>211.32708690335767</v>
      </c>
      <c r="L29" s="135" t="s">
        <v>90</v>
      </c>
      <c r="M29" s="135"/>
      <c r="N29" s="135"/>
      <c r="P29" s="187" t="s">
        <v>157</v>
      </c>
      <c r="Q29" s="146" t="s">
        <v>158</v>
      </c>
      <c r="R29" s="167">
        <f t="shared" si="0"/>
        <v>1.7392316996967859E-3</v>
      </c>
      <c r="S29" s="167"/>
    </row>
    <row r="30" spans="2:23" x14ac:dyDescent="0.25">
      <c r="B30" s="198" t="s">
        <v>170</v>
      </c>
      <c r="D30">
        <f>Uitgangspunten!AA42</f>
        <v>1739.2316996967859</v>
      </c>
      <c r="G30" s="120"/>
      <c r="H30" s="138"/>
      <c r="I30" s="159" t="s">
        <v>97</v>
      </c>
      <c r="J30" s="187" t="s">
        <v>159</v>
      </c>
      <c r="K30" s="176">
        <f>Bevalling_2e_lijn*Salaris_kraam_direct/1000000</f>
        <v>192.21683788220517</v>
      </c>
      <c r="L30" s="135" t="s">
        <v>171</v>
      </c>
      <c r="M30" s="135"/>
      <c r="N30" s="135"/>
      <c r="P30" s="187" t="s">
        <v>159</v>
      </c>
      <c r="Q30" s="146" t="s">
        <v>160</v>
      </c>
      <c r="R30" s="167">
        <f t="shared" si="0"/>
        <v>1.5819534663490294E-3</v>
      </c>
      <c r="S30" s="167"/>
    </row>
    <row r="31" spans="2:23" x14ac:dyDescent="0.25">
      <c r="B31" s="198" t="s">
        <v>191</v>
      </c>
      <c r="D31">
        <f>Uitgangspunten!AA43</f>
        <v>1581.9534663490292</v>
      </c>
      <c r="G31" s="120"/>
      <c r="H31" s="138"/>
      <c r="I31" s="159" t="s">
        <v>98</v>
      </c>
      <c r="J31" s="187" t="s">
        <v>161</v>
      </c>
      <c r="K31" s="176">
        <f>Bevalling_2e_lijn*Salaris_kraam_indirect/1000000</f>
        <v>19.110249021152541</v>
      </c>
      <c r="L31" s="160" t="s">
        <v>172</v>
      </c>
      <c r="M31" s="160"/>
      <c r="N31" s="135"/>
      <c r="P31" s="187" t="s">
        <v>161</v>
      </c>
      <c r="Q31" s="146" t="s">
        <v>162</v>
      </c>
      <c r="R31" s="167">
        <f t="shared" si="0"/>
        <v>1.5727823334775682E-4</v>
      </c>
      <c r="S31" s="167"/>
    </row>
    <row r="32" spans="2:23" x14ac:dyDescent="0.25">
      <c r="B32" s="198" t="s">
        <v>177</v>
      </c>
      <c r="D32">
        <f>Uitgangspunten!AA44</f>
        <v>157.27823334775684</v>
      </c>
      <c r="G32" s="120"/>
      <c r="H32" s="161"/>
      <c r="I32" s="162"/>
      <c r="J32" s="162"/>
      <c r="K32" s="163"/>
      <c r="L32" s="163"/>
      <c r="M32" s="163"/>
      <c r="N32" s="163"/>
    </row>
    <row r="33" spans="7:20" x14ac:dyDescent="0.25">
      <c r="G33" s="120"/>
    </row>
    <row r="34" spans="7:20" x14ac:dyDescent="0.25">
      <c r="P34" s="187"/>
      <c r="Q34" s="2"/>
      <c r="T34" s="187"/>
    </row>
    <row r="35" spans="7:20" x14ac:dyDescent="0.25">
      <c r="P35" s="187"/>
      <c r="T35" s="187"/>
    </row>
    <row r="36" spans="7:20" x14ac:dyDescent="0.25">
      <c r="P36" s="187"/>
    </row>
    <row r="37" spans="7:20" x14ac:dyDescent="0.25">
      <c r="P37" s="187"/>
    </row>
    <row r="38" spans="7:20" x14ac:dyDescent="0.25">
      <c r="P38" s="187"/>
    </row>
    <row r="39" spans="7:20" x14ac:dyDescent="0.25">
      <c r="P39" s="187"/>
    </row>
    <row r="40" spans="7:20" x14ac:dyDescent="0.25">
      <c r="P40" s="187"/>
    </row>
    <row r="41" spans="7:20" x14ac:dyDescent="0.25">
      <c r="P41" s="187"/>
      <c r="T41" s="187"/>
    </row>
    <row r="42" spans="7:20" x14ac:dyDescent="0.25">
      <c r="P42" s="187"/>
      <c r="T42" s="187"/>
    </row>
    <row r="43" spans="7:20" x14ac:dyDescent="0.25">
      <c r="P43" s="187"/>
      <c r="T43" s="187"/>
    </row>
    <row r="44" spans="7:20" x14ac:dyDescent="0.25">
      <c r="P44" s="187"/>
      <c r="T44" s="187"/>
    </row>
    <row r="45" spans="7:20" x14ac:dyDescent="0.25">
      <c r="P45" s="187"/>
      <c r="T45" s="187"/>
    </row>
    <row r="46" spans="7:20" x14ac:dyDescent="0.25">
      <c r="P46" s="188"/>
    </row>
    <row r="47" spans="7:20" x14ac:dyDescent="0.25">
      <c r="P47" s="188"/>
    </row>
    <row r="48" spans="7:20" x14ac:dyDescent="0.25">
      <c r="P48" s="187"/>
    </row>
    <row r="49" spans="16:16" x14ac:dyDescent="0.25">
      <c r="P49" s="187"/>
    </row>
    <row r="50" spans="16:16" x14ac:dyDescent="0.25">
      <c r="P50" s="187"/>
    </row>
    <row r="51" spans="16:16" x14ac:dyDescent="0.25">
      <c r="P51" s="190"/>
    </row>
    <row r="52" spans="16:16" x14ac:dyDescent="0.25">
      <c r="P52" s="187"/>
    </row>
    <row r="53" spans="16:16" x14ac:dyDescent="0.25">
      <c r="P53" s="187"/>
    </row>
    <row r="54" spans="16:16" x14ac:dyDescent="0.25">
      <c r="P54" s="187"/>
    </row>
    <row r="55" spans="16:16" x14ac:dyDescent="0.25">
      <c r="P55" s="187"/>
    </row>
    <row r="56" spans="16:16" x14ac:dyDescent="0.25">
      <c r="P56" s="187"/>
    </row>
    <row r="57" spans="16:16" x14ac:dyDescent="0.25">
      <c r="P57" s="187"/>
    </row>
  </sheetData>
  <phoneticPr fontId="4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04B3-26D4-4C89-9296-C2F285A7742E}">
  <dimension ref="B1:AO55"/>
  <sheetViews>
    <sheetView topLeftCell="A17" zoomScaleNormal="100" workbookViewId="0">
      <selection activeCell="L42" sqref="L42"/>
    </sheetView>
  </sheetViews>
  <sheetFormatPr defaultRowHeight="15" x14ac:dyDescent="0.25"/>
  <cols>
    <col min="1" max="1" width="2.28515625" style="26" customWidth="1"/>
    <col min="2" max="2" width="9.140625" style="26"/>
    <col min="3" max="3" width="14.28515625" style="26" customWidth="1"/>
    <col min="4" max="4" width="8.5703125" style="26" customWidth="1"/>
    <col min="5" max="5" width="11" style="26" bestFit="1" customWidth="1"/>
    <col min="6" max="6" width="7.42578125" style="26" bestFit="1" customWidth="1"/>
    <col min="7" max="7" width="12.7109375" style="26" customWidth="1"/>
    <col min="8" max="8" width="4.140625" style="26" customWidth="1"/>
    <col min="9" max="9" width="13.5703125" style="26" customWidth="1"/>
    <col min="10" max="10" width="8.28515625" style="26" customWidth="1"/>
    <col min="11" max="11" width="6.85546875" style="26" customWidth="1"/>
    <col min="12" max="12" width="14.42578125" style="26" bestFit="1" customWidth="1"/>
    <col min="13" max="13" width="9" style="26" customWidth="1"/>
    <col min="14" max="14" width="13.42578125" style="26" customWidth="1"/>
    <col min="15" max="15" width="3" style="26" bestFit="1" customWidth="1"/>
    <col min="16" max="16" width="27.42578125" style="42" bestFit="1" customWidth="1"/>
    <col min="17" max="17" width="7" style="42" bestFit="1" customWidth="1"/>
    <col min="18" max="18" width="15.140625" style="42" bestFit="1" customWidth="1"/>
    <col min="19" max="19" width="10.28515625" style="42" customWidth="1"/>
    <col min="20" max="20" width="9.28515625" style="42" bestFit="1" customWidth="1"/>
    <col min="21" max="21" width="1.85546875" style="42" customWidth="1"/>
    <col min="22" max="22" width="4.5703125" style="42" bestFit="1" customWidth="1"/>
    <col min="23" max="23" width="6.7109375" style="42" customWidth="1"/>
    <col min="24" max="24" width="3.28515625" style="42" bestFit="1" customWidth="1"/>
    <col min="25" max="25" width="4.5703125" style="42" bestFit="1" customWidth="1"/>
    <col min="26" max="26" width="1.5703125" style="42" customWidth="1"/>
    <col min="27" max="27" width="9.140625" style="42"/>
    <col min="28" max="28" width="5.5703125" style="42" bestFit="1" customWidth="1"/>
    <col min="29" max="29" width="4.85546875" style="42" bestFit="1" customWidth="1"/>
    <col min="30" max="30" width="1.7109375" style="42" customWidth="1"/>
    <col min="31" max="31" width="8.42578125" style="42" bestFit="1" customWidth="1"/>
    <col min="32" max="35" width="8.28515625" style="42" bestFit="1" customWidth="1"/>
    <col min="36" max="36" width="2.85546875" style="42" customWidth="1"/>
    <col min="37" max="37" width="13.140625" style="42" bestFit="1" customWidth="1"/>
    <col min="38" max="39" width="9.140625" style="26"/>
    <col min="40" max="41" width="8.85546875" style="26" customWidth="1"/>
    <col min="42" max="16384" width="9.140625" style="26"/>
  </cols>
  <sheetData>
    <row r="1" spans="2:41" x14ac:dyDescent="0.25">
      <c r="P1" s="48"/>
      <c r="Q1" s="49"/>
      <c r="R1" s="49"/>
      <c r="S1" s="50"/>
      <c r="T1" s="49"/>
      <c r="U1" s="51"/>
      <c r="V1" s="51"/>
      <c r="W1" s="51"/>
      <c r="X1" s="51"/>
      <c r="Y1" s="51"/>
      <c r="Z1" s="51"/>
      <c r="AA1" s="51"/>
      <c r="AB1" s="51"/>
      <c r="AC1" s="51"/>
      <c r="AD1" s="52"/>
      <c r="AE1" s="51"/>
      <c r="AF1" s="51"/>
      <c r="AG1" s="51"/>
      <c r="AI1" s="51"/>
      <c r="AK1" s="186">
        <v>3295</v>
      </c>
    </row>
    <row r="2" spans="2:41" x14ac:dyDescent="0.25">
      <c r="B2" s="22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53" t="s">
        <v>68</v>
      </c>
      <c r="Q2" s="54" t="s">
        <v>53</v>
      </c>
      <c r="R2" s="54" t="s">
        <v>54</v>
      </c>
      <c r="S2" s="54" t="s">
        <v>55</v>
      </c>
      <c r="T2" s="54" t="s">
        <v>56</v>
      </c>
      <c r="U2" s="51"/>
      <c r="V2" s="55" t="s">
        <v>57</v>
      </c>
      <c r="W2" s="55" t="s">
        <v>58</v>
      </c>
      <c r="X2" s="55" t="s">
        <v>59</v>
      </c>
      <c r="Y2" s="64" t="s">
        <v>47</v>
      </c>
      <c r="Z2" s="51"/>
      <c r="AA2" s="55" t="s">
        <v>60</v>
      </c>
      <c r="AB2" s="55" t="s">
        <v>61</v>
      </c>
      <c r="AC2" s="55" t="s">
        <v>163</v>
      </c>
      <c r="AD2" s="51"/>
      <c r="AE2" s="65" t="s">
        <v>46</v>
      </c>
      <c r="AF2" s="64" t="s">
        <v>48</v>
      </c>
      <c r="AG2" s="64" t="s">
        <v>49</v>
      </c>
      <c r="AH2" s="64" t="s">
        <v>50</v>
      </c>
      <c r="AI2" s="64" t="s">
        <v>51</v>
      </c>
      <c r="AK2" s="64" t="s">
        <v>52</v>
      </c>
    </row>
    <row r="3" spans="2:41" x14ac:dyDescent="0.25">
      <c r="B3" s="27">
        <v>1</v>
      </c>
      <c r="C3" s="17">
        <v>168525</v>
      </c>
      <c r="P3" s="31" t="s">
        <v>62</v>
      </c>
      <c r="Q3" s="82">
        <v>25</v>
      </c>
      <c r="R3" s="32" t="s">
        <v>63</v>
      </c>
      <c r="S3" s="33"/>
      <c r="T3" s="33"/>
      <c r="U3" s="30"/>
      <c r="V3" s="91">
        <v>0.85</v>
      </c>
      <c r="W3" s="33">
        <v>365</v>
      </c>
      <c r="X3" s="33"/>
      <c r="Y3" s="89">
        <v>2.8</v>
      </c>
      <c r="Z3" s="30"/>
      <c r="AA3" s="180">
        <v>1.45</v>
      </c>
      <c r="AB3" s="181">
        <v>1</v>
      </c>
      <c r="AC3" s="177">
        <v>1.8</v>
      </c>
      <c r="AD3" s="30"/>
      <c r="AE3" s="56"/>
      <c r="AF3" s="56">
        <f>AE3/W3/V3*Y3*Q3</f>
        <v>0</v>
      </c>
      <c r="AG3" s="60">
        <f>AF3*AA3</f>
        <v>0</v>
      </c>
      <c r="AH3" s="60">
        <f>AF3*AC3-AG3</f>
        <v>0</v>
      </c>
      <c r="AI3" s="60">
        <f>AH3+AG3</f>
        <v>0</v>
      </c>
      <c r="AK3" s="56">
        <f>AI3*AB3*$AK$1</f>
        <v>0</v>
      </c>
    </row>
    <row r="4" spans="2:41" x14ac:dyDescent="0.25">
      <c r="B4" s="15" t="s">
        <v>1</v>
      </c>
      <c r="D4" s="13">
        <v>0.15</v>
      </c>
      <c r="E4" s="28">
        <f>D4*$C$3</f>
        <v>25278.75</v>
      </c>
      <c r="I4" s="26" t="s">
        <v>21</v>
      </c>
      <c r="K4" s="13">
        <v>8.2000000000000003E-2</v>
      </c>
      <c r="L4" s="29">
        <f>K4*(E6-E10)</f>
        <v>8030.6092503</v>
      </c>
      <c r="P4" s="31" t="s">
        <v>29</v>
      </c>
      <c r="Q4" s="82">
        <v>18</v>
      </c>
      <c r="R4" s="32" t="s">
        <v>63</v>
      </c>
      <c r="S4" s="33"/>
      <c r="T4" s="33"/>
      <c r="U4" s="30"/>
      <c r="V4" s="91">
        <v>0.85</v>
      </c>
      <c r="W4" s="33">
        <v>365</v>
      </c>
      <c r="X4" s="33"/>
      <c r="Y4" s="90">
        <v>12</v>
      </c>
      <c r="Z4" s="30"/>
      <c r="AA4" s="180">
        <v>1.45</v>
      </c>
      <c r="AB4" s="181">
        <v>1.2</v>
      </c>
      <c r="AC4" s="178">
        <v>1.8</v>
      </c>
      <c r="AD4" s="30"/>
      <c r="AE4" s="57">
        <f>L8</f>
        <v>5103.27405</v>
      </c>
      <c r="AF4" s="57">
        <f>AE4/W4/V4*Y4*Q4</f>
        <v>3552.9643668009676</v>
      </c>
      <c r="AG4" s="61">
        <f>AF4*AA4</f>
        <v>5151.7983318614024</v>
      </c>
      <c r="AH4" s="61">
        <f>AF4*AC4-AG4</f>
        <v>1243.5375283803396</v>
      </c>
      <c r="AI4" s="61">
        <f>AH4+AG4</f>
        <v>6395.335860241742</v>
      </c>
      <c r="AJ4" s="30"/>
      <c r="AK4" s="57">
        <f>AI4*AB4*$AK$1</f>
        <v>25287157.991395846</v>
      </c>
      <c r="AL4" s="88">
        <f>AF4/Q4</f>
        <v>197.38690926672041</v>
      </c>
      <c r="AN4" s="111">
        <f>AK4/$E$6</f>
        <v>208.11358066075749</v>
      </c>
    </row>
    <row r="5" spans="2:41" x14ac:dyDescent="0.25">
      <c r="B5" s="15" t="s">
        <v>2</v>
      </c>
      <c r="D5" s="13">
        <v>0.129</v>
      </c>
      <c r="E5" s="28">
        <f>D5*$C$3</f>
        <v>21739.725000000002</v>
      </c>
      <c r="P5" s="35" t="s">
        <v>64</v>
      </c>
      <c r="Q5" s="83">
        <v>23</v>
      </c>
      <c r="R5" s="32" t="s">
        <v>63</v>
      </c>
      <c r="S5" s="33"/>
      <c r="T5" s="33"/>
      <c r="U5" s="30"/>
      <c r="V5" s="91">
        <v>0.85</v>
      </c>
      <c r="W5" s="33">
        <v>365</v>
      </c>
      <c r="X5" s="33"/>
      <c r="Y5" s="90">
        <v>2</v>
      </c>
      <c r="Z5" s="30"/>
      <c r="AA5" s="180">
        <v>1.45</v>
      </c>
      <c r="AB5" s="181">
        <v>1.1000000000000001</v>
      </c>
      <c r="AC5" s="178">
        <v>1.8</v>
      </c>
      <c r="AD5" s="30"/>
      <c r="AE5" s="57"/>
      <c r="AF5" s="57">
        <f>AE5/W5/V5*Y5*Q5</f>
        <v>0</v>
      </c>
      <c r="AG5" s="61">
        <f>AF5*AA5</f>
        <v>0</v>
      </c>
      <c r="AH5" s="61">
        <f>AF5*AC5-AG5</f>
        <v>0</v>
      </c>
      <c r="AI5" s="61">
        <f>AH5+AG5</f>
        <v>0</v>
      </c>
      <c r="AJ5" s="30"/>
      <c r="AK5" s="57">
        <f>AI5*AB5*$AK$1</f>
        <v>0</v>
      </c>
      <c r="AN5" s="111"/>
    </row>
    <row r="6" spans="2:41" x14ac:dyDescent="0.25">
      <c r="B6" s="15" t="s">
        <v>3</v>
      </c>
      <c r="D6" s="13">
        <v>0.72099999999999997</v>
      </c>
      <c r="E6" s="29">
        <f>D6*$C$3</f>
        <v>121506.52499999999</v>
      </c>
      <c r="I6" s="26" t="s">
        <v>9</v>
      </c>
      <c r="P6" s="31" t="s">
        <v>65</v>
      </c>
      <c r="Q6" s="83">
        <v>27</v>
      </c>
      <c r="R6" s="32" t="s">
        <v>63</v>
      </c>
      <c r="S6" s="33"/>
      <c r="T6" s="33"/>
      <c r="U6" s="30"/>
      <c r="V6" s="91">
        <v>0.85</v>
      </c>
      <c r="W6" s="33">
        <v>365</v>
      </c>
      <c r="X6" s="33"/>
      <c r="Y6" s="90">
        <v>2.8</v>
      </c>
      <c r="Z6" s="30"/>
      <c r="AA6" s="180">
        <v>1.45</v>
      </c>
      <c r="AB6" s="181">
        <v>1.1000000000000001</v>
      </c>
      <c r="AC6" s="178">
        <v>1.8</v>
      </c>
      <c r="AD6" s="30"/>
      <c r="AE6" s="57">
        <f>E6</f>
        <v>121506.52499999999</v>
      </c>
      <c r="AF6" s="57">
        <f>AE6/W6/V6*Y6*Q6</f>
        <v>29608.036390008052</v>
      </c>
      <c r="AG6" s="61">
        <f>AF6*AA6</f>
        <v>42931.652765511673</v>
      </c>
      <c r="AH6" s="61">
        <f>AF6*AC6-AG6</f>
        <v>10362.812736502819</v>
      </c>
      <c r="AI6" s="61">
        <f>AH6+AG6</f>
        <v>53294.465502014493</v>
      </c>
      <c r="AJ6" s="30"/>
      <c r="AK6" s="57">
        <f>AI6*AB6*$AK$1</f>
        <v>193165790.21205157</v>
      </c>
      <c r="AL6" s="88">
        <f>AF6/Q6</f>
        <v>1096.5939403706686</v>
      </c>
      <c r="AN6" s="111">
        <f t="shared" ref="AN6:AN12" si="0">AK6/$E$6</f>
        <v>1589.7565189363418</v>
      </c>
    </row>
    <row r="7" spans="2:41" x14ac:dyDescent="0.25">
      <c r="B7" s="15"/>
      <c r="I7" s="10">
        <v>0.152</v>
      </c>
      <c r="J7" s="34">
        <f>I7*E6</f>
        <v>18468.9918</v>
      </c>
      <c r="P7" s="31" t="s">
        <v>66</v>
      </c>
      <c r="Q7" s="83">
        <v>9</v>
      </c>
      <c r="R7" s="32" t="s">
        <v>63</v>
      </c>
      <c r="S7" s="33"/>
      <c r="T7" s="33"/>
      <c r="U7" s="30"/>
      <c r="V7" s="91">
        <v>0.85</v>
      </c>
      <c r="W7" s="33">
        <v>365</v>
      </c>
      <c r="X7" s="33"/>
      <c r="Y7" s="90">
        <v>4</v>
      </c>
      <c r="Z7" s="30"/>
      <c r="AA7" s="180">
        <v>1.45</v>
      </c>
      <c r="AB7" s="181">
        <v>1.1000000000000001</v>
      </c>
      <c r="AC7" s="178">
        <v>1.8</v>
      </c>
      <c r="AD7" s="30"/>
      <c r="AE7" s="57">
        <f>L9</f>
        <v>13365.717749999998</v>
      </c>
      <c r="AF7" s="57">
        <f>AE7/W7/V7*Y7*Q7</f>
        <v>1550.8971442385173</v>
      </c>
      <c r="AG7" s="61">
        <f>AF7*AA7</f>
        <v>2248.8008591458502</v>
      </c>
      <c r="AH7" s="61">
        <f>AF7*AC7-AG7</f>
        <v>542.81400048348087</v>
      </c>
      <c r="AI7" s="61">
        <f>AH7+AG7</f>
        <v>2791.614859629331</v>
      </c>
      <c r="AJ7" s="30"/>
      <c r="AK7" s="57">
        <f>AI7*AB7*$AK$1</f>
        <v>10118208.058726512</v>
      </c>
      <c r="AL7" s="88">
        <f>AF7/Q7</f>
        <v>172.3219049153908</v>
      </c>
      <c r="AN7" s="111">
        <f t="shared" si="0"/>
        <v>83.272960515713152</v>
      </c>
    </row>
    <row r="8" spans="2:41" x14ac:dyDescent="0.25">
      <c r="B8" s="15" t="s">
        <v>93</v>
      </c>
      <c r="D8" s="13">
        <v>0.73699999999999999</v>
      </c>
      <c r="E8" s="168">
        <f>E6-E10</f>
        <v>97934.259149999998</v>
      </c>
      <c r="F8" s="110">
        <v>0.4</v>
      </c>
      <c r="I8" s="26" t="s">
        <v>10</v>
      </c>
      <c r="K8" s="14">
        <v>4.2000000000000003E-2</v>
      </c>
      <c r="L8" s="29">
        <f>K8/I7*J7</f>
        <v>5103.27405</v>
      </c>
      <c r="P8" s="31" t="s">
        <v>67</v>
      </c>
      <c r="Q8" s="83">
        <v>23</v>
      </c>
      <c r="R8" s="32" t="s">
        <v>63</v>
      </c>
      <c r="S8" s="33"/>
      <c r="T8" s="33"/>
      <c r="U8" s="30"/>
      <c r="V8" s="33"/>
      <c r="W8" s="33">
        <v>365</v>
      </c>
      <c r="X8" s="33"/>
      <c r="Y8" s="33"/>
      <c r="Z8" s="30"/>
      <c r="AA8" s="180">
        <v>1.45</v>
      </c>
      <c r="AB8" s="181">
        <v>1</v>
      </c>
      <c r="AC8" s="178">
        <v>1.8</v>
      </c>
      <c r="AD8" s="30"/>
      <c r="AE8" s="57"/>
      <c r="AF8" s="33"/>
      <c r="AG8" s="33"/>
      <c r="AH8" s="33">
        <f>AF8*AC8-AG8</f>
        <v>0</v>
      </c>
      <c r="AI8" s="33"/>
      <c r="AJ8" s="30"/>
      <c r="AK8" s="33"/>
      <c r="AN8" s="111"/>
    </row>
    <row r="9" spans="2:41" x14ac:dyDescent="0.25">
      <c r="B9" s="15"/>
      <c r="D9" s="13">
        <v>6.9000000000000006E-2</v>
      </c>
      <c r="E9" s="170"/>
      <c r="F9" s="110">
        <v>0.4</v>
      </c>
      <c r="I9" s="26" t="s">
        <v>45</v>
      </c>
      <c r="K9" s="14">
        <v>0.10999999999999999</v>
      </c>
      <c r="L9" s="29">
        <f>K9/I7*J7</f>
        <v>13365.717749999998</v>
      </c>
      <c r="P9" s="36" t="s">
        <v>69</v>
      </c>
      <c r="Q9" s="84">
        <v>175</v>
      </c>
      <c r="R9" s="32" t="s">
        <v>70</v>
      </c>
      <c r="S9" s="85">
        <v>2000</v>
      </c>
      <c r="T9" s="37"/>
      <c r="U9" s="38"/>
      <c r="V9" s="37"/>
      <c r="W9" s="37"/>
      <c r="X9" s="37"/>
      <c r="Y9" s="37"/>
      <c r="Z9" s="38"/>
      <c r="AA9" s="182">
        <v>1.45</v>
      </c>
      <c r="AB9" s="183">
        <v>1.6</v>
      </c>
      <c r="AC9" s="178">
        <v>1.8</v>
      </c>
      <c r="AD9" s="38"/>
      <c r="AE9" s="58">
        <f>E10+L4</f>
        <v>31602.8751003</v>
      </c>
      <c r="AF9" s="58">
        <f>AE9/S9*Q9</f>
        <v>2765.2515712762502</v>
      </c>
      <c r="AG9" s="62">
        <f>AF9*AA9</f>
        <v>4009.6147783505626</v>
      </c>
      <c r="AH9" s="62">
        <f>AF9*AC9-AG9</f>
        <v>967.83804994668799</v>
      </c>
      <c r="AI9" s="62">
        <f>AH9+AG9</f>
        <v>4977.4528282972506</v>
      </c>
      <c r="AJ9" s="38"/>
      <c r="AK9" s="58">
        <f>AI9*AB9*$AK$1</f>
        <v>26241131.310783103</v>
      </c>
      <c r="AL9" s="88">
        <f>AF9/Q9</f>
        <v>15.80143755015</v>
      </c>
      <c r="AM9" s="1">
        <f>AL9/AL9</f>
        <v>1</v>
      </c>
      <c r="AN9" s="111">
        <f t="shared" si="0"/>
        <v>215.96479128000001</v>
      </c>
      <c r="AO9" s="166">
        <f>AL9/(E10+L4)</f>
        <v>5.0000000000000001E-4</v>
      </c>
    </row>
    <row r="10" spans="2:41" x14ac:dyDescent="0.25">
      <c r="B10" s="15" t="s">
        <v>4</v>
      </c>
      <c r="D10" s="13">
        <v>0.19400000000000001</v>
      </c>
      <c r="E10" s="29">
        <f>D10*E6</f>
        <v>23572.26585</v>
      </c>
      <c r="F10" s="11"/>
      <c r="P10" s="36" t="s">
        <v>71</v>
      </c>
      <c r="Q10" s="84">
        <v>175</v>
      </c>
      <c r="R10" s="32" t="s">
        <v>70</v>
      </c>
      <c r="S10" s="85">
        <v>1200</v>
      </c>
      <c r="T10" s="37"/>
      <c r="U10" s="38"/>
      <c r="V10" s="37"/>
      <c r="W10" s="37"/>
      <c r="X10" s="37"/>
      <c r="Y10" s="37"/>
      <c r="Z10" s="38"/>
      <c r="AA10" s="182">
        <v>1.45</v>
      </c>
      <c r="AB10" s="183">
        <v>1.6</v>
      </c>
      <c r="AC10" s="178">
        <v>1.8</v>
      </c>
      <c r="AD10" s="38"/>
      <c r="AE10" s="58"/>
      <c r="AF10" s="58">
        <f>AE10/S10*Q10</f>
        <v>0</v>
      </c>
      <c r="AG10" s="62">
        <f>AF10*AA10</f>
        <v>0</v>
      </c>
      <c r="AH10" s="62">
        <f>AF10*AC10-AG10</f>
        <v>0</v>
      </c>
      <c r="AI10" s="62">
        <f>AH10+AG10</f>
        <v>0</v>
      </c>
      <c r="AJ10" s="38"/>
      <c r="AK10" s="58">
        <f>AI10*AB10*$AK$1</f>
        <v>0</v>
      </c>
      <c r="AN10" s="111"/>
    </row>
    <row r="11" spans="2:41" x14ac:dyDescent="0.25">
      <c r="B11" s="15"/>
      <c r="D11" s="119"/>
      <c r="F11" s="11"/>
      <c r="I11" s="3" t="s">
        <v>25</v>
      </c>
      <c r="P11" s="36" t="s">
        <v>72</v>
      </c>
      <c r="Q11" s="85">
        <v>85</v>
      </c>
      <c r="R11" s="32" t="s">
        <v>73</v>
      </c>
      <c r="S11" s="85">
        <v>120</v>
      </c>
      <c r="T11" s="37"/>
      <c r="U11" s="66"/>
      <c r="V11" s="37"/>
      <c r="W11" s="37"/>
      <c r="X11" s="37"/>
      <c r="Y11" s="37"/>
      <c r="Z11" s="66"/>
      <c r="AA11" s="182">
        <v>1.45</v>
      </c>
      <c r="AB11" s="183">
        <v>1.1000000000000001</v>
      </c>
      <c r="AC11" s="178">
        <v>1.8</v>
      </c>
      <c r="AD11" s="38"/>
      <c r="AE11" s="58"/>
      <c r="AF11" s="58">
        <f>AE11/S11*Q11</f>
        <v>0</v>
      </c>
      <c r="AG11" s="62">
        <f>AF11*AA11</f>
        <v>0</v>
      </c>
      <c r="AH11" s="62">
        <f>AF11*AC11-AG11</f>
        <v>0</v>
      </c>
      <c r="AI11" s="62">
        <f>AH11+AG11</f>
        <v>0</v>
      </c>
      <c r="AJ11" s="38"/>
      <c r="AK11" s="58">
        <f>AI11*AB11*$AK$1</f>
        <v>0</v>
      </c>
      <c r="AN11" s="111"/>
    </row>
    <row r="12" spans="2:41" x14ac:dyDescent="0.25">
      <c r="B12" s="15" t="s">
        <v>5</v>
      </c>
      <c r="D12" s="13">
        <v>0.39300000000000002</v>
      </c>
      <c r="E12" s="168">
        <f>E10-E15</f>
        <v>16429.869297450001</v>
      </c>
      <c r="F12" s="110">
        <v>0.5</v>
      </c>
      <c r="I12" s="26" t="s">
        <v>22</v>
      </c>
      <c r="K12" s="14">
        <v>0.215</v>
      </c>
      <c r="L12" s="29">
        <f>(E6-E10)*K12</f>
        <v>21055.865717249999</v>
      </c>
      <c r="P12" s="39" t="s">
        <v>72</v>
      </c>
      <c r="Q12" s="86">
        <v>85</v>
      </c>
      <c r="R12" s="41" t="s">
        <v>74</v>
      </c>
      <c r="S12" s="86">
        <v>400</v>
      </c>
      <c r="T12" s="40"/>
      <c r="U12" s="66"/>
      <c r="V12" s="40"/>
      <c r="W12" s="40"/>
      <c r="X12" s="40"/>
      <c r="Y12" s="40"/>
      <c r="Z12" s="66"/>
      <c r="AA12" s="184">
        <v>1.45</v>
      </c>
      <c r="AB12" s="185">
        <v>1.1000000000000001</v>
      </c>
      <c r="AC12" s="179">
        <v>1.8</v>
      </c>
      <c r="AD12" s="38"/>
      <c r="AE12" s="59">
        <f>E6</f>
        <v>121506.52499999999</v>
      </c>
      <c r="AF12" s="59">
        <f>AE12/S12*Q12</f>
        <v>25820.136562499996</v>
      </c>
      <c r="AG12" s="63">
        <f>AF12*AA12</f>
        <v>37439.198015624992</v>
      </c>
      <c r="AH12" s="63">
        <f>AF12*AC12-AG12</f>
        <v>9037.0477968750056</v>
      </c>
      <c r="AI12" s="63">
        <f>AH12+AG12</f>
        <v>46476.245812499998</v>
      </c>
      <c r="AJ12" s="38"/>
      <c r="AK12" s="59">
        <f>AI12*AB12*$AK$1</f>
        <v>168453152.94740626</v>
      </c>
      <c r="AL12" s="88">
        <f>AF12/Q12</f>
        <v>303.76631249999997</v>
      </c>
      <c r="AN12" s="111">
        <f t="shared" si="0"/>
        <v>1386.3712500000001</v>
      </c>
    </row>
    <row r="13" spans="2:41" x14ac:dyDescent="0.25">
      <c r="B13" s="15" t="s">
        <v>6</v>
      </c>
      <c r="D13" s="13">
        <v>4.7E-2</v>
      </c>
      <c r="E13" s="169"/>
      <c r="F13" s="110">
        <v>0.5</v>
      </c>
      <c r="I13" s="3" t="s">
        <v>23</v>
      </c>
      <c r="K13" s="14">
        <v>0.15</v>
      </c>
      <c r="L13" s="29">
        <f>(E6-E10)*K13</f>
        <v>14690.1388725</v>
      </c>
      <c r="AK13" s="26"/>
      <c r="AN13" s="111"/>
    </row>
    <row r="14" spans="2:41" x14ac:dyDescent="0.25">
      <c r="B14" s="15" t="s">
        <v>7</v>
      </c>
      <c r="D14" s="13">
        <v>0.25700000000000001</v>
      </c>
      <c r="E14" s="170"/>
      <c r="F14" s="110">
        <v>0.4</v>
      </c>
      <c r="AI14" s="29">
        <f>SUM(AI3:AI12)</f>
        <v>113935.11486268281</v>
      </c>
      <c r="AK14" s="29">
        <f>SUM(AK3:AK12)</f>
        <v>423265440.52036333</v>
      </c>
      <c r="AN14" s="165">
        <f>SUM(AN4:AN13)</f>
        <v>3483.4791013928125</v>
      </c>
    </row>
    <row r="15" spans="2:41" x14ac:dyDescent="0.25">
      <c r="B15" s="15" t="s">
        <v>8</v>
      </c>
      <c r="D15" s="13">
        <f>1-SUM(D12:D14)</f>
        <v>0.30299999999999994</v>
      </c>
      <c r="E15" s="29">
        <f>D15*E10</f>
        <v>7142.396552549998</v>
      </c>
      <c r="F15" s="110">
        <v>0.4</v>
      </c>
      <c r="AI15" s="164">
        <f>AI14/E6</f>
        <v>0.93768721360999185</v>
      </c>
      <c r="AK15" s="164">
        <f>AK14/E6</f>
        <v>3483.4791013928129</v>
      </c>
      <c r="AN15" s="44"/>
    </row>
    <row r="17" spans="2:30" ht="15" customHeight="1" x14ac:dyDescent="0.25">
      <c r="B17" s="21" t="s">
        <v>80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P17" s="68"/>
      <c r="Q17" s="69"/>
      <c r="R17" s="69"/>
      <c r="S17" s="69"/>
      <c r="T17" s="69"/>
      <c r="U17" s="69"/>
      <c r="V17" s="69"/>
      <c r="W17" s="69"/>
      <c r="X17" s="69"/>
      <c r="Y17" s="69"/>
      <c r="Z17" s="70"/>
    </row>
    <row r="18" spans="2:30" ht="15.75" x14ac:dyDescent="0.25">
      <c r="B18" s="8" t="s">
        <v>11</v>
      </c>
      <c r="C18" s="78" t="s">
        <v>109</v>
      </c>
      <c r="D18" s="117">
        <v>60</v>
      </c>
      <c r="F18" s="26" t="s">
        <v>32</v>
      </c>
      <c r="G18" s="26" t="s">
        <v>39</v>
      </c>
      <c r="I18" s="8" t="s">
        <v>11</v>
      </c>
      <c r="J18" s="3"/>
      <c r="K18" s="11">
        <v>40</v>
      </c>
      <c r="M18" s="26" t="s">
        <v>32</v>
      </c>
      <c r="N18" s="26" t="s">
        <v>39</v>
      </c>
      <c r="P18" s="109" t="s">
        <v>99</v>
      </c>
      <c r="Q18" s="108"/>
      <c r="R18" s="108"/>
      <c r="S18" s="71"/>
      <c r="T18" s="71"/>
      <c r="U18" s="71"/>
      <c r="V18" s="71"/>
      <c r="W18" s="71"/>
      <c r="X18" s="71"/>
      <c r="Y18" s="71"/>
      <c r="Z18" s="72"/>
    </row>
    <row r="19" spans="2:30" x14ac:dyDescent="0.25">
      <c r="B19" s="20" t="s">
        <v>12</v>
      </c>
      <c r="C19" s="43"/>
      <c r="D19" s="43"/>
      <c r="E19" s="43"/>
      <c r="F19" s="43"/>
      <c r="G19" s="43"/>
      <c r="I19" s="43" t="s">
        <v>21</v>
      </c>
      <c r="J19" s="43"/>
      <c r="K19" s="43"/>
      <c r="L19" s="43"/>
      <c r="M19" s="43"/>
      <c r="N19" s="43"/>
      <c r="P19" s="67" t="s">
        <v>82</v>
      </c>
      <c r="Q19" s="71"/>
      <c r="R19" s="71"/>
      <c r="S19" s="71"/>
      <c r="T19" s="71"/>
      <c r="U19" s="71"/>
      <c r="V19" s="71"/>
      <c r="W19" s="71"/>
      <c r="X19" s="71"/>
      <c r="Y19" s="71"/>
      <c r="Z19" s="72"/>
    </row>
    <row r="20" spans="2:30" x14ac:dyDescent="0.25">
      <c r="B20" s="19" t="s">
        <v>14</v>
      </c>
      <c r="D20" s="11">
        <v>1</v>
      </c>
      <c r="E20" s="44">
        <f>D20*$E$15</f>
        <v>7142.396552549998</v>
      </c>
      <c r="F20" s="45">
        <f t="shared" ref="F20:F26" si="1">E20*$D$18/$I$52</f>
        <v>4.799997683165321</v>
      </c>
      <c r="G20" s="4">
        <f>VLOOKUP(B20,$B$46:$E$55,4,FALSE)*F20</f>
        <v>1032133.9018156726</v>
      </c>
      <c r="I20" s="19" t="s">
        <v>14</v>
      </c>
      <c r="K20" s="11">
        <v>1</v>
      </c>
      <c r="L20" s="44">
        <f>K20*$L$4</f>
        <v>8030.6092503</v>
      </c>
      <c r="M20" s="45">
        <f>L20*$K$18/$I$52</f>
        <v>3.5979432124999997</v>
      </c>
      <c r="N20" s="4">
        <f>VLOOKUP(I20,$B$46:$E$55,4,FALSE)*M20</f>
        <v>773658.53309744992</v>
      </c>
      <c r="P20" s="103"/>
      <c r="Q20" s="104" t="s">
        <v>83</v>
      </c>
      <c r="R20" s="105"/>
      <c r="S20" s="105"/>
      <c r="T20" s="105"/>
      <c r="U20" s="105"/>
      <c r="V20" s="105"/>
      <c r="W20" s="105"/>
      <c r="X20" s="105"/>
      <c r="Y20" s="71"/>
      <c r="Z20" s="72"/>
    </row>
    <row r="21" spans="2:30" x14ac:dyDescent="0.25">
      <c r="B21" s="19" t="s">
        <v>15</v>
      </c>
      <c r="D21" s="11">
        <v>1</v>
      </c>
      <c r="E21" s="44">
        <f t="shared" ref="E21:E26" si="2">D21*$E$15</f>
        <v>7142.396552549998</v>
      </c>
      <c r="F21" s="45">
        <f t="shared" si="1"/>
        <v>4.799997683165321</v>
      </c>
      <c r="G21" s="4">
        <f t="shared" ref="G21:G26" si="3">VLOOKUP(B21,$B$46:$E$55,4,FALSE)*F21</f>
        <v>300614.25490127772</v>
      </c>
      <c r="I21" s="19" t="s">
        <v>15</v>
      </c>
      <c r="K21" s="11">
        <v>1</v>
      </c>
      <c r="L21" s="44">
        <f>K21*$L$4</f>
        <v>8030.6092503</v>
      </c>
      <c r="M21" s="45">
        <f>L21*$K$18/$I$52</f>
        <v>3.5979432124999997</v>
      </c>
      <c r="N21" s="4">
        <f>VLOOKUP(I21,$B$46:$E$55,4,FALSE)*M21</f>
        <v>225331.98751245</v>
      </c>
      <c r="P21" s="67"/>
      <c r="Q21" s="76" t="s">
        <v>4</v>
      </c>
      <c r="R21" s="112">
        <f>E10</f>
        <v>23572.26585</v>
      </c>
      <c r="S21" s="101" t="s">
        <v>93</v>
      </c>
      <c r="T21" s="113">
        <f>R21-T22</f>
        <v>16429.869297450001</v>
      </c>
      <c r="U21" s="71"/>
      <c r="V21" s="71"/>
      <c r="W21" s="71"/>
      <c r="X21" s="71"/>
      <c r="Y21" s="71"/>
      <c r="Z21" s="72"/>
      <c r="AD21" s="100"/>
    </row>
    <row r="22" spans="2:30" x14ac:dyDescent="0.25">
      <c r="B22" s="19" t="s">
        <v>16</v>
      </c>
      <c r="D22" s="11">
        <v>2</v>
      </c>
      <c r="E22" s="44">
        <f t="shared" si="2"/>
        <v>14284.793105099996</v>
      </c>
      <c r="F22" s="45">
        <f t="shared" si="1"/>
        <v>9.5999953663306421</v>
      </c>
      <c r="G22" s="4">
        <f t="shared" si="3"/>
        <v>601228.50980255543</v>
      </c>
      <c r="I22" s="19" t="s">
        <v>16</v>
      </c>
      <c r="K22" s="11">
        <v>2</v>
      </c>
      <c r="L22" s="44">
        <f>K22*$L$4</f>
        <v>16061.2185006</v>
      </c>
      <c r="M22" s="45">
        <f>L22*$K$18/$I$52</f>
        <v>7.1958864249999994</v>
      </c>
      <c r="N22" s="4">
        <f>VLOOKUP(I22,$B$46:$E$55,4,FALSE)*M22</f>
        <v>450663.97502489999</v>
      </c>
      <c r="P22" s="67"/>
      <c r="Q22" s="101"/>
      <c r="R22" s="101"/>
      <c r="S22" s="99" t="s">
        <v>8</v>
      </c>
      <c r="T22" s="112">
        <f>E15</f>
        <v>7142.396552549998</v>
      </c>
      <c r="U22" s="71"/>
      <c r="V22" s="71"/>
      <c r="W22" s="71"/>
      <c r="X22" s="71"/>
      <c r="Y22" s="71"/>
      <c r="Z22" s="72"/>
    </row>
    <row r="23" spans="2:30" x14ac:dyDescent="0.25">
      <c r="B23" s="19" t="s">
        <v>17</v>
      </c>
      <c r="D23" s="11">
        <v>1</v>
      </c>
      <c r="E23" s="44">
        <f t="shared" si="2"/>
        <v>7142.396552549998</v>
      </c>
      <c r="F23" s="45">
        <f t="shared" si="1"/>
        <v>4.799997683165321</v>
      </c>
      <c r="G23" s="4">
        <f t="shared" si="3"/>
        <v>1032133.9018156726</v>
      </c>
      <c r="I23" s="19" t="s">
        <v>20</v>
      </c>
      <c r="K23" s="11">
        <v>1</v>
      </c>
      <c r="L23" s="44">
        <f>K23*$L$4</f>
        <v>8030.6092503</v>
      </c>
      <c r="M23" s="45">
        <f>L23*$K$18/$I$52</f>
        <v>3.5979432124999997</v>
      </c>
      <c r="N23" s="4">
        <f>VLOOKUP(I23,$B$46:$E$55,4,FALSE)*M23</f>
        <v>773658.53309744992</v>
      </c>
      <c r="P23" s="67"/>
      <c r="Q23" s="79" t="s">
        <v>89</v>
      </c>
      <c r="R23" s="114">
        <f>E6-E10</f>
        <v>97934.259149999998</v>
      </c>
      <c r="S23" s="71"/>
      <c r="T23" s="71"/>
      <c r="U23" s="71"/>
      <c r="V23" s="71"/>
      <c r="W23" s="71"/>
      <c r="X23" s="71"/>
      <c r="Y23" s="71"/>
      <c r="Z23" s="72"/>
    </row>
    <row r="24" spans="2:30" x14ac:dyDescent="0.25">
      <c r="B24" s="19" t="s">
        <v>18</v>
      </c>
      <c r="D24" s="11">
        <v>1</v>
      </c>
      <c r="E24" s="44">
        <f t="shared" si="2"/>
        <v>7142.396552549998</v>
      </c>
      <c r="F24" s="45">
        <f t="shared" si="1"/>
        <v>4.799997683165321</v>
      </c>
      <c r="G24" s="4">
        <f t="shared" si="3"/>
        <v>318873.44608803862</v>
      </c>
      <c r="I24" s="19" t="s">
        <v>18</v>
      </c>
      <c r="K24" s="11">
        <v>1</v>
      </c>
      <c r="L24" s="44">
        <f>K24*$L$4</f>
        <v>8030.6092503</v>
      </c>
      <c r="M24" s="45">
        <f>L24*$K$18/$I$52</f>
        <v>3.5979432124999997</v>
      </c>
      <c r="N24" s="4">
        <f>VLOOKUP(I24,$B$46:$E$55,4,FALSE)*M24</f>
        <v>239018.56349279999</v>
      </c>
      <c r="P24" s="67"/>
      <c r="Q24" s="71" t="s">
        <v>85</v>
      </c>
      <c r="R24" s="112">
        <f>E6</f>
        <v>121506.52499999999</v>
      </c>
      <c r="S24" s="71"/>
      <c r="T24" s="71"/>
      <c r="U24" s="71"/>
      <c r="V24" s="71"/>
      <c r="W24" s="71"/>
      <c r="X24" s="71"/>
      <c r="Y24" s="71"/>
      <c r="Z24" s="72"/>
    </row>
    <row r="25" spans="2:30" x14ac:dyDescent="0.25">
      <c r="B25" s="19" t="s">
        <v>19</v>
      </c>
      <c r="D25" s="11">
        <v>1</v>
      </c>
      <c r="E25" s="44">
        <f t="shared" si="2"/>
        <v>7142.396552549998</v>
      </c>
      <c r="F25" s="45">
        <f t="shared" si="1"/>
        <v>4.799997683165321</v>
      </c>
      <c r="G25" s="4">
        <f t="shared" si="3"/>
        <v>318873.44608803862</v>
      </c>
      <c r="I25" s="43" t="s">
        <v>27</v>
      </c>
      <c r="J25" s="43"/>
      <c r="K25" s="43"/>
      <c r="L25" s="81">
        <v>150</v>
      </c>
      <c r="M25" s="16" t="s">
        <v>76</v>
      </c>
      <c r="N25" s="43"/>
      <c r="P25" s="67"/>
      <c r="Q25" s="76" t="s">
        <v>101</v>
      </c>
      <c r="R25" s="112">
        <f>L4</f>
        <v>8030.6092503</v>
      </c>
      <c r="S25" s="71"/>
      <c r="T25" s="71"/>
      <c r="U25" s="71"/>
      <c r="V25" s="71"/>
      <c r="W25" s="71"/>
      <c r="X25" s="71"/>
      <c r="Y25" s="71"/>
      <c r="Z25" s="72"/>
    </row>
    <row r="26" spans="2:30" x14ac:dyDescent="0.25">
      <c r="B26" s="19" t="s">
        <v>20</v>
      </c>
      <c r="D26" s="11">
        <v>1</v>
      </c>
      <c r="E26" s="44">
        <f t="shared" si="2"/>
        <v>7142.396552549998</v>
      </c>
      <c r="F26" s="45">
        <f t="shared" si="1"/>
        <v>4.799997683165321</v>
      </c>
      <c r="G26" s="4">
        <f t="shared" si="3"/>
        <v>1032133.9018156726</v>
      </c>
      <c r="I26" s="43"/>
      <c r="J26" s="43"/>
      <c r="K26" s="43"/>
      <c r="L26" s="81">
        <v>66</v>
      </c>
      <c r="M26" s="16" t="s">
        <v>76</v>
      </c>
      <c r="N26" s="43"/>
      <c r="P26" s="67"/>
      <c r="Q26" s="77" t="s">
        <v>100</v>
      </c>
      <c r="R26" s="77" t="s">
        <v>105</v>
      </c>
      <c r="S26" s="71"/>
      <c r="T26" s="77" t="s">
        <v>107</v>
      </c>
      <c r="U26" s="71"/>
      <c r="V26" s="71"/>
      <c r="W26" s="71"/>
      <c r="X26" s="71"/>
      <c r="Y26" s="71"/>
      <c r="Z26" s="72"/>
    </row>
    <row r="27" spans="2:30" x14ac:dyDescent="0.25">
      <c r="B27" s="20" t="s">
        <v>13</v>
      </c>
      <c r="C27" s="43"/>
      <c r="D27" s="12">
        <v>60</v>
      </c>
      <c r="E27" s="43"/>
      <c r="F27" s="46"/>
      <c r="G27" s="43"/>
      <c r="I27" s="19" t="s">
        <v>31</v>
      </c>
      <c r="K27" s="11">
        <v>1</v>
      </c>
      <c r="L27" s="44">
        <f>E6*K27/L25</f>
        <v>810.04349999999999</v>
      </c>
      <c r="M27" s="47">
        <f>L27</f>
        <v>810.04349999999999</v>
      </c>
      <c r="N27" s="4">
        <f>VLOOKUP(I27,$B$46:$E$55,4,FALSE)*M27</f>
        <v>61910004.618000001</v>
      </c>
      <c r="P27" s="67"/>
      <c r="R27" s="102" t="s">
        <v>106</v>
      </c>
      <c r="S27" s="71"/>
      <c r="T27" s="102" t="s">
        <v>106</v>
      </c>
      <c r="U27" s="71"/>
      <c r="V27" s="71"/>
      <c r="W27" s="71"/>
      <c r="X27" s="71"/>
      <c r="Y27" s="71"/>
      <c r="Z27" s="72"/>
    </row>
    <row r="28" spans="2:30" x14ac:dyDescent="0.25">
      <c r="B28" s="19" t="s">
        <v>14</v>
      </c>
      <c r="D28" s="11">
        <v>1</v>
      </c>
      <c r="E28" s="44">
        <f>D28*$E$12</f>
        <v>16429.869297450001</v>
      </c>
      <c r="F28" s="45">
        <f t="shared" ref="F28:F33" si="4">E28*$D$27/$I$52</f>
        <v>11.041578828931453</v>
      </c>
      <c r="G28" s="4">
        <f t="shared" ref="G28:G33" si="5">VLOOKUP(B28,$B$46:$E$55,4,FALSE)*F28</f>
        <v>2374248.6124274726</v>
      </c>
      <c r="I28" s="19" t="s">
        <v>18</v>
      </c>
      <c r="K28" s="11">
        <v>1</v>
      </c>
      <c r="L28" s="44">
        <f>E6*K28/L26</f>
        <v>1841.0079545454544</v>
      </c>
      <c r="M28" s="47">
        <f>L28</f>
        <v>1841.0079545454544</v>
      </c>
      <c r="N28" s="4">
        <f>VLOOKUP(I28,$B$46:$E$55,4,FALSE)*M28</f>
        <v>122301840.43636362</v>
      </c>
      <c r="P28" s="67"/>
      <c r="Q28" s="76" t="s">
        <v>89</v>
      </c>
      <c r="R28" s="115">
        <f>E8*F8</f>
        <v>39173.703659999999</v>
      </c>
      <c r="S28" s="71"/>
      <c r="T28" s="115">
        <f>E8-R28</f>
        <v>58760.555489999999</v>
      </c>
      <c r="U28" s="71"/>
      <c r="V28" s="71"/>
      <c r="W28" s="71"/>
      <c r="X28" s="71"/>
      <c r="Y28" s="71"/>
      <c r="Z28" s="72"/>
    </row>
    <row r="29" spans="2:30" x14ac:dyDescent="0.25">
      <c r="B29" s="19" t="s">
        <v>15</v>
      </c>
      <c r="D29" s="11">
        <v>1</v>
      </c>
      <c r="E29" s="44">
        <f t="shared" ref="E29:E33" si="6">D29*$E$12</f>
        <v>16429.869297450001</v>
      </c>
      <c r="F29" s="45">
        <f t="shared" si="4"/>
        <v>11.041578828931453</v>
      </c>
      <c r="G29" s="4">
        <f t="shared" si="5"/>
        <v>691511.99889831897</v>
      </c>
      <c r="I29" s="43" t="s">
        <v>29</v>
      </c>
      <c r="J29" s="43"/>
      <c r="K29" s="12" t="s">
        <v>78</v>
      </c>
      <c r="L29" s="18">
        <v>2</v>
      </c>
      <c r="M29" s="43" t="s">
        <v>75</v>
      </c>
      <c r="N29" s="12">
        <v>12</v>
      </c>
      <c r="P29" s="67"/>
      <c r="Q29" s="76" t="s">
        <v>102</v>
      </c>
      <c r="R29" s="115">
        <f>(D12+D13)*F12*E10</f>
        <v>5185.8984870000004</v>
      </c>
      <c r="S29" s="71"/>
      <c r="T29" s="115">
        <f>(D12+D13)*(1-F12)*E10</f>
        <v>5185.8984870000004</v>
      </c>
      <c r="U29" s="71"/>
      <c r="V29" s="71"/>
      <c r="W29" s="71"/>
      <c r="X29" s="71"/>
      <c r="Y29" s="71"/>
      <c r="Z29" s="72"/>
    </row>
    <row r="30" spans="2:30" x14ac:dyDescent="0.25">
      <c r="B30" s="19" t="s">
        <v>16</v>
      </c>
      <c r="D30" s="11">
        <v>2</v>
      </c>
      <c r="E30" s="44">
        <f t="shared" si="6"/>
        <v>32859.738594900002</v>
      </c>
      <c r="F30" s="45">
        <f t="shared" si="4"/>
        <v>22.083157657862905</v>
      </c>
      <c r="G30" s="4">
        <f t="shared" si="5"/>
        <v>1383023.9977966379</v>
      </c>
      <c r="I30" s="19" t="s">
        <v>19</v>
      </c>
      <c r="K30" s="11">
        <v>1</v>
      </c>
      <c r="L30" s="44">
        <f>L8*K30/L29</f>
        <v>2551.637025</v>
      </c>
      <c r="M30" s="47">
        <f>L30*N29/365</f>
        <v>83.889436438356171</v>
      </c>
      <c r="N30" s="4">
        <f>VLOOKUP(I30,$B$46:$E$55,4,FALSE)*M30</f>
        <v>5572943.0414728774</v>
      </c>
      <c r="P30" s="67"/>
      <c r="Q30" s="76" t="s">
        <v>103</v>
      </c>
      <c r="R30" s="115">
        <f>D14*F14*E10</f>
        <v>2423.22892938</v>
      </c>
      <c r="S30" s="71"/>
      <c r="T30" s="115">
        <f>D14*(1-F14)*E10</f>
        <v>3634.8433940700002</v>
      </c>
      <c r="U30" s="71"/>
      <c r="V30" s="71"/>
      <c r="W30" s="71"/>
      <c r="X30" s="71"/>
      <c r="Y30" s="71"/>
      <c r="Z30" s="72"/>
    </row>
    <row r="31" spans="2:30" x14ac:dyDescent="0.25">
      <c r="B31" s="19" t="s">
        <v>17</v>
      </c>
      <c r="D31" s="11">
        <v>1</v>
      </c>
      <c r="E31" s="44">
        <f t="shared" si="6"/>
        <v>16429.869297450001</v>
      </c>
      <c r="F31" s="45">
        <f t="shared" si="4"/>
        <v>11.041578828931453</v>
      </c>
      <c r="G31" s="4">
        <f t="shared" si="5"/>
        <v>2374248.6124274726</v>
      </c>
      <c r="I31" s="43" t="s">
        <v>28</v>
      </c>
      <c r="J31" s="43"/>
      <c r="K31" s="12" t="s">
        <v>77</v>
      </c>
      <c r="L31" s="18">
        <v>4</v>
      </c>
      <c r="M31" s="43" t="s">
        <v>75</v>
      </c>
      <c r="N31" s="12">
        <v>4</v>
      </c>
      <c r="P31" s="67"/>
      <c r="Q31" s="76" t="s">
        <v>104</v>
      </c>
      <c r="R31" s="115">
        <f>F15*E15</f>
        <v>2856.9586210199996</v>
      </c>
      <c r="S31" s="71"/>
      <c r="T31" s="115">
        <f>E15-R31</f>
        <v>4285.4379315299984</v>
      </c>
      <c r="U31" s="71"/>
      <c r="V31" s="71"/>
      <c r="W31" s="71"/>
      <c r="X31" s="71"/>
      <c r="Y31" s="71"/>
      <c r="Z31" s="72"/>
    </row>
    <row r="32" spans="2:30" x14ac:dyDescent="0.25">
      <c r="B32" s="19" t="s">
        <v>18</v>
      </c>
      <c r="D32" s="11">
        <v>1</v>
      </c>
      <c r="E32" s="44">
        <f t="shared" si="6"/>
        <v>16429.869297450001</v>
      </c>
      <c r="F32" s="45">
        <f t="shared" si="4"/>
        <v>11.041578828931453</v>
      </c>
      <c r="G32" s="4">
        <f t="shared" si="5"/>
        <v>733514.16476357426</v>
      </c>
      <c r="I32" s="19" t="s">
        <v>19</v>
      </c>
      <c r="K32" s="11">
        <v>1</v>
      </c>
      <c r="L32" s="44">
        <f>K32*L9/L31</f>
        <v>3341.4294374999995</v>
      </c>
      <c r="M32" s="47">
        <f>L32*N31/365</f>
        <v>36.618404794520544</v>
      </c>
      <c r="N32" s="4">
        <f>VLOOKUP(I32,$B$46:$E$55,4,FALSE)*M32</f>
        <v>2432633.8673095889</v>
      </c>
      <c r="P32" s="67"/>
      <c r="Q32" s="76" t="s">
        <v>101</v>
      </c>
      <c r="R32" s="115">
        <f>L4*F8</f>
        <v>3212.2437001200001</v>
      </c>
      <c r="S32" s="71"/>
      <c r="T32" s="115">
        <f>L4-R32</f>
        <v>4818.3655501800004</v>
      </c>
      <c r="U32" s="71"/>
      <c r="V32" s="71"/>
      <c r="W32" s="71"/>
      <c r="X32" s="71"/>
      <c r="Y32" s="71"/>
      <c r="Z32" s="72"/>
    </row>
    <row r="33" spans="2:32" x14ac:dyDescent="0.25">
      <c r="B33" s="19" t="s">
        <v>20</v>
      </c>
      <c r="D33" s="11">
        <v>1</v>
      </c>
      <c r="E33" s="44">
        <f t="shared" si="6"/>
        <v>16429.869297450001</v>
      </c>
      <c r="F33" s="45">
        <f t="shared" si="4"/>
        <v>11.041578828931453</v>
      </c>
      <c r="G33" s="4">
        <f t="shared" si="5"/>
        <v>2374248.6124274726</v>
      </c>
      <c r="M33" s="2">
        <f>SUM(M20:M32)</f>
        <v>2793.1469550533316</v>
      </c>
      <c r="N33" s="97">
        <f>ROUND(SUM(N20:N32),-3)</f>
        <v>194680000</v>
      </c>
      <c r="P33" s="67"/>
      <c r="Q33" s="77"/>
      <c r="R33" s="71"/>
      <c r="S33" s="71"/>
      <c r="T33" s="71"/>
      <c r="U33" s="71"/>
      <c r="V33" s="71"/>
      <c r="W33" s="71"/>
      <c r="X33" s="71"/>
      <c r="Y33" s="71"/>
      <c r="Z33" s="72"/>
    </row>
    <row r="34" spans="2:32" x14ac:dyDescent="0.25">
      <c r="F34" s="45"/>
      <c r="M34" s="80">
        <f>M33+F42</f>
        <v>2932.8608408680493</v>
      </c>
      <c r="N34" s="98">
        <f>(N33+G42)</f>
        <v>211328000</v>
      </c>
      <c r="P34" s="106"/>
      <c r="Q34" s="107" t="s">
        <v>84</v>
      </c>
      <c r="R34" s="105"/>
      <c r="S34" s="105"/>
      <c r="T34" s="105"/>
      <c r="U34" s="105"/>
      <c r="V34" s="105"/>
      <c r="W34" s="105"/>
      <c r="X34" s="105"/>
      <c r="Y34" s="71"/>
      <c r="Z34" s="72"/>
    </row>
    <row r="35" spans="2:32" x14ac:dyDescent="0.25">
      <c r="B35" s="7" t="s">
        <v>24</v>
      </c>
      <c r="F35" s="45"/>
      <c r="P35" s="67"/>
      <c r="Q35" s="76" t="s">
        <v>86</v>
      </c>
      <c r="R35" s="93">
        <f>AK14/1000000</f>
        <v>423.26544052036331</v>
      </c>
      <c r="S35" s="71" t="s">
        <v>90</v>
      </c>
      <c r="T35" s="71"/>
      <c r="U35" s="71"/>
      <c r="V35" s="71"/>
      <c r="W35" s="71"/>
      <c r="X35" s="71"/>
      <c r="Y35" s="71"/>
      <c r="Z35" s="72"/>
      <c r="AD35" s="116"/>
    </row>
    <row r="36" spans="2:32" x14ac:dyDescent="0.25">
      <c r="B36" s="20" t="s">
        <v>26</v>
      </c>
      <c r="C36" s="43"/>
      <c r="D36" s="12">
        <v>15</v>
      </c>
      <c r="E36" s="43"/>
      <c r="F36" s="46"/>
      <c r="G36" s="43"/>
      <c r="I36" s="26" t="s">
        <v>94</v>
      </c>
      <c r="M36" s="96">
        <f>F42+SUM(M20:M24)</f>
        <v>161.30154508971773</v>
      </c>
      <c r="N36" s="199">
        <f>(G42+SUM(N20:N24))</f>
        <v>19110331.592225049</v>
      </c>
      <c r="P36" s="67"/>
      <c r="Q36" s="76" t="s">
        <v>87</v>
      </c>
      <c r="R36" s="94">
        <f>AL9</f>
        <v>15.80143755015</v>
      </c>
      <c r="S36" s="71" t="s">
        <v>108</v>
      </c>
      <c r="T36" s="71"/>
      <c r="U36" s="71"/>
      <c r="V36" s="71"/>
      <c r="W36" s="71"/>
      <c r="X36" s="71"/>
      <c r="Y36" s="71"/>
      <c r="Z36" s="72"/>
      <c r="AD36" s="116"/>
    </row>
    <row r="37" spans="2:32" x14ac:dyDescent="0.25">
      <c r="B37" s="19" t="s">
        <v>14</v>
      </c>
      <c r="D37" s="11">
        <v>1</v>
      </c>
      <c r="E37" s="44">
        <f>D37*L12</f>
        <v>21055.865717249999</v>
      </c>
      <c r="F37" s="45">
        <f>E37*$D$36/$I$52</f>
        <v>3.5376118476562501</v>
      </c>
      <c r="G37" s="4">
        <f>VLOOKUP(B37,$B$46:$E$55,4,FALSE)*F37</f>
        <v>760685.60037782812</v>
      </c>
      <c r="I37" s="26" t="s">
        <v>95</v>
      </c>
      <c r="M37" s="96">
        <f>M34-M36</f>
        <v>2771.5592957783315</v>
      </c>
      <c r="N37" s="199">
        <f>N34-N36</f>
        <v>192217668.40777496</v>
      </c>
      <c r="P37" s="67"/>
      <c r="Q37" s="71"/>
      <c r="R37" s="71"/>
      <c r="S37" s="71"/>
      <c r="T37" s="71"/>
      <c r="U37" s="71"/>
      <c r="V37" s="71"/>
      <c r="W37" s="71"/>
      <c r="X37" s="71"/>
      <c r="Y37" s="71"/>
      <c r="Z37" s="72"/>
    </row>
    <row r="38" spans="2:32" x14ac:dyDescent="0.25">
      <c r="B38" s="19" t="s">
        <v>15</v>
      </c>
      <c r="D38" s="11">
        <v>1</v>
      </c>
      <c r="E38" s="44">
        <f>L12</f>
        <v>21055.865717249999</v>
      </c>
      <c r="F38" s="45">
        <f>E38*$D$36/$I$52</f>
        <v>3.5376118476562501</v>
      </c>
      <c r="G38" s="4">
        <f>VLOOKUP(B38,$B$46:$E$55,4,FALSE)*F38</f>
        <v>221553.55479501563</v>
      </c>
      <c r="P38" s="106"/>
      <c r="Q38" s="107" t="s">
        <v>88</v>
      </c>
      <c r="R38" s="105"/>
      <c r="S38" s="105"/>
      <c r="T38" s="105"/>
      <c r="U38" s="105"/>
      <c r="V38" s="105"/>
      <c r="W38" s="105"/>
      <c r="X38" s="105"/>
      <c r="Y38" s="71"/>
      <c r="Z38" s="72"/>
    </row>
    <row r="39" spans="2:32" x14ac:dyDescent="0.25">
      <c r="B39" s="19" t="s">
        <v>16</v>
      </c>
      <c r="D39" s="11">
        <v>2</v>
      </c>
      <c r="E39" s="44">
        <f>D39*L12</f>
        <v>42111.731434499998</v>
      </c>
      <c r="F39" s="45">
        <f>E39*$D$36/$I$52</f>
        <v>7.0752236953125003</v>
      </c>
      <c r="G39" s="4">
        <f>VLOOKUP(B39,$B$46:$E$55,4,FALSE)*F39</f>
        <v>443107.10959003126</v>
      </c>
      <c r="P39" s="67"/>
      <c r="Q39" s="76" t="s">
        <v>91</v>
      </c>
      <c r="R39" s="92">
        <f>M34</f>
        <v>2932.8608408680493</v>
      </c>
      <c r="S39" s="71" t="s">
        <v>96</v>
      </c>
      <c r="T39" s="71"/>
      <c r="U39" s="71"/>
      <c r="V39" s="71"/>
      <c r="W39" s="71"/>
      <c r="X39" s="71"/>
      <c r="Y39" s="71"/>
      <c r="Z39" s="72"/>
      <c r="AA39" s="164">
        <f>R39/$E$6</f>
        <v>2.4137476080959844E-2</v>
      </c>
      <c r="AF39" s="118"/>
    </row>
    <row r="40" spans="2:32" x14ac:dyDescent="0.25">
      <c r="B40" s="20" t="s">
        <v>79</v>
      </c>
      <c r="C40" s="43"/>
      <c r="D40" s="12">
        <v>60</v>
      </c>
      <c r="E40" s="43"/>
      <c r="F40" s="46"/>
      <c r="G40" s="6"/>
      <c r="P40" s="67"/>
      <c r="Q40" s="87" t="s">
        <v>97</v>
      </c>
      <c r="R40" s="92">
        <f>M37</f>
        <v>2771.5592957783315</v>
      </c>
      <c r="S40" s="71" t="s">
        <v>32</v>
      </c>
      <c r="T40" s="71"/>
      <c r="U40" s="71"/>
      <c r="V40" s="71"/>
      <c r="W40" s="71"/>
      <c r="X40" s="71"/>
      <c r="Y40" s="71"/>
      <c r="Z40" s="72"/>
      <c r="AA40" s="164">
        <f>R40/$E$6</f>
        <v>2.2809962640099629E-2</v>
      </c>
    </row>
    <row r="41" spans="2:32" x14ac:dyDescent="0.25">
      <c r="B41" s="19" t="s">
        <v>18</v>
      </c>
      <c r="D41" s="11">
        <v>1</v>
      </c>
      <c r="E41" s="44">
        <f>D41*L13</f>
        <v>14690.1388725</v>
      </c>
      <c r="F41" s="45">
        <f>E41*$D$40/$I$52</f>
        <v>9.8724051562500001</v>
      </c>
      <c r="G41" s="4">
        <f>VLOOKUP(B41,$B$46:$E$55,4,FALSE)*F41</f>
        <v>655843.61933999998</v>
      </c>
      <c r="P41" s="67"/>
      <c r="Q41" s="87" t="s">
        <v>98</v>
      </c>
      <c r="R41" s="92">
        <f>M36</f>
        <v>161.30154508971773</v>
      </c>
      <c r="S41" s="71" t="s">
        <v>32</v>
      </c>
      <c r="T41" s="71"/>
      <c r="U41" s="71"/>
      <c r="V41" s="71"/>
      <c r="W41" s="71"/>
      <c r="X41" s="71"/>
      <c r="Y41" s="71"/>
      <c r="Z41" s="72"/>
      <c r="AA41" s="164">
        <f>R41/$E$6</f>
        <v>1.3275134408602151E-3</v>
      </c>
    </row>
    <row r="42" spans="2:32" x14ac:dyDescent="0.25">
      <c r="F42" s="2">
        <f>SUM(F20:F41)</f>
        <v>139.71388581471774</v>
      </c>
      <c r="G42" s="97">
        <f>ROUND(SUM(G20:G41),-3)</f>
        <v>16648000</v>
      </c>
      <c r="P42" s="67"/>
      <c r="Q42" s="76" t="s">
        <v>92</v>
      </c>
      <c r="R42" s="92">
        <f>N34</f>
        <v>211328000</v>
      </c>
      <c r="S42" s="71" t="s">
        <v>96</v>
      </c>
      <c r="T42" s="71"/>
      <c r="U42" s="71"/>
      <c r="V42" s="71"/>
      <c r="W42" s="71"/>
      <c r="X42" s="71"/>
      <c r="Y42" s="71"/>
      <c r="Z42" s="72"/>
      <c r="AA42" s="164">
        <f>R42/$E$6</f>
        <v>1739.2316996967859</v>
      </c>
    </row>
    <row r="43" spans="2:32" x14ac:dyDescent="0.25">
      <c r="P43" s="67"/>
      <c r="Q43" s="87" t="s">
        <v>97</v>
      </c>
      <c r="R43" s="92">
        <f>N37</f>
        <v>192217668.40777496</v>
      </c>
      <c r="S43" s="71"/>
      <c r="T43" s="71"/>
      <c r="U43" s="71"/>
      <c r="V43" s="71"/>
      <c r="W43" s="71"/>
      <c r="X43" s="71"/>
      <c r="Y43" s="71"/>
      <c r="Z43" s="72"/>
      <c r="AA43" s="164">
        <f>R43/$E$6</f>
        <v>1581.9534663490292</v>
      </c>
    </row>
    <row r="44" spans="2:32" x14ac:dyDescent="0.25">
      <c r="P44" s="67"/>
      <c r="Q44" s="87" t="s">
        <v>98</v>
      </c>
      <c r="R44" s="95">
        <f>N36</f>
        <v>19110331.592225049</v>
      </c>
      <c r="T44" s="71"/>
      <c r="U44" s="71"/>
      <c r="V44" s="71"/>
      <c r="W44" s="71"/>
      <c r="X44" s="71"/>
      <c r="Y44" s="71"/>
      <c r="Z44" s="72"/>
      <c r="AA44" s="164">
        <f>R44/$E$6</f>
        <v>157.27823334775684</v>
      </c>
    </row>
    <row r="45" spans="2:32" x14ac:dyDescent="0.25">
      <c r="B45" s="9" t="s">
        <v>40</v>
      </c>
      <c r="C45" s="9"/>
      <c r="D45" s="9" t="s">
        <v>43</v>
      </c>
      <c r="E45" s="9" t="s">
        <v>44</v>
      </c>
      <c r="G45" s="9" t="s">
        <v>81</v>
      </c>
      <c r="H45" s="9"/>
      <c r="I45" s="9"/>
      <c r="P45" s="73"/>
      <c r="Q45" s="74"/>
      <c r="R45" s="74"/>
      <c r="S45" s="74"/>
      <c r="T45" s="74"/>
      <c r="U45" s="74"/>
      <c r="V45" s="74"/>
      <c r="W45" s="74"/>
      <c r="X45" s="74"/>
      <c r="Y45" s="74"/>
      <c r="Z45" s="75"/>
    </row>
    <row r="46" spans="2:32" x14ac:dyDescent="0.25">
      <c r="B46" s="26" t="s">
        <v>19</v>
      </c>
      <c r="D46" s="24">
        <v>5536</v>
      </c>
      <c r="E46" s="5">
        <f>D46*12</f>
        <v>66432</v>
      </c>
      <c r="G46" s="26" t="s">
        <v>33</v>
      </c>
      <c r="I46" s="11">
        <v>52</v>
      </c>
    </row>
    <row r="47" spans="2:32" x14ac:dyDescent="0.25">
      <c r="B47" s="26" t="s">
        <v>14</v>
      </c>
      <c r="D47" s="24">
        <v>17919</v>
      </c>
      <c r="E47" s="5">
        <f t="shared" ref="E47:E55" si="7">D47*12</f>
        <v>215028</v>
      </c>
      <c r="G47" s="26" t="s">
        <v>34</v>
      </c>
      <c r="H47" s="11">
        <v>36</v>
      </c>
      <c r="I47" s="23">
        <f>I46*H47</f>
        <v>1872</v>
      </c>
    </row>
    <row r="48" spans="2:32" x14ac:dyDescent="0.25">
      <c r="B48" s="26" t="s">
        <v>15</v>
      </c>
      <c r="D48" s="24">
        <v>5219</v>
      </c>
      <c r="E48" s="5">
        <f t="shared" si="7"/>
        <v>62628</v>
      </c>
      <c r="G48" s="26" t="s">
        <v>35</v>
      </c>
      <c r="H48" s="11">
        <v>10</v>
      </c>
      <c r="I48" s="23">
        <f>H48*8</f>
        <v>80</v>
      </c>
    </row>
    <row r="49" spans="2:11" x14ac:dyDescent="0.25">
      <c r="B49" s="26" t="s">
        <v>41</v>
      </c>
      <c r="D49" s="24">
        <v>5219</v>
      </c>
      <c r="E49" s="5">
        <f t="shared" si="7"/>
        <v>62628</v>
      </c>
      <c r="G49" s="26" t="s">
        <v>36</v>
      </c>
      <c r="H49" s="11">
        <f>18+7</f>
        <v>25</v>
      </c>
      <c r="I49" s="23">
        <f>H49*8</f>
        <v>200</v>
      </c>
    </row>
    <row r="50" spans="2:11" x14ac:dyDescent="0.25">
      <c r="B50" s="26" t="s">
        <v>17</v>
      </c>
      <c r="D50" s="24">
        <v>17919</v>
      </c>
      <c r="E50" s="5">
        <f t="shared" si="7"/>
        <v>215028</v>
      </c>
      <c r="G50" s="26" t="s">
        <v>37</v>
      </c>
      <c r="H50" s="11">
        <v>13</v>
      </c>
      <c r="I50" s="23">
        <f>H50*8</f>
        <v>104</v>
      </c>
      <c r="K50" s="27"/>
    </row>
    <row r="51" spans="2:11" x14ac:dyDescent="0.25">
      <c r="B51" s="26" t="s">
        <v>18</v>
      </c>
      <c r="D51" s="24">
        <v>5536</v>
      </c>
      <c r="E51" s="5">
        <f t="shared" si="7"/>
        <v>66432</v>
      </c>
      <c r="G51" s="26" t="s">
        <v>34</v>
      </c>
      <c r="I51" s="23">
        <f>I47-I48-I49-I50</f>
        <v>1488</v>
      </c>
    </row>
    <row r="52" spans="2:11" x14ac:dyDescent="0.25">
      <c r="B52" s="26" t="s">
        <v>31</v>
      </c>
      <c r="D52" s="24">
        <v>6369</v>
      </c>
      <c r="E52" s="5">
        <f t="shared" si="7"/>
        <v>76428</v>
      </c>
      <c r="G52" s="26" t="s">
        <v>38</v>
      </c>
      <c r="I52" s="23">
        <f>I51*60</f>
        <v>89280</v>
      </c>
    </row>
    <row r="53" spans="2:11" x14ac:dyDescent="0.25">
      <c r="B53" s="26" t="s">
        <v>42</v>
      </c>
      <c r="D53" s="24">
        <v>6553</v>
      </c>
      <c r="E53" s="5">
        <f t="shared" si="7"/>
        <v>78636</v>
      </c>
    </row>
    <row r="54" spans="2:11" x14ac:dyDescent="0.25">
      <c r="B54" s="26" t="s">
        <v>30</v>
      </c>
      <c r="D54" s="24">
        <v>4685</v>
      </c>
      <c r="E54" s="5">
        <f t="shared" si="7"/>
        <v>56220</v>
      </c>
    </row>
    <row r="55" spans="2:11" x14ac:dyDescent="0.25">
      <c r="B55" s="26" t="s">
        <v>20</v>
      </c>
      <c r="D55" s="24">
        <v>17919</v>
      </c>
      <c r="E55" s="5">
        <f t="shared" si="7"/>
        <v>215028</v>
      </c>
    </row>
  </sheetData>
  <mergeCells count="2">
    <mergeCell ref="E12:E14"/>
    <mergeCell ref="E8:E9"/>
  </mergeCells>
  <pageMargins left="0.7" right="0.7" top="0.75" bottom="0.75" header="0.3" footer="0.3"/>
  <pageSetup paperSize="9"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Effect Concentratie gebortezorg SAZ</TNOC_ClusterName>
    <cf581d8792c646118aad2c2c4ecdfa8c xmlns="a48d9ef4-9eb8-4cbf-b5e2-81daef5bf0ba">
      <Terms xmlns="http://schemas.microsoft.com/office/infopath/2007/PartnerControls"/>
    </cf581d8792c646118aad2c2c4ecdfa8c>
    <TNOC_ClusterId xmlns="2f6a910d-138e-42c1-8e8a-320c1b7cf3f7">060.45118</TNOC_ClusterId>
    <h15fbb78f4cb41d290e72f301ea2865f xmlns="a48d9ef4-9eb8-4cbf-b5e2-81daef5bf0ba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lca20d149a844688b6abf34073d5c21d xmlns="a48d9ef4-9eb8-4cbf-b5e2-81daef5bf0ba">
      <Terms xmlns="http://schemas.microsoft.com/office/infopath/2007/PartnerControls"/>
    </lca20d149a844688b6abf34073d5c21d>
    <bac4ab11065f4f6c809c820c57e320e5 xmlns="a48d9ef4-9eb8-4cbf-b5e2-81daef5bf0ba">
      <Terms xmlns="http://schemas.microsoft.com/office/infopath/2007/PartnerControls"/>
    </bac4ab11065f4f6c809c820c57e320e5>
    <TaxCatchAll xmlns="a48d9ef4-9eb8-4cbf-b5e2-81daef5bf0ba">
      <Value>5</Value>
      <Value>1</Value>
    </TaxCatchAll>
    <n2a7a23bcc2241cb9261f9a914c7c1bb xmlns="a48d9ef4-9eb8-4cbf-b5e2-81daef5bf0ba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a48d9ef4-9eb8-4cbf-b5e2-81daef5bf0ba">DCATTXKW4MFS-1530576234-410</_dlc_DocId>
    <_dlc_DocIdUrl xmlns="a48d9ef4-9eb8-4cbf-b5e2-81daef5bf0ba">
      <Url>https://365tno.sharepoint.com/teams/P060.45118/_layouts/15/DocIdRedir.aspx?ID=DCATTXKW4MFS-1530576234-410</Url>
      <Description>DCATTXKW4MFS-1530576234-410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9BFFF063BD132D4E8E6A15459A0650D2" ma:contentTypeVersion="3" ma:contentTypeDescription=" " ma:contentTypeScope="" ma:versionID="4fb6a7f5f17c87830544068d4d8f1a84">
  <xsd:schema xmlns:xsd="http://www.w3.org/2001/XMLSchema" xmlns:xs="http://www.w3.org/2001/XMLSchema" xmlns:p="http://schemas.microsoft.com/office/2006/metadata/properties" xmlns:ns2="a48d9ef4-9eb8-4cbf-b5e2-81daef5bf0ba" xmlns:ns3="2f6a910d-138e-42c1-8e8a-320c1b7cf3f7" xmlns:ns5="6a3de987-48a9-4506-9f97-931c21fc4fa0" targetNamespace="http://schemas.microsoft.com/office/2006/metadata/properties" ma:root="true" ma:fieldsID="0e79bdd85f75c98bf8e41820eed01122" ns2:_="" ns3:_="" ns5:_="">
    <xsd:import namespace="a48d9ef4-9eb8-4cbf-b5e2-81daef5bf0ba"/>
    <xsd:import namespace="2f6a910d-138e-42c1-8e8a-320c1b7cf3f7"/>
    <xsd:import namespace="6a3de987-48a9-4506-9f97-931c21fc4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d9ef4-9eb8-4cbf-b5e2-81daef5bf0b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cbae6bb0-cbcd-4b03-9609-0729726f4224}" ma:internalName="TaxCatchAll" ma:showField="CatchAllData" ma:web="a48d9ef4-9eb8-4cbf-b5e2-81daef5bf0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cbae6bb0-cbcd-4b03-9609-0729726f4224}" ma:internalName="TaxCatchAllLabel" ma:readOnly="true" ma:showField="CatchAllDataLabel" ma:web="a48d9ef4-9eb8-4cbf-b5e2-81daef5bf0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Effect Concentratie gebortezorg SAZ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45118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de987-48a9-4506-9f97-931c21fc4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3CC7E9-2FAC-49E5-8DDF-0E7F6CC10B39}">
  <ds:schemaRefs>
    <ds:schemaRef ds:uri="http://schemas.microsoft.com/office/2006/metadata/properties"/>
    <ds:schemaRef ds:uri="http://purl.org/dc/elements/1.1/"/>
    <ds:schemaRef ds:uri="6a3de987-48a9-4506-9f97-931c21fc4fa0"/>
    <ds:schemaRef ds:uri="2f6a910d-138e-42c1-8e8a-320c1b7cf3f7"/>
    <ds:schemaRef ds:uri="http://purl.org/dc/terms/"/>
    <ds:schemaRef ds:uri="a48d9ef4-9eb8-4cbf-b5e2-81daef5bf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77AE34-06B9-4E00-A1A2-2CAC954CE4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71C14A-7B64-489A-9231-C05C74D2568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F813426-AB6B-4A66-B273-D1DABF3BA0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d9ef4-9eb8-4cbf-b5e2-81daef5bf0ba"/>
    <ds:schemaRef ds:uri="2f6a910d-138e-42c1-8e8a-320c1b7cf3f7"/>
    <ds:schemaRef ds:uri="6a3de987-48a9-4506-9f97-931c21fc4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Voor Erik</vt:lpstr>
      <vt:lpstr>Uitgangspunten</vt:lpstr>
      <vt:lpstr>Aandeel_acute_sectio</vt:lpstr>
      <vt:lpstr>Aandeel_electieve_sectio</vt:lpstr>
      <vt:lpstr>Aandeel_overige_sectio</vt:lpstr>
      <vt:lpstr>Aandeel_post_partum_ops</vt:lpstr>
      <vt:lpstr>Aandeel_sectio</vt:lpstr>
      <vt:lpstr>Aandeel_spoed_sectio</vt:lpstr>
      <vt:lpstr>aantal_FTE</vt:lpstr>
      <vt:lpstr>Acute_sectio_in_bedrijfstijd</vt:lpstr>
      <vt:lpstr>Bevalling_2e_lijn</vt:lpstr>
      <vt:lpstr>bevallingen_in_bedrijfstijd</vt:lpstr>
      <vt:lpstr>BVO_per_partus_2e_lijn</vt:lpstr>
      <vt:lpstr>electieve_sectio_in_bedrijfstijd</vt:lpstr>
      <vt:lpstr>FTE_kraam_direct</vt:lpstr>
      <vt:lpstr>FTE_kraam_indirect</vt:lpstr>
      <vt:lpstr>investering_per_partus</vt:lpstr>
      <vt:lpstr>OK_per_partus</vt:lpstr>
      <vt:lpstr>salaris</vt:lpstr>
      <vt:lpstr>Salaris_kraam_direct</vt:lpstr>
      <vt:lpstr>Salaris_kraam_indirect</vt:lpstr>
      <vt:lpstr>spoed_sectio_in_bedrijfstijd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N.G. Egter van Wissekerke</dc:creator>
  <cp:lastModifiedBy>Egter van Wissekerke, N.G. (Norman)</cp:lastModifiedBy>
  <dcterms:created xsi:type="dcterms:W3CDTF">2020-09-23T20:32:18Z</dcterms:created>
  <dcterms:modified xsi:type="dcterms:W3CDTF">2020-09-25T13:19:14Z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0x010100A35317DCC28344A7B82488658A034A5C01009BFFF063BD132D4E8E6A15459A0650D2</vt:lpwstr>
  </property>
  <property fmtid="{D5CDD505-2E9C-101B-9397-08002B2CF9AE}" pid="3" name="TNOC_DocumentClassification">
    <vt:lpwstr>5;#TNO Internal|1a23c89f-ef54-4907-86fd-8242403ff722</vt:lpwstr>
  </property>
  <property fmtid="{D5CDD505-2E9C-101B-9397-08002B2CF9AE}" pid="4" name="TNOC_DocumentType">
    <vt:lpwstr/>
  </property>
  <property fmtid="{D5CDD505-2E9C-101B-9397-08002B2CF9AE}" pid="5" name="TNOC_DocumentCategory">
    <vt:lpwstr/>
  </property>
  <property fmtid="{D5CDD505-2E9C-101B-9397-08002B2CF9AE}" pid="6" name="TNOC_ClusterType">
    <vt:lpwstr>1;#Project|fa11c4c9-105f-402c-bb40-9a56b4989397</vt:lpwstr>
  </property>
  <property fmtid="{D5CDD505-2E9C-101B-9397-08002B2CF9AE}" pid="7" name="TNOC_DocumentSetType">
    <vt:lpwstr/>
  </property>
  <property fmtid="{D5CDD505-2E9C-101B-9397-08002B2CF9AE}" pid="8" name="_dlc_DocIdItemGuid">
    <vt:lpwstr>dd446494-f0b7-45e8-8cb8-898c4da07337</vt:lpwstr>
  </property>
</Properties>
</file>