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\Desktop\finace\"/>
    </mc:Choice>
  </mc:AlternateContent>
  <xr:revisionPtr revIDLastSave="0" documentId="13_ncr:1_{282AA1D5-CEB4-4347-8914-DC66E2ECE005}" xr6:coauthVersionLast="47" xr6:coauthVersionMax="47" xr10:uidLastSave="{00000000-0000-0000-0000-000000000000}"/>
  <bookViews>
    <workbookView xWindow="-120" yWindow="-120" windowWidth="29040" windowHeight="16440" activeTab="1" xr2:uid="{8418F530-C8F5-4CC7-AABB-C60EBF5675BD}"/>
  </bookViews>
  <sheets>
    <sheet name="MAIN 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3" i="2" l="1"/>
  <c r="T33" i="2"/>
  <c r="S33" i="2"/>
  <c r="R33" i="2"/>
  <c r="U32" i="2"/>
  <c r="T32" i="2"/>
  <c r="S32" i="2"/>
  <c r="R32" i="2"/>
  <c r="U31" i="2"/>
  <c r="T31" i="2"/>
  <c r="S31" i="2"/>
  <c r="R31" i="2"/>
  <c r="R9" i="2"/>
  <c r="R8" i="2"/>
  <c r="R7" i="2"/>
  <c r="R5" i="2"/>
  <c r="R4" i="2"/>
  <c r="R3" i="2"/>
  <c r="P16" i="2"/>
  <c r="R15" i="2"/>
  <c r="P15" i="2"/>
  <c r="R13" i="2"/>
  <c r="R12" i="2"/>
  <c r="R10" i="2"/>
  <c r="P10" i="2"/>
  <c r="Q25" i="2"/>
  <c r="Q4" i="2"/>
  <c r="P25" i="2"/>
  <c r="O25" i="2"/>
  <c r="N25" i="2"/>
  <c r="AA25" i="2"/>
  <c r="AA24" i="2"/>
  <c r="AB25" i="2"/>
  <c r="AB26" i="2"/>
  <c r="AB27" i="2"/>
  <c r="AB28" i="2"/>
  <c r="AA26" i="2"/>
  <c r="AA27" i="2"/>
  <c r="AA28" i="2"/>
  <c r="AC33" i="2"/>
  <c r="AB33" i="2"/>
  <c r="AA33" i="2"/>
  <c r="Z33" i="2"/>
  <c r="AC32" i="2"/>
  <c r="AB32" i="2"/>
  <c r="AA32" i="2"/>
  <c r="Z32" i="2"/>
  <c r="AC31" i="2"/>
  <c r="AB31" i="2"/>
  <c r="AA31" i="2"/>
  <c r="Z31" i="2"/>
  <c r="Q33" i="2"/>
  <c r="Q32" i="2"/>
  <c r="Q31" i="2"/>
  <c r="P33" i="2"/>
  <c r="P32" i="2"/>
  <c r="P31" i="2"/>
  <c r="O33" i="2"/>
  <c r="O32" i="2"/>
  <c r="O31" i="2"/>
  <c r="N33" i="2"/>
  <c r="N32" i="2"/>
  <c r="N31" i="2"/>
  <c r="L33" i="2"/>
  <c r="L32" i="2"/>
  <c r="L31" i="2"/>
  <c r="K33" i="2"/>
  <c r="K32" i="2"/>
  <c r="K31" i="2"/>
  <c r="J33" i="2"/>
  <c r="J32" i="2"/>
  <c r="J31" i="2"/>
  <c r="I33" i="2"/>
  <c r="I32" i="2"/>
  <c r="I31" i="2"/>
  <c r="G33" i="2"/>
  <c r="G32" i="2"/>
  <c r="G31" i="2"/>
  <c r="F33" i="2"/>
  <c r="F32" i="2"/>
  <c r="F31" i="2"/>
  <c r="E33" i="2"/>
  <c r="E32" i="2"/>
  <c r="E31" i="2"/>
  <c r="D33" i="2"/>
  <c r="D32" i="2"/>
  <c r="D31" i="2"/>
  <c r="Q26" i="2"/>
  <c r="P26" i="2"/>
  <c r="O26" i="2"/>
  <c r="N26" i="2"/>
  <c r="L26" i="2"/>
  <c r="K26" i="2"/>
  <c r="J26" i="2"/>
  <c r="I26" i="2"/>
  <c r="J25" i="2"/>
  <c r="K25" i="2"/>
  <c r="L25" i="2"/>
  <c r="I25" i="2"/>
  <c r="AB24" i="2"/>
  <c r="G22" i="2"/>
  <c r="F17" i="2"/>
  <c r="J10" i="2"/>
  <c r="J15" i="2"/>
  <c r="J17" i="2"/>
  <c r="E17" i="2"/>
  <c r="G3" i="2"/>
  <c r="K24" i="2"/>
  <c r="D17" i="2"/>
  <c r="F15" i="2"/>
  <c r="F10" i="2"/>
  <c r="F6" i="2"/>
  <c r="E15" i="2"/>
  <c r="E10" i="2"/>
  <c r="E6" i="2"/>
  <c r="D15" i="2"/>
  <c r="D10" i="2"/>
  <c r="D6" i="2"/>
  <c r="J24" i="2"/>
  <c r="I24" i="2"/>
  <c r="N24" i="2"/>
  <c r="O24" i="2"/>
  <c r="P24" i="2"/>
  <c r="G4" i="2"/>
  <c r="G5" i="2"/>
  <c r="G7" i="2"/>
  <c r="G8" i="2"/>
  <c r="G9" i="2"/>
  <c r="G12" i="2"/>
  <c r="G13" i="2"/>
  <c r="G14" i="2"/>
  <c r="G19" i="2"/>
  <c r="G21" i="2"/>
  <c r="L3" i="2"/>
  <c r="L21" i="2"/>
  <c r="I17" i="2"/>
  <c r="I15" i="2"/>
  <c r="I10" i="2"/>
  <c r="I6" i="2"/>
  <c r="L13" i="2"/>
  <c r="L9" i="2"/>
  <c r="L8" i="2"/>
  <c r="L7" i="2"/>
  <c r="L4" i="2"/>
  <c r="L5" i="2"/>
  <c r="L12" i="2"/>
  <c r="L14" i="2"/>
  <c r="L19" i="2"/>
  <c r="L22" i="2"/>
  <c r="Q21" i="2"/>
  <c r="Q22" i="2"/>
  <c r="Q5" i="2"/>
  <c r="Q7" i="2"/>
  <c r="Q8" i="2"/>
  <c r="Q9" i="2"/>
  <c r="Q12" i="2"/>
  <c r="Q13" i="2"/>
  <c r="Q14" i="2"/>
  <c r="Q19" i="2"/>
  <c r="N17" i="2"/>
  <c r="Q3" i="2"/>
  <c r="N15" i="2"/>
  <c r="N10" i="2"/>
  <c r="N6" i="2"/>
  <c r="J6" i="2"/>
  <c r="O17" i="2"/>
  <c r="O15" i="2"/>
  <c r="O10" i="2"/>
  <c r="O6" i="2"/>
  <c r="O27" i="2" s="1"/>
  <c r="K17" i="2"/>
  <c r="K15" i="2"/>
  <c r="K10" i="2"/>
  <c r="K6" i="2"/>
  <c r="P17" i="2"/>
  <c r="P6" i="2"/>
  <c r="AA2" i="2"/>
  <c r="AB2" i="2" s="1"/>
  <c r="AC2" i="2" s="1"/>
  <c r="AD2" i="2" s="1"/>
  <c r="AE2" i="2" s="1"/>
  <c r="AF2" i="2" s="1"/>
  <c r="Z17" i="2"/>
  <c r="Z15" i="2"/>
  <c r="Z10" i="2"/>
  <c r="Z6" i="2"/>
  <c r="AA17" i="2"/>
  <c r="AA6" i="2"/>
  <c r="AA15" i="2"/>
  <c r="AA10" i="2"/>
  <c r="AB17" i="2"/>
  <c r="AB15" i="2"/>
  <c r="AB10" i="2"/>
  <c r="AB6" i="2"/>
  <c r="I6" i="1"/>
  <c r="I4" i="1"/>
  <c r="I7" i="1" s="1"/>
  <c r="U28" i="2" l="1"/>
  <c r="T28" i="2"/>
  <c r="S28" i="2"/>
  <c r="R6" i="2"/>
  <c r="R11" i="2" s="1"/>
  <c r="P27" i="2"/>
  <c r="L6" i="2"/>
  <c r="J11" i="2"/>
  <c r="G15" i="2"/>
  <c r="Q24" i="2"/>
  <c r="N27" i="2"/>
  <c r="K27" i="2"/>
  <c r="Q10" i="2"/>
  <c r="G17" i="2"/>
  <c r="L24" i="2"/>
  <c r="J16" i="2"/>
  <c r="J28" i="2"/>
  <c r="E11" i="2"/>
  <c r="E16" i="2" s="1"/>
  <c r="E18" i="2" s="1"/>
  <c r="E20" i="2" s="1"/>
  <c r="D11" i="2"/>
  <c r="I27" i="2"/>
  <c r="F11" i="2"/>
  <c r="G6" i="2"/>
  <c r="J27" i="2"/>
  <c r="G10" i="2"/>
  <c r="Q6" i="2"/>
  <c r="Q27" i="2" s="1"/>
  <c r="Q15" i="2"/>
  <c r="Q17" i="2"/>
  <c r="L10" i="2"/>
  <c r="L15" i="2"/>
  <c r="L17" i="2"/>
  <c r="I11" i="2"/>
  <c r="I28" i="2" s="1"/>
  <c r="P11" i="2"/>
  <c r="N11" i="2"/>
  <c r="O11" i="2"/>
  <c r="K11" i="2"/>
  <c r="K28" i="2" s="1"/>
  <c r="Z11" i="2"/>
  <c r="AA11" i="2"/>
  <c r="AB11" i="2"/>
  <c r="R16" i="2" l="1"/>
  <c r="R18" i="2" s="1"/>
  <c r="R20" i="2" s="1"/>
  <c r="R21" i="2" s="1"/>
  <c r="R28" i="2"/>
  <c r="Q11" i="2"/>
  <c r="L11" i="2"/>
  <c r="L28" i="2" s="1"/>
  <c r="Q28" i="2"/>
  <c r="D16" i="2"/>
  <c r="D18" i="2" s="1"/>
  <c r="D20" i="2" s="1"/>
  <c r="D28" i="2"/>
  <c r="F16" i="2"/>
  <c r="F18" i="2" s="1"/>
  <c r="F20" i="2" s="1"/>
  <c r="F28" i="2"/>
  <c r="E28" i="2"/>
  <c r="L27" i="2"/>
  <c r="G11" i="2"/>
  <c r="G28" i="2" s="1"/>
  <c r="N16" i="2"/>
  <c r="N18" i="2" s="1"/>
  <c r="N20" i="2" s="1"/>
  <c r="N28" i="2"/>
  <c r="P18" i="2"/>
  <c r="P20" i="2" s="1"/>
  <c r="P28" i="2"/>
  <c r="O16" i="2"/>
  <c r="O18" i="2" s="1"/>
  <c r="O20" i="2" s="1"/>
  <c r="O28" i="2"/>
  <c r="I16" i="2"/>
  <c r="I18" i="2" s="1"/>
  <c r="I20" i="2" s="1"/>
  <c r="K16" i="2"/>
  <c r="K18" i="2" s="1"/>
  <c r="K20" i="2" s="1"/>
  <c r="J18" i="2"/>
  <c r="J20" i="2" s="1"/>
  <c r="Z16" i="2"/>
  <c r="AA16" i="2"/>
  <c r="AB16" i="2"/>
  <c r="L16" i="2" l="1"/>
  <c r="G16" i="2"/>
  <c r="Z18" i="2"/>
  <c r="G18" i="2" s="1"/>
  <c r="Z20" i="2"/>
  <c r="G20" i="2" s="1"/>
  <c r="AB18" i="2"/>
  <c r="Q16" i="2"/>
  <c r="AA18" i="2"/>
  <c r="L18" i="2" s="1"/>
  <c r="AB20" i="2" l="1"/>
  <c r="Q18" i="2"/>
  <c r="AA20" i="2"/>
  <c r="L20" i="2" s="1"/>
  <c r="Q20" i="2" l="1"/>
</calcChain>
</file>

<file path=xl/sharedStrings.xml><?xml version="1.0" encoding="utf-8"?>
<sst xmlns="http://schemas.openxmlformats.org/spreadsheetml/2006/main" count="50" uniqueCount="48">
  <si>
    <t>price</t>
  </si>
  <si>
    <t>Shares</t>
  </si>
  <si>
    <t>MC</t>
  </si>
  <si>
    <t>DEBT</t>
  </si>
  <si>
    <t>Cash</t>
  </si>
  <si>
    <t>Automotive</t>
  </si>
  <si>
    <t>MAIN</t>
  </si>
  <si>
    <t>Q123</t>
  </si>
  <si>
    <t>Q124</t>
  </si>
  <si>
    <t>Q223</t>
  </si>
  <si>
    <t>Q224</t>
  </si>
  <si>
    <t>Q323</t>
  </si>
  <si>
    <t>Q424</t>
  </si>
  <si>
    <t>Q423</t>
  </si>
  <si>
    <t>Q324</t>
  </si>
  <si>
    <t>Q125</t>
  </si>
  <si>
    <t>Q225</t>
  </si>
  <si>
    <t>Q325</t>
  </si>
  <si>
    <t>Q425</t>
  </si>
  <si>
    <t>Energy</t>
  </si>
  <si>
    <t>Services</t>
  </si>
  <si>
    <t>Revenue</t>
  </si>
  <si>
    <t>Auto COGS</t>
  </si>
  <si>
    <t>Energy COGS</t>
  </si>
  <si>
    <t>Total COGS</t>
  </si>
  <si>
    <t>Services COGS</t>
  </si>
  <si>
    <t xml:space="preserve">Gross Profit </t>
  </si>
  <si>
    <t>R&amp;D</t>
  </si>
  <si>
    <t>SG&amp;A</t>
  </si>
  <si>
    <t>Operating Expenses</t>
  </si>
  <si>
    <t xml:space="preserve"> Operating Income </t>
  </si>
  <si>
    <t>EPS</t>
  </si>
  <si>
    <t>Interest Income</t>
  </si>
  <si>
    <t>Net Income</t>
  </si>
  <si>
    <t>Taxes</t>
  </si>
  <si>
    <t>Pretax Income</t>
  </si>
  <si>
    <t xml:space="preserve">Restructuring </t>
  </si>
  <si>
    <t>Q222</t>
  </si>
  <si>
    <t>Q322</t>
  </si>
  <si>
    <t>Q422</t>
  </si>
  <si>
    <t>Revenue Growth</t>
  </si>
  <si>
    <t xml:space="preserve">Gross Margin </t>
  </si>
  <si>
    <t>Automotive Growth</t>
  </si>
  <si>
    <t>Energy Growth</t>
  </si>
  <si>
    <t>Services Growth</t>
  </si>
  <si>
    <t>Auto %</t>
  </si>
  <si>
    <t>Energy %</t>
  </si>
  <si>
    <t>Services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</si>
</sst>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1" fontId="0" fillId="0" borderId="0" xfId="0" applyNumberFormat="1"/>
    <xf numFmtId="9" fontId="0" fillId="0" borderId="0" xfId="1" applyFont="1"/>
    <xf numFmtId="9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22994</xdr:colOff>
      <xdr:row>0</xdr:row>
      <xdr:rowOff>0</xdr:rowOff>
    </xdr:from>
    <xdr:to>
      <xdr:col>17</xdr:col>
      <xdr:colOff>39757</xdr:colOff>
      <xdr:row>45</xdr:row>
      <xdr:rowOff>101347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6CBDB9F-6F6A-D5A5-BEE5-72E27E3E5DE8}"/>
            </a:ext>
          </a:extLst>
        </xdr:cNvPr>
        <xdr:cNvCxnSpPr/>
      </xdr:nvCxnSpPr>
      <xdr:spPr>
        <a:xfrm>
          <a:off x="10653253" y="0"/>
          <a:ext cx="16763" cy="85929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CE03-1BA1-462F-9633-ADCB0A9D5F49}">
  <dimension ref="H2:I7"/>
  <sheetViews>
    <sheetView topLeftCell="C1" workbookViewId="0">
      <selection activeCell="I2" sqref="I2"/>
    </sheetView>
  </sheetViews>
  <sheetFormatPr defaultRowHeight="15" x14ac:dyDescent="0.25"/>
  <cols>
    <col min="9" max="9" width="13.28515625" bestFit="1" customWidth="1"/>
  </cols>
  <sheetData>
    <row r="2" spans="8:9" x14ac:dyDescent="0.25">
      <c r="H2" t="s">
        <v>0</v>
      </c>
      <c r="I2" s="2">
        <v>355</v>
      </c>
    </row>
    <row r="3" spans="8:9" x14ac:dyDescent="0.25">
      <c r="H3" t="s">
        <v>1</v>
      </c>
      <c r="I3" s="2">
        <v>3217</v>
      </c>
    </row>
    <row r="4" spans="8:9" x14ac:dyDescent="0.25">
      <c r="H4" t="s">
        <v>2</v>
      </c>
      <c r="I4" s="2">
        <f>I3*I2</f>
        <v>1142035</v>
      </c>
    </row>
    <row r="5" spans="8:9" x14ac:dyDescent="0.25">
      <c r="H5" t="s">
        <v>4</v>
      </c>
      <c r="I5" s="2">
        <v>16139</v>
      </c>
    </row>
    <row r="6" spans="8:9" x14ac:dyDescent="0.25">
      <c r="H6" t="s">
        <v>3</v>
      </c>
      <c r="I6" s="2">
        <f>5757+2456</f>
        <v>8213</v>
      </c>
    </row>
    <row r="7" spans="8:9" x14ac:dyDescent="0.25">
      <c r="H7" t="s">
        <v>1</v>
      </c>
      <c r="I7" s="2">
        <f>I4+I6-I5</f>
        <v>1134109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1966-80D0-426F-8250-A7CC4CFE6A0A}">
  <dimension ref="A1:AN33"/>
  <sheetViews>
    <sheetView tabSelected="1" zoomScale="106" zoomScaleNormal="106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AC10" sqref="AC10"/>
    </sheetView>
  </sheetViews>
  <sheetFormatPr defaultRowHeight="15" x14ac:dyDescent="0.25"/>
  <cols>
    <col min="2" max="2" width="18.5703125" bestFit="1" customWidth="1"/>
    <col min="3" max="3" width="4.85546875" customWidth="1"/>
    <col min="4" max="4" width="9.5703125" customWidth="1"/>
    <col min="5" max="5" width="8.140625" customWidth="1"/>
    <col min="6" max="7" width="8.7109375" customWidth="1"/>
    <col min="26" max="26" width="9.7109375" customWidth="1"/>
    <col min="27" max="27" width="11.42578125" bestFit="1" customWidth="1"/>
    <col min="30" max="30" width="10.140625" bestFit="1" customWidth="1"/>
    <col min="31" max="31" width="12.28515625" bestFit="1" customWidth="1"/>
  </cols>
  <sheetData>
    <row r="1" spans="1:40" x14ac:dyDescent="0.25">
      <c r="A1" t="s">
        <v>6</v>
      </c>
    </row>
    <row r="2" spans="1:40" x14ac:dyDescent="0.25">
      <c r="D2">
        <v>16861</v>
      </c>
      <c r="E2" t="s">
        <v>37</v>
      </c>
      <c r="F2" t="s">
        <v>38</v>
      </c>
      <c r="G2" t="s">
        <v>39</v>
      </c>
      <c r="I2" t="s">
        <v>7</v>
      </c>
      <c r="J2" t="s">
        <v>9</v>
      </c>
      <c r="K2" t="s">
        <v>11</v>
      </c>
      <c r="L2" t="s">
        <v>13</v>
      </c>
      <c r="N2" t="s">
        <v>8</v>
      </c>
      <c r="O2" t="s">
        <v>10</v>
      </c>
      <c r="P2" t="s">
        <v>14</v>
      </c>
      <c r="Q2" t="s">
        <v>12</v>
      </c>
      <c r="R2" t="s">
        <v>15</v>
      </c>
      <c r="S2" t="s">
        <v>16</v>
      </c>
      <c r="T2" t="s">
        <v>17</v>
      </c>
      <c r="U2" t="s">
        <v>18</v>
      </c>
      <c r="Z2">
        <v>2022</v>
      </c>
      <c r="AA2">
        <f t="shared" ref="AA2:AF2" si="0">+Z2+1</f>
        <v>2023</v>
      </c>
      <c r="AB2">
        <f t="shared" si="0"/>
        <v>2024</v>
      </c>
      <c r="AC2">
        <f t="shared" si="0"/>
        <v>2025</v>
      </c>
      <c r="AD2">
        <f t="shared" si="0"/>
        <v>2026</v>
      </c>
      <c r="AE2">
        <f t="shared" si="0"/>
        <v>2027</v>
      </c>
      <c r="AF2">
        <f t="shared" si="0"/>
        <v>2028</v>
      </c>
    </row>
    <row r="3" spans="1:40" x14ac:dyDescent="0.25">
      <c r="B3" t="s">
        <v>5</v>
      </c>
      <c r="D3">
        <v>16861</v>
      </c>
      <c r="E3">
        <v>14602</v>
      </c>
      <c r="F3">
        <v>18692</v>
      </c>
      <c r="G3">
        <f>Z3-(F3+E3+D3)</f>
        <v>21307</v>
      </c>
      <c r="I3">
        <v>19963</v>
      </c>
      <c r="J3">
        <v>21268</v>
      </c>
      <c r="K3">
        <v>19625</v>
      </c>
      <c r="L3">
        <f>AA3-(K3+J3+I3)</f>
        <v>21563</v>
      </c>
      <c r="N3">
        <v>17378</v>
      </c>
      <c r="O3">
        <v>19878</v>
      </c>
      <c r="P3">
        <v>20016</v>
      </c>
      <c r="Q3">
        <f>AB3-(N3+O3+P3)</f>
        <v>19798</v>
      </c>
      <c r="R3">
        <f>Q3*0.7</f>
        <v>13858.599999999999</v>
      </c>
      <c r="Z3">
        <v>71462</v>
      </c>
      <c r="AA3">
        <v>82419</v>
      </c>
      <c r="AB3">
        <v>77070</v>
      </c>
    </row>
    <row r="4" spans="1:40" x14ac:dyDescent="0.25">
      <c r="B4" t="s">
        <v>19</v>
      </c>
      <c r="D4">
        <v>616</v>
      </c>
      <c r="E4">
        <v>866</v>
      </c>
      <c r="F4">
        <v>1117</v>
      </c>
      <c r="G4">
        <f t="shared" ref="G4:G21" si="1">Z4-(F4+E4+D4)</f>
        <v>1310</v>
      </c>
      <c r="I4">
        <v>1529</v>
      </c>
      <c r="J4">
        <v>1509</v>
      </c>
      <c r="K4">
        <v>1559</v>
      </c>
      <c r="L4">
        <f t="shared" ref="L4:L20" si="2">AA4-(K4+J4+I4)</f>
        <v>1438</v>
      </c>
      <c r="N4">
        <v>1635</v>
      </c>
      <c r="O4">
        <v>3014</v>
      </c>
      <c r="P4">
        <v>2376</v>
      </c>
      <c r="Q4">
        <f>AB4-(N4+O4+P4)</f>
        <v>3061</v>
      </c>
      <c r="R4">
        <f>Q4*0.9</f>
        <v>2754.9</v>
      </c>
      <c r="Z4">
        <v>3909</v>
      </c>
      <c r="AA4">
        <v>6035</v>
      </c>
      <c r="AB4">
        <v>10086</v>
      </c>
    </row>
    <row r="5" spans="1:40" x14ac:dyDescent="0.25">
      <c r="B5" t="s">
        <v>20</v>
      </c>
      <c r="D5">
        <v>1279</v>
      </c>
      <c r="E5">
        <v>1466</v>
      </c>
      <c r="F5">
        <v>1645</v>
      </c>
      <c r="G5">
        <f t="shared" si="1"/>
        <v>1701</v>
      </c>
      <c r="I5">
        <v>1837</v>
      </c>
      <c r="J5">
        <v>2150</v>
      </c>
      <c r="K5">
        <v>2166</v>
      </c>
      <c r="L5">
        <f t="shared" si="2"/>
        <v>2166</v>
      </c>
      <c r="N5">
        <v>2288</v>
      </c>
      <c r="O5">
        <v>2608</v>
      </c>
      <c r="P5">
        <v>2790</v>
      </c>
      <c r="Q5">
        <f t="shared" ref="Q5:Q20" si="3">AB5-(N5+O5+P5)</f>
        <v>2848</v>
      </c>
      <c r="R5">
        <f>Q5*0.9</f>
        <v>2563.2000000000003</v>
      </c>
      <c r="Z5">
        <v>6091</v>
      </c>
      <c r="AA5">
        <v>8319</v>
      </c>
      <c r="AB5">
        <v>10534</v>
      </c>
    </row>
    <row r="6" spans="1:40" x14ac:dyDescent="0.25">
      <c r="B6" s="1" t="s">
        <v>21</v>
      </c>
      <c r="C6" s="1"/>
      <c r="D6">
        <f>+D5+D4+D3</f>
        <v>18756</v>
      </c>
      <c r="E6">
        <f>+E5+E4+E3</f>
        <v>16934</v>
      </c>
      <c r="F6">
        <f>+F5+F4+F3</f>
        <v>21454</v>
      </c>
      <c r="G6">
        <f t="shared" si="1"/>
        <v>24318</v>
      </c>
      <c r="I6">
        <f>+I5+I4+I3</f>
        <v>23329</v>
      </c>
      <c r="J6">
        <f>+J5+J4+J3</f>
        <v>24927</v>
      </c>
      <c r="K6">
        <f>+K5+K4+K3</f>
        <v>23350</v>
      </c>
      <c r="L6">
        <f t="shared" si="2"/>
        <v>25167</v>
      </c>
      <c r="N6">
        <f>+N5+N4+N3</f>
        <v>21301</v>
      </c>
      <c r="O6">
        <f>+O5+O4+O3</f>
        <v>25500</v>
      </c>
      <c r="P6">
        <f>+P5+P4+P3</f>
        <v>25182</v>
      </c>
      <c r="Q6">
        <f t="shared" si="3"/>
        <v>25707</v>
      </c>
      <c r="R6" s="1">
        <f>+R5+R4+R3</f>
        <v>19176.699999999997</v>
      </c>
      <c r="S6" s="1"/>
      <c r="T6" s="1"/>
      <c r="U6" s="1"/>
      <c r="Z6">
        <f>Z5+Z4+Z3</f>
        <v>81462</v>
      </c>
      <c r="AA6">
        <f>AA5+AA4+AA3</f>
        <v>96773</v>
      </c>
      <c r="AB6">
        <f>AB5+AB4+AB3</f>
        <v>97690</v>
      </c>
    </row>
    <row r="7" spans="1:40" x14ac:dyDescent="0.25">
      <c r="B7" t="s">
        <v>22</v>
      </c>
      <c r="D7">
        <v>11322</v>
      </c>
      <c r="E7">
        <v>10521</v>
      </c>
      <c r="F7">
        <v>13480</v>
      </c>
      <c r="G7">
        <f t="shared" si="1"/>
        <v>15785</v>
      </c>
      <c r="I7">
        <v>15755</v>
      </c>
      <c r="J7">
        <v>17179</v>
      </c>
      <c r="K7">
        <v>15957</v>
      </c>
      <c r="L7">
        <f t="shared" si="2"/>
        <v>17498</v>
      </c>
      <c r="N7">
        <v>14166</v>
      </c>
      <c r="O7">
        <v>16207</v>
      </c>
      <c r="P7">
        <v>15990</v>
      </c>
      <c r="Q7">
        <f t="shared" si="3"/>
        <v>16510</v>
      </c>
      <c r="R7">
        <f>Q7*1</f>
        <v>16510</v>
      </c>
      <c r="Z7">
        <v>51108</v>
      </c>
      <c r="AA7">
        <v>66389</v>
      </c>
      <c r="AB7">
        <v>62873</v>
      </c>
    </row>
    <row r="8" spans="1:40" x14ac:dyDescent="0.25">
      <c r="B8" t="s">
        <v>23</v>
      </c>
      <c r="D8">
        <v>688</v>
      </c>
      <c r="E8">
        <v>769</v>
      </c>
      <c r="F8">
        <v>1013</v>
      </c>
      <c r="G8">
        <f t="shared" si="1"/>
        <v>1151</v>
      </c>
      <c r="I8">
        <v>1361</v>
      </c>
      <c r="J8">
        <v>1231</v>
      </c>
      <c r="K8">
        <v>1178</v>
      </c>
      <c r="L8">
        <f t="shared" si="2"/>
        <v>1124</v>
      </c>
      <c r="N8">
        <v>1232</v>
      </c>
      <c r="O8">
        <v>2274</v>
      </c>
      <c r="P8">
        <v>1651</v>
      </c>
      <c r="Q8">
        <f t="shared" si="3"/>
        <v>2289</v>
      </c>
      <c r="R8">
        <f>Q8</f>
        <v>2289</v>
      </c>
      <c r="Z8">
        <v>3621</v>
      </c>
      <c r="AA8">
        <v>4894</v>
      </c>
      <c r="AB8">
        <v>7446</v>
      </c>
    </row>
    <row r="9" spans="1:40" x14ac:dyDescent="0.25">
      <c r="B9" t="s">
        <v>25</v>
      </c>
      <c r="D9">
        <v>1286</v>
      </c>
      <c r="E9">
        <v>1410</v>
      </c>
      <c r="F9">
        <v>1579</v>
      </c>
      <c r="G9">
        <f t="shared" si="1"/>
        <v>1605</v>
      </c>
      <c r="I9">
        <v>1702</v>
      </c>
      <c r="J9">
        <v>1984</v>
      </c>
      <c r="K9">
        <v>2037</v>
      </c>
      <c r="L9">
        <f t="shared" si="2"/>
        <v>2107</v>
      </c>
      <c r="N9">
        <v>2207</v>
      </c>
      <c r="O9">
        <v>2441</v>
      </c>
      <c r="P9">
        <v>2544</v>
      </c>
      <c r="Q9">
        <f t="shared" si="3"/>
        <v>2729</v>
      </c>
      <c r="R9">
        <f>Q9</f>
        <v>2729</v>
      </c>
      <c r="Z9">
        <v>5880</v>
      </c>
      <c r="AA9">
        <v>7830</v>
      </c>
      <c r="AB9">
        <v>9921</v>
      </c>
    </row>
    <row r="10" spans="1:40" x14ac:dyDescent="0.25">
      <c r="B10" s="1" t="s">
        <v>24</v>
      </c>
      <c r="C10" s="1"/>
      <c r="D10">
        <f>D7+D8+D9</f>
        <v>13296</v>
      </c>
      <c r="E10">
        <f>E7+E8+E9</f>
        <v>12700</v>
      </c>
      <c r="F10">
        <f>F7+F8+F9</f>
        <v>16072</v>
      </c>
      <c r="G10">
        <f t="shared" si="1"/>
        <v>18541</v>
      </c>
      <c r="I10">
        <f>I7+I8+I9</f>
        <v>18818</v>
      </c>
      <c r="J10">
        <f>J7+J8+J9</f>
        <v>20394</v>
      </c>
      <c r="K10">
        <f>K7+K8+K9</f>
        <v>19172</v>
      </c>
      <c r="L10">
        <f t="shared" si="2"/>
        <v>20729</v>
      </c>
      <c r="N10">
        <f>N7+N8+N9</f>
        <v>17605</v>
      </c>
      <c r="O10">
        <f>O7+O8+O9</f>
        <v>20922</v>
      </c>
      <c r="P10">
        <f>P7+P8+P9</f>
        <v>20185</v>
      </c>
      <c r="Q10">
        <f t="shared" si="3"/>
        <v>21528</v>
      </c>
      <c r="R10" s="1">
        <f>R7+R8+R9</f>
        <v>21528</v>
      </c>
      <c r="S10" s="1"/>
      <c r="T10" s="1"/>
      <c r="U10" s="1"/>
      <c r="Z10">
        <f>Z9+Z8+Z7</f>
        <v>60609</v>
      </c>
      <c r="AA10">
        <f>AA9+AA8+AA7</f>
        <v>79113</v>
      </c>
      <c r="AB10">
        <f>AB9+AB8+AB7</f>
        <v>80240</v>
      </c>
    </row>
    <row r="11" spans="1:40" x14ac:dyDescent="0.25">
      <c r="B11" s="1" t="s">
        <v>26</v>
      </c>
      <c r="C11" s="1"/>
      <c r="D11">
        <f>D6-D10</f>
        <v>5460</v>
      </c>
      <c r="E11">
        <f>E6-E10</f>
        <v>4234</v>
      </c>
      <c r="F11">
        <f>F6-F10</f>
        <v>5382</v>
      </c>
      <c r="G11">
        <f t="shared" si="1"/>
        <v>5777</v>
      </c>
      <c r="I11">
        <f>I6-I10</f>
        <v>4511</v>
      </c>
      <c r="J11">
        <f>J6-J10</f>
        <v>4533</v>
      </c>
      <c r="K11">
        <f>K6-K10</f>
        <v>4178</v>
      </c>
      <c r="L11">
        <f t="shared" si="2"/>
        <v>4438</v>
      </c>
      <c r="N11">
        <f>N6-N10</f>
        <v>3696</v>
      </c>
      <c r="O11">
        <f>O6-O10</f>
        <v>4578</v>
      </c>
      <c r="P11">
        <f>P6-P10</f>
        <v>4997</v>
      </c>
      <c r="Q11">
        <f t="shared" si="3"/>
        <v>4179</v>
      </c>
      <c r="R11" s="1">
        <f>R6-R10</f>
        <v>-2351.3000000000029</v>
      </c>
      <c r="S11" s="1"/>
      <c r="T11" s="1"/>
      <c r="U11" s="1"/>
      <c r="Z11">
        <f>Z6-Z10</f>
        <v>20853</v>
      </c>
      <c r="AA11">
        <f>AA6-AA10</f>
        <v>17660</v>
      </c>
      <c r="AB11">
        <f>AB6-AB10</f>
        <v>17450</v>
      </c>
    </row>
    <row r="12" spans="1:40" x14ac:dyDescent="0.25">
      <c r="B12" t="s">
        <v>27</v>
      </c>
      <c r="D12">
        <v>865</v>
      </c>
      <c r="E12">
        <v>667</v>
      </c>
      <c r="F12">
        <v>733</v>
      </c>
      <c r="G12">
        <f t="shared" si="1"/>
        <v>810</v>
      </c>
      <c r="I12">
        <v>771</v>
      </c>
      <c r="J12">
        <v>943</v>
      </c>
      <c r="K12">
        <v>1161</v>
      </c>
      <c r="L12">
        <f t="shared" si="2"/>
        <v>1094</v>
      </c>
      <c r="N12">
        <v>1151</v>
      </c>
      <c r="O12">
        <v>1074</v>
      </c>
      <c r="P12">
        <v>1039</v>
      </c>
      <c r="Q12">
        <f t="shared" si="3"/>
        <v>1276</v>
      </c>
      <c r="R12">
        <f>Q12</f>
        <v>1276</v>
      </c>
      <c r="Z12">
        <v>3075</v>
      </c>
      <c r="AA12">
        <v>3969</v>
      </c>
      <c r="AB12">
        <v>4540</v>
      </c>
    </row>
    <row r="13" spans="1:40" x14ac:dyDescent="0.25">
      <c r="B13" t="s">
        <v>28</v>
      </c>
      <c r="D13">
        <v>992</v>
      </c>
      <c r="E13">
        <v>961</v>
      </c>
      <c r="F13">
        <v>961</v>
      </c>
      <c r="G13">
        <f t="shared" si="1"/>
        <v>1032</v>
      </c>
      <c r="I13">
        <v>1076</v>
      </c>
      <c r="J13">
        <v>1191</v>
      </c>
      <c r="K13">
        <v>1253</v>
      </c>
      <c r="L13">
        <f t="shared" si="2"/>
        <v>1280</v>
      </c>
      <c r="N13">
        <v>1374</v>
      </c>
      <c r="O13">
        <v>1277</v>
      </c>
      <c r="P13">
        <v>1186</v>
      </c>
      <c r="Q13">
        <f t="shared" si="3"/>
        <v>1313</v>
      </c>
      <c r="R13">
        <f>Q13</f>
        <v>1313</v>
      </c>
      <c r="Z13">
        <v>3946</v>
      </c>
      <c r="AA13">
        <v>4800</v>
      </c>
      <c r="AB13">
        <v>5150</v>
      </c>
    </row>
    <row r="14" spans="1:40" x14ac:dyDescent="0.25">
      <c r="B14" t="s">
        <v>36</v>
      </c>
      <c r="D14">
        <v>0</v>
      </c>
      <c r="E14">
        <v>142</v>
      </c>
      <c r="F14">
        <v>0</v>
      </c>
      <c r="G14">
        <f t="shared" si="1"/>
        <v>34</v>
      </c>
      <c r="I14">
        <v>0</v>
      </c>
      <c r="J14">
        <v>0</v>
      </c>
      <c r="K14">
        <v>0</v>
      </c>
      <c r="L14">
        <f t="shared" si="2"/>
        <v>0</v>
      </c>
      <c r="N14">
        <v>0</v>
      </c>
      <c r="O14">
        <v>622</v>
      </c>
      <c r="P14">
        <v>55</v>
      </c>
      <c r="Q14">
        <f t="shared" si="3"/>
        <v>7</v>
      </c>
      <c r="R14">
        <v>0</v>
      </c>
      <c r="Z14">
        <v>176</v>
      </c>
      <c r="AA14">
        <v>0</v>
      </c>
      <c r="AB14">
        <v>684</v>
      </c>
      <c r="AL14" s="5"/>
    </row>
    <row r="15" spans="1:40" x14ac:dyDescent="0.25">
      <c r="B15" s="1" t="s">
        <v>29</v>
      </c>
      <c r="C15" s="1"/>
      <c r="D15">
        <f>D12+D13+D14</f>
        <v>1857</v>
      </c>
      <c r="E15">
        <f>E12+E13+E14</f>
        <v>1770</v>
      </c>
      <c r="F15">
        <f>F12+F13+F14</f>
        <v>1694</v>
      </c>
      <c r="G15">
        <f t="shared" si="1"/>
        <v>1876</v>
      </c>
      <c r="I15">
        <f>I12+I13+I14</f>
        <v>1847</v>
      </c>
      <c r="J15">
        <f>J12+J13+J14</f>
        <v>2134</v>
      </c>
      <c r="K15">
        <f>K12+K13+K14</f>
        <v>2414</v>
      </c>
      <c r="L15">
        <f t="shared" si="2"/>
        <v>2374</v>
      </c>
      <c r="N15">
        <f>N12+N13+N14</f>
        <v>2525</v>
      </c>
      <c r="O15">
        <f>O12+O13+O14</f>
        <v>2973</v>
      </c>
      <c r="P15">
        <f>P12+P13+P14</f>
        <v>2280</v>
      </c>
      <c r="Q15">
        <f t="shared" si="3"/>
        <v>2596</v>
      </c>
      <c r="R15" s="1">
        <f>R12+R13+R14</f>
        <v>2589</v>
      </c>
      <c r="S15" s="1"/>
      <c r="T15" s="1"/>
      <c r="U15" s="1"/>
      <c r="Z15">
        <f>Z14+Z13+Z12</f>
        <v>7197</v>
      </c>
      <c r="AA15">
        <f>AA14+AA13+AA12</f>
        <v>8769</v>
      </c>
      <c r="AB15">
        <f>AB14+AB13+AB12</f>
        <v>10374</v>
      </c>
    </row>
    <row r="16" spans="1:40" x14ac:dyDescent="0.25">
      <c r="B16" s="1" t="s">
        <v>30</v>
      </c>
      <c r="C16" s="1"/>
      <c r="D16">
        <f>D11-D15</f>
        <v>3603</v>
      </c>
      <c r="E16">
        <f>E11-E15</f>
        <v>2464</v>
      </c>
      <c r="F16">
        <f>F11-F15</f>
        <v>3688</v>
      </c>
      <c r="G16">
        <f t="shared" si="1"/>
        <v>3901</v>
      </c>
      <c r="I16">
        <f>I11-I15</f>
        <v>2664</v>
      </c>
      <c r="J16">
        <f>J11-J15</f>
        <v>2399</v>
      </c>
      <c r="K16">
        <f>K11-K15</f>
        <v>1764</v>
      </c>
      <c r="L16">
        <f t="shared" si="2"/>
        <v>2064</v>
      </c>
      <c r="N16">
        <f>N11-N15</f>
        <v>1171</v>
      </c>
      <c r="O16">
        <f>O11-O15</f>
        <v>1605</v>
      </c>
      <c r="P16">
        <f>P11-P15</f>
        <v>2717</v>
      </c>
      <c r="Q16">
        <f t="shared" si="3"/>
        <v>1583</v>
      </c>
      <c r="R16" s="1">
        <f>R11-R15</f>
        <v>-4940.3000000000029</v>
      </c>
      <c r="S16" s="1"/>
      <c r="T16" s="1"/>
      <c r="U16" s="1"/>
      <c r="Z16">
        <f>Z11-Z15</f>
        <v>13656</v>
      </c>
      <c r="AA16">
        <f>AA11-AA15</f>
        <v>8891</v>
      </c>
      <c r="AB16">
        <f>AB11-AB15</f>
        <v>7076</v>
      </c>
      <c r="AM16" s="6"/>
      <c r="AN16" s="3"/>
    </row>
    <row r="17" spans="2:30" x14ac:dyDescent="0.25">
      <c r="B17" t="s">
        <v>32</v>
      </c>
      <c r="D17">
        <f>28-61+56</f>
        <v>23</v>
      </c>
      <c r="E17">
        <f>26-44+28</f>
        <v>10</v>
      </c>
      <c r="F17">
        <f>86-53-85</f>
        <v>-52</v>
      </c>
      <c r="G17">
        <f t="shared" si="1"/>
        <v>82</v>
      </c>
      <c r="I17">
        <f>213-29-48</f>
        <v>136</v>
      </c>
      <c r="J17">
        <f>238-28+328</f>
        <v>538</v>
      </c>
      <c r="K17">
        <f>282-38+37</f>
        <v>281</v>
      </c>
      <c r="L17">
        <f t="shared" si="2"/>
        <v>127</v>
      </c>
      <c r="N17">
        <f>350-76+108</f>
        <v>382</v>
      </c>
      <c r="O17">
        <f>348-86+20</f>
        <v>282</v>
      </c>
      <c r="P17">
        <f>429-92-270</f>
        <v>67</v>
      </c>
      <c r="Q17">
        <f t="shared" si="3"/>
        <v>1183</v>
      </c>
      <c r="R17">
        <v>500</v>
      </c>
      <c r="Z17">
        <f>297-191-43</f>
        <v>63</v>
      </c>
      <c r="AA17">
        <f>1066-156+172</f>
        <v>1082</v>
      </c>
      <c r="AB17">
        <f>1569-350+695</f>
        <v>1914</v>
      </c>
    </row>
    <row r="18" spans="2:30" x14ac:dyDescent="0.25">
      <c r="B18" t="s">
        <v>35</v>
      </c>
      <c r="D18">
        <f>D17+D16</f>
        <v>3626</v>
      </c>
      <c r="E18">
        <f>E17+E16</f>
        <v>2474</v>
      </c>
      <c r="F18">
        <f>F17+F16</f>
        <v>3636</v>
      </c>
      <c r="G18">
        <f t="shared" si="1"/>
        <v>3983</v>
      </c>
      <c r="I18">
        <f>I17+I16</f>
        <v>2800</v>
      </c>
      <c r="J18">
        <f>J17+J16</f>
        <v>2937</v>
      </c>
      <c r="K18">
        <f>K17+K16</f>
        <v>2045</v>
      </c>
      <c r="L18">
        <f t="shared" si="2"/>
        <v>2191</v>
      </c>
      <c r="N18">
        <f>N17+N16</f>
        <v>1553</v>
      </c>
      <c r="O18">
        <f>O17+O16</f>
        <v>1887</v>
      </c>
      <c r="P18">
        <f>P17+P16</f>
        <v>2784</v>
      </c>
      <c r="Q18">
        <f t="shared" si="3"/>
        <v>2766</v>
      </c>
      <c r="R18">
        <f>R17+R16</f>
        <v>-4440.3000000000029</v>
      </c>
      <c r="Z18">
        <f>Z16+Z17</f>
        <v>13719</v>
      </c>
      <c r="AA18">
        <f>AA16+AA17</f>
        <v>9973</v>
      </c>
      <c r="AB18">
        <f>AB16+AB17</f>
        <v>8990</v>
      </c>
    </row>
    <row r="19" spans="2:30" x14ac:dyDescent="0.25">
      <c r="B19" t="s">
        <v>34</v>
      </c>
      <c r="D19">
        <v>346</v>
      </c>
      <c r="E19">
        <v>205</v>
      </c>
      <c r="F19">
        <v>305</v>
      </c>
      <c r="G19">
        <f t="shared" si="1"/>
        <v>276</v>
      </c>
      <c r="I19">
        <v>261</v>
      </c>
      <c r="J19">
        <v>323</v>
      </c>
      <c r="K19">
        <v>167</v>
      </c>
      <c r="L19">
        <f t="shared" si="2"/>
        <v>-5752</v>
      </c>
      <c r="N19">
        <v>409</v>
      </c>
      <c r="O19">
        <v>393</v>
      </c>
      <c r="P19">
        <v>601</v>
      </c>
      <c r="Q19">
        <f t="shared" si="3"/>
        <v>434</v>
      </c>
      <c r="R19">
        <v>600</v>
      </c>
      <c r="Z19">
        <v>1132</v>
      </c>
      <c r="AA19">
        <v>-5001</v>
      </c>
      <c r="AB19">
        <v>1837</v>
      </c>
    </row>
    <row r="20" spans="2:30" x14ac:dyDescent="0.25">
      <c r="B20" s="1" t="s">
        <v>33</v>
      </c>
      <c r="C20" s="1"/>
      <c r="D20">
        <f>D18-D19</f>
        <v>3280</v>
      </c>
      <c r="E20">
        <f>E18-E19</f>
        <v>2269</v>
      </c>
      <c r="F20">
        <f>F18-F19</f>
        <v>3331</v>
      </c>
      <c r="G20">
        <f t="shared" si="1"/>
        <v>3707</v>
      </c>
      <c r="I20">
        <f>I18-I19</f>
        <v>2539</v>
      </c>
      <c r="J20">
        <f>J18-J19</f>
        <v>2614</v>
      </c>
      <c r="K20">
        <f>K18-K19</f>
        <v>1878</v>
      </c>
      <c r="L20">
        <f t="shared" si="2"/>
        <v>7943</v>
      </c>
      <c r="N20">
        <f>N18-N19</f>
        <v>1144</v>
      </c>
      <c r="O20">
        <f>O18-O19</f>
        <v>1494</v>
      </c>
      <c r="P20">
        <f>P18-P19</f>
        <v>2183</v>
      </c>
      <c r="Q20">
        <f t="shared" si="3"/>
        <v>2332</v>
      </c>
      <c r="R20" s="1">
        <f>R18-R19</f>
        <v>-5040.3000000000029</v>
      </c>
      <c r="S20" s="1"/>
      <c r="T20" s="1"/>
      <c r="U20" s="1"/>
      <c r="Z20">
        <f>Z18-Z19</f>
        <v>12587</v>
      </c>
      <c r="AA20">
        <f>AA18-AA19</f>
        <v>14974</v>
      </c>
      <c r="AB20">
        <f>AB18-AB19</f>
        <v>7153</v>
      </c>
    </row>
    <row r="21" spans="2:30" x14ac:dyDescent="0.25">
      <c r="B21" t="s">
        <v>31</v>
      </c>
      <c r="D21">
        <v>0.95</v>
      </c>
      <c r="E21">
        <v>0.65</v>
      </c>
      <c r="F21">
        <v>0.95</v>
      </c>
      <c r="G21">
        <f t="shared" si="1"/>
        <v>1.0700000000000003</v>
      </c>
      <c r="I21">
        <v>0.73</v>
      </c>
      <c r="J21">
        <v>0.78</v>
      </c>
      <c r="K21">
        <v>0.53</v>
      </c>
      <c r="L21">
        <f>AA21-(I21+J21+K21)</f>
        <v>2.2599999999999998</v>
      </c>
      <c r="N21">
        <v>0.34</v>
      </c>
      <c r="O21">
        <v>0.42</v>
      </c>
      <c r="P21">
        <v>0.62</v>
      </c>
      <c r="Q21">
        <f>AB21-(N21+O21+P21)</f>
        <v>0.66000000000000014</v>
      </c>
      <c r="R21">
        <f>R20/R22</f>
        <v>-1.4479459925308829</v>
      </c>
      <c r="Z21">
        <v>3.62</v>
      </c>
      <c r="AA21">
        <v>4.3</v>
      </c>
      <c r="AB21">
        <v>2.04</v>
      </c>
    </row>
    <row r="22" spans="2:30" x14ac:dyDescent="0.25">
      <c r="B22" t="s">
        <v>1</v>
      </c>
      <c r="D22">
        <v>3472</v>
      </c>
      <c r="E22">
        <v>3464</v>
      </c>
      <c r="F22">
        <v>3468</v>
      </c>
      <c r="G22">
        <f>Z22</f>
        <v>3475</v>
      </c>
      <c r="I22">
        <v>3468</v>
      </c>
      <c r="J22">
        <v>3478</v>
      </c>
      <c r="K22">
        <v>3493</v>
      </c>
      <c r="L22">
        <f>AA22</f>
        <v>3485</v>
      </c>
      <c r="N22">
        <v>3484</v>
      </c>
      <c r="O22">
        <v>3481</v>
      </c>
      <c r="P22">
        <v>3481</v>
      </c>
      <c r="Q22">
        <f>AB22</f>
        <v>3498</v>
      </c>
      <c r="R22">
        <v>3481</v>
      </c>
      <c r="Z22">
        <v>3475</v>
      </c>
      <c r="AA22">
        <v>3485</v>
      </c>
      <c r="AB22">
        <v>3498</v>
      </c>
    </row>
    <row r="23" spans="2:30" x14ac:dyDescent="0.25">
      <c r="AC23" s="4"/>
    </row>
    <row r="24" spans="2:30" x14ac:dyDescent="0.25">
      <c r="B24" t="s">
        <v>42</v>
      </c>
      <c r="D24" s="3"/>
      <c r="E24" s="3"/>
      <c r="F24" s="3"/>
      <c r="G24" s="3"/>
      <c r="I24" s="3">
        <f>+I3/D3 - 1</f>
        <v>0.18397485321155327</v>
      </c>
      <c r="J24" s="3">
        <f>+J3/E3 - 1</f>
        <v>0.4565128064648678</v>
      </c>
      <c r="K24" s="3">
        <f>+K3/F3 - 1</f>
        <v>4.9914401883158543E-2</v>
      </c>
      <c r="L24" s="3">
        <f>+L3/G3 - 1</f>
        <v>1.2014830806777121E-2</v>
      </c>
      <c r="N24" s="3">
        <f t="shared" ref="N24:Q26" si="4">+N3/I3 - 1</f>
        <v>-0.12948955567800435</v>
      </c>
      <c r="O24" s="3">
        <f t="shared" si="4"/>
        <v>-6.5356403987210876E-2</v>
      </c>
      <c r="P24" s="3">
        <f t="shared" si="4"/>
        <v>1.9923566878981003E-2</v>
      </c>
      <c r="Q24" s="3">
        <f t="shared" si="4"/>
        <v>-8.1853174419143859E-2</v>
      </c>
      <c r="R24" s="4">
        <v>-0.3</v>
      </c>
      <c r="S24" s="4"/>
      <c r="T24" s="4"/>
      <c r="U24" s="4"/>
      <c r="AA24" s="3">
        <f>AA3/Z3-1</f>
        <v>0.15332624331812705</v>
      </c>
      <c r="AB24" s="3">
        <f>AB3/AA3-1</f>
        <v>-6.4900083718560042E-2</v>
      </c>
    </row>
    <row r="25" spans="2:30" x14ac:dyDescent="0.25">
      <c r="B25" t="s">
        <v>43</v>
      </c>
      <c r="D25" s="3"/>
      <c r="E25" s="3"/>
      <c r="F25" s="3"/>
      <c r="G25" s="3"/>
      <c r="I25" s="3">
        <f>+I4/D4 - 1</f>
        <v>1.4821428571428572</v>
      </c>
      <c r="J25" s="3">
        <f t="shared" ref="J25:L25" si="5">+J4/E4 - 1</f>
        <v>0.7424942263279446</v>
      </c>
      <c r="K25" s="3">
        <f t="shared" si="5"/>
        <v>0.39570277529095788</v>
      </c>
      <c r="L25" s="3">
        <f t="shared" si="5"/>
        <v>9.7709923664122122E-2</v>
      </c>
      <c r="N25" s="3">
        <f t="shared" si="4"/>
        <v>6.9326357096141322E-2</v>
      </c>
      <c r="O25" s="3">
        <f t="shared" si="4"/>
        <v>0.99734923790589791</v>
      </c>
      <c r="P25" s="3">
        <f t="shared" si="4"/>
        <v>0.52405388069275172</v>
      </c>
      <c r="Q25" s="3">
        <f t="shared" si="4"/>
        <v>1.1286509040333796</v>
      </c>
      <c r="R25" s="4">
        <v>-0.1</v>
      </c>
      <c r="S25" s="4"/>
      <c r="T25" s="4"/>
      <c r="U25" s="4"/>
      <c r="AA25" s="3">
        <f>AA4/Z4-1</f>
        <v>0.54387311332821686</v>
      </c>
      <c r="AB25" s="3">
        <f t="shared" ref="AA25:AB28" si="6">AB4/AA4-1</f>
        <v>0.67125103562551791</v>
      </c>
    </row>
    <row r="26" spans="2:30" x14ac:dyDescent="0.25">
      <c r="B26" t="s">
        <v>44</v>
      </c>
      <c r="I26" s="3">
        <f>+I5/D5 - 1</f>
        <v>0.43627834245504293</v>
      </c>
      <c r="J26" s="3">
        <f>+J5/E5 - 1</f>
        <v>0.46657571623465222</v>
      </c>
      <c r="K26" s="3">
        <f>+K5/F5 - 1</f>
        <v>0.31671732522796359</v>
      </c>
      <c r="L26" s="3">
        <f>+L5/G5 - 1</f>
        <v>0.27336860670194008</v>
      </c>
      <c r="N26" s="3">
        <f t="shared" si="4"/>
        <v>0.24550898203592819</v>
      </c>
      <c r="O26" s="3">
        <f t="shared" si="4"/>
        <v>0.21302325581395354</v>
      </c>
      <c r="P26" s="3">
        <f t="shared" si="4"/>
        <v>0.28808864265927969</v>
      </c>
      <c r="Q26" s="3">
        <f t="shared" si="4"/>
        <v>0.31486611265004627</v>
      </c>
      <c r="R26" s="4">
        <v>-0.1</v>
      </c>
      <c r="S26" s="4"/>
      <c r="T26" s="4"/>
      <c r="U26" s="4"/>
      <c r="AA26" s="3">
        <f t="shared" si="6"/>
        <v>0.36578558528977179</v>
      </c>
      <c r="AB26" s="3">
        <f t="shared" si="6"/>
        <v>0.26625796369755972</v>
      </c>
    </row>
    <row r="27" spans="2:30" x14ac:dyDescent="0.25">
      <c r="B27" t="s">
        <v>40</v>
      </c>
      <c r="D27" s="3"/>
      <c r="E27" s="3"/>
      <c r="F27" s="3"/>
      <c r="G27" s="3"/>
      <c r="I27" s="3">
        <f>+I6/D6 -1</f>
        <v>0.24381531243335464</v>
      </c>
      <c r="J27" s="3">
        <f>+J6/E6 -1</f>
        <v>0.47200897602456604</v>
      </c>
      <c r="K27" s="3">
        <f>+K6/F6 -1</f>
        <v>8.8375128181224838E-2</v>
      </c>
      <c r="L27" s="3">
        <f>+L6/G6 -1</f>
        <v>3.4912410560078877E-2</v>
      </c>
      <c r="N27" s="3">
        <f>+N6/I6 -1</f>
        <v>-8.6930429936988296E-2</v>
      </c>
      <c r="O27" s="3">
        <f>+O6/J6 -1</f>
        <v>2.2987122397400306E-2</v>
      </c>
      <c r="P27" s="3">
        <f>+P6/K6 -1</f>
        <v>7.8458244111349051E-2</v>
      </c>
      <c r="Q27" s="3">
        <f>+Q6/L6 -1</f>
        <v>2.1456669448086885E-2</v>
      </c>
      <c r="AA27" s="3">
        <f t="shared" si="6"/>
        <v>0.18795266504627928</v>
      </c>
      <c r="AB27" s="3">
        <f t="shared" si="6"/>
        <v>9.4757835346634955E-3</v>
      </c>
    </row>
    <row r="28" spans="2:30" x14ac:dyDescent="0.25">
      <c r="B28" t="s">
        <v>41</v>
      </c>
      <c r="D28" s="3">
        <f>D11/D6</f>
        <v>0.29110684580934099</v>
      </c>
      <c r="E28" s="3">
        <f>E11/E6</f>
        <v>0.25002952639659853</v>
      </c>
      <c r="F28" s="3">
        <f>F11/F6</f>
        <v>0.25086231005873033</v>
      </c>
      <c r="G28" s="3">
        <f>G11/G6</f>
        <v>0.23756065465910026</v>
      </c>
      <c r="I28" s="3">
        <f>I11/I6</f>
        <v>0.19336448197522396</v>
      </c>
      <c r="J28" s="3">
        <f>J11/J6</f>
        <v>0.18185100493440848</v>
      </c>
      <c r="K28" s="3">
        <f>K11/K6</f>
        <v>0.17892933618843684</v>
      </c>
      <c r="L28" s="3">
        <f>L11/L6</f>
        <v>0.17634203520483172</v>
      </c>
      <c r="N28" s="3">
        <f t="shared" ref="N28:U28" si="7">N11/N6</f>
        <v>0.1735129806112389</v>
      </c>
      <c r="O28" s="3">
        <f t="shared" si="7"/>
        <v>0.17952941176470588</v>
      </c>
      <c r="P28" s="3">
        <f t="shared" si="7"/>
        <v>0.19843539035819235</v>
      </c>
      <c r="Q28" s="3">
        <f t="shared" si="7"/>
        <v>0.16256272610572994</v>
      </c>
      <c r="R28" s="3">
        <f t="shared" si="7"/>
        <v>-0.12261233684627716</v>
      </c>
      <c r="S28" s="3" t="e">
        <f t="shared" si="7"/>
        <v>#DIV/0!</v>
      </c>
      <c r="T28" s="3" t="e">
        <f t="shared" si="7"/>
        <v>#DIV/0!</v>
      </c>
      <c r="U28" s="3" t="e">
        <f t="shared" si="7"/>
        <v>#DIV/0!</v>
      </c>
      <c r="AA28" s="3">
        <f t="shared" si="6"/>
        <v>0.29899428660875005</v>
      </c>
      <c r="AB28" s="3">
        <f t="shared" si="6"/>
        <v>-5.2960580819111591E-2</v>
      </c>
    </row>
    <row r="29" spans="2:30" x14ac:dyDescent="0.25">
      <c r="AD29" s="3"/>
    </row>
    <row r="31" spans="2:30" x14ac:dyDescent="0.25">
      <c r="B31" t="s">
        <v>45</v>
      </c>
      <c r="D31" s="3">
        <f>D3/D6</f>
        <v>0.89896566432075065</v>
      </c>
      <c r="E31" s="3">
        <f>E3/E6</f>
        <v>0.86228888626432032</v>
      </c>
      <c r="F31" s="3">
        <f>F3/F6</f>
        <v>0.87125943879929146</v>
      </c>
      <c r="G31" s="3">
        <f>G3/G6</f>
        <v>0.87618225182992027</v>
      </c>
      <c r="I31" s="3">
        <f>I3/I6</f>
        <v>0.8557160615542887</v>
      </c>
      <c r="J31" s="3">
        <f>J3/J6</f>
        <v>0.85321137722148677</v>
      </c>
      <c r="K31" s="3">
        <f>K3/K6</f>
        <v>0.84047109207708781</v>
      </c>
      <c r="L31" s="3">
        <f>L3/L6</f>
        <v>0.8567965987205467</v>
      </c>
      <c r="N31" s="3">
        <f t="shared" ref="N31:U31" si="8">N3/N6</f>
        <v>0.81583024271160975</v>
      </c>
      <c r="O31" s="3">
        <f t="shared" si="8"/>
        <v>0.77952941176470592</v>
      </c>
      <c r="P31" s="3">
        <f t="shared" si="8"/>
        <v>0.79485346676197288</v>
      </c>
      <c r="Q31" s="3">
        <f t="shared" si="8"/>
        <v>0.77014042867701404</v>
      </c>
      <c r="R31" s="3">
        <f t="shared" si="8"/>
        <v>0.72267908451401963</v>
      </c>
      <c r="S31" s="3" t="e">
        <f t="shared" si="8"/>
        <v>#DIV/0!</v>
      </c>
      <c r="T31" s="3" t="e">
        <f t="shared" si="8"/>
        <v>#DIV/0!</v>
      </c>
      <c r="U31" s="3" t="e">
        <f t="shared" si="8"/>
        <v>#DIV/0!</v>
      </c>
      <c r="Z31" s="3">
        <f>Z3/Z6</f>
        <v>0.8772433772802043</v>
      </c>
      <c r="AA31" s="3">
        <f>AA3/AA6</f>
        <v>0.85167350397321562</v>
      </c>
      <c r="AB31" s="3">
        <f>AB3/AB6</f>
        <v>0.78892414781451525</v>
      </c>
      <c r="AC31" s="3" t="e">
        <f>AC3/AC6</f>
        <v>#DIV/0!</v>
      </c>
    </row>
    <row r="32" spans="2:30" x14ac:dyDescent="0.25">
      <c r="B32" t="s">
        <v>46</v>
      </c>
      <c r="D32" s="3">
        <f>D4/D6</f>
        <v>3.2842823629771804E-2</v>
      </c>
      <c r="E32" s="3">
        <f>E4/E6</f>
        <v>5.1139718908704383E-2</v>
      </c>
      <c r="F32" s="3">
        <f>F4/F6</f>
        <v>5.2064883005500141E-2</v>
      </c>
      <c r="G32" s="3">
        <f>G4/G6</f>
        <v>5.3869561641582367E-2</v>
      </c>
      <c r="I32" s="3">
        <f>I4/I6</f>
        <v>6.5540743280895028E-2</v>
      </c>
      <c r="J32" s="3">
        <f>J4/J6</f>
        <v>6.0536767360693224E-2</v>
      </c>
      <c r="K32" s="3">
        <f>K4/K6</f>
        <v>6.6766595289079231E-2</v>
      </c>
      <c r="L32" s="3">
        <f>L4/L6</f>
        <v>5.7138316048794054E-2</v>
      </c>
      <c r="N32" s="3">
        <f t="shared" ref="N32:U32" si="9">N4/N6</f>
        <v>7.6756959767147082E-2</v>
      </c>
      <c r="O32" s="3">
        <f t="shared" si="9"/>
        <v>0.11819607843137254</v>
      </c>
      <c r="P32" s="3">
        <f t="shared" si="9"/>
        <v>9.4353109363831303E-2</v>
      </c>
      <c r="Q32" s="3">
        <f t="shared" si="9"/>
        <v>0.11907262613295989</v>
      </c>
      <c r="R32" s="3">
        <f t="shared" si="9"/>
        <v>0.14365871083137352</v>
      </c>
      <c r="S32" s="3" t="e">
        <f t="shared" si="9"/>
        <v>#DIV/0!</v>
      </c>
      <c r="T32" s="3" t="e">
        <f t="shared" si="9"/>
        <v>#DIV/0!</v>
      </c>
      <c r="U32" s="3" t="e">
        <f t="shared" si="9"/>
        <v>#DIV/0!</v>
      </c>
      <c r="Z32" s="3">
        <f>Z4/Z6</f>
        <v>4.7985563821168149E-2</v>
      </c>
      <c r="AA32" s="3">
        <f>AA4/AA6</f>
        <v>6.2362435803374909E-2</v>
      </c>
      <c r="AB32" s="3">
        <f>AB4/AB6</f>
        <v>0.10324495854232778</v>
      </c>
      <c r="AC32" s="3" t="e">
        <f>AC4/AC6</f>
        <v>#DIV/0!</v>
      </c>
    </row>
    <row r="33" spans="2:29" x14ac:dyDescent="0.25">
      <c r="B33" t="s">
        <v>47</v>
      </c>
      <c r="D33" s="3">
        <f>D5/D6</f>
        <v>6.8191512049477501E-2</v>
      </c>
      <c r="E33" s="3">
        <f>E5/E6</f>
        <v>8.6571394826975318E-2</v>
      </c>
      <c r="F33" s="3">
        <f>F5/F6</f>
        <v>7.6675678195208347E-2</v>
      </c>
      <c r="G33" s="3">
        <f>G5/G6</f>
        <v>6.9948186528497408E-2</v>
      </c>
      <c r="I33" s="3">
        <f>I5/I6</f>
        <v>7.8743195164816329E-2</v>
      </c>
      <c r="J33" s="3">
        <f>J5/J6</f>
        <v>8.6251855417820031E-2</v>
      </c>
      <c r="K33" s="3">
        <f>K5/K6</f>
        <v>9.2762312633832972E-2</v>
      </c>
      <c r="L33" s="3">
        <f>L5/L6</f>
        <v>8.60650852306592E-2</v>
      </c>
      <c r="N33" s="3">
        <f t="shared" ref="N33:U33" si="10">N5/N6</f>
        <v>0.10741279752124314</v>
      </c>
      <c r="O33" s="3">
        <f t="shared" si="10"/>
        <v>0.10227450980392157</v>
      </c>
      <c r="P33" s="3">
        <f t="shared" si="10"/>
        <v>0.11079342387419586</v>
      </c>
      <c r="Q33" s="3">
        <f t="shared" si="10"/>
        <v>0.11078694519002606</v>
      </c>
      <c r="R33" s="3">
        <f t="shared" si="10"/>
        <v>0.13366220465460693</v>
      </c>
      <c r="S33" s="3" t="e">
        <f t="shared" si="10"/>
        <v>#DIV/0!</v>
      </c>
      <c r="T33" s="3" t="e">
        <f t="shared" si="10"/>
        <v>#DIV/0!</v>
      </c>
      <c r="U33" s="3" t="e">
        <f t="shared" si="10"/>
        <v>#DIV/0!</v>
      </c>
      <c r="Z33" s="3">
        <f>Z5/Z6</f>
        <v>7.4771058898627576E-2</v>
      </c>
      <c r="AA33" s="3">
        <f>AA5/AA6</f>
        <v>8.5964060223409425E-2</v>
      </c>
      <c r="AB33" s="3">
        <f>AB5/AB6</f>
        <v>0.10783089364315693</v>
      </c>
      <c r="AC33" s="3" t="e">
        <f>AC5/AC6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rebelo antonio</dc:creator>
  <cp:lastModifiedBy>rebelo antonio</cp:lastModifiedBy>
  <cp:lastPrinted>2025-02-16T22:40:07Z</cp:lastPrinted>
  <dcterms:created xsi:type="dcterms:W3CDTF">2025-02-16T22:32:54Z</dcterms:created>
  <dcterms:modified xsi:type="dcterms:W3CDTF">2025-03-15T01:29:10Z</dcterms:modified>
</cp:coreProperties>
</file>