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png" ContentType="image/png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 filterPrivacy="1"/>
  <xr:revisionPtr revIDLastSave="0" documentId="8_{956107F7-190B-4EA0-A47D-B598B9DBDBCD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inputs" sheetId="1" r:id="rId1"/>
    <sheet name="Sheet2" sheetId="6" state="hidden" r:id="rId2"/>
    <sheet name="Rev History" sheetId="4" r:id="rId3"/>
    <sheet name="DATA" sheetId="2" state="hidden" r:id="rId4"/>
    <sheet name="Sheet1" sheetId="5" state="hidden" r:id="rId5"/>
    <sheet name="TP" sheetId="3" state="hidden" r:id="rId6"/>
    <sheet name="Sheet3" sheetId="8" state="hidden" r:id="rId7"/>
    <sheet name="Airspan limitation" sheetId="7" state="hidden" r:id="rId8"/>
  </sheets>
  <definedNames>
    <definedName name="BLER_NR">inputs!$C$30</definedName>
    <definedName name="BW_NR">inputs!$C$12</definedName>
    <definedName name="CSI_NR">DATA!$D$49</definedName>
    <definedName name="CSI_RS_NR">DATA!$F$46</definedName>
    <definedName name="CSI_RS_periodicity">inputs!$C$28</definedName>
    <definedName name="CSI_RS_slots">inputs!$C$29</definedName>
    <definedName name="Cyclic_prefix_NR">inputs!$C$10</definedName>
    <definedName name="DL_CA_NR">inputs!$C$17</definedName>
    <definedName name="DL_Layers_NR">inputs!$C$15</definedName>
    <definedName name="DL_Max_Modulation_NR">inputs!$C$13</definedName>
    <definedName name="DL_Overhead_NR">DATA!$B$18</definedName>
    <definedName name="DL_split_SSF_NR">DATA!$C$10</definedName>
    <definedName name="DL_splite_NR">DATA!$L$96</definedName>
    <definedName name="DL_splite_NR_manual">inputs!$C$6</definedName>
    <definedName name="DL_splite_overhead_NR">DATA!$C$8</definedName>
    <definedName name="DMRS_overhead_NR">DATA!$F$48</definedName>
    <definedName name="Duplex_NR">DATA!$C$7</definedName>
    <definedName name="Format_input_NR">DATA!$L$99</definedName>
    <definedName name="Format_input_NR_manual">inputs!$C$9</definedName>
    <definedName name="Frequency_Band_input_bug">DATA!$R$11</definedName>
    <definedName name="Frequency_Band_input_NR">inputs!$C$3</definedName>
    <definedName name="Frequency_n_NR">DATA!$R$10</definedName>
    <definedName name="Frequency_range_F_NR">DATA!$C$4</definedName>
    <definedName name="Frequency_range_input_NR">inputs!$C$2</definedName>
    <definedName name="Measurement_Gap">inputs!$C$26</definedName>
    <definedName name="numerologie_NR">DATA!$C$3</definedName>
    <definedName name="packet_size">inputs!$C$21</definedName>
    <definedName name="PDCCH_overhead_NR">DATA!$F$47</definedName>
    <definedName name="PDCCH_TDD_overhead_NR">DATA!$C$1</definedName>
    <definedName name="PRACH_OH_NR">DATA!$E$52</definedName>
    <definedName name="Product_Support">inputs!$C$5</definedName>
    <definedName name="PUCCH_overhead_NR">DATA!$F$50</definedName>
    <definedName name="RB_NR">inputs!$C$22</definedName>
    <definedName name="SCS_input_bug_NR">DATA!$C$6</definedName>
    <definedName name="SCS_n_input_bug_NR">DATA!$CL$196</definedName>
    <definedName name="SCS_NR">inputs!$C$11</definedName>
    <definedName name="SSF_splite_NR">DATA!$L$98</definedName>
    <definedName name="SSF_splite_NR_manual">inputs!$C$8</definedName>
    <definedName name="SW_Limitation">DATA!$D$71</definedName>
    <definedName name="SW_Limitation_input">inputs!$C$20</definedName>
    <definedName name="Total_DL_split_NR">DATA!$C$12</definedName>
    <definedName name="Total_UL_split_NR">DATA!$C$13</definedName>
    <definedName name="UL_CA_NR">inputs!$C$18</definedName>
    <definedName name="UL_DMRS_overhead_NR">DATA!$F$51</definedName>
    <definedName name="UL_Layers_NR">inputs!$C$16</definedName>
    <definedName name="UL_Max_Modulation_NR">inputs!$C$14</definedName>
    <definedName name="UL_Overhead_NR">DATA!$C$18</definedName>
    <definedName name="UL_split_SSF_NR">DATA!$C$11</definedName>
    <definedName name="UL_splite_NR">DATA!$L$97</definedName>
    <definedName name="UL_splite_NR_manual">inputs!$C$7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25" i="1" l="1"/>
  <c r="H4" i="4"/>
  <c r="J97" i="2"/>
  <c r="L98" i="2"/>
  <c r="J99" i="2"/>
  <c r="J98" i="2"/>
  <c r="J96" i="2"/>
  <c r="M95" i="2"/>
  <c r="J100" i="2"/>
  <c r="H100" i="2"/>
  <c r="G100" i="2"/>
  <c r="L95" i="2"/>
  <c r="L99" i="2" l="1"/>
  <c r="S56" i="2"/>
  <c r="Q56" i="2"/>
  <c r="S55" i="2"/>
  <c r="Q55" i="2"/>
  <c r="S57" i="2"/>
  <c r="Q57" i="2"/>
  <c r="D75" i="2" l="1"/>
  <c r="D73" i="2" l="1"/>
  <c r="D72" i="2"/>
  <c r="C11" i="1" l="1"/>
  <c r="BC21" i="2" l="1"/>
  <c r="BC22" i="2" s="1"/>
  <c r="C23" i="1" l="1"/>
  <c r="D19" i="1" l="1"/>
  <c r="E53" i="2" l="1"/>
  <c r="N59" i="3" l="1"/>
  <c r="N58" i="3"/>
  <c r="AB54" i="3"/>
  <c r="N54" i="3"/>
  <c r="I54" i="3"/>
  <c r="C24" i="1" l="1"/>
  <c r="J53" i="3" l="1"/>
  <c r="CK147" i="2" l="1"/>
  <c r="CK142" i="2"/>
  <c r="CK126" i="2"/>
  <c r="CK125" i="2"/>
  <c r="CK117" i="2"/>
  <c r="CK116" i="2"/>
  <c r="CK108" i="2"/>
  <c r="CK107" i="2"/>
  <c r="CK94" i="2"/>
  <c r="CK91" i="2"/>
  <c r="CK89" i="2"/>
  <c r="CK86" i="2"/>
  <c r="CK81" i="2"/>
  <c r="CK77" i="2"/>
  <c r="CK72" i="2"/>
  <c r="CK71" i="2"/>
  <c r="CK70" i="2"/>
  <c r="CK184" i="2"/>
  <c r="CK185" i="2"/>
  <c r="CK186" i="2"/>
  <c r="CK187" i="2"/>
  <c r="CK188" i="2"/>
  <c r="CK189" i="2"/>
  <c r="CK73" i="2"/>
  <c r="CK74" i="2"/>
  <c r="CK75" i="2"/>
  <c r="CK76" i="2"/>
  <c r="CK78" i="2"/>
  <c r="CK79" i="2"/>
  <c r="CK80" i="2"/>
  <c r="CK82" i="2"/>
  <c r="CK83" i="2"/>
  <c r="CK84" i="2"/>
  <c r="CK85" i="2"/>
  <c r="CK87" i="2"/>
  <c r="CK88" i="2"/>
  <c r="CK90" i="2"/>
  <c r="CK92" i="2"/>
  <c r="CK93" i="2"/>
  <c r="CK95" i="2"/>
  <c r="CK96" i="2"/>
  <c r="CK97" i="2"/>
  <c r="CK98" i="2"/>
  <c r="CK99" i="2"/>
  <c r="CK100" i="2"/>
  <c r="CK101" i="2"/>
  <c r="CK102" i="2"/>
  <c r="CK103" i="2"/>
  <c r="CK104" i="2"/>
  <c r="CK105" i="2"/>
  <c r="CK106" i="2"/>
  <c r="CK109" i="2"/>
  <c r="CK110" i="2"/>
  <c r="CK111" i="2"/>
  <c r="CK112" i="2"/>
  <c r="CK113" i="2"/>
  <c r="CK114" i="2"/>
  <c r="CK115" i="2"/>
  <c r="CK118" i="2"/>
  <c r="CK119" i="2"/>
  <c r="CK120" i="2"/>
  <c r="CK121" i="2"/>
  <c r="CK122" i="2"/>
  <c r="CK123" i="2"/>
  <c r="CK124" i="2"/>
  <c r="CK127" i="2"/>
  <c r="CK128" i="2"/>
  <c r="CK129" i="2"/>
  <c r="CK130" i="2"/>
  <c r="CK131" i="2"/>
  <c r="CK132" i="2"/>
  <c r="CK133" i="2"/>
  <c r="CK134" i="2"/>
  <c r="CK135" i="2"/>
  <c r="CK136" i="2"/>
  <c r="CK137" i="2"/>
  <c r="CK138" i="2"/>
  <c r="CK139" i="2"/>
  <c r="CK140" i="2"/>
  <c r="CK141" i="2"/>
  <c r="CK143" i="2"/>
  <c r="CK144" i="2"/>
  <c r="CK145" i="2"/>
  <c r="CK146" i="2"/>
  <c r="CK148" i="2"/>
  <c r="CK149" i="2"/>
  <c r="CK150" i="2"/>
  <c r="CK151" i="2"/>
  <c r="CK152" i="2"/>
  <c r="CK153" i="2"/>
  <c r="CK154" i="2"/>
  <c r="CK155" i="2"/>
  <c r="CK156" i="2"/>
  <c r="CK157" i="2"/>
  <c r="CK158" i="2"/>
  <c r="CK159" i="2"/>
  <c r="CK160" i="2"/>
  <c r="CK161" i="2"/>
  <c r="CK162" i="2"/>
  <c r="CK163" i="2"/>
  <c r="CK164" i="2"/>
  <c r="CK165" i="2"/>
  <c r="CK166" i="2"/>
  <c r="CK167" i="2"/>
  <c r="CK168" i="2"/>
  <c r="CK169" i="2"/>
  <c r="CK170" i="2"/>
  <c r="CK171" i="2"/>
  <c r="Q14" i="2"/>
  <c r="S14" i="2"/>
  <c r="Q15" i="2"/>
  <c r="S15" i="2"/>
  <c r="Q16" i="2"/>
  <c r="S16" i="2"/>
  <c r="Q17" i="2"/>
  <c r="S17" i="2"/>
  <c r="Q18" i="2"/>
  <c r="S18" i="2"/>
  <c r="Q19" i="2"/>
  <c r="S19" i="2"/>
  <c r="Q20" i="2"/>
  <c r="S20" i="2"/>
  <c r="Q21" i="2"/>
  <c r="S21" i="2"/>
  <c r="Q22" i="2"/>
  <c r="S22" i="2"/>
  <c r="Q23" i="2"/>
  <c r="S23" i="2"/>
  <c r="Q24" i="2"/>
  <c r="S24" i="2"/>
  <c r="Q25" i="2"/>
  <c r="S25" i="2"/>
  <c r="Q26" i="2"/>
  <c r="S26" i="2"/>
  <c r="Q27" i="2"/>
  <c r="S27" i="2"/>
  <c r="Q28" i="2"/>
  <c r="S28" i="2"/>
  <c r="Q29" i="2"/>
  <c r="S29" i="2"/>
  <c r="Q30" i="2"/>
  <c r="S30" i="2"/>
  <c r="Q31" i="2"/>
  <c r="S31" i="2"/>
  <c r="Q32" i="2"/>
  <c r="S32" i="2"/>
  <c r="Q33" i="2"/>
  <c r="S33" i="2"/>
  <c r="Q34" i="2"/>
  <c r="S34" i="2"/>
  <c r="Q35" i="2"/>
  <c r="S35" i="2"/>
  <c r="Q36" i="2"/>
  <c r="S36" i="2"/>
  <c r="Q37" i="2"/>
  <c r="S37" i="2"/>
  <c r="Q38" i="2"/>
  <c r="S38" i="2"/>
  <c r="Q39" i="2"/>
  <c r="S39" i="2"/>
  <c r="Q40" i="2"/>
  <c r="S40" i="2"/>
  <c r="Q41" i="2"/>
  <c r="S41" i="2"/>
  <c r="Q42" i="2"/>
  <c r="S42" i="2"/>
  <c r="Q43" i="2"/>
  <c r="S43" i="2"/>
  <c r="Q44" i="2"/>
  <c r="S44" i="2"/>
  <c r="Q45" i="2"/>
  <c r="S45" i="2"/>
  <c r="Q46" i="2"/>
  <c r="S46" i="2"/>
  <c r="Q47" i="2"/>
  <c r="S47" i="2"/>
  <c r="Q58" i="2"/>
  <c r="S58" i="2"/>
  <c r="Q59" i="2"/>
  <c r="S59" i="2"/>
  <c r="Q60" i="2"/>
  <c r="S60" i="2"/>
  <c r="Q61" i="2"/>
  <c r="S61" i="2"/>
  <c r="Q62" i="2"/>
  <c r="S62" i="2"/>
  <c r="Q48" i="2"/>
  <c r="S48" i="2"/>
  <c r="Q63" i="2"/>
  <c r="S63" i="2"/>
  <c r="Q64" i="2"/>
  <c r="S64" i="2"/>
  <c r="Q49" i="2"/>
  <c r="S49" i="2"/>
  <c r="Q50" i="2"/>
  <c r="S50" i="2"/>
  <c r="Q51" i="2"/>
  <c r="S51" i="2"/>
  <c r="Q52" i="2"/>
  <c r="S52" i="2"/>
  <c r="Q53" i="2"/>
  <c r="S53" i="2"/>
  <c r="Q65" i="2"/>
  <c r="S65" i="2"/>
  <c r="Q54" i="2"/>
  <c r="S54" i="2"/>
  <c r="Q66" i="2"/>
  <c r="S66" i="2"/>
  <c r="Q67" i="2"/>
  <c r="S67" i="2"/>
  <c r="Q68" i="2"/>
  <c r="S68" i="2"/>
  <c r="Q80" i="2"/>
  <c r="S80" i="2"/>
  <c r="Q81" i="2"/>
  <c r="S81" i="2"/>
  <c r="Q82" i="2"/>
  <c r="S82" i="2"/>
  <c r="Q83" i="2"/>
  <c r="S83" i="2"/>
  <c r="Q84" i="2"/>
  <c r="S84" i="2"/>
  <c r="E52" i="2" l="1"/>
  <c r="F46" i="2" l="1"/>
  <c r="F50" i="2"/>
  <c r="F47" i="2"/>
  <c r="C1" i="2" s="1"/>
  <c r="F51" i="2"/>
  <c r="F48" i="2"/>
  <c r="U17" i="6" l="1"/>
  <c r="J18" i="6" l="1"/>
  <c r="J19" i="6"/>
  <c r="J20" i="6"/>
  <c r="J21" i="6"/>
  <c r="J22" i="6"/>
  <c r="J23" i="6"/>
  <c r="J24" i="6"/>
  <c r="J25" i="6"/>
  <c r="J26" i="6"/>
  <c r="J27" i="6"/>
  <c r="J28" i="6"/>
  <c r="J29" i="6"/>
  <c r="J30" i="6"/>
  <c r="J31" i="6"/>
  <c r="J32" i="6"/>
  <c r="J33" i="6"/>
  <c r="J34" i="6"/>
  <c r="J35" i="6"/>
  <c r="J36" i="6"/>
  <c r="J37" i="6"/>
  <c r="J38" i="6"/>
  <c r="J39" i="6"/>
  <c r="J40" i="6"/>
  <c r="J41" i="6"/>
  <c r="J42" i="6"/>
  <c r="J43" i="6"/>
  <c r="J44" i="6"/>
  <c r="J45" i="6"/>
  <c r="J17" i="6"/>
  <c r="U3" i="6"/>
  <c r="U2" i="6"/>
  <c r="K30" i="6" l="1"/>
  <c r="N30" i="6" s="1"/>
  <c r="Q18" i="6"/>
  <c r="Q19" i="6"/>
  <c r="Q20" i="6"/>
  <c r="Q21" i="6"/>
  <c r="Q22" i="6"/>
  <c r="Q23" i="6"/>
  <c r="Q24" i="6"/>
  <c r="Q25" i="6"/>
  <c r="Q26" i="6"/>
  <c r="Q27" i="6"/>
  <c r="Q28" i="6"/>
  <c r="Q29" i="6"/>
  <c r="Q30" i="6"/>
  <c r="Q31" i="6"/>
  <c r="Q32" i="6"/>
  <c r="Q33" i="6"/>
  <c r="Q34" i="6"/>
  <c r="Q35" i="6"/>
  <c r="Q36" i="6"/>
  <c r="Q37" i="6"/>
  <c r="Q38" i="6"/>
  <c r="Q39" i="6"/>
  <c r="Q40" i="6"/>
  <c r="Q41" i="6"/>
  <c r="Q42" i="6"/>
  <c r="Q43" i="6"/>
  <c r="Q44" i="6"/>
  <c r="Q45" i="6"/>
  <c r="Q17" i="6"/>
  <c r="P32" i="6"/>
  <c r="O32" i="6" s="1"/>
  <c r="P33" i="6"/>
  <c r="P34" i="6"/>
  <c r="O34" i="6" s="1"/>
  <c r="P35" i="6"/>
  <c r="P36" i="6"/>
  <c r="O36" i="6" s="1"/>
  <c r="P37" i="6"/>
  <c r="P38" i="6"/>
  <c r="P39" i="6"/>
  <c r="O39" i="6" s="1"/>
  <c r="P40" i="6"/>
  <c r="O40" i="6" s="1"/>
  <c r="P41" i="6"/>
  <c r="O41" i="6" s="1"/>
  <c r="P42" i="6"/>
  <c r="O42" i="6" s="1"/>
  <c r="P43" i="6"/>
  <c r="P44" i="6"/>
  <c r="O44" i="6" s="1"/>
  <c r="P45" i="6"/>
  <c r="P18" i="6"/>
  <c r="O18" i="6" s="1"/>
  <c r="P19" i="6"/>
  <c r="P20" i="6"/>
  <c r="P21" i="6"/>
  <c r="P22" i="6"/>
  <c r="O22" i="6" s="1"/>
  <c r="P23" i="6"/>
  <c r="O23" i="6" s="1"/>
  <c r="P24" i="6"/>
  <c r="O24" i="6" s="1"/>
  <c r="P25" i="6"/>
  <c r="O25" i="6" s="1"/>
  <c r="P26" i="6"/>
  <c r="O26" i="6" s="1"/>
  <c r="P27" i="6"/>
  <c r="P28" i="6"/>
  <c r="P29" i="6"/>
  <c r="P30" i="6"/>
  <c r="O30" i="6" s="1"/>
  <c r="P31" i="6"/>
  <c r="O31" i="6" s="1"/>
  <c r="P17" i="6"/>
  <c r="O17" i="6" s="1"/>
  <c r="H18" i="6"/>
  <c r="H19" i="6" s="1"/>
  <c r="H20" i="6" s="1"/>
  <c r="H21" i="6" s="1"/>
  <c r="H22" i="6" s="1"/>
  <c r="H23" i="6" s="1"/>
  <c r="H24" i="6" s="1"/>
  <c r="H25" i="6" s="1"/>
  <c r="H26" i="6" s="1"/>
  <c r="H27" i="6" s="1"/>
  <c r="H28" i="6" s="1"/>
  <c r="H29" i="6" s="1"/>
  <c r="H30" i="6" s="1"/>
  <c r="H31" i="6" s="1"/>
  <c r="H32" i="6" s="1"/>
  <c r="H33" i="6" s="1"/>
  <c r="H34" i="6" s="1"/>
  <c r="N26" i="6"/>
  <c r="N35" i="6"/>
  <c r="N40" i="6"/>
  <c r="K19" i="6"/>
  <c r="N19" i="6" s="1"/>
  <c r="K20" i="6"/>
  <c r="N20" i="6" s="1"/>
  <c r="K21" i="6"/>
  <c r="N21" i="6" s="1"/>
  <c r="K22" i="6"/>
  <c r="N22" i="6" s="1"/>
  <c r="K23" i="6"/>
  <c r="N23" i="6" s="1"/>
  <c r="K24" i="6"/>
  <c r="N24" i="6" s="1"/>
  <c r="K25" i="6"/>
  <c r="N25" i="6" s="1"/>
  <c r="K26" i="6"/>
  <c r="K27" i="6"/>
  <c r="N27" i="6" s="1"/>
  <c r="K28" i="6"/>
  <c r="N28" i="6" s="1"/>
  <c r="K29" i="6"/>
  <c r="N29" i="6" s="1"/>
  <c r="K31" i="6"/>
  <c r="N31" i="6" s="1"/>
  <c r="K32" i="6"/>
  <c r="N32" i="6" s="1"/>
  <c r="K33" i="6"/>
  <c r="N33" i="6" s="1"/>
  <c r="K34" i="6"/>
  <c r="N34" i="6" s="1"/>
  <c r="K35" i="6"/>
  <c r="K36" i="6"/>
  <c r="N36" i="6" s="1"/>
  <c r="K37" i="6"/>
  <c r="N37" i="6" s="1"/>
  <c r="K38" i="6"/>
  <c r="N38" i="6" s="1"/>
  <c r="K39" i="6"/>
  <c r="N39" i="6" s="1"/>
  <c r="K40" i="6"/>
  <c r="K41" i="6"/>
  <c r="N41" i="6" s="1"/>
  <c r="K42" i="6"/>
  <c r="N42" i="6" s="1"/>
  <c r="K43" i="6"/>
  <c r="N43" i="6" s="1"/>
  <c r="K44" i="6"/>
  <c r="N44" i="6" s="1"/>
  <c r="K45" i="6"/>
  <c r="N45" i="6" s="1"/>
  <c r="K18" i="6"/>
  <c r="N18" i="6" s="1"/>
  <c r="K17" i="6"/>
  <c r="N17" i="6" s="1"/>
  <c r="O45" i="6" l="1"/>
  <c r="O37" i="6"/>
  <c r="O43" i="6"/>
  <c r="O35" i="6"/>
  <c r="O29" i="6"/>
  <c r="O21" i="6"/>
  <c r="O33" i="6"/>
  <c r="O28" i="6"/>
  <c r="O20" i="6"/>
  <c r="O27" i="6"/>
  <c r="O19" i="6"/>
  <c r="O38" i="6"/>
  <c r="H35" i="6"/>
  <c r="H36" i="6" s="1"/>
  <c r="H37" i="6" s="1"/>
  <c r="H38" i="6" s="1"/>
  <c r="H39" i="6" s="1"/>
  <c r="H40" i="6" s="1"/>
  <c r="H41" i="6" s="1"/>
  <c r="H42" i="6" s="1"/>
  <c r="H43" i="6" s="1"/>
  <c r="H44" i="6" s="1"/>
  <c r="H45" i="6" s="1"/>
  <c r="D8" i="1" l="1"/>
  <c r="L6" i="5" l="1"/>
  <c r="L9" i="5"/>
  <c r="L10" i="5" s="1"/>
  <c r="U94" i="5" l="1"/>
  <c r="U80" i="5"/>
  <c r="U81" i="5"/>
  <c r="U82" i="5"/>
  <c r="U83" i="5"/>
  <c r="U84" i="5"/>
  <c r="U85" i="5"/>
  <c r="U86" i="5"/>
  <c r="U87" i="5"/>
  <c r="U88" i="5"/>
  <c r="U89" i="5"/>
  <c r="U90" i="5"/>
  <c r="U91" i="5"/>
  <c r="U92" i="5"/>
  <c r="U93" i="5"/>
  <c r="U79" i="5"/>
  <c r="U64" i="5"/>
  <c r="U65" i="5"/>
  <c r="U66" i="5"/>
  <c r="U67" i="5"/>
  <c r="U68" i="5"/>
  <c r="U69" i="5"/>
  <c r="U70" i="5"/>
  <c r="U71" i="5"/>
  <c r="U72" i="5"/>
  <c r="U73" i="5"/>
  <c r="U74" i="5"/>
  <c r="U75" i="5"/>
  <c r="U76" i="5"/>
  <c r="U77" i="5"/>
  <c r="U78" i="5"/>
  <c r="U63" i="5"/>
  <c r="U62" i="5"/>
  <c r="U61" i="5"/>
  <c r="U48" i="5"/>
  <c r="U49" i="5"/>
  <c r="U50" i="5"/>
  <c r="U51" i="5"/>
  <c r="U52" i="5"/>
  <c r="U53" i="5"/>
  <c r="U54" i="5"/>
  <c r="U55" i="5"/>
  <c r="U56" i="5"/>
  <c r="U57" i="5"/>
  <c r="U58" i="5"/>
  <c r="U59" i="5"/>
  <c r="U60" i="5"/>
  <c r="U47" i="5"/>
  <c r="U33" i="5"/>
  <c r="U34" i="5"/>
  <c r="U35" i="5"/>
  <c r="U36" i="5"/>
  <c r="U37" i="5"/>
  <c r="U38" i="5"/>
  <c r="U39" i="5"/>
  <c r="U40" i="5"/>
  <c r="U41" i="5"/>
  <c r="U42" i="5"/>
  <c r="U43" i="5"/>
  <c r="U44" i="5"/>
  <c r="U45" i="5"/>
  <c r="U46" i="5"/>
  <c r="U32" i="5"/>
  <c r="G7" i="5"/>
  <c r="G6" i="5"/>
  <c r="G5" i="5"/>
  <c r="G4" i="5"/>
  <c r="G3" i="5"/>
  <c r="E7" i="5"/>
  <c r="E6" i="5"/>
  <c r="E5" i="5"/>
  <c r="E4" i="5"/>
  <c r="E3" i="5"/>
  <c r="BC11" i="2" l="1"/>
  <c r="BD16" i="2"/>
  <c r="C24" i="2" l="1"/>
  <c r="K7" i="2" l="1"/>
  <c r="L7" i="2" s="1"/>
  <c r="I14" i="2"/>
  <c r="I15" i="2"/>
  <c r="I16" i="2"/>
  <c r="I17" i="2"/>
  <c r="I13" i="2"/>
  <c r="I4" i="1" l="1"/>
  <c r="BT8" i="3" l="1"/>
  <c r="BT7" i="3"/>
  <c r="BT6" i="3"/>
  <c r="BV6" i="3" s="1"/>
  <c r="BT5" i="3"/>
  <c r="BV5" i="3" s="1"/>
  <c r="BT4" i="3"/>
  <c r="BV4" i="3" s="1"/>
  <c r="BT3" i="3"/>
  <c r="BV3" i="3" s="1"/>
  <c r="BK4" i="3"/>
  <c r="BM4" i="3" s="1"/>
  <c r="BK3" i="3"/>
  <c r="BM3" i="3" s="1"/>
  <c r="BV30" i="3"/>
  <c r="BV29" i="3"/>
  <c r="BV28" i="3"/>
  <c r="BV27" i="3"/>
  <c r="BV26" i="3"/>
  <c r="BV25" i="3"/>
  <c r="BV24" i="3"/>
  <c r="BV23" i="3"/>
  <c r="BV22" i="3"/>
  <c r="BV21" i="3"/>
  <c r="BV20" i="3"/>
  <c r="BV19" i="3"/>
  <c r="BV18" i="3"/>
  <c r="BV17" i="3"/>
  <c r="BV16" i="3"/>
  <c r="BV15" i="3"/>
  <c r="BV14" i="3"/>
  <c r="BV13" i="3"/>
  <c r="BV12" i="3"/>
  <c r="BV11" i="3"/>
  <c r="BV10" i="3"/>
  <c r="BV9" i="3"/>
  <c r="BV8" i="3"/>
  <c r="BV7" i="3"/>
  <c r="BM5" i="3"/>
  <c r="BM6" i="3"/>
  <c r="BM7" i="3"/>
  <c r="BM8" i="3"/>
  <c r="BM9" i="3"/>
  <c r="BM10" i="3"/>
  <c r="BM11" i="3"/>
  <c r="BM12" i="3"/>
  <c r="BM13" i="3"/>
  <c r="BM14" i="3"/>
  <c r="BM15" i="3"/>
  <c r="BM16" i="3"/>
  <c r="BM17" i="3"/>
  <c r="BM18" i="3"/>
  <c r="BM19" i="3"/>
  <c r="BM20" i="3"/>
  <c r="BM21" i="3"/>
  <c r="BM22" i="3"/>
  <c r="BM23" i="3"/>
  <c r="BM24" i="3"/>
  <c r="BM25" i="3"/>
  <c r="BM26" i="3"/>
  <c r="BM27" i="3"/>
  <c r="BM28" i="3"/>
  <c r="BM29" i="3"/>
  <c r="BM30" i="3"/>
  <c r="AC31" i="3"/>
  <c r="AD31" i="3" l="1"/>
  <c r="AA4" i="3"/>
  <c r="AB4" i="3"/>
  <c r="AC4" i="3"/>
  <c r="AA5" i="3"/>
  <c r="AB5" i="3"/>
  <c r="AC5" i="3"/>
  <c r="AA6" i="3"/>
  <c r="AB6" i="3"/>
  <c r="AC6" i="3"/>
  <c r="AD6" i="3" s="1"/>
  <c r="AA7" i="3"/>
  <c r="AB7" i="3"/>
  <c r="AC7" i="3"/>
  <c r="AA8" i="3"/>
  <c r="AB8" i="3"/>
  <c r="AC8" i="3"/>
  <c r="AA9" i="3"/>
  <c r="AB9" i="3"/>
  <c r="AC9" i="3"/>
  <c r="AA10" i="3"/>
  <c r="AB10" i="3"/>
  <c r="AC10" i="3"/>
  <c r="AA11" i="3"/>
  <c r="AB11" i="3"/>
  <c r="AC11" i="3"/>
  <c r="AA12" i="3"/>
  <c r="AB12" i="3"/>
  <c r="AC12" i="3"/>
  <c r="AA13" i="3"/>
  <c r="AB13" i="3"/>
  <c r="AC13" i="3"/>
  <c r="AA14" i="3"/>
  <c r="AB14" i="3"/>
  <c r="AC14" i="3"/>
  <c r="AA15" i="3"/>
  <c r="AB15" i="3"/>
  <c r="AC15" i="3"/>
  <c r="AA16" i="3"/>
  <c r="AB16" i="3"/>
  <c r="AC16" i="3"/>
  <c r="AA17" i="3"/>
  <c r="AB17" i="3"/>
  <c r="AC17" i="3"/>
  <c r="AA18" i="3"/>
  <c r="AB18" i="3"/>
  <c r="AC18" i="3"/>
  <c r="AA19" i="3"/>
  <c r="AB19" i="3"/>
  <c r="AC19" i="3"/>
  <c r="AA20" i="3"/>
  <c r="AB20" i="3"/>
  <c r="AC20" i="3"/>
  <c r="AA21" i="3"/>
  <c r="AB21" i="3"/>
  <c r="AC21" i="3"/>
  <c r="AA22" i="3"/>
  <c r="AB22" i="3"/>
  <c r="AC22" i="3"/>
  <c r="AD22" i="3" s="1"/>
  <c r="AA23" i="3"/>
  <c r="AB23" i="3"/>
  <c r="AC23" i="3"/>
  <c r="AA24" i="3"/>
  <c r="AB24" i="3"/>
  <c r="AC24" i="3"/>
  <c r="AA25" i="3"/>
  <c r="AB25" i="3"/>
  <c r="AC25" i="3"/>
  <c r="AA26" i="3"/>
  <c r="AB26" i="3"/>
  <c r="AC26" i="3"/>
  <c r="AA27" i="3"/>
  <c r="AB27" i="3"/>
  <c r="AC27" i="3"/>
  <c r="AA28" i="3"/>
  <c r="AB28" i="3"/>
  <c r="AC28" i="3"/>
  <c r="AA29" i="3"/>
  <c r="AB29" i="3"/>
  <c r="AC29" i="3"/>
  <c r="AA30" i="3"/>
  <c r="AB30" i="3"/>
  <c r="AC30" i="3"/>
  <c r="AD30" i="3" s="1"/>
  <c r="AA31" i="3"/>
  <c r="AB31" i="3"/>
  <c r="AB3" i="3"/>
  <c r="AC3" i="3"/>
  <c r="AA3" i="3"/>
  <c r="A3" i="3"/>
  <c r="A4" i="3"/>
  <c r="B4" i="3"/>
  <c r="C4" i="3"/>
  <c r="A5" i="3"/>
  <c r="B5" i="3"/>
  <c r="C5" i="3"/>
  <c r="A6" i="3"/>
  <c r="B6" i="3"/>
  <c r="C6" i="3"/>
  <c r="A7" i="3"/>
  <c r="B7" i="3"/>
  <c r="C7" i="3"/>
  <c r="A8" i="3"/>
  <c r="B8" i="3"/>
  <c r="C8" i="3"/>
  <c r="A9" i="3"/>
  <c r="B9" i="3"/>
  <c r="C9" i="3"/>
  <c r="A10" i="3"/>
  <c r="B10" i="3"/>
  <c r="C10" i="3"/>
  <c r="A11" i="3"/>
  <c r="B11" i="3"/>
  <c r="C11" i="3"/>
  <c r="A12" i="3"/>
  <c r="B12" i="3"/>
  <c r="C12" i="3"/>
  <c r="A13" i="3"/>
  <c r="B13" i="3"/>
  <c r="C13" i="3"/>
  <c r="A14" i="3"/>
  <c r="B14" i="3"/>
  <c r="C14" i="3"/>
  <c r="A15" i="3"/>
  <c r="B15" i="3"/>
  <c r="C15" i="3"/>
  <c r="A16" i="3"/>
  <c r="B16" i="3"/>
  <c r="C16" i="3"/>
  <c r="A17" i="3"/>
  <c r="B17" i="3"/>
  <c r="C17" i="3"/>
  <c r="A18" i="3"/>
  <c r="B18" i="3"/>
  <c r="C18" i="3"/>
  <c r="A19" i="3"/>
  <c r="B19" i="3"/>
  <c r="C19" i="3"/>
  <c r="A20" i="3"/>
  <c r="B20" i="3"/>
  <c r="C20" i="3"/>
  <c r="A21" i="3"/>
  <c r="B21" i="3"/>
  <c r="C21" i="3"/>
  <c r="A22" i="3"/>
  <c r="B22" i="3"/>
  <c r="C22" i="3"/>
  <c r="A23" i="3"/>
  <c r="B23" i="3"/>
  <c r="C23" i="3"/>
  <c r="A24" i="3"/>
  <c r="B24" i="3"/>
  <c r="C24" i="3"/>
  <c r="A25" i="3"/>
  <c r="B25" i="3"/>
  <c r="C25" i="3"/>
  <c r="A26" i="3"/>
  <c r="B26" i="3"/>
  <c r="C26" i="3"/>
  <c r="A27" i="3"/>
  <c r="B27" i="3"/>
  <c r="C27" i="3"/>
  <c r="A28" i="3"/>
  <c r="B28" i="3"/>
  <c r="C28" i="3"/>
  <c r="A29" i="3"/>
  <c r="B29" i="3"/>
  <c r="C29" i="3"/>
  <c r="A30" i="3"/>
  <c r="B30" i="3"/>
  <c r="C30" i="3"/>
  <c r="A31" i="3"/>
  <c r="B31" i="3"/>
  <c r="C31" i="3"/>
  <c r="B3" i="3"/>
  <c r="C3" i="3"/>
  <c r="AU3" i="3"/>
  <c r="AU31" i="3"/>
  <c r="AU30" i="3"/>
  <c r="AU29" i="3"/>
  <c r="AU28" i="3"/>
  <c r="AU27" i="3"/>
  <c r="AU26" i="3"/>
  <c r="AU25" i="3"/>
  <c r="AU24" i="3"/>
  <c r="AU23" i="3"/>
  <c r="AU22" i="3"/>
  <c r="AU21" i="3"/>
  <c r="AU20" i="3"/>
  <c r="AU19" i="3"/>
  <c r="AU18" i="3"/>
  <c r="AU17" i="3"/>
  <c r="AU16" i="3"/>
  <c r="AU15" i="3"/>
  <c r="AU14" i="3"/>
  <c r="AU13" i="3"/>
  <c r="AU12" i="3"/>
  <c r="AU11" i="3"/>
  <c r="AU10" i="3"/>
  <c r="AU9" i="3"/>
  <c r="AU8" i="3"/>
  <c r="AU7" i="3"/>
  <c r="AU6" i="3"/>
  <c r="AU5" i="3"/>
  <c r="AU4" i="3"/>
  <c r="BA30" i="3"/>
  <c r="BA29" i="3"/>
  <c r="BA28" i="3"/>
  <c r="BA27" i="3"/>
  <c r="BA26" i="3"/>
  <c r="BA25" i="3"/>
  <c r="BA24" i="3"/>
  <c r="BA23" i="3"/>
  <c r="BA22" i="3"/>
  <c r="BA21" i="3"/>
  <c r="BA20" i="3"/>
  <c r="BA19" i="3"/>
  <c r="BA18" i="3"/>
  <c r="BA17" i="3"/>
  <c r="BA16" i="3"/>
  <c r="BA15" i="3"/>
  <c r="BA14" i="3"/>
  <c r="BA13" i="3"/>
  <c r="BA12" i="3"/>
  <c r="BA11" i="3"/>
  <c r="BA10" i="3"/>
  <c r="BA9" i="3"/>
  <c r="BA8" i="3"/>
  <c r="BA7" i="3"/>
  <c r="BA6" i="3"/>
  <c r="BA5" i="3"/>
  <c r="BA4" i="3"/>
  <c r="BA3" i="3"/>
  <c r="BG4" i="3"/>
  <c r="BG5" i="3"/>
  <c r="BG6" i="3"/>
  <c r="BG7" i="3"/>
  <c r="BG8" i="3"/>
  <c r="BG9" i="3"/>
  <c r="BG10" i="3"/>
  <c r="BG11" i="3"/>
  <c r="BG12" i="3"/>
  <c r="BG13" i="3"/>
  <c r="BG14" i="3"/>
  <c r="BG15" i="3"/>
  <c r="BG16" i="3"/>
  <c r="BG17" i="3"/>
  <c r="BG18" i="3"/>
  <c r="BG19" i="3"/>
  <c r="BG20" i="3"/>
  <c r="BG21" i="3"/>
  <c r="BG22" i="3"/>
  <c r="BG23" i="3"/>
  <c r="BG24" i="3"/>
  <c r="BG25" i="3"/>
  <c r="BG26" i="3"/>
  <c r="BG27" i="3"/>
  <c r="BG28" i="3"/>
  <c r="BG29" i="3"/>
  <c r="BG30" i="3"/>
  <c r="BG31" i="3"/>
  <c r="BG3" i="3"/>
  <c r="K54" i="3" l="1"/>
  <c r="J54" i="3" s="1"/>
  <c r="AD5" i="3"/>
  <c r="AD3" i="3"/>
  <c r="AD26" i="3"/>
  <c r="AD18" i="3"/>
  <c r="AD10" i="3"/>
  <c r="AD23" i="3"/>
  <c r="AD15" i="3"/>
  <c r="AD7" i="3"/>
  <c r="AD29" i="3"/>
  <c r="AD28" i="3"/>
  <c r="AD20" i="3"/>
  <c r="AD12" i="3"/>
  <c r="AD4" i="3"/>
  <c r="AD25" i="3"/>
  <c r="AD17" i="3"/>
  <c r="AD9" i="3"/>
  <c r="AD21" i="3"/>
  <c r="AD14" i="3"/>
  <c r="AD27" i="3"/>
  <c r="AD19" i="3"/>
  <c r="AD11" i="3"/>
  <c r="AD13" i="3"/>
  <c r="AD24" i="3"/>
  <c r="AD16" i="3"/>
  <c r="AD8" i="3"/>
  <c r="D31" i="3"/>
  <c r="K31" i="3" s="1"/>
  <c r="AA54" i="3"/>
  <c r="AH31" i="3"/>
  <c r="CI4" i="2" l="1"/>
  <c r="C5" i="2"/>
  <c r="S79" i="2" l="1"/>
  <c r="S13" i="2"/>
  <c r="CK178" i="2"/>
  <c r="CK179" i="2"/>
  <c r="CK180" i="2"/>
  <c r="CK181" i="2"/>
  <c r="CK182" i="2"/>
  <c r="CK183" i="2"/>
  <c r="CK6" i="2"/>
  <c r="CK7" i="2"/>
  <c r="CK8" i="2"/>
  <c r="CK9" i="2"/>
  <c r="CK10" i="2"/>
  <c r="CK11" i="2"/>
  <c r="CK12" i="2"/>
  <c r="CK13" i="2"/>
  <c r="CK14" i="2"/>
  <c r="CK15" i="2"/>
  <c r="CK16" i="2"/>
  <c r="CK17" i="2"/>
  <c r="CK18" i="2"/>
  <c r="CK19" i="2"/>
  <c r="CK20" i="2"/>
  <c r="CK21" i="2"/>
  <c r="CK22" i="2"/>
  <c r="CK23" i="2"/>
  <c r="CK24" i="2"/>
  <c r="CK25" i="2"/>
  <c r="CK26" i="2"/>
  <c r="CK27" i="2"/>
  <c r="CK28" i="2"/>
  <c r="CK29" i="2"/>
  <c r="CK30" i="2"/>
  <c r="CK31" i="2"/>
  <c r="CK32" i="2"/>
  <c r="CK33" i="2"/>
  <c r="CK34" i="2"/>
  <c r="CK35" i="2"/>
  <c r="CK36" i="2"/>
  <c r="CK37" i="2"/>
  <c r="CK38" i="2"/>
  <c r="CK39" i="2"/>
  <c r="CK40" i="2"/>
  <c r="CK41" i="2"/>
  <c r="CK42" i="2"/>
  <c r="CK43" i="2"/>
  <c r="CK44" i="2"/>
  <c r="CK45" i="2"/>
  <c r="CK46" i="2"/>
  <c r="CK47" i="2"/>
  <c r="CK48" i="2"/>
  <c r="CK49" i="2"/>
  <c r="CK50" i="2"/>
  <c r="CK51" i="2"/>
  <c r="CK52" i="2"/>
  <c r="CK53" i="2"/>
  <c r="CK54" i="2"/>
  <c r="CK55" i="2"/>
  <c r="CK56" i="2"/>
  <c r="CK57" i="2"/>
  <c r="CK58" i="2"/>
  <c r="CK59" i="2"/>
  <c r="CK60" i="2"/>
  <c r="CK61" i="2"/>
  <c r="CK62" i="2"/>
  <c r="CK63" i="2"/>
  <c r="CK64" i="2"/>
  <c r="CK65" i="2"/>
  <c r="CK66" i="2"/>
  <c r="CK67" i="2"/>
  <c r="CK68" i="2"/>
  <c r="CK69" i="2"/>
  <c r="CK5" i="2"/>
  <c r="Q79" i="2"/>
  <c r="R10" i="2"/>
  <c r="CK195" i="2" s="1"/>
  <c r="Q13" i="2"/>
  <c r="AH3" i="3"/>
  <c r="AH4" i="3"/>
  <c r="AH5" i="3"/>
  <c r="AH6" i="3"/>
  <c r="AH7" i="3"/>
  <c r="AH8" i="3"/>
  <c r="AH9" i="3"/>
  <c r="AH10" i="3"/>
  <c r="AH11" i="3"/>
  <c r="AH12" i="3"/>
  <c r="AH13" i="3"/>
  <c r="AH14" i="3"/>
  <c r="AH15" i="3"/>
  <c r="AH16" i="3"/>
  <c r="AH17" i="3"/>
  <c r="AH18" i="3"/>
  <c r="AH19" i="3"/>
  <c r="AH20" i="3"/>
  <c r="AH21" i="3"/>
  <c r="AH22" i="3"/>
  <c r="AH23" i="3"/>
  <c r="AH24" i="3"/>
  <c r="AH25" i="3"/>
  <c r="AH26" i="3"/>
  <c r="AH27" i="3"/>
  <c r="AH28" i="3"/>
  <c r="AH29" i="3"/>
  <c r="AH30" i="3"/>
  <c r="D4" i="3"/>
  <c r="D5" i="3"/>
  <c r="D6" i="3"/>
  <c r="D7" i="3"/>
  <c r="D8" i="3"/>
  <c r="D9" i="3"/>
  <c r="D10" i="3"/>
  <c r="D11" i="3"/>
  <c r="D12" i="3"/>
  <c r="D13" i="3"/>
  <c r="D14" i="3"/>
  <c r="D15" i="3"/>
  <c r="D16" i="3"/>
  <c r="D17" i="3"/>
  <c r="D18" i="3"/>
  <c r="D19" i="3"/>
  <c r="D20" i="3"/>
  <c r="D21" i="3"/>
  <c r="D22" i="3"/>
  <c r="D23" i="3"/>
  <c r="D24" i="3"/>
  <c r="D25" i="3"/>
  <c r="D26" i="3"/>
  <c r="D27" i="3"/>
  <c r="D28" i="3"/>
  <c r="D29" i="3"/>
  <c r="D30" i="3"/>
  <c r="D3" i="3"/>
  <c r="N3" i="2"/>
  <c r="C4" i="2" s="1"/>
  <c r="D71" i="2" s="1"/>
  <c r="N4" i="2"/>
  <c r="CB60" i="2"/>
  <c r="CE60" i="2" s="1"/>
  <c r="CH60" i="2" s="1"/>
  <c r="CA60" i="2"/>
  <c r="CD60" i="2" s="1"/>
  <c r="CG60" i="2" s="1"/>
  <c r="BZ60" i="2"/>
  <c r="CC60" i="2" s="1"/>
  <c r="CF60" i="2" s="1"/>
  <c r="CB59" i="2"/>
  <c r="CE59" i="2" s="1"/>
  <c r="CH59" i="2" s="1"/>
  <c r="CA59" i="2"/>
  <c r="CD59" i="2" s="1"/>
  <c r="CG59" i="2" s="1"/>
  <c r="BZ59" i="2"/>
  <c r="CC59" i="2" s="1"/>
  <c r="CF59" i="2" s="1"/>
  <c r="CB58" i="2"/>
  <c r="CE58" i="2" s="1"/>
  <c r="CH58" i="2" s="1"/>
  <c r="CA58" i="2"/>
  <c r="CD58" i="2" s="1"/>
  <c r="CG58" i="2" s="1"/>
  <c r="BZ58" i="2"/>
  <c r="CC58" i="2" s="1"/>
  <c r="CF58" i="2" s="1"/>
  <c r="CB57" i="2"/>
  <c r="CE57" i="2" s="1"/>
  <c r="CH57" i="2" s="1"/>
  <c r="CA57" i="2"/>
  <c r="CD57" i="2" s="1"/>
  <c r="CG57" i="2" s="1"/>
  <c r="BZ57" i="2"/>
  <c r="CC57" i="2" s="1"/>
  <c r="CF57" i="2" s="1"/>
  <c r="CB56" i="2"/>
  <c r="CE56" i="2" s="1"/>
  <c r="CH56" i="2" s="1"/>
  <c r="CA56" i="2"/>
  <c r="CD56" i="2" s="1"/>
  <c r="CG56" i="2" s="1"/>
  <c r="BZ56" i="2"/>
  <c r="CC56" i="2" s="1"/>
  <c r="CF56" i="2" s="1"/>
  <c r="CB55" i="2"/>
  <c r="CE55" i="2" s="1"/>
  <c r="CH55" i="2" s="1"/>
  <c r="CA55" i="2"/>
  <c r="CD55" i="2" s="1"/>
  <c r="CG55" i="2" s="1"/>
  <c r="BZ55" i="2"/>
  <c r="CC55" i="2" s="1"/>
  <c r="CF55" i="2" s="1"/>
  <c r="CB54" i="2"/>
  <c r="CE54" i="2" s="1"/>
  <c r="CH54" i="2" s="1"/>
  <c r="CA54" i="2"/>
  <c r="CD54" i="2" s="1"/>
  <c r="CG54" i="2" s="1"/>
  <c r="BZ54" i="2"/>
  <c r="CC54" i="2" s="1"/>
  <c r="CF54" i="2" s="1"/>
  <c r="BJ54" i="2" s="1"/>
  <c r="CB53" i="2"/>
  <c r="CE53" i="2" s="1"/>
  <c r="CH53" i="2" s="1"/>
  <c r="CA53" i="2"/>
  <c r="CD53" i="2" s="1"/>
  <c r="CG53" i="2" s="1"/>
  <c r="BZ53" i="2"/>
  <c r="CC53" i="2" s="1"/>
  <c r="CF53" i="2" s="1"/>
  <c r="CB52" i="2"/>
  <c r="CE52" i="2" s="1"/>
  <c r="CH52" i="2" s="1"/>
  <c r="CA52" i="2"/>
  <c r="CD52" i="2" s="1"/>
  <c r="CG52" i="2" s="1"/>
  <c r="BZ52" i="2"/>
  <c r="CC52" i="2" s="1"/>
  <c r="CF52" i="2" s="1"/>
  <c r="CB51" i="2"/>
  <c r="CE51" i="2" s="1"/>
  <c r="CH51" i="2" s="1"/>
  <c r="CA51" i="2"/>
  <c r="CD51" i="2" s="1"/>
  <c r="CG51" i="2" s="1"/>
  <c r="BZ51" i="2"/>
  <c r="CC51" i="2" s="1"/>
  <c r="CF51" i="2" s="1"/>
  <c r="CB50" i="2"/>
  <c r="CE50" i="2" s="1"/>
  <c r="CH50" i="2" s="1"/>
  <c r="CA50" i="2"/>
  <c r="CD50" i="2" s="1"/>
  <c r="CG50" i="2" s="1"/>
  <c r="BZ50" i="2"/>
  <c r="CC50" i="2" s="1"/>
  <c r="CF50" i="2" s="1"/>
  <c r="CB49" i="2"/>
  <c r="CE49" i="2" s="1"/>
  <c r="CH49" i="2" s="1"/>
  <c r="CA49" i="2"/>
  <c r="CD49" i="2" s="1"/>
  <c r="CG49" i="2" s="1"/>
  <c r="BZ49" i="2"/>
  <c r="CC49" i="2" s="1"/>
  <c r="CF49" i="2" s="1"/>
  <c r="CB48" i="2"/>
  <c r="CE48" i="2" s="1"/>
  <c r="CH48" i="2" s="1"/>
  <c r="CA48" i="2"/>
  <c r="CD48" i="2" s="1"/>
  <c r="CG48" i="2" s="1"/>
  <c r="BZ48" i="2"/>
  <c r="CC48" i="2" s="1"/>
  <c r="CF48" i="2" s="1"/>
  <c r="CB47" i="2"/>
  <c r="CE47" i="2" s="1"/>
  <c r="CH47" i="2" s="1"/>
  <c r="CA47" i="2"/>
  <c r="CD47" i="2" s="1"/>
  <c r="CG47" i="2" s="1"/>
  <c r="BZ47" i="2"/>
  <c r="CC47" i="2" s="1"/>
  <c r="CF47" i="2" s="1"/>
  <c r="CB46" i="2"/>
  <c r="CE46" i="2" s="1"/>
  <c r="CH46" i="2" s="1"/>
  <c r="CA46" i="2"/>
  <c r="CD46" i="2" s="1"/>
  <c r="CG46" i="2" s="1"/>
  <c r="BZ46" i="2"/>
  <c r="CC46" i="2" s="1"/>
  <c r="CF46" i="2" s="1"/>
  <c r="BJ46" i="2" s="1"/>
  <c r="CB45" i="2"/>
  <c r="CE45" i="2" s="1"/>
  <c r="CH45" i="2" s="1"/>
  <c r="CA45" i="2"/>
  <c r="CD45" i="2" s="1"/>
  <c r="CG45" i="2" s="1"/>
  <c r="BZ45" i="2"/>
  <c r="CC45" i="2" s="1"/>
  <c r="CF45" i="2" s="1"/>
  <c r="CB44" i="2"/>
  <c r="CE44" i="2" s="1"/>
  <c r="CH44" i="2" s="1"/>
  <c r="CA44" i="2"/>
  <c r="CD44" i="2" s="1"/>
  <c r="CG44" i="2" s="1"/>
  <c r="BZ44" i="2"/>
  <c r="CC44" i="2" s="1"/>
  <c r="CF44" i="2" s="1"/>
  <c r="CB43" i="2"/>
  <c r="CE43" i="2" s="1"/>
  <c r="CH43" i="2" s="1"/>
  <c r="CA43" i="2"/>
  <c r="CD43" i="2" s="1"/>
  <c r="CG43" i="2" s="1"/>
  <c r="BZ43" i="2"/>
  <c r="CC43" i="2" s="1"/>
  <c r="CF43" i="2" s="1"/>
  <c r="CB42" i="2"/>
  <c r="CE42" i="2" s="1"/>
  <c r="CH42" i="2" s="1"/>
  <c r="CA42" i="2"/>
  <c r="CD42" i="2" s="1"/>
  <c r="CG42" i="2" s="1"/>
  <c r="BZ42" i="2"/>
  <c r="CC42" i="2" s="1"/>
  <c r="CF42" i="2" s="1"/>
  <c r="CB41" i="2"/>
  <c r="CE41" i="2" s="1"/>
  <c r="CH41" i="2" s="1"/>
  <c r="CA41" i="2"/>
  <c r="CD41" i="2" s="1"/>
  <c r="CG41" i="2" s="1"/>
  <c r="BZ41" i="2"/>
  <c r="CC41" i="2" s="1"/>
  <c r="CF41" i="2" s="1"/>
  <c r="CB40" i="2"/>
  <c r="CE40" i="2" s="1"/>
  <c r="CH40" i="2" s="1"/>
  <c r="CA40" i="2"/>
  <c r="CD40" i="2" s="1"/>
  <c r="CG40" i="2" s="1"/>
  <c r="BZ40" i="2"/>
  <c r="CC40" i="2" s="1"/>
  <c r="CF40" i="2" s="1"/>
  <c r="CB39" i="2"/>
  <c r="CE39" i="2" s="1"/>
  <c r="CH39" i="2" s="1"/>
  <c r="CA39" i="2"/>
  <c r="CD39" i="2" s="1"/>
  <c r="CG39" i="2" s="1"/>
  <c r="BZ39" i="2"/>
  <c r="CC39" i="2" s="1"/>
  <c r="CF39" i="2" s="1"/>
  <c r="CB38" i="2"/>
  <c r="CE38" i="2" s="1"/>
  <c r="CH38" i="2" s="1"/>
  <c r="CA38" i="2"/>
  <c r="CD38" i="2" s="1"/>
  <c r="CG38" i="2" s="1"/>
  <c r="BZ38" i="2"/>
  <c r="CC38" i="2" s="1"/>
  <c r="CF38" i="2" s="1"/>
  <c r="BJ38" i="2" s="1"/>
  <c r="CB37" i="2"/>
  <c r="CE37" i="2" s="1"/>
  <c r="CH37" i="2" s="1"/>
  <c r="CA37" i="2"/>
  <c r="CD37" i="2" s="1"/>
  <c r="CG37" i="2" s="1"/>
  <c r="BZ37" i="2"/>
  <c r="CC37" i="2" s="1"/>
  <c r="CF37" i="2" s="1"/>
  <c r="BJ37" i="2" s="1"/>
  <c r="CB36" i="2"/>
  <c r="CE36" i="2" s="1"/>
  <c r="CH36" i="2" s="1"/>
  <c r="CA36" i="2"/>
  <c r="CD36" i="2" s="1"/>
  <c r="CG36" i="2" s="1"/>
  <c r="BZ36" i="2"/>
  <c r="CC36" i="2" s="1"/>
  <c r="CF36" i="2" s="1"/>
  <c r="CB35" i="2"/>
  <c r="CE35" i="2" s="1"/>
  <c r="CH35" i="2" s="1"/>
  <c r="CA35" i="2"/>
  <c r="CD35" i="2" s="1"/>
  <c r="CG35" i="2" s="1"/>
  <c r="BZ35" i="2"/>
  <c r="CC35" i="2" s="1"/>
  <c r="CF35" i="2" s="1"/>
  <c r="CB34" i="2"/>
  <c r="CE34" i="2" s="1"/>
  <c r="CH34" i="2" s="1"/>
  <c r="CA34" i="2"/>
  <c r="CD34" i="2" s="1"/>
  <c r="CG34" i="2" s="1"/>
  <c r="BZ34" i="2"/>
  <c r="CC34" i="2" s="1"/>
  <c r="CF34" i="2" s="1"/>
  <c r="CB33" i="2"/>
  <c r="CE33" i="2" s="1"/>
  <c r="CH33" i="2" s="1"/>
  <c r="CA33" i="2"/>
  <c r="CD33" i="2" s="1"/>
  <c r="CG33" i="2" s="1"/>
  <c r="BZ33" i="2"/>
  <c r="CC33" i="2" s="1"/>
  <c r="CF33" i="2" s="1"/>
  <c r="CB32" i="2"/>
  <c r="CE32" i="2" s="1"/>
  <c r="CH32" i="2" s="1"/>
  <c r="CA32" i="2"/>
  <c r="CD32" i="2" s="1"/>
  <c r="CG32" i="2" s="1"/>
  <c r="BZ32" i="2"/>
  <c r="CC32" i="2" s="1"/>
  <c r="CF32" i="2" s="1"/>
  <c r="CB31" i="2"/>
  <c r="CE31" i="2" s="1"/>
  <c r="CH31" i="2" s="1"/>
  <c r="CA31" i="2"/>
  <c r="CD31" i="2" s="1"/>
  <c r="CG31" i="2" s="1"/>
  <c r="BZ31" i="2"/>
  <c r="CC31" i="2" s="1"/>
  <c r="CF31" i="2" s="1"/>
  <c r="CB30" i="2"/>
  <c r="CE30" i="2" s="1"/>
  <c r="CH30" i="2" s="1"/>
  <c r="CA30" i="2"/>
  <c r="CD30" i="2" s="1"/>
  <c r="CG30" i="2" s="1"/>
  <c r="BZ30" i="2"/>
  <c r="CC30" i="2" s="1"/>
  <c r="CF30" i="2" s="1"/>
  <c r="CB29" i="2"/>
  <c r="CE29" i="2" s="1"/>
  <c r="CH29" i="2" s="1"/>
  <c r="CA29" i="2"/>
  <c r="CD29" i="2" s="1"/>
  <c r="CG29" i="2" s="1"/>
  <c r="BZ29" i="2"/>
  <c r="CC29" i="2" s="1"/>
  <c r="CF29" i="2" s="1"/>
  <c r="BJ29" i="2" s="1"/>
  <c r="CB28" i="2"/>
  <c r="CE28" i="2" s="1"/>
  <c r="CH28" i="2" s="1"/>
  <c r="CA28" i="2"/>
  <c r="CD28" i="2" s="1"/>
  <c r="CG28" i="2" s="1"/>
  <c r="BZ28" i="2"/>
  <c r="CC28" i="2" s="1"/>
  <c r="CF28" i="2" s="1"/>
  <c r="CB27" i="2"/>
  <c r="CE27" i="2" s="1"/>
  <c r="CH27" i="2" s="1"/>
  <c r="CA27" i="2"/>
  <c r="CD27" i="2" s="1"/>
  <c r="CG27" i="2" s="1"/>
  <c r="BZ27" i="2"/>
  <c r="CC27" i="2" s="1"/>
  <c r="CF27" i="2" s="1"/>
  <c r="CB26" i="2"/>
  <c r="CE26" i="2" s="1"/>
  <c r="CH26" i="2" s="1"/>
  <c r="CA26" i="2"/>
  <c r="CD26" i="2" s="1"/>
  <c r="CG26" i="2" s="1"/>
  <c r="BZ26" i="2"/>
  <c r="CC26" i="2" s="1"/>
  <c r="CF26" i="2" s="1"/>
  <c r="CB25" i="2"/>
  <c r="CE25" i="2" s="1"/>
  <c r="CH25" i="2" s="1"/>
  <c r="CA25" i="2"/>
  <c r="CD25" i="2" s="1"/>
  <c r="CG25" i="2" s="1"/>
  <c r="BZ25" i="2"/>
  <c r="CC25" i="2" s="1"/>
  <c r="CF25" i="2" s="1"/>
  <c r="CB24" i="2"/>
  <c r="CE24" i="2" s="1"/>
  <c r="CH24" i="2" s="1"/>
  <c r="CA24" i="2"/>
  <c r="CD24" i="2" s="1"/>
  <c r="CG24" i="2" s="1"/>
  <c r="BZ24" i="2"/>
  <c r="CC24" i="2" s="1"/>
  <c r="CF24" i="2" s="1"/>
  <c r="CB23" i="2"/>
  <c r="CE23" i="2" s="1"/>
  <c r="CH23" i="2" s="1"/>
  <c r="CA23" i="2"/>
  <c r="CD23" i="2" s="1"/>
  <c r="CG23" i="2" s="1"/>
  <c r="BZ23" i="2"/>
  <c r="CC23" i="2" s="1"/>
  <c r="CF23" i="2" s="1"/>
  <c r="CB22" i="2"/>
  <c r="CE22" i="2" s="1"/>
  <c r="CH22" i="2" s="1"/>
  <c r="CA22" i="2"/>
  <c r="CD22" i="2" s="1"/>
  <c r="CG22" i="2" s="1"/>
  <c r="BZ22" i="2"/>
  <c r="CC22" i="2" s="1"/>
  <c r="CF22" i="2" s="1"/>
  <c r="CB21" i="2"/>
  <c r="CE21" i="2" s="1"/>
  <c r="CH21" i="2" s="1"/>
  <c r="CA21" i="2"/>
  <c r="CD21" i="2" s="1"/>
  <c r="CG21" i="2" s="1"/>
  <c r="BZ21" i="2"/>
  <c r="CC21" i="2" s="1"/>
  <c r="CF21" i="2" s="1"/>
  <c r="BJ21" i="2" s="1"/>
  <c r="CB20" i="2"/>
  <c r="CE20" i="2" s="1"/>
  <c r="CH20" i="2" s="1"/>
  <c r="CA20" i="2"/>
  <c r="CD20" i="2" s="1"/>
  <c r="CG20" i="2" s="1"/>
  <c r="BZ20" i="2"/>
  <c r="CC20" i="2" s="1"/>
  <c r="CF20" i="2" s="1"/>
  <c r="CB19" i="2"/>
  <c r="CE19" i="2" s="1"/>
  <c r="CH19" i="2" s="1"/>
  <c r="CA19" i="2"/>
  <c r="CD19" i="2" s="1"/>
  <c r="CG19" i="2" s="1"/>
  <c r="BZ19" i="2"/>
  <c r="CC19" i="2" s="1"/>
  <c r="CF19" i="2" s="1"/>
  <c r="CB18" i="2"/>
  <c r="CE18" i="2" s="1"/>
  <c r="CH18" i="2" s="1"/>
  <c r="CA18" i="2"/>
  <c r="CD18" i="2" s="1"/>
  <c r="CG18" i="2" s="1"/>
  <c r="BZ18" i="2"/>
  <c r="CC18" i="2" s="1"/>
  <c r="CF18" i="2" s="1"/>
  <c r="CB17" i="2"/>
  <c r="CE17" i="2" s="1"/>
  <c r="CH17" i="2" s="1"/>
  <c r="CA17" i="2"/>
  <c r="CD17" i="2" s="1"/>
  <c r="CG17" i="2" s="1"/>
  <c r="BZ17" i="2"/>
  <c r="CC17" i="2" s="1"/>
  <c r="CF17" i="2" s="1"/>
  <c r="CB16" i="2"/>
  <c r="CE16" i="2" s="1"/>
  <c r="CH16" i="2" s="1"/>
  <c r="CA16" i="2"/>
  <c r="CD16" i="2" s="1"/>
  <c r="CG16" i="2" s="1"/>
  <c r="BZ16" i="2"/>
  <c r="CC16" i="2" s="1"/>
  <c r="CF16" i="2" s="1"/>
  <c r="CB15" i="2"/>
  <c r="CE15" i="2" s="1"/>
  <c r="CH15" i="2" s="1"/>
  <c r="CA15" i="2"/>
  <c r="CD15" i="2" s="1"/>
  <c r="CG15" i="2" s="1"/>
  <c r="BZ15" i="2"/>
  <c r="CC15" i="2" s="1"/>
  <c r="CF15" i="2" s="1"/>
  <c r="CB14" i="2"/>
  <c r="CE14" i="2" s="1"/>
  <c r="CH14" i="2" s="1"/>
  <c r="CA14" i="2"/>
  <c r="CD14" i="2" s="1"/>
  <c r="CG14" i="2" s="1"/>
  <c r="BZ14" i="2"/>
  <c r="CC14" i="2" s="1"/>
  <c r="CF14" i="2" s="1"/>
  <c r="CB13" i="2"/>
  <c r="CE13" i="2" s="1"/>
  <c r="CH13" i="2" s="1"/>
  <c r="CA13" i="2"/>
  <c r="CD13" i="2" s="1"/>
  <c r="CG13" i="2" s="1"/>
  <c r="BZ13" i="2"/>
  <c r="CC13" i="2" s="1"/>
  <c r="CF13" i="2" s="1"/>
  <c r="BJ13" i="2" s="1"/>
  <c r="CB12" i="2"/>
  <c r="CE12" i="2" s="1"/>
  <c r="CH12" i="2" s="1"/>
  <c r="CA12" i="2"/>
  <c r="CD12" i="2" s="1"/>
  <c r="CG12" i="2" s="1"/>
  <c r="BZ12" i="2"/>
  <c r="CC12" i="2" s="1"/>
  <c r="CF12" i="2" s="1"/>
  <c r="CB11" i="2"/>
  <c r="CE11" i="2" s="1"/>
  <c r="CH11" i="2" s="1"/>
  <c r="CA11" i="2"/>
  <c r="CD11" i="2" s="1"/>
  <c r="CG11" i="2" s="1"/>
  <c r="BZ11" i="2"/>
  <c r="CC11" i="2" s="1"/>
  <c r="CF11" i="2" s="1"/>
  <c r="CB10" i="2"/>
  <c r="CE10" i="2" s="1"/>
  <c r="CH10" i="2" s="1"/>
  <c r="CA10" i="2"/>
  <c r="CD10" i="2" s="1"/>
  <c r="CG10" i="2" s="1"/>
  <c r="BZ10" i="2"/>
  <c r="CC10" i="2" s="1"/>
  <c r="CF10" i="2" s="1"/>
  <c r="CB9" i="2"/>
  <c r="CE9" i="2" s="1"/>
  <c r="CH9" i="2" s="1"/>
  <c r="CA9" i="2"/>
  <c r="CD9" i="2" s="1"/>
  <c r="CG9" i="2" s="1"/>
  <c r="BZ9" i="2"/>
  <c r="CC9" i="2" s="1"/>
  <c r="CF9" i="2" s="1"/>
  <c r="CB8" i="2"/>
  <c r="CE8" i="2" s="1"/>
  <c r="CH8" i="2" s="1"/>
  <c r="CA8" i="2"/>
  <c r="CD8" i="2" s="1"/>
  <c r="CG8" i="2" s="1"/>
  <c r="BZ8" i="2"/>
  <c r="CC8" i="2" s="1"/>
  <c r="CF8" i="2" s="1"/>
  <c r="CB7" i="2"/>
  <c r="CE7" i="2" s="1"/>
  <c r="CH7" i="2" s="1"/>
  <c r="CA7" i="2"/>
  <c r="CD7" i="2" s="1"/>
  <c r="CG7" i="2" s="1"/>
  <c r="BZ7" i="2"/>
  <c r="CC7" i="2" s="1"/>
  <c r="CF7" i="2" s="1"/>
  <c r="CB6" i="2"/>
  <c r="CE6" i="2" s="1"/>
  <c r="CH6" i="2" s="1"/>
  <c r="CA6" i="2"/>
  <c r="CD6" i="2" s="1"/>
  <c r="CG6" i="2" s="1"/>
  <c r="BZ6" i="2"/>
  <c r="CC6" i="2" s="1"/>
  <c r="CF6" i="2" s="1"/>
  <c r="BJ6" i="2" s="1"/>
  <c r="CB5" i="2"/>
  <c r="CE5" i="2" s="1"/>
  <c r="CH5" i="2" s="1"/>
  <c r="CA5" i="2"/>
  <c r="CD5" i="2" s="1"/>
  <c r="CG5" i="2" s="1"/>
  <c r="BZ5" i="2"/>
  <c r="CC5" i="2" s="1"/>
  <c r="CF5" i="2" s="1"/>
  <c r="CB4" i="2"/>
  <c r="CE4" i="2" s="1"/>
  <c r="CH4" i="2" s="1"/>
  <c r="CA4" i="2"/>
  <c r="CD4" i="2" s="1"/>
  <c r="CG4" i="2" s="1"/>
  <c r="BZ4" i="2"/>
  <c r="CC4" i="2" s="1"/>
  <c r="CF4" i="2" s="1"/>
  <c r="G13" i="2"/>
  <c r="G14" i="2"/>
  <c r="G15" i="2"/>
  <c r="G16" i="2"/>
  <c r="G17" i="2"/>
  <c r="F3" i="2"/>
  <c r="F4" i="2"/>
  <c r="F5" i="2"/>
  <c r="F6" i="2"/>
  <c r="F7" i="2"/>
  <c r="F8" i="2"/>
  <c r="BJ58" i="2" l="1"/>
  <c r="BJ11" i="2"/>
  <c r="BJ19" i="2"/>
  <c r="BJ27" i="2"/>
  <c r="BJ35" i="2"/>
  <c r="BJ43" i="2"/>
  <c r="BJ51" i="2"/>
  <c r="BJ59" i="2"/>
  <c r="BJ4" i="2"/>
  <c r="BJ52" i="2"/>
  <c r="BJ15" i="2"/>
  <c r="BJ23" i="2"/>
  <c r="BJ31" i="2"/>
  <c r="BJ39" i="2"/>
  <c r="BJ47" i="2"/>
  <c r="BJ45" i="2"/>
  <c r="BJ8" i="2"/>
  <c r="BJ56" i="2"/>
  <c r="BJ17" i="2"/>
  <c r="BJ25" i="2"/>
  <c r="BJ33" i="2"/>
  <c r="BJ41" i="2"/>
  <c r="BJ49" i="2"/>
  <c r="BJ5" i="2"/>
  <c r="BJ10" i="2"/>
  <c r="BJ18" i="2"/>
  <c r="BJ26" i="2"/>
  <c r="BJ34" i="2"/>
  <c r="BJ42" i="2"/>
  <c r="BJ50" i="2"/>
  <c r="BJ55" i="2"/>
  <c r="BJ16" i="2"/>
  <c r="BJ24" i="2"/>
  <c r="BJ32" i="2"/>
  <c r="BJ40" i="2"/>
  <c r="BJ48" i="2"/>
  <c r="BJ53" i="2"/>
  <c r="BJ9" i="2"/>
  <c r="BJ14" i="2"/>
  <c r="BJ22" i="2"/>
  <c r="BJ30" i="2"/>
  <c r="CL195" i="2"/>
  <c r="CL196" i="2" s="1"/>
  <c r="D12" i="1" s="1"/>
  <c r="BJ7" i="2"/>
  <c r="BL64" i="2" s="1"/>
  <c r="BJ12" i="2"/>
  <c r="BJ20" i="2"/>
  <c r="BJ28" i="2"/>
  <c r="BJ36" i="2"/>
  <c r="BJ44" i="2"/>
  <c r="BJ57" i="2"/>
  <c r="C2" i="2"/>
  <c r="D74" i="2"/>
  <c r="K3" i="3"/>
  <c r="K18" i="3"/>
  <c r="K28" i="3"/>
  <c r="K20" i="3"/>
  <c r="K12" i="3"/>
  <c r="K4" i="3"/>
  <c r="K26" i="3"/>
  <c r="C7" i="2"/>
  <c r="BH7" i="2"/>
  <c r="C3" i="2"/>
  <c r="K29" i="3"/>
  <c r="K21" i="3"/>
  <c r="K13" i="3"/>
  <c r="K5" i="3"/>
  <c r="K27" i="3"/>
  <c r="K19" i="3"/>
  <c r="K11" i="3"/>
  <c r="K30" i="3"/>
  <c r="K22" i="3"/>
  <c r="K14" i="3"/>
  <c r="K6" i="3"/>
  <c r="K7" i="3"/>
  <c r="K10" i="3"/>
  <c r="K25" i="3"/>
  <c r="K17" i="3"/>
  <c r="K9" i="3"/>
  <c r="K24" i="3"/>
  <c r="K16" i="3"/>
  <c r="K8" i="3"/>
  <c r="K23" i="3"/>
  <c r="K15" i="3"/>
  <c r="C6" i="2"/>
  <c r="R11" i="2"/>
  <c r="J14" i="2" l="1"/>
  <c r="K14" i="2" s="1"/>
  <c r="C22" i="1"/>
  <c r="E28" i="3" s="1"/>
  <c r="F28" i="3" s="1"/>
  <c r="M28" i="3" s="1"/>
  <c r="J13" i="2"/>
  <c r="K13" i="2" s="1"/>
  <c r="C21" i="2"/>
  <c r="C25" i="2" s="1"/>
  <c r="J17" i="2"/>
  <c r="K17" i="2" s="1"/>
  <c r="M7" i="2"/>
  <c r="J15" i="2"/>
  <c r="K15" i="2" s="1"/>
  <c r="J16" i="2"/>
  <c r="K16" i="2" s="1"/>
  <c r="E49" i="2"/>
  <c r="D49" i="2" s="1"/>
  <c r="BD13" i="2"/>
  <c r="D53" i="2"/>
  <c r="E31" i="3"/>
  <c r="F31" i="3" s="1"/>
  <c r="M31" i="3" s="1"/>
  <c r="CC65" i="2"/>
  <c r="CC66" i="2" s="1"/>
  <c r="CC67" i="2" s="1"/>
  <c r="BD14" i="2"/>
  <c r="C32" i="1"/>
  <c r="C31" i="1"/>
  <c r="D11" i="1"/>
  <c r="D3" i="1"/>
  <c r="B26" i="2"/>
  <c r="AE6" i="3" l="1"/>
  <c r="AF6" i="3" s="1"/>
  <c r="AI6" i="3" s="1"/>
  <c r="AE24" i="3"/>
  <c r="AF24" i="3" s="1"/>
  <c r="AI24" i="3" s="1"/>
  <c r="AJ24" i="3" s="1"/>
  <c r="AK24" i="3" s="1"/>
  <c r="AE27" i="3"/>
  <c r="AF27" i="3" s="1"/>
  <c r="AI27" i="3" s="1"/>
  <c r="AM27" i="3" s="1"/>
  <c r="AE16" i="3"/>
  <c r="AF16" i="3" s="1"/>
  <c r="AI16" i="3" s="1"/>
  <c r="E14" i="3"/>
  <c r="F14" i="3" s="1"/>
  <c r="M14" i="3" s="1"/>
  <c r="P14" i="3" s="1"/>
  <c r="AE21" i="3"/>
  <c r="AF21" i="3" s="1"/>
  <c r="AI21" i="3" s="1"/>
  <c r="AM21" i="3" s="1"/>
  <c r="AE13" i="3"/>
  <c r="AF13" i="3" s="1"/>
  <c r="AI13" i="3" s="1"/>
  <c r="AM13" i="3" s="1"/>
  <c r="L13" i="2"/>
  <c r="E11" i="3"/>
  <c r="F11" i="3" s="1"/>
  <c r="M11" i="3" s="1"/>
  <c r="N11" i="3" s="1"/>
  <c r="O11" i="3" s="1"/>
  <c r="AE25" i="3"/>
  <c r="AF25" i="3" s="1"/>
  <c r="AI25" i="3" s="1"/>
  <c r="AJ25" i="3" s="1"/>
  <c r="AK25" i="3" s="1"/>
  <c r="E4" i="3"/>
  <c r="F4" i="3" s="1"/>
  <c r="M4" i="3" s="1"/>
  <c r="N4" i="3" s="1"/>
  <c r="O4" i="3" s="1"/>
  <c r="E13" i="3"/>
  <c r="F13" i="3" s="1"/>
  <c r="M13" i="3" s="1"/>
  <c r="E25" i="3"/>
  <c r="F25" i="3" s="1"/>
  <c r="M25" i="3" s="1"/>
  <c r="N25" i="3" s="1"/>
  <c r="O25" i="3" s="1"/>
  <c r="E5" i="3"/>
  <c r="F5" i="3" s="1"/>
  <c r="M5" i="3" s="1"/>
  <c r="N5" i="3" s="1"/>
  <c r="O5" i="3" s="1"/>
  <c r="L16" i="2"/>
  <c r="L17" i="2"/>
  <c r="AE14" i="3"/>
  <c r="AF14" i="3" s="1"/>
  <c r="AI14" i="3" s="1"/>
  <c r="AM14" i="3" s="1"/>
  <c r="AE3" i="3"/>
  <c r="AF3" i="3" s="1"/>
  <c r="AI3" i="3" s="1"/>
  <c r="AJ3" i="3" s="1"/>
  <c r="AK3" i="3" s="1"/>
  <c r="AE9" i="3"/>
  <c r="AF9" i="3" s="1"/>
  <c r="AI9" i="3" s="1"/>
  <c r="AJ9" i="3" s="1"/>
  <c r="AK9" i="3" s="1"/>
  <c r="E17" i="3"/>
  <c r="F17" i="3" s="1"/>
  <c r="M17" i="3" s="1"/>
  <c r="Q17" i="3" s="1"/>
  <c r="E24" i="3"/>
  <c r="F24" i="3" s="1"/>
  <c r="M24" i="3" s="1"/>
  <c r="Q24" i="3" s="1"/>
  <c r="E26" i="3"/>
  <c r="F26" i="3" s="1"/>
  <c r="M26" i="3" s="1"/>
  <c r="Q26" i="3" s="1"/>
  <c r="E12" i="3"/>
  <c r="F12" i="3" s="1"/>
  <c r="M12" i="3" s="1"/>
  <c r="Q12" i="3" s="1"/>
  <c r="L14" i="2"/>
  <c r="B27" i="2" s="1"/>
  <c r="AE31" i="3"/>
  <c r="AF31" i="3" s="1"/>
  <c r="AI31" i="3" s="1"/>
  <c r="AM31" i="3" s="1"/>
  <c r="AE28" i="3"/>
  <c r="AF28" i="3" s="1"/>
  <c r="AI28" i="3" s="1"/>
  <c r="AJ28" i="3" s="1"/>
  <c r="AK28" i="3" s="1"/>
  <c r="AE22" i="3"/>
  <c r="AF22" i="3" s="1"/>
  <c r="AI22" i="3" s="1"/>
  <c r="AL22" i="3" s="1"/>
  <c r="AE19" i="3"/>
  <c r="AF19" i="3" s="1"/>
  <c r="AI19" i="3" s="1"/>
  <c r="E22" i="3"/>
  <c r="F22" i="3" s="1"/>
  <c r="M22" i="3" s="1"/>
  <c r="N22" i="3" s="1"/>
  <c r="O22" i="3" s="1"/>
  <c r="E8" i="3"/>
  <c r="F8" i="3" s="1"/>
  <c r="M8" i="3" s="1"/>
  <c r="N8" i="3" s="1"/>
  <c r="O8" i="3" s="1"/>
  <c r="E10" i="3"/>
  <c r="F10" i="3" s="1"/>
  <c r="M10" i="3" s="1"/>
  <c r="N10" i="3" s="1"/>
  <c r="O10" i="3" s="1"/>
  <c r="E30" i="3"/>
  <c r="F30" i="3" s="1"/>
  <c r="M30" i="3" s="1"/>
  <c r="N30" i="3" s="1"/>
  <c r="O30" i="3" s="1"/>
  <c r="AE20" i="3"/>
  <c r="AF20" i="3" s="1"/>
  <c r="AI20" i="3" s="1"/>
  <c r="AJ20" i="3" s="1"/>
  <c r="AK20" i="3" s="1"/>
  <c r="AE26" i="3"/>
  <c r="AF26" i="3" s="1"/>
  <c r="AI26" i="3" s="1"/>
  <c r="AM26" i="3" s="1"/>
  <c r="AE17" i="3"/>
  <c r="AF17" i="3" s="1"/>
  <c r="AI17" i="3" s="1"/>
  <c r="AJ17" i="3" s="1"/>
  <c r="AK17" i="3" s="1"/>
  <c r="AE30" i="3"/>
  <c r="AF30" i="3" s="1"/>
  <c r="AI30" i="3" s="1"/>
  <c r="E15" i="3"/>
  <c r="F15" i="3" s="1"/>
  <c r="M15" i="3" s="1"/>
  <c r="Q15" i="3" s="1"/>
  <c r="E23" i="3"/>
  <c r="F23" i="3" s="1"/>
  <c r="M23" i="3" s="1"/>
  <c r="P23" i="3" s="1"/>
  <c r="E19" i="3"/>
  <c r="F19" i="3" s="1"/>
  <c r="M19" i="3" s="1"/>
  <c r="N19" i="3" s="1"/>
  <c r="O19" i="3" s="1"/>
  <c r="E6" i="3"/>
  <c r="F6" i="3" s="1"/>
  <c r="M6" i="3" s="1"/>
  <c r="P6" i="3" s="1"/>
  <c r="AE10" i="3"/>
  <c r="AF10" i="3" s="1"/>
  <c r="AI10" i="3" s="1"/>
  <c r="AL10" i="3" s="1"/>
  <c r="AE8" i="3"/>
  <c r="AF8" i="3" s="1"/>
  <c r="AI8" i="3" s="1"/>
  <c r="AJ8" i="3" s="1"/>
  <c r="AK8" i="3" s="1"/>
  <c r="AE15" i="3"/>
  <c r="AF15" i="3" s="1"/>
  <c r="AI15" i="3" s="1"/>
  <c r="AM15" i="3" s="1"/>
  <c r="AE23" i="3"/>
  <c r="AF23" i="3" s="1"/>
  <c r="AI23" i="3" s="1"/>
  <c r="AJ23" i="3" s="1"/>
  <c r="AK23" i="3" s="1"/>
  <c r="E21" i="3"/>
  <c r="F21" i="3" s="1"/>
  <c r="M21" i="3" s="1"/>
  <c r="P21" i="3" s="1"/>
  <c r="E20" i="3"/>
  <c r="F20" i="3" s="1"/>
  <c r="M20" i="3" s="1"/>
  <c r="N20" i="3" s="1"/>
  <c r="O20" i="3" s="1"/>
  <c r="E16" i="3"/>
  <c r="F16" i="3" s="1"/>
  <c r="M16" i="3" s="1"/>
  <c r="N16" i="3" s="1"/>
  <c r="O16" i="3" s="1"/>
  <c r="E3" i="3"/>
  <c r="F3" i="3" s="1"/>
  <c r="M3" i="3" s="1"/>
  <c r="Q3" i="3" s="1"/>
  <c r="AE29" i="3"/>
  <c r="AF29" i="3" s="1"/>
  <c r="AI29" i="3" s="1"/>
  <c r="AM29" i="3" s="1"/>
  <c r="AE12" i="3"/>
  <c r="AF12" i="3" s="1"/>
  <c r="AI12" i="3" s="1"/>
  <c r="AM12" i="3" s="1"/>
  <c r="AE11" i="3"/>
  <c r="AF11" i="3" s="1"/>
  <c r="AI11" i="3" s="1"/>
  <c r="AL11" i="3" s="1"/>
  <c r="AE5" i="3"/>
  <c r="AF5" i="3" s="1"/>
  <c r="AI5" i="3" s="1"/>
  <c r="AL5" i="3" s="1"/>
  <c r="E18" i="3"/>
  <c r="F18" i="3" s="1"/>
  <c r="M18" i="3" s="1"/>
  <c r="P18" i="3" s="1"/>
  <c r="E7" i="3"/>
  <c r="F7" i="3" s="1"/>
  <c r="M7" i="3" s="1"/>
  <c r="N7" i="3" s="1"/>
  <c r="O7" i="3" s="1"/>
  <c r="E9" i="3"/>
  <c r="F9" i="3" s="1"/>
  <c r="M9" i="3" s="1"/>
  <c r="P9" i="3" s="1"/>
  <c r="AE18" i="3"/>
  <c r="AF18" i="3" s="1"/>
  <c r="AI18" i="3" s="1"/>
  <c r="AM18" i="3" s="1"/>
  <c r="AE7" i="3"/>
  <c r="AF7" i="3" s="1"/>
  <c r="AI7" i="3" s="1"/>
  <c r="AL7" i="3" s="1"/>
  <c r="AE4" i="3"/>
  <c r="AF4" i="3" s="1"/>
  <c r="AI4" i="3" s="1"/>
  <c r="AJ4" i="3" s="1"/>
  <c r="AK4" i="3" s="1"/>
  <c r="E27" i="3"/>
  <c r="F27" i="3" s="1"/>
  <c r="M27" i="3" s="1"/>
  <c r="Q27" i="3" s="1"/>
  <c r="E29" i="3"/>
  <c r="F29" i="3" s="1"/>
  <c r="M29" i="3" s="1"/>
  <c r="N29" i="3" s="1"/>
  <c r="O29" i="3" s="1"/>
  <c r="L15" i="2"/>
  <c r="BD15" i="2"/>
  <c r="BI38" i="2" s="1"/>
  <c r="BH40" i="2" s="1"/>
  <c r="AL6" i="3"/>
  <c r="AJ6" i="3"/>
  <c r="AK6" i="3" s="1"/>
  <c r="AM6" i="3"/>
  <c r="AM16" i="3"/>
  <c r="AJ16" i="3"/>
  <c r="AK16" i="3" s="1"/>
  <c r="AL16" i="3"/>
  <c r="AJ19" i="3"/>
  <c r="AK19" i="3" s="1"/>
  <c r="AM19" i="3"/>
  <c r="AL19" i="3"/>
  <c r="AL30" i="3"/>
  <c r="AJ30" i="3"/>
  <c r="AK30" i="3" s="1"/>
  <c r="AM30" i="3"/>
  <c r="AM23" i="3"/>
  <c r="AM5" i="3"/>
  <c r="Q14" i="3"/>
  <c r="N13" i="3"/>
  <c r="O13" i="3" s="1"/>
  <c r="Q13" i="3"/>
  <c r="P13" i="3"/>
  <c r="N28" i="3"/>
  <c r="O28" i="3" s="1"/>
  <c r="Q28" i="3"/>
  <c r="P28" i="3"/>
  <c r="N31" i="3"/>
  <c r="O31" i="3" s="1"/>
  <c r="P31" i="3"/>
  <c r="Q31" i="3"/>
  <c r="N17" i="3"/>
  <c r="O17" i="3" s="1"/>
  <c r="P17" i="3"/>
  <c r="BH8" i="2"/>
  <c r="AJ5" i="3" l="1"/>
  <c r="AK5" i="3" s="1"/>
  <c r="AL23" i="3"/>
  <c r="AM25" i="3"/>
  <c r="AL27" i="3"/>
  <c r="Q30" i="3"/>
  <c r="AL25" i="3"/>
  <c r="AN25" i="3" s="1"/>
  <c r="AO25" i="3" s="1"/>
  <c r="AL24" i="3"/>
  <c r="AN24" i="3" s="1"/>
  <c r="AO24" i="3" s="1"/>
  <c r="Q11" i="3"/>
  <c r="AJ21" i="3"/>
  <c r="AK21" i="3" s="1"/>
  <c r="AJ13" i="3"/>
  <c r="AK13" i="3" s="1"/>
  <c r="P29" i="3"/>
  <c r="R29" i="3" s="1"/>
  <c r="Q29" i="3"/>
  <c r="P4" i="3"/>
  <c r="R4" i="3" s="1"/>
  <c r="Q25" i="3"/>
  <c r="N14" i="3"/>
  <c r="O14" i="3" s="1"/>
  <c r="R14" i="3" s="1"/>
  <c r="N24" i="3"/>
  <c r="O24" i="3" s="1"/>
  <c r="P11" i="3"/>
  <c r="AJ10" i="3"/>
  <c r="AK10" i="3" s="1"/>
  <c r="AL31" i="3"/>
  <c r="AJ14" i="3"/>
  <c r="AK14" i="3" s="1"/>
  <c r="AL21" i="3"/>
  <c r="AJ27" i="3"/>
  <c r="AK27" i="3" s="1"/>
  <c r="AN27" i="3" s="1"/>
  <c r="AO27" i="3" s="1"/>
  <c r="AL13" i="3"/>
  <c r="AM24" i="3"/>
  <c r="P24" i="3"/>
  <c r="P25" i="3"/>
  <c r="Q22" i="3"/>
  <c r="P22" i="3"/>
  <c r="R22" i="3" s="1"/>
  <c r="N21" i="3"/>
  <c r="O21" i="3" s="1"/>
  <c r="R21" i="3" s="1"/>
  <c r="Q18" i="3"/>
  <c r="N15" i="3"/>
  <c r="O15" i="3" s="1"/>
  <c r="N18" i="3"/>
  <c r="O18" i="3" s="1"/>
  <c r="R18" i="3" s="1"/>
  <c r="Q21" i="3"/>
  <c r="AM22" i="3"/>
  <c r="P15" i="3"/>
  <c r="BI8" i="2"/>
  <c r="BH10" i="2" s="1"/>
  <c r="BI46" i="2"/>
  <c r="BH48" i="2" s="1"/>
  <c r="BI54" i="2"/>
  <c r="BH56" i="2" s="1"/>
  <c r="AM17" i="3"/>
  <c r="AL9" i="3"/>
  <c r="AN9" i="3" s="1"/>
  <c r="AO9" i="3" s="1"/>
  <c r="BI34" i="2"/>
  <c r="BH36" i="2" s="1"/>
  <c r="BI33" i="2"/>
  <c r="BH35" i="2" s="1"/>
  <c r="Q5" i="3"/>
  <c r="P5" i="3"/>
  <c r="AM11" i="3"/>
  <c r="N27" i="3"/>
  <c r="O27" i="3" s="1"/>
  <c r="AJ11" i="3"/>
  <c r="AK11" i="3" s="1"/>
  <c r="AN11" i="3" s="1"/>
  <c r="AO11" i="3" s="1"/>
  <c r="Q4" i="3"/>
  <c r="AL17" i="3"/>
  <c r="AN17" i="3" s="1"/>
  <c r="AO17" i="3" s="1"/>
  <c r="AL15" i="3"/>
  <c r="AJ22" i="3"/>
  <c r="AK22" i="3" s="1"/>
  <c r="AN22" i="3" s="1"/>
  <c r="AO22" i="3" s="1"/>
  <c r="AM9" i="3"/>
  <c r="AJ15" i="3"/>
  <c r="AK15" i="3" s="1"/>
  <c r="P27" i="3"/>
  <c r="BI52" i="2"/>
  <c r="BH54" i="2" s="1"/>
  <c r="N6" i="3"/>
  <c r="O6" i="3" s="1"/>
  <c r="R6" i="3" s="1"/>
  <c r="N12" i="3"/>
  <c r="O12" i="3" s="1"/>
  <c r="AL20" i="3"/>
  <c r="AN20" i="3" s="1"/>
  <c r="AO20" i="3" s="1"/>
  <c r="AM10" i="3"/>
  <c r="AJ29" i="3"/>
  <c r="AK29" i="3" s="1"/>
  <c r="P30" i="3"/>
  <c r="R30" i="3" s="1"/>
  <c r="S30" i="3" s="1"/>
  <c r="Q6" i="3"/>
  <c r="AL18" i="3"/>
  <c r="AJ31" i="3"/>
  <c r="AK31" i="3" s="1"/>
  <c r="AM7" i="3"/>
  <c r="AJ7" i="3"/>
  <c r="AK7" i="3" s="1"/>
  <c r="AN7" i="3" s="1"/>
  <c r="AO7" i="3" s="1"/>
  <c r="AL14" i="3"/>
  <c r="AN14" i="3" s="1"/>
  <c r="AO14" i="3" s="1"/>
  <c r="AL29" i="3"/>
  <c r="AM20" i="3"/>
  <c r="AM3" i="3"/>
  <c r="AM8" i="3"/>
  <c r="AJ18" i="3"/>
  <c r="AK18" i="3" s="1"/>
  <c r="AJ26" i="3"/>
  <c r="AK26" i="3" s="1"/>
  <c r="AL3" i="3"/>
  <c r="N23" i="3"/>
  <c r="O23" i="3" s="1"/>
  <c r="R23" i="3" s="1"/>
  <c r="Q9" i="3"/>
  <c r="P10" i="3"/>
  <c r="R10" i="3" s="1"/>
  <c r="Q16" i="3"/>
  <c r="P16" i="3"/>
  <c r="R16" i="3" s="1"/>
  <c r="P7" i="3"/>
  <c r="R7" i="3" s="1"/>
  <c r="Q19" i="3"/>
  <c r="P12" i="3"/>
  <c r="P3" i="3"/>
  <c r="P20" i="3"/>
  <c r="R20" i="3" s="1"/>
  <c r="BI40" i="2"/>
  <c r="BH42" i="2" s="1"/>
  <c r="BI50" i="2"/>
  <c r="BH52" i="2" s="1"/>
  <c r="BI56" i="2"/>
  <c r="BH58" i="2" s="1"/>
  <c r="BI24" i="2"/>
  <c r="BH26" i="2" s="1"/>
  <c r="BI18" i="2"/>
  <c r="BH20" i="2" s="1"/>
  <c r="Q7" i="3"/>
  <c r="BI10" i="2"/>
  <c r="BH12" i="2" s="1"/>
  <c r="BI21" i="2"/>
  <c r="BH23" i="2" s="1"/>
  <c r="BI25" i="2"/>
  <c r="BH27" i="2" s="1"/>
  <c r="BI45" i="2"/>
  <c r="BH47" i="2" s="1"/>
  <c r="BI12" i="2"/>
  <c r="BH14" i="2" s="1"/>
  <c r="BI59" i="2"/>
  <c r="Q20" i="3"/>
  <c r="Q8" i="3"/>
  <c r="P8" i="3"/>
  <c r="R8" i="3" s="1"/>
  <c r="BI26" i="2"/>
  <c r="BH28" i="2" s="1"/>
  <c r="BI11" i="2"/>
  <c r="BH13" i="2" s="1"/>
  <c r="BI57" i="2"/>
  <c r="BH59" i="2" s="1"/>
  <c r="BI55" i="2"/>
  <c r="BH57" i="2" s="1"/>
  <c r="BI13" i="2"/>
  <c r="BH15" i="2" s="1"/>
  <c r="BI32" i="2"/>
  <c r="BH34" i="2" s="1"/>
  <c r="BI58" i="2"/>
  <c r="BI23" i="2"/>
  <c r="BH25" i="2" s="1"/>
  <c r="N26" i="3"/>
  <c r="O26" i="3" s="1"/>
  <c r="BI36" i="2"/>
  <c r="BH38" i="2" s="1"/>
  <c r="BI15" i="2"/>
  <c r="BH17" i="2" s="1"/>
  <c r="BI42" i="2"/>
  <c r="BH44" i="2" s="1"/>
  <c r="BI20" i="2"/>
  <c r="BH22" i="2" s="1"/>
  <c r="BI22" i="2"/>
  <c r="BH24" i="2" s="1"/>
  <c r="BI30" i="2"/>
  <c r="BH32" i="2" s="1"/>
  <c r="BI37" i="2"/>
  <c r="BH39" i="2" s="1"/>
  <c r="BI19" i="2"/>
  <c r="BH21" i="2" s="1"/>
  <c r="BI47" i="2"/>
  <c r="BH49" i="2" s="1"/>
  <c r="BI44" i="2"/>
  <c r="BH46" i="2" s="1"/>
  <c r="BI16" i="2"/>
  <c r="BH18" i="2" s="1"/>
  <c r="BI27" i="2"/>
  <c r="BH29" i="2" s="1"/>
  <c r="BI29" i="2"/>
  <c r="BH31" i="2" s="1"/>
  <c r="BI39" i="2"/>
  <c r="BH41" i="2" s="1"/>
  <c r="BI41" i="2"/>
  <c r="BH43" i="2" s="1"/>
  <c r="Q23" i="3"/>
  <c r="P26" i="3"/>
  <c r="BI28" i="2"/>
  <c r="BH30" i="2" s="1"/>
  <c r="BI43" i="2"/>
  <c r="BH45" i="2" s="1"/>
  <c r="BI53" i="2"/>
  <c r="BH55" i="2" s="1"/>
  <c r="BI17" i="2"/>
  <c r="BH19" i="2" s="1"/>
  <c r="BI7" i="2"/>
  <c r="BJ2" i="2" s="1"/>
  <c r="BI35" i="2"/>
  <c r="BH37" i="2" s="1"/>
  <c r="BI14" i="2"/>
  <c r="BH16" i="2" s="1"/>
  <c r="BI48" i="2"/>
  <c r="BH50" i="2" s="1"/>
  <c r="BI31" i="2"/>
  <c r="BH33" i="2" s="1"/>
  <c r="BI49" i="2"/>
  <c r="BH51" i="2" s="1"/>
  <c r="BI51" i="2"/>
  <c r="BH53" i="2" s="1"/>
  <c r="BI9" i="2"/>
  <c r="BH11" i="2" s="1"/>
  <c r="AL12" i="3"/>
  <c r="AL28" i="3"/>
  <c r="AN28" i="3" s="1"/>
  <c r="AO28" i="3" s="1"/>
  <c r="Q10" i="3"/>
  <c r="AJ12" i="3"/>
  <c r="AK12" i="3" s="1"/>
  <c r="AL26" i="3"/>
  <c r="AM28" i="3"/>
  <c r="AL8" i="3"/>
  <c r="AN8" i="3" s="1"/>
  <c r="AO8" i="3" s="1"/>
  <c r="AM4" i="3"/>
  <c r="P19" i="3"/>
  <c r="R19" i="3" s="1"/>
  <c r="S19" i="3" s="1"/>
  <c r="N9" i="3"/>
  <c r="O9" i="3" s="1"/>
  <c r="R9" i="3" s="1"/>
  <c r="S9" i="3" s="1"/>
  <c r="AL4" i="3"/>
  <c r="BH9" i="2"/>
  <c r="BC23" i="2"/>
  <c r="AN10" i="3"/>
  <c r="AO10" i="3" s="1"/>
  <c r="AN16" i="3"/>
  <c r="AO16" i="3" s="1"/>
  <c r="AN6" i="3"/>
  <c r="AO6" i="3" s="1"/>
  <c r="AN23" i="3"/>
  <c r="AO23" i="3" s="1"/>
  <c r="AN5" i="3"/>
  <c r="AO5" i="3" s="1"/>
  <c r="R13" i="3"/>
  <c r="S13" i="3" s="1"/>
  <c r="AN30" i="3"/>
  <c r="AO30" i="3" s="1"/>
  <c r="AN19" i="3"/>
  <c r="AO19" i="3" s="1"/>
  <c r="R5" i="3"/>
  <c r="S5" i="3" s="1"/>
  <c r="R28" i="3"/>
  <c r="R11" i="3"/>
  <c r="R17" i="3"/>
  <c r="R25" i="3"/>
  <c r="R31" i="3"/>
  <c r="S31" i="3" s="1"/>
  <c r="BR64" i="2"/>
  <c r="BR65" i="2" s="1"/>
  <c r="BT64" i="2"/>
  <c r="BT65" i="2" s="1"/>
  <c r="BV64" i="2"/>
  <c r="BV65" i="2" s="1"/>
  <c r="BQ64" i="2"/>
  <c r="BQ65" i="2" s="1"/>
  <c r="BN64" i="2"/>
  <c r="BN65" i="2" s="1"/>
  <c r="BY64" i="2"/>
  <c r="BY65" i="2" s="1"/>
  <c r="BX64" i="2"/>
  <c r="BX65" i="2" s="1"/>
  <c r="BM64" i="2"/>
  <c r="BM65" i="2" s="1"/>
  <c r="C11" i="2"/>
  <c r="BS64" i="2"/>
  <c r="BS65" i="2" s="1"/>
  <c r="C10" i="2"/>
  <c r="G3" i="3" s="1"/>
  <c r="BO64" i="2"/>
  <c r="BO65" i="2" s="1"/>
  <c r="BU64" i="2"/>
  <c r="BU65" i="2" s="1"/>
  <c r="BL65" i="2"/>
  <c r="BP64" i="2"/>
  <c r="BP65" i="2" s="1"/>
  <c r="BW64" i="2"/>
  <c r="BW65" i="2" s="1"/>
  <c r="R24" i="3" l="1"/>
  <c r="S24" i="3" s="1"/>
  <c r="AN13" i="3"/>
  <c r="AO13" i="3" s="1"/>
  <c r="AN31" i="3"/>
  <c r="AO31" i="3" s="1"/>
  <c r="AN21" i="3"/>
  <c r="AO21" i="3" s="1"/>
  <c r="AN15" i="3"/>
  <c r="AO15" i="3" s="1"/>
  <c r="AN4" i="3"/>
  <c r="AO4" i="3" s="1"/>
  <c r="AN3" i="3"/>
  <c r="AO3" i="3" s="1"/>
  <c r="R15" i="3"/>
  <c r="S15" i="3" s="1"/>
  <c r="R12" i="3"/>
  <c r="S12" i="3" s="1"/>
  <c r="AN26" i="3"/>
  <c r="AO26" i="3" s="1"/>
  <c r="R27" i="3"/>
  <c r="S27" i="3" s="1"/>
  <c r="BC17" i="2"/>
  <c r="D9" i="1" s="1"/>
  <c r="AN12" i="3"/>
  <c r="AO12" i="3" s="1"/>
  <c r="AN29" i="3"/>
  <c r="AO29" i="3" s="1"/>
  <c r="AN18" i="3"/>
  <c r="AO18" i="3" s="1"/>
  <c r="R26" i="3"/>
  <c r="S26" i="3" s="1"/>
  <c r="G24" i="3"/>
  <c r="H24" i="3" s="1"/>
  <c r="T24" i="3" s="1"/>
  <c r="G16" i="3"/>
  <c r="H16" i="3" s="1"/>
  <c r="T16" i="3" s="1"/>
  <c r="G8" i="3"/>
  <c r="H8" i="3" s="1"/>
  <c r="T8" i="3" s="1"/>
  <c r="G23" i="3"/>
  <c r="H23" i="3" s="1"/>
  <c r="T23" i="3" s="1"/>
  <c r="G7" i="3"/>
  <c r="H7" i="3" s="1"/>
  <c r="T7" i="3" s="1"/>
  <c r="G31" i="3"/>
  <c r="H31" i="3" s="1"/>
  <c r="T31" i="3" s="1"/>
  <c r="G30" i="3"/>
  <c r="H30" i="3" s="1"/>
  <c r="T30" i="3" s="1"/>
  <c r="G29" i="3"/>
  <c r="H29" i="3" s="1"/>
  <c r="T29" i="3" s="1"/>
  <c r="G21" i="3"/>
  <c r="H21" i="3" s="1"/>
  <c r="T21" i="3" s="1"/>
  <c r="G13" i="3"/>
  <c r="H13" i="3" s="1"/>
  <c r="T13" i="3" s="1"/>
  <c r="G5" i="3"/>
  <c r="H5" i="3" s="1"/>
  <c r="T5" i="3" s="1"/>
  <c r="G15" i="3"/>
  <c r="H15" i="3" s="1"/>
  <c r="T15" i="3" s="1"/>
  <c r="G28" i="3"/>
  <c r="H28" i="3" s="1"/>
  <c r="T28" i="3" s="1"/>
  <c r="G20" i="3"/>
  <c r="H20" i="3" s="1"/>
  <c r="T20" i="3" s="1"/>
  <c r="G12" i="3"/>
  <c r="H12" i="3" s="1"/>
  <c r="T12" i="3" s="1"/>
  <c r="G4" i="3"/>
  <c r="H4" i="3" s="1"/>
  <c r="T4" i="3" s="1"/>
  <c r="G17" i="3"/>
  <c r="H17" i="3" s="1"/>
  <c r="T17" i="3" s="1"/>
  <c r="G14" i="3"/>
  <c r="H14" i="3" s="1"/>
  <c r="T14" i="3" s="1"/>
  <c r="G27" i="3"/>
  <c r="H27" i="3" s="1"/>
  <c r="T27" i="3" s="1"/>
  <c r="G19" i="3"/>
  <c r="H19" i="3" s="1"/>
  <c r="T19" i="3" s="1"/>
  <c r="G11" i="3"/>
  <c r="H11" i="3" s="1"/>
  <c r="T11" i="3" s="1"/>
  <c r="H3" i="3"/>
  <c r="T3" i="3" s="1"/>
  <c r="G22" i="3"/>
  <c r="H22" i="3" s="1"/>
  <c r="T22" i="3" s="1"/>
  <c r="G26" i="3"/>
  <c r="H26" i="3" s="1"/>
  <c r="T26" i="3" s="1"/>
  <c r="G18" i="3"/>
  <c r="H18" i="3" s="1"/>
  <c r="T18" i="3" s="1"/>
  <c r="G10" i="3"/>
  <c r="H10" i="3" s="1"/>
  <c r="T10" i="3" s="1"/>
  <c r="G25" i="3"/>
  <c r="H25" i="3" s="1"/>
  <c r="T25" i="3" s="1"/>
  <c r="G9" i="3"/>
  <c r="H9" i="3" s="1"/>
  <c r="T9" i="3" s="1"/>
  <c r="G6" i="3"/>
  <c r="H6" i="3" s="1"/>
  <c r="T6" i="3" s="1"/>
  <c r="S6" i="3"/>
  <c r="S11" i="3"/>
  <c r="S28" i="3"/>
  <c r="S8" i="3"/>
  <c r="S25" i="3"/>
  <c r="S10" i="3"/>
  <c r="S17" i="3"/>
  <c r="S21" i="3"/>
  <c r="S4" i="3"/>
  <c r="S29" i="3"/>
  <c r="S14" i="3"/>
  <c r="S7" i="3"/>
  <c r="S18" i="3"/>
  <c r="S20" i="3"/>
  <c r="S23" i="3"/>
  <c r="S16" i="3"/>
  <c r="S22" i="3"/>
  <c r="BZ65" i="2"/>
  <c r="CC68" i="2" s="1"/>
  <c r="CC69" i="2" s="1"/>
  <c r="U21" i="3" l="1"/>
  <c r="V21" i="3" s="1"/>
  <c r="U24" i="3"/>
  <c r="V24" i="3" s="1"/>
  <c r="U18" i="3"/>
  <c r="V18" i="3" s="1"/>
  <c r="U25" i="3"/>
  <c r="V25" i="3" s="1"/>
  <c r="U29" i="3"/>
  <c r="V29" i="3" s="1"/>
  <c r="U16" i="3"/>
  <c r="V16" i="3" s="1"/>
  <c r="U17" i="3"/>
  <c r="V17" i="3" s="1"/>
  <c r="U12" i="3"/>
  <c r="V12" i="3" s="1"/>
  <c r="U22" i="3"/>
  <c r="V22" i="3" s="1"/>
  <c r="U9" i="3"/>
  <c r="V9" i="3" s="1"/>
  <c r="U28" i="3"/>
  <c r="V28" i="3" s="1"/>
  <c r="U5" i="3"/>
  <c r="V5" i="3" s="1"/>
  <c r="U26" i="3"/>
  <c r="V26" i="3" s="1"/>
  <c r="U13" i="3"/>
  <c r="V13" i="3" s="1"/>
  <c r="U11" i="3"/>
  <c r="V11" i="3" s="1"/>
  <c r="U31" i="3"/>
  <c r="V31" i="3" s="1"/>
  <c r="U20" i="3"/>
  <c r="V20" i="3" s="1"/>
  <c r="U6" i="3"/>
  <c r="V6" i="3" s="1"/>
  <c r="U3" i="3"/>
  <c r="V3" i="3" s="1"/>
  <c r="U30" i="3"/>
  <c r="V30" i="3" s="1"/>
  <c r="U27" i="3"/>
  <c r="V27" i="3" s="1"/>
  <c r="U7" i="3"/>
  <c r="V7" i="3" s="1"/>
  <c r="U15" i="3"/>
  <c r="V15" i="3" s="1"/>
  <c r="U19" i="3"/>
  <c r="V19" i="3" s="1"/>
  <c r="U14" i="3"/>
  <c r="V14" i="3" s="1"/>
  <c r="U4" i="3"/>
  <c r="V4" i="3" s="1"/>
  <c r="U23" i="3"/>
  <c r="V23" i="3" s="1"/>
  <c r="U10" i="3"/>
  <c r="V10" i="3" s="1"/>
  <c r="U8" i="3"/>
  <c r="V8" i="3" s="1"/>
  <c r="X21" i="3"/>
  <c r="W21" i="3"/>
  <c r="W24" i="3"/>
  <c r="X24" i="3"/>
  <c r="W18" i="3"/>
  <c r="X18" i="3"/>
  <c r="X25" i="3"/>
  <c r="W25" i="3"/>
  <c r="W29" i="3"/>
  <c r="X29" i="3"/>
  <c r="X16" i="3"/>
  <c r="W16" i="3"/>
  <c r="X17" i="3"/>
  <c r="W17" i="3"/>
  <c r="W12" i="3"/>
  <c r="X12" i="3"/>
  <c r="W22" i="3"/>
  <c r="X22" i="3"/>
  <c r="X9" i="3"/>
  <c r="W9" i="3"/>
  <c r="W28" i="3"/>
  <c r="X28" i="3"/>
  <c r="W5" i="3"/>
  <c r="X5" i="3"/>
  <c r="X8" i="3"/>
  <c r="W8" i="3"/>
  <c r="W26" i="3"/>
  <c r="X26" i="3"/>
  <c r="W13" i="3"/>
  <c r="X13" i="3"/>
  <c r="W11" i="3"/>
  <c r="X11" i="3"/>
  <c r="W20" i="3"/>
  <c r="X20" i="3"/>
  <c r="W6" i="3"/>
  <c r="X6" i="3"/>
  <c r="X3" i="3"/>
  <c r="W3" i="3"/>
  <c r="W10" i="3"/>
  <c r="X10" i="3"/>
  <c r="X27" i="3"/>
  <c r="W27" i="3"/>
  <c r="W7" i="3"/>
  <c r="X7" i="3"/>
  <c r="W15" i="3"/>
  <c r="X15" i="3"/>
  <c r="X23" i="3"/>
  <c r="W23" i="3"/>
  <c r="W19" i="3"/>
  <c r="X19" i="3"/>
  <c r="W14" i="3"/>
  <c r="X14" i="3"/>
  <c r="W4" i="3"/>
  <c r="X4" i="3"/>
  <c r="X31" i="3"/>
  <c r="W31" i="3"/>
  <c r="X30" i="3"/>
  <c r="W30" i="3"/>
  <c r="N3" i="3"/>
  <c r="O3" i="3" s="1"/>
  <c r="Y21" i="3" l="1"/>
  <c r="Z21" i="3" s="1"/>
  <c r="R3" i="3"/>
  <c r="S3" i="3" s="1"/>
  <c r="Y26" i="3"/>
  <c r="Y31" i="3"/>
  <c r="Y23" i="3"/>
  <c r="Y19" i="3"/>
  <c r="Y7" i="3"/>
  <c r="Y12" i="3"/>
  <c r="Y18" i="3"/>
  <c r="Y25" i="3"/>
  <c r="Y10" i="3"/>
  <c r="Y20" i="3"/>
  <c r="Y28" i="3"/>
  <c r="Y14" i="3"/>
  <c r="Y17" i="3"/>
  <c r="Y29" i="3"/>
  <c r="Y13" i="3"/>
  <c r="Y9" i="3"/>
  <c r="Y4" i="3"/>
  <c r="Y27" i="3"/>
  <c r="Y11" i="3"/>
  <c r="Y24" i="3"/>
  <c r="Y5" i="3"/>
  <c r="Y3" i="3"/>
  <c r="Z3" i="3" s="1"/>
  <c r="Y8" i="3"/>
  <c r="Y22" i="3"/>
  <c r="Y15" i="3"/>
  <c r="Y6" i="3"/>
  <c r="Y16" i="3"/>
  <c r="Y30" i="3"/>
  <c r="Z30" i="3" s="1"/>
  <c r="Z13" i="3" l="1"/>
  <c r="Z18" i="3"/>
  <c r="Z29" i="3"/>
  <c r="Z12" i="3"/>
  <c r="Z5" i="3"/>
  <c r="Z17" i="3"/>
  <c r="Z7" i="3"/>
  <c r="Z24" i="3"/>
  <c r="Z14" i="3"/>
  <c r="Z19" i="3"/>
  <c r="Z11" i="3"/>
  <c r="Z28" i="3"/>
  <c r="Z23" i="3"/>
  <c r="Z6" i="3"/>
  <c r="Z27" i="3"/>
  <c r="Z20" i="3"/>
  <c r="Z31" i="3"/>
  <c r="Z4" i="3"/>
  <c r="Z10" i="3"/>
  <c r="Z26" i="3"/>
  <c r="Z8" i="3"/>
  <c r="Z16" i="3"/>
  <c r="Z15" i="3"/>
  <c r="Z22" i="3"/>
  <c r="Z9" i="3"/>
  <c r="Z25" i="3"/>
  <c r="J31" i="3" l="1"/>
  <c r="I31" i="3"/>
  <c r="C35" i="1" s="1"/>
  <c r="L96" i="2" l="1"/>
  <c r="C8" i="2" l="1"/>
  <c r="I33" i="3" l="1"/>
  <c r="H33" i="3"/>
  <c r="L97" i="2"/>
  <c r="C8" i="1" s="1"/>
  <c r="I100" i="2" s="1"/>
  <c r="J20" i="3" l="1"/>
  <c r="C13" i="2"/>
  <c r="J21" i="3"/>
  <c r="C9" i="2"/>
  <c r="J5" i="3"/>
  <c r="I23" i="3"/>
  <c r="C43" i="1" s="1"/>
  <c r="J4" i="3"/>
  <c r="I15" i="3"/>
  <c r="C51" i="1" s="1"/>
  <c r="I19" i="3"/>
  <c r="C47" i="1" s="1"/>
  <c r="J29" i="3"/>
  <c r="J23" i="3"/>
  <c r="I3" i="3"/>
  <c r="C63" i="1" s="1"/>
  <c r="J12" i="3"/>
  <c r="I6" i="3"/>
  <c r="C60" i="1" s="1"/>
  <c r="I4" i="3"/>
  <c r="C62" i="1" s="1"/>
  <c r="I30" i="3"/>
  <c r="C36" i="1" s="1"/>
  <c r="I11" i="3"/>
  <c r="C55" i="1" s="1"/>
  <c r="I20" i="3"/>
  <c r="C46" i="1" s="1"/>
  <c r="J27" i="3"/>
  <c r="I27" i="3"/>
  <c r="C39" i="1" s="1"/>
  <c r="J17" i="3"/>
  <c r="J10" i="3"/>
  <c r="J9" i="3"/>
  <c r="I8" i="3"/>
  <c r="C58" i="1" s="1"/>
  <c r="I28" i="3"/>
  <c r="C38" i="1" s="1"/>
  <c r="C12" i="2"/>
  <c r="I5" i="3"/>
  <c r="C61" i="1" s="1"/>
  <c r="J25" i="3"/>
  <c r="J7" i="3"/>
  <c r="J3" i="3"/>
  <c r="I12" i="3"/>
  <c r="C54" i="1" s="1"/>
  <c r="I14" i="3"/>
  <c r="C52" i="1" s="1"/>
  <c r="J22" i="3"/>
  <c r="J6" i="3"/>
  <c r="I18" i="3"/>
  <c r="C48" i="1" s="1"/>
  <c r="I17" i="3"/>
  <c r="C49" i="1" s="1"/>
  <c r="I25" i="3"/>
  <c r="C41" i="1" s="1"/>
  <c r="I24" i="3"/>
  <c r="C42" i="1" s="1"/>
  <c r="I9" i="3"/>
  <c r="C57" i="1" s="1"/>
  <c r="J14" i="3"/>
  <c r="I10" i="3"/>
  <c r="C56" i="1" s="1"/>
  <c r="J19" i="3"/>
  <c r="J16" i="3"/>
  <c r="I21" i="3"/>
  <c r="C45" i="1" s="1"/>
  <c r="I13" i="3"/>
  <c r="C53" i="1" s="1"/>
  <c r="J24" i="3"/>
  <c r="J15" i="3"/>
  <c r="I7" i="3"/>
  <c r="C59" i="1" s="1"/>
  <c r="J13" i="3"/>
  <c r="I16" i="3"/>
  <c r="C50" i="1" s="1"/>
  <c r="I26" i="3"/>
  <c r="C40" i="1" s="1"/>
  <c r="J28" i="3"/>
  <c r="J26" i="3"/>
  <c r="J11" i="3"/>
  <c r="I29" i="3"/>
  <c r="C37" i="1" s="1"/>
  <c r="J18" i="3"/>
  <c r="J30" i="3"/>
  <c r="I22" i="3"/>
  <c r="C44" i="1" s="1"/>
  <c r="J8" i="3"/>
  <c r="F2" i="1" l="1"/>
  <c r="H3" i="5"/>
  <c r="H4" i="5"/>
  <c r="C14" i="2"/>
  <c r="C15" i="2" s="1"/>
  <c r="H5" i="5"/>
  <c r="H6" i="5"/>
  <c r="L7" i="5" s="1"/>
  <c r="L11" i="5" s="1"/>
  <c r="H7" i="5"/>
  <c r="AG9" i="3"/>
  <c r="D57" i="1" s="1"/>
  <c r="AG29" i="3"/>
  <c r="D37" i="1" s="1"/>
  <c r="AG23" i="3"/>
  <c r="D43" i="1" s="1"/>
  <c r="AG12" i="3"/>
  <c r="D54" i="1" s="1"/>
  <c r="AG8" i="3"/>
  <c r="D58" i="1" s="1"/>
  <c r="AG10" i="3"/>
  <c r="D56" i="1" s="1"/>
  <c r="AG14" i="3"/>
  <c r="D52" i="1" s="1"/>
  <c r="AG17" i="3"/>
  <c r="D49" i="1" s="1"/>
  <c r="AG5" i="3"/>
  <c r="D61" i="1" s="1"/>
  <c r="AG22" i="3"/>
  <c r="D44" i="1" s="1"/>
  <c r="AG18" i="3"/>
  <c r="D48" i="1" s="1"/>
  <c r="AG7" i="3"/>
  <c r="D59" i="1" s="1"/>
  <c r="AG27" i="3"/>
  <c r="D39" i="1" s="1"/>
  <c r="AG31" i="3"/>
  <c r="D35" i="1" s="1"/>
  <c r="AG28" i="3"/>
  <c r="D38" i="1" s="1"/>
  <c r="AG24" i="3"/>
  <c r="D42" i="1" s="1"/>
  <c r="AG3" i="3"/>
  <c r="D63" i="1" s="1"/>
  <c r="AG19" i="3"/>
  <c r="D47" i="1" s="1"/>
  <c r="AG16" i="3"/>
  <c r="D50" i="1" s="1"/>
  <c r="AG15" i="3"/>
  <c r="D51" i="1" s="1"/>
  <c r="AG13" i="3"/>
  <c r="D53" i="1" s="1"/>
  <c r="AG11" i="3"/>
  <c r="D55" i="1" s="1"/>
  <c r="AG25" i="3"/>
  <c r="D41" i="1" s="1"/>
  <c r="AG30" i="3"/>
  <c r="D36" i="1" s="1"/>
  <c r="AG6" i="3"/>
  <c r="D60" i="1" s="1"/>
  <c r="AG21" i="3"/>
  <c r="D45" i="1" s="1"/>
  <c r="AG20" i="3"/>
  <c r="D46" i="1" s="1"/>
  <c r="AG26" i="3"/>
  <c r="D40" i="1" s="1"/>
  <c r="AG4" i="3"/>
  <c r="D62" i="1" s="1"/>
  <c r="F3" i="1" l="1"/>
</calcChain>
</file>

<file path=xl/sharedStrings.xml><?xml version="1.0" encoding="utf-8"?>
<sst xmlns="http://schemas.openxmlformats.org/spreadsheetml/2006/main" count="1795" uniqueCount="496">
  <si>
    <t>Normal</t>
  </si>
  <si>
    <t xml:space="preserve">Cyclic prefix
</t>
  </si>
  <si>
    <t>1 ms</t>
  </si>
  <si>
    <t>Format</t>
  </si>
  <si>
    <t>Symbol number in a slot</t>
  </si>
  <si>
    <t>D</t>
  </si>
  <si>
    <t>U</t>
  </si>
  <si>
    <t>X</t>
  </si>
  <si>
    <t xml:space="preserve">56 – 255 </t>
  </si>
  <si>
    <t>Reserved</t>
  </si>
  <si>
    <t>%</t>
  </si>
  <si>
    <t xml:space="preserve">resource block is defined as 12  consecutive subcarriers </t>
  </si>
  <si>
    <t>Extended</t>
  </si>
  <si>
    <t>MCS Index</t>
  </si>
  <si>
    <r>
      <t>I</t>
    </r>
    <r>
      <rPr>
        <b/>
        <i/>
        <vertAlign val="subscript"/>
        <sz val="9"/>
        <color rgb="FF000000"/>
        <rFont val="Arial"/>
        <family val="2"/>
      </rPr>
      <t>MCS</t>
    </r>
    <r>
      <rPr>
        <b/>
        <sz val="9"/>
        <color rgb="FF000000"/>
        <rFont val="Arial"/>
        <family val="2"/>
      </rPr>
      <t xml:space="preserve"> </t>
    </r>
  </si>
  <si>
    <t>Modulation Order</t>
  </si>
  <si>
    <r>
      <t xml:space="preserve"> Q</t>
    </r>
    <r>
      <rPr>
        <b/>
        <i/>
        <vertAlign val="subscript"/>
        <sz val="9"/>
        <color rgb="FF000000"/>
        <rFont val="Arial"/>
        <family val="2"/>
      </rPr>
      <t>m</t>
    </r>
  </si>
  <si>
    <t>Target code Rate x [1024]</t>
  </si>
  <si>
    <t>R</t>
  </si>
  <si>
    <t>Spectral</t>
  </si>
  <si>
    <t>efficiency</t>
  </si>
  <si>
    <t>reserved</t>
  </si>
  <si>
    <t>Table 5.1.3.1-2: MCS index table 2 (256QAM) for PDSCH   38.214</t>
  </si>
  <si>
    <r>
      <t>I</t>
    </r>
    <r>
      <rPr>
        <b/>
        <i/>
        <vertAlign val="subscript"/>
        <sz val="9"/>
        <color theme="1"/>
        <rFont val="Arial"/>
        <family val="2"/>
      </rPr>
      <t>MCS</t>
    </r>
  </si>
  <si>
    <r>
      <t xml:space="preserve"> Q</t>
    </r>
    <r>
      <rPr>
        <b/>
        <i/>
        <vertAlign val="subscript"/>
        <sz val="9"/>
        <color theme="1"/>
        <rFont val="Arial"/>
        <family val="2"/>
      </rPr>
      <t>m</t>
    </r>
  </si>
  <si>
    <t>Table 5.1.3.1-1: MCS index table 1 (64QAM) for PDSCH 38.214</t>
  </si>
  <si>
    <t>CQI index</t>
  </si>
  <si>
    <t>modulation</t>
  </si>
  <si>
    <t>code rate x 1024</t>
  </si>
  <si>
    <t>out of range</t>
  </si>
  <si>
    <t>QPSK</t>
  </si>
  <si>
    <t>16QAM</t>
  </si>
  <si>
    <t>64QAM</t>
  </si>
  <si>
    <t>Table 5.2.2.1-2: 4-bit CQI Table 38.214</t>
  </si>
  <si>
    <t xml:space="preserve">QPSK </t>
  </si>
  <si>
    <t xml:space="preserve">16QAM </t>
  </si>
  <si>
    <t xml:space="preserve">64QAM </t>
  </si>
  <si>
    <t xml:space="preserve">256QAM </t>
  </si>
  <si>
    <t>Table 5.2.2.1-3: 4-bit CQI Table 2 38.214</t>
  </si>
  <si>
    <r>
      <t>I</t>
    </r>
    <r>
      <rPr>
        <b/>
        <i/>
        <vertAlign val="subscript"/>
        <sz val="9"/>
        <color rgb="FF000000"/>
        <rFont val="Arial"/>
        <family val="2"/>
      </rPr>
      <t>MCS</t>
    </r>
  </si>
  <si>
    <t>Target code Rate x 1024</t>
  </si>
  <si>
    <t>Table 6.1.4.1-1: MCS index table for PUSCH with transform precoding and 64QAM 38.214</t>
  </si>
  <si>
    <t>Table 4.2-1: Supported transmission numerologies. 38.211</t>
  </si>
  <si>
    <t>Table 4.3.2-1: Number of OFDM symbols per slot, slots per frame, and slots per subframe for normal cyclic prefix. 38.211</t>
  </si>
  <si>
    <t>Table 4.3.2-2: Number of OFDM symbols per slot, slots per frame, and slots per subframe for extended cyclic prefix.</t>
  </si>
  <si>
    <t>Table 4.3.2-3: Slot formats for normal cyclic prefix. 38.211</t>
  </si>
  <si>
    <t>Frequency range designation</t>
  </si>
  <si>
    <t xml:space="preserve">Corresponding frequency range </t>
  </si>
  <si>
    <t>FR1</t>
  </si>
  <si>
    <t>450 MHz – 6000 MHz</t>
  </si>
  <si>
    <t>FR2</t>
  </si>
  <si>
    <t>24250 MHz – 52600 MHz</t>
  </si>
  <si>
    <t>Table 5.1-1: Definition of frequency ranges 38.104</t>
  </si>
  <si>
    <r>
      <t xml:space="preserve">NR </t>
    </r>
    <r>
      <rPr>
        <b/>
        <i/>
        <sz val="9"/>
        <color theme="1"/>
        <rFont val="Arial"/>
        <family val="2"/>
      </rPr>
      <t>operating band</t>
    </r>
  </si>
  <si>
    <r>
      <t xml:space="preserve">Uplink (UL) </t>
    </r>
    <r>
      <rPr>
        <b/>
        <i/>
        <sz val="9"/>
        <color theme="1"/>
        <rFont val="Arial"/>
        <family val="2"/>
      </rPr>
      <t>operating band</t>
    </r>
  </si>
  <si>
    <t>BS receive / UE transmit</t>
  </si>
  <si>
    <r>
      <t>F</t>
    </r>
    <r>
      <rPr>
        <b/>
        <vertAlign val="subscript"/>
        <sz val="9"/>
        <color theme="1"/>
        <rFont val="Arial"/>
        <family val="2"/>
      </rPr>
      <t>UL_low</t>
    </r>
    <r>
      <rPr>
        <b/>
        <sz val="9"/>
        <color theme="1"/>
        <rFont val="Arial"/>
        <family val="2"/>
      </rPr>
      <t xml:space="preserve">   –  F</t>
    </r>
    <r>
      <rPr>
        <b/>
        <vertAlign val="subscript"/>
        <sz val="9"/>
        <color theme="1"/>
        <rFont val="Arial"/>
        <family val="2"/>
      </rPr>
      <t>UL_high</t>
    </r>
  </si>
  <si>
    <r>
      <t xml:space="preserve">Downlink (DL) </t>
    </r>
    <r>
      <rPr>
        <b/>
        <i/>
        <sz val="9"/>
        <color theme="1"/>
        <rFont val="Arial"/>
        <family val="2"/>
      </rPr>
      <t>operating band</t>
    </r>
  </si>
  <si>
    <t>BS transmit / UE receive</t>
  </si>
  <si>
    <r>
      <t>F</t>
    </r>
    <r>
      <rPr>
        <b/>
        <vertAlign val="subscript"/>
        <sz val="9"/>
        <color theme="1"/>
        <rFont val="Arial"/>
        <family val="2"/>
      </rPr>
      <t>DL_low</t>
    </r>
    <r>
      <rPr>
        <b/>
        <sz val="9"/>
        <color theme="1"/>
        <rFont val="Arial"/>
        <family val="2"/>
      </rPr>
      <t xml:space="preserve">   –  F</t>
    </r>
    <r>
      <rPr>
        <b/>
        <vertAlign val="subscript"/>
        <sz val="9"/>
        <color theme="1"/>
        <rFont val="Arial"/>
        <family val="2"/>
      </rPr>
      <t>DL_high</t>
    </r>
  </si>
  <si>
    <t>Duplex Mode</t>
  </si>
  <si>
    <t>n1</t>
  </si>
  <si>
    <t>1920 MHz – 1980 MHz</t>
  </si>
  <si>
    <t>2110 MHz – 2170 MHz</t>
  </si>
  <si>
    <t>FDD</t>
  </si>
  <si>
    <t>n2</t>
  </si>
  <si>
    <t>1850 MHz – 1910 MHz</t>
  </si>
  <si>
    <t>1930 MHz – 1990 MHz</t>
  </si>
  <si>
    <t>n3</t>
  </si>
  <si>
    <t>1710 MHz – 1785 MHz</t>
  </si>
  <si>
    <t>1805 MHz – 1880 MHz</t>
  </si>
  <si>
    <t>n5</t>
  </si>
  <si>
    <t>824 MHz – 849 MHz</t>
  </si>
  <si>
    <t>869 MHz – 894 MHz</t>
  </si>
  <si>
    <t>n7</t>
  </si>
  <si>
    <t>2500 MHz – 2570 MHz</t>
  </si>
  <si>
    <t>2620 MHz – 2690 MHz</t>
  </si>
  <si>
    <t>n8</t>
  </si>
  <si>
    <t>880 MHz – 915 MHz</t>
  </si>
  <si>
    <t>925 MHz – 960 MHz</t>
  </si>
  <si>
    <t>n20</t>
  </si>
  <si>
    <t>832 MHz – 862 MHz</t>
  </si>
  <si>
    <t>791 MHz – 821 MHz</t>
  </si>
  <si>
    <t>n28</t>
  </si>
  <si>
    <t>703 MHz – 748 MHz</t>
  </si>
  <si>
    <t>758 MHz – 803 MHz</t>
  </si>
  <si>
    <t>n38</t>
  </si>
  <si>
    <t>2570 MHz – 2620 MHz</t>
  </si>
  <si>
    <t>TDD</t>
  </si>
  <si>
    <t>n41</t>
  </si>
  <si>
    <t>2496 MHz – 2690 MHz</t>
  </si>
  <si>
    <t>n50</t>
  </si>
  <si>
    <t>1432 MHz – 1517 MHz</t>
  </si>
  <si>
    <t>n51</t>
  </si>
  <si>
    <t>1427 MHz – 1432 MHz</t>
  </si>
  <si>
    <t>n66</t>
  </si>
  <si>
    <t>1710 MHz – 1780 MHz</t>
  </si>
  <si>
    <t>2110 MHz – 2200 MHz</t>
  </si>
  <si>
    <t>n70</t>
  </si>
  <si>
    <t>1695 MHz – 1710 MHz</t>
  </si>
  <si>
    <t>1995 MHz – 2020 MHz</t>
  </si>
  <si>
    <t>n71</t>
  </si>
  <si>
    <t>663 MHz – 698 MHz</t>
  </si>
  <si>
    <t>617 MHz – 652 MHz</t>
  </si>
  <si>
    <t>n74</t>
  </si>
  <si>
    <t>1427 MHz – 1470 MHz</t>
  </si>
  <si>
    <t>1475 MHz – 1518 MHz</t>
  </si>
  <si>
    <t>n75</t>
  </si>
  <si>
    <t>N/A</t>
  </si>
  <si>
    <t>SDL</t>
  </si>
  <si>
    <t>n76</t>
  </si>
  <si>
    <t>n77</t>
  </si>
  <si>
    <t>3300 MHz – 4200 MHz</t>
  </si>
  <si>
    <t>n78</t>
  </si>
  <si>
    <t>3300 MHz – 3800 MHz</t>
  </si>
  <si>
    <t>n79</t>
  </si>
  <si>
    <t>4400 MHz – 5000 MHz</t>
  </si>
  <si>
    <t>n80</t>
  </si>
  <si>
    <t xml:space="preserve">SUL </t>
  </si>
  <si>
    <t>n81</t>
  </si>
  <si>
    <t>n82</t>
  </si>
  <si>
    <t>n83</t>
  </si>
  <si>
    <t>SUL</t>
  </si>
  <si>
    <t>n84</t>
  </si>
  <si>
    <r>
      <t xml:space="preserve">Uplink (UL) and Downlink (DL) </t>
    </r>
    <r>
      <rPr>
        <b/>
        <i/>
        <sz val="9"/>
        <color theme="1"/>
        <rFont val="Arial"/>
        <family val="2"/>
      </rPr>
      <t>operating band</t>
    </r>
  </si>
  <si>
    <t>BS transmit/receive</t>
  </si>
  <si>
    <t xml:space="preserve">UE transmit/receive </t>
  </si>
  <si>
    <t>n257</t>
  </si>
  <si>
    <t>26500 MHz – 29500 MHz</t>
  </si>
  <si>
    <t>n258</t>
  </si>
  <si>
    <t>24250 MHz – 27500 MHz</t>
  </si>
  <si>
    <t>n260</t>
  </si>
  <si>
    <t>37000 MHz – 40000 MHz</t>
  </si>
  <si>
    <r>
      <t xml:space="preserve">Table 5.2-1: NR </t>
    </r>
    <r>
      <rPr>
        <b/>
        <i/>
        <sz val="10"/>
        <color theme="1"/>
        <rFont val="Arial"/>
        <family val="2"/>
      </rPr>
      <t>operating bands</t>
    </r>
    <r>
      <rPr>
        <b/>
        <sz val="10"/>
        <color theme="1"/>
        <rFont val="Arial"/>
        <family val="2"/>
      </rPr>
      <t xml:space="preserve"> in FR1 38.104</t>
    </r>
  </si>
  <si>
    <r>
      <t xml:space="preserve">Table 5.2-2: NR </t>
    </r>
    <r>
      <rPr>
        <b/>
        <i/>
        <sz val="10"/>
        <color theme="1"/>
        <rFont val="Arial"/>
        <family val="2"/>
      </rPr>
      <t>operating bands</t>
    </r>
    <r>
      <rPr>
        <b/>
        <sz val="10"/>
        <color theme="1"/>
        <rFont val="Arial"/>
        <family val="2"/>
      </rPr>
      <t xml:space="preserve"> in FR2 38.104</t>
    </r>
  </si>
  <si>
    <t>SCS [kHz]</t>
  </si>
  <si>
    <t>MHz</t>
  </si>
  <si>
    <r>
      <t>N</t>
    </r>
    <r>
      <rPr>
        <b/>
        <vertAlign val="subscript"/>
        <sz val="9"/>
        <color theme="1"/>
        <rFont val="Arial"/>
        <family val="2"/>
      </rPr>
      <t>RB</t>
    </r>
  </si>
  <si>
    <t>N.A</t>
  </si>
  <si>
    <r>
      <t>Table 5.3.2-1: Transmission bandwidth configuration N</t>
    </r>
    <r>
      <rPr>
        <b/>
        <vertAlign val="subscript"/>
        <sz val="10"/>
        <color theme="1"/>
        <rFont val="Arial"/>
        <family val="2"/>
      </rPr>
      <t>RB</t>
    </r>
    <r>
      <rPr>
        <b/>
        <sz val="10"/>
        <color theme="1"/>
        <rFont val="Arial"/>
        <family val="2"/>
      </rPr>
      <t xml:space="preserve"> for FR1 38.104</t>
    </r>
  </si>
  <si>
    <r>
      <t>Table 5.3.2-2: Transmission bandwidth configuration N</t>
    </r>
    <r>
      <rPr>
        <b/>
        <vertAlign val="subscript"/>
        <sz val="10"/>
        <color theme="1"/>
        <rFont val="Arial"/>
        <family val="2"/>
      </rPr>
      <t>RB</t>
    </r>
    <r>
      <rPr>
        <b/>
        <sz val="10"/>
        <color theme="1"/>
        <rFont val="Arial"/>
        <family val="2"/>
      </rPr>
      <t xml:space="preserve"> for FR2 38.104</t>
    </r>
  </si>
  <si>
    <r>
      <t xml:space="preserve">NR band / SCS / </t>
    </r>
    <r>
      <rPr>
        <b/>
        <i/>
        <sz val="9"/>
        <color theme="1"/>
        <rFont val="Arial"/>
        <family val="2"/>
      </rPr>
      <t>BS channel bandwidth</t>
    </r>
  </si>
  <si>
    <t>NR Band</t>
  </si>
  <si>
    <t>SCS</t>
  </si>
  <si>
    <t>kHz</t>
  </si>
  <si>
    <t>Yes</t>
  </si>
  <si>
    <r>
      <t xml:space="preserve">Table 5.3.5-1: </t>
    </r>
    <r>
      <rPr>
        <b/>
        <i/>
        <sz val="10"/>
        <color theme="1"/>
        <rFont val="Arial"/>
        <family val="2"/>
      </rPr>
      <t>BS channel bandwidths</t>
    </r>
    <r>
      <rPr>
        <b/>
        <sz val="10"/>
        <color theme="1"/>
        <rFont val="Arial"/>
        <family val="2"/>
      </rPr>
      <t xml:space="preserve"> and SCS per operating band in FR1 38.104</t>
    </r>
  </si>
  <si>
    <t>mm</t>
  </si>
  <si>
    <t>sub6</t>
  </si>
  <si>
    <t>Cyclic prefix</t>
  </si>
  <si>
    <t xml:space="preserve">Sub Carrier Spacing (SCS) [Khz] </t>
  </si>
  <si>
    <t>BW [MHz]</t>
  </si>
  <si>
    <t>row</t>
  </si>
  <si>
    <t>Row</t>
  </si>
  <si>
    <t>RB</t>
  </si>
  <si>
    <t>numerologie</t>
  </si>
  <si>
    <t>DL Throghput [Mbps]</t>
  </si>
  <si>
    <t>w FEC</t>
  </si>
  <si>
    <t>Max TP</t>
  </si>
  <si>
    <t>FEC</t>
  </si>
  <si>
    <t>UL Layers</t>
  </si>
  <si>
    <t>UL Throghput [Mbps]</t>
  </si>
  <si>
    <t>-</t>
  </si>
  <si>
    <t>Demodulation reference signals, DM-RS, for PDSCH and PBCH</t>
  </si>
  <si>
    <t>Phase-tracking reference signals, PT-RS</t>
  </si>
  <si>
    <t>Channel-state information reference signal, CSI-RS</t>
  </si>
  <si>
    <t>Primary synchronization signal, PSS</t>
  </si>
  <si>
    <t>Secondary synchronization signal, SSS</t>
  </si>
  <si>
    <t>Physical Downlink Shared Channel, PDSCH</t>
  </si>
  <si>
    <t>Physical Broadcast Channel, PBCH</t>
  </si>
  <si>
    <t>Physical Downlink Control Channel, PDCCH.</t>
  </si>
  <si>
    <t>Overhead</t>
  </si>
  <si>
    <t>BLER</t>
  </si>
  <si>
    <t>Frequency Band</t>
  </si>
  <si>
    <t>Frequency_n</t>
  </si>
  <si>
    <t>Frequency_Band_input_bug</t>
  </si>
  <si>
    <t>SCS input bug</t>
  </si>
  <si>
    <t>SCS_n_input_bug</t>
  </si>
  <si>
    <t>w BLER &amp; Overhead</t>
  </si>
  <si>
    <t>DL Layers</t>
  </si>
  <si>
    <t>[0.14], for frequency range FR1 for DL</t>
  </si>
  <si>
    <t>[0.18], for frequency range FR2 for DL</t>
  </si>
  <si>
    <t>[0.08], for frequency range FR1 for UL</t>
  </si>
  <si>
    <t>[0.10], for frequency range FR2 for UL</t>
  </si>
  <si>
    <t>38.306 4.1.2 Max data rate without ue-CategoryDL and ue-CategoryUL</t>
  </si>
  <si>
    <t>DL</t>
  </si>
  <si>
    <t>UL</t>
  </si>
  <si>
    <t>DL Overhead</t>
  </si>
  <si>
    <t>UL Overhead</t>
  </si>
  <si>
    <t>Duplex</t>
  </si>
  <si>
    <t>DL splite %</t>
  </si>
  <si>
    <t>UL splite %</t>
  </si>
  <si>
    <t>DL split SSF%</t>
  </si>
  <si>
    <t>UL split SSF%</t>
  </si>
  <si>
    <t>no TX</t>
  </si>
  <si>
    <t>UL_splite</t>
  </si>
  <si>
    <t>Total DL split</t>
  </si>
  <si>
    <t>Total UL split</t>
  </si>
  <si>
    <t xml:space="preserve">DL split </t>
  </si>
  <si>
    <t xml:space="preserve">UL split </t>
  </si>
  <si>
    <t>Max RBs</t>
  </si>
  <si>
    <t xml:space="preserve">DL peak [Mbps] </t>
  </si>
  <si>
    <t>ULPeak [Mbps]</t>
  </si>
  <si>
    <t>Ts</t>
  </si>
  <si>
    <t>CP</t>
  </si>
  <si>
    <t>S</t>
  </si>
  <si>
    <t>Total</t>
  </si>
  <si>
    <t>Distance</t>
  </si>
  <si>
    <t>(UE_Rx_Tx &amp; BTS_Tx_Rx) Margin</t>
  </si>
  <si>
    <r>
      <t xml:space="preserve">Target code Rate </t>
    </r>
    <r>
      <rPr>
        <b/>
        <i/>
        <sz val="9"/>
        <color theme="1"/>
        <rFont val="Arial"/>
        <family val="2"/>
      </rPr>
      <t>R</t>
    </r>
    <r>
      <rPr>
        <b/>
        <sz val="9"/>
        <color theme="1"/>
        <rFont val="Arial"/>
        <family val="2"/>
      </rPr>
      <t xml:space="preserve"> x [1024]</t>
    </r>
  </si>
  <si>
    <t>Table 5.1.3.1-1: MCS index table 1 for PDSCH</t>
  </si>
  <si>
    <r>
      <t xml:space="preserve">Target code Rate </t>
    </r>
    <r>
      <rPr>
        <b/>
        <i/>
        <sz val="9"/>
        <color rgb="FF000000"/>
        <rFont val="Arial"/>
        <family val="2"/>
      </rPr>
      <t xml:space="preserve">R </t>
    </r>
    <r>
      <rPr>
        <b/>
        <sz val="9"/>
        <color rgb="FF000000"/>
        <rFont val="Arial"/>
        <family val="2"/>
      </rPr>
      <t>x [1024]</t>
    </r>
  </si>
  <si>
    <t>Table 5.1.3.1-2: MCS index table 2 for PDSCH</t>
  </si>
  <si>
    <t> 0.2344</t>
  </si>
  <si>
    <t> 0.3066</t>
  </si>
  <si>
    <t> 0.3770</t>
  </si>
  <si>
    <t> 0.4902</t>
  </si>
  <si>
    <t> 0.6016</t>
  </si>
  <si>
    <t> 0.7402</t>
  </si>
  <si>
    <t> 0.8770</t>
  </si>
  <si>
    <t> 1.0273</t>
  </si>
  <si>
    <t> 1.1758</t>
  </si>
  <si>
    <t> 1.3281</t>
  </si>
  <si>
    <t> 1.6953</t>
  </si>
  <si>
    <t> 1.9141</t>
  </si>
  <si>
    <t> 2.1602</t>
  </si>
  <si>
    <t> 2.4063</t>
  </si>
  <si>
    <t> 2.5664</t>
  </si>
  <si>
    <t> 2.7305</t>
  </si>
  <si>
    <t> 3.0293</t>
  </si>
  <si>
    <t> 3.3223</t>
  </si>
  <si>
    <t> 3.6094</t>
  </si>
  <si>
    <t> 3.9023</t>
  </si>
  <si>
    <t> 4.2129</t>
  </si>
  <si>
    <t> 4.5234</t>
  </si>
  <si>
    <t>Table 5.1.3.1-3: MCS index table 3 for PDSCH</t>
  </si>
  <si>
    <t>qam256</t>
  </si>
  <si>
    <t>qam64LowSE</t>
  </si>
  <si>
    <t>DL Max Modulation</t>
  </si>
  <si>
    <t>UL Max Modulation</t>
  </si>
  <si>
    <t>DL CA</t>
  </si>
  <si>
    <t>UL CA</t>
  </si>
  <si>
    <t>Table 6.1.4.1-1: MCS index table for PUSCH with transform precoding and 64QAM</t>
  </si>
  <si>
    <t>Target code Rate R x 1024</t>
  </si>
  <si>
    <t>q</t>
  </si>
  <si>
    <t> 3.0156</t>
  </si>
  <si>
    <t>Table 6.1.4.1-2: MCS index table 2 for PUSCH with transform precoding and 64QAM</t>
  </si>
  <si>
    <t>transform precoding</t>
  </si>
  <si>
    <r>
      <t>•</t>
    </r>
    <r>
      <rPr>
        <sz val="10"/>
        <color rgb="FF0F3447"/>
        <rFont val="Avenir Book"/>
      </rPr>
      <t>DFT-s-OFDM for limited power scenarios (</t>
    </r>
    <r>
      <rPr>
        <b/>
        <sz val="10"/>
        <color rgb="FF0F3447"/>
        <rFont val="Avenir Book"/>
      </rPr>
      <t>same as LTE )</t>
    </r>
  </si>
  <si>
    <t xml:space="preserve"> (only used with single layer transmissions good for power limitation as it improve PAR, lower PAR)</t>
  </si>
  <si>
    <t>Revision</t>
  </si>
  <si>
    <t>Date</t>
  </si>
  <si>
    <t>Author</t>
  </si>
  <si>
    <t>Change Details</t>
  </si>
  <si>
    <t>Roy Hagoel</t>
  </si>
  <si>
    <t>17.12.19</t>
  </si>
  <si>
    <t xml:space="preserve">5G NR Throughput </t>
  </si>
  <si>
    <t>slots</t>
  </si>
  <si>
    <t>20ms</t>
  </si>
  <si>
    <t>SSB RB</t>
  </si>
  <si>
    <t xml:space="preserve">nb of SSB </t>
  </si>
  <si>
    <t xml:space="preserve">Total SSB </t>
  </si>
  <si>
    <t>% SSB HO</t>
  </si>
  <si>
    <t>10 ms</t>
  </si>
  <si>
    <t>SSB Slots</t>
  </si>
  <si>
    <t>SSB beams</t>
  </si>
  <si>
    <t>SSB Slot x RBs</t>
  </si>
  <si>
    <t>update UE_Rx_Tx &amp; BTS_Tx_Rx Margin</t>
  </si>
  <si>
    <t>x</t>
  </si>
  <si>
    <t>slots in 20 ms</t>
  </si>
  <si>
    <t>slots in 10 ms</t>
  </si>
  <si>
    <t>slots in 1 ms</t>
  </si>
  <si>
    <t>slots in 20 ms TDD</t>
  </si>
  <si>
    <t xml:space="preserve"> (SCS) [Khz] </t>
  </si>
  <si>
    <t>Total slots in 20 ms</t>
  </si>
  <si>
    <t>total time slots ssb</t>
  </si>
  <si>
    <t>total slots ssb</t>
  </si>
  <si>
    <t>nb of SSB Bursts</t>
  </si>
  <si>
    <t>1.12.20</t>
  </si>
  <si>
    <t>19.1.20</t>
  </si>
  <si>
    <t>align calc number</t>
  </si>
  <si>
    <t>PDCCH: 273 PRBs x 1 Symbol</t>
  </si>
  <si>
    <t>DMRS Type 1 with three symbols</t>
  </si>
  <si>
    <t>CSI-RS</t>
  </si>
  <si>
    <t>Current Limitations:</t>
  </si>
  <si>
    <t>Symbols per slot </t>
  </si>
  <si>
    <t>100M (273 RBs)</t>
  </si>
  <si>
    <t>DL: 13 - first symbol for PDCCH</t>
  </si>
  <si>
    <t>UL: 12 - last 2 symbols for PUCCH</t>
  </si>
  <si>
    <t>20M (51 RBs)</t>
  </si>
  <si>
    <t>DL: 12 - first 2 symbols for PDCCH</t>
  </si>
  <si>
    <t>Number of RE for DM-RS per PRB = 36</t>
  </si>
  <si>
    <t>No multiplexing of PDSCH with DMRS</t>
  </si>
  <si>
    <t>No PDSCH on special slot</t>
  </si>
  <si>
    <t>No multiplexing of PDSCH with PDCCH</t>
  </si>
  <si>
    <t>No multiplexing of PDSCH with CSI-RS</t>
  </si>
  <si>
    <t>R&amp;D Calculation</t>
  </si>
  <si>
    <t>DL → Total*0.65</t>
  </si>
  <si>
    <t>UL → Total*0.2</t>
  </si>
  <si>
    <t>For 100M</t>
  </si>
  <si>
    <t>273 RBs</t>
  </si>
  <si>
    <t>DL: 13 Symbols (first symbol for PDCCH)</t>
  </si>
  <si>
    <t>UL: 12 Symbols (last 2 symbols for PUCCH)</t>
  </si>
  <si>
    <t>For 20M</t>
  </si>
  <si>
    <t>51 RBs</t>
  </si>
  <si>
    <t>DL: 12 Symbols (first 2 symbols for PDCCH)</t>
  </si>
  <si>
    <t>3 DM-RS Symbols → 36 REs per PRB for the DM-RS</t>
  </si>
  <si>
    <t>2∗100∗7-100 -200)∙5.55∙2</t>
  </si>
  <si>
    <t>𝑁_(𝑅𝐸∕𝑆𝑙𝑜𝑡)</t>
  </si>
  <si>
    <t>N_PRB</t>
  </si>
  <si>
    <t>N_(slot∕sec)</t>
  </si>
  <si>
    <t>N_(bits∕RE)</t>
  </si>
  <si>
    <t>N_L</t>
  </si>
  <si>
    <t>MCS</t>
  </si>
  <si>
    <t>PDCH</t>
  </si>
  <si>
    <t>PDSCH</t>
  </si>
  <si>
    <t>measured AVG</t>
  </si>
  <si>
    <t>PDSCH+RS+DMRS</t>
  </si>
  <si>
    <t>Theoretical Airspan</t>
  </si>
  <si>
    <t>31.5.21</t>
  </si>
  <si>
    <t>UL_DMRS</t>
  </si>
  <si>
    <t>PUCCH</t>
  </si>
  <si>
    <t>1.6.21</t>
  </si>
  <si>
    <t>option to configure PDCCH/PUCCH/DMRS/CSI-RS</t>
  </si>
  <si>
    <t>PRACH</t>
  </si>
  <si>
    <t>08.06.21</t>
  </si>
  <si>
    <t>add PRACH overhead</t>
  </si>
  <si>
    <t>29.06.21</t>
  </si>
  <si>
    <t xml:space="preserve">add CA </t>
  </si>
  <si>
    <t>Airspan limitation Rel.18.50</t>
  </si>
  <si>
    <t>29.08.21</t>
  </si>
  <si>
    <t>update Airspan sys default parameters</t>
  </si>
  <si>
    <t>20 MHZ</t>
  </si>
  <si>
    <t>40 MHZ</t>
  </si>
  <si>
    <t>100 MHZ</t>
  </si>
  <si>
    <t>PDCCH symbol</t>
  </si>
  <si>
    <r>
      <t>2</t>
    </r>
    <r>
      <rPr>
        <sz val="12"/>
        <color rgb="FF000000"/>
        <rFont val="Calibri"/>
        <family val="2"/>
      </rPr>
      <t> </t>
    </r>
  </si>
  <si>
    <r>
      <t> </t>
    </r>
    <r>
      <rPr>
        <sz val="11"/>
        <color rgb="FF1F497D"/>
        <rFont val="Calibri"/>
        <family val="2"/>
      </rPr>
      <t>2</t>
    </r>
  </si>
  <si>
    <r>
      <t> </t>
    </r>
    <r>
      <rPr>
        <sz val="11"/>
        <color rgb="FF1F497D"/>
        <rFont val="Calibri"/>
        <family val="2"/>
      </rPr>
      <t>1</t>
    </r>
  </si>
  <si>
    <t>PUCCH Symbol</t>
  </si>
  <si>
    <t>DL DMRS RE in RB</t>
  </si>
  <si>
    <t>UL DMRS RE in RB</t>
  </si>
  <si>
    <t>In PUCCH, for now – 1-3 symbols</t>
  </si>
  <si>
    <t>In PDCCH 1-3</t>
  </si>
  <si>
    <t>DMRS:</t>
  </si>
  <si>
    <t>DMRS Type 1-</t>
  </si>
  <si>
    <t>6,12,18,24,36,48</t>
  </si>
  <si>
    <t>DMRS Type 2-</t>
  </si>
  <si>
    <t>4,8,12,16,24,36,48</t>
  </si>
  <si>
    <t>n12</t>
  </si>
  <si>
    <t>699 MHz – 716 MHz</t>
  </si>
  <si>
    <t>729 MHz – 746 MHz</t>
  </si>
  <si>
    <t>n13</t>
  </si>
  <si>
    <t>777 MHz – 787 MHz</t>
  </si>
  <si>
    <t>746 MHz – 756 MHz</t>
  </si>
  <si>
    <t>n14</t>
  </si>
  <si>
    <t>788 MHz – 798 MHz</t>
  </si>
  <si>
    <t>758 MHz – 768 MHz</t>
  </si>
  <si>
    <t>n18</t>
  </si>
  <si>
    <t>815 MHz – 830 MHz</t>
  </si>
  <si>
    <t>860 MHz – 875 MHz</t>
  </si>
  <si>
    <t>1626.5 MHz – 1660.5 MHz</t>
  </si>
  <si>
    <t>1525 MHz – 1559 MHz</t>
  </si>
  <si>
    <t>n25</t>
  </si>
  <si>
    <t>1850 MHz – 1915 MHz</t>
  </si>
  <si>
    <t>1930 MHz – 1995 MHz</t>
  </si>
  <si>
    <t>n26</t>
  </si>
  <si>
    <t>814 MHz – 849 MHz</t>
  </si>
  <si>
    <t>859 MHz – 894 MHz</t>
  </si>
  <si>
    <t>n29</t>
  </si>
  <si>
    <t>717 MHz – 728 MHz</t>
  </si>
  <si>
    <t>n30</t>
  </si>
  <si>
    <t>2305 MHz – 2315 MHz</t>
  </si>
  <si>
    <t>2350 MHz – 2360 MHz</t>
  </si>
  <si>
    <t>n34</t>
  </si>
  <si>
    <t>2010 MHz – 2025 MHz</t>
  </si>
  <si>
    <t>n39</t>
  </si>
  <si>
    <t>1880 MHz – 1920 MHz</t>
  </si>
  <si>
    <t>n40</t>
  </si>
  <si>
    <t>2300 MHz – 2400 MHz</t>
  </si>
  <si>
    <t>n46</t>
  </si>
  <si>
    <t xml:space="preserve">5150 MHz – 5925 MHz </t>
  </si>
  <si>
    <t>5150 MHz – 5925 MHz</t>
  </si>
  <si>
    <t>n48</t>
  </si>
  <si>
    <t>3550 MHz – 3700 MHz</t>
  </si>
  <si>
    <t>n53</t>
  </si>
  <si>
    <t>2483.5 MHz – 2495 MHz</t>
  </si>
  <si>
    <t>n65</t>
  </si>
  <si>
    <t>1920 MHz – 2010 MHz</t>
  </si>
  <si>
    <t>n67</t>
  </si>
  <si>
    <t>738 MHz – 758 MHz</t>
  </si>
  <si>
    <t>n85</t>
  </si>
  <si>
    <t xml:space="preserve">698 MHz – 716 MHz </t>
  </si>
  <si>
    <t>728 MHz – 746 MHz</t>
  </si>
  <si>
    <t>n86</t>
  </si>
  <si>
    <t>n89</t>
  </si>
  <si>
    <t>n90</t>
  </si>
  <si>
    <t>n91</t>
  </si>
  <si>
    <t>n92</t>
  </si>
  <si>
    <t>n93</t>
  </si>
  <si>
    <t>n94</t>
  </si>
  <si>
    <t>5925 MHz – 7125 MHz</t>
  </si>
  <si>
    <t>1626.5 MHz -1660.5 MHz</t>
  </si>
  <si>
    <t>n259</t>
  </si>
  <si>
    <t>39500 MHz – 43500 MHz</t>
  </si>
  <si>
    <t>n261</t>
  </si>
  <si>
    <t>27500 MHz – 28350 MHz</t>
  </si>
  <si>
    <t>n262</t>
  </si>
  <si>
    <t>47200 MHz – 48200 MHz</t>
  </si>
  <si>
    <t>n24</t>
  </si>
  <si>
    <t>n95</t>
  </si>
  <si>
    <t>n96</t>
  </si>
  <si>
    <t>n97</t>
  </si>
  <si>
    <t>n98</t>
  </si>
  <si>
    <t>n99</t>
  </si>
  <si>
    <t>20.10.21</t>
  </si>
  <si>
    <t>update Airspan sys default parameters (DMRS /PDCCH)</t>
  </si>
  <si>
    <t>01.12.21</t>
  </si>
  <si>
    <t>PDCCH_TDD_overhead</t>
  </si>
  <si>
    <t>update Airspan SFI (*FSM)</t>
  </si>
  <si>
    <t>fix TDD SSF TP (SFI Format  6  for FSM)</t>
  </si>
  <si>
    <t>update RI 4/8 DMRS  &amp; CSI-RS periodicity OH</t>
  </si>
  <si>
    <t>0,1,40</t>
  </si>
  <si>
    <t>CSI-RS periodicity (per slots)</t>
  </si>
  <si>
    <t>update RI 4/8 DMRS  &amp; CSI-RS periodicity OH v2 / PUCCH as input</t>
  </si>
  <si>
    <t>n</t>
  </si>
  <si>
    <t>Ninfo</t>
  </si>
  <si>
    <t>C</t>
  </si>
  <si>
    <t>TBS</t>
  </si>
  <si>
    <t>Index</t>
  </si>
  <si>
    <t>N'info</t>
  </si>
  <si>
    <t>TBS Index</t>
  </si>
  <si>
    <t>TBS (bits)</t>
  </si>
  <si>
    <t>CSI-RS slots in cycle</t>
  </si>
  <si>
    <t>Slot format (SFI)                      Format 6 for FSM products Format 2 for not FSM products</t>
  </si>
  <si>
    <t>10.04.22</t>
  </si>
  <si>
    <t>05.02.22</t>
  </si>
  <si>
    <t>update CSI-RS calc / remove CRC from TP</t>
  </si>
  <si>
    <t>*Format 2 fix , NO CRC</t>
  </si>
  <si>
    <t xml:space="preserve">Measurement Gap </t>
  </si>
  <si>
    <t>NO</t>
  </si>
  <si>
    <t xml:space="preserve"> Measurement Gap option</t>
  </si>
  <si>
    <t>PDCCHs ymbols</t>
  </si>
  <si>
    <t xml:space="preserve">DL DMRS RE                                         12 for FSM / 36 for not FSM </t>
  </si>
  <si>
    <t>UL RE DMRS</t>
  </si>
  <si>
    <t>FR1 (sub6) 450 MHz – 6000 MHz</t>
  </si>
  <si>
    <t>You are right that TRS CSI RS configuration is 80 slots in slots 0 &amp; 1</t>
  </si>
  <si>
    <t>But we also have NZP CSI RS which is also 80 slots periodicity but offset of 40 meaning in slot 40 every 80 slots</t>
  </si>
  <si>
    <t>That makes that every time we have SSB we have some kind of CSI</t>
  </si>
  <si>
    <t>07.08.22</t>
  </si>
  <si>
    <t>update CSI-RS periodicity</t>
  </si>
  <si>
    <t>PUCCH symbols (default=2)</t>
  </si>
  <si>
    <t>31.08.22</t>
  </si>
  <si>
    <t xml:space="preserve">SSF splite % </t>
  </si>
  <si>
    <t>update PDCCH in special  subframe / CSI-RS periodicity / remove Cyclic prefix&amp;SCS</t>
  </si>
  <si>
    <t>SW Limitation</t>
  </si>
  <si>
    <t>SW_Limitation_input</t>
  </si>
  <si>
    <t>BW_NR</t>
  </si>
  <si>
    <t>Frequency_range_F_NR</t>
  </si>
  <si>
    <t>packet size</t>
  </si>
  <si>
    <t>packet_size</t>
  </si>
  <si>
    <t>SW Limitation per SW version &amp; packet size</t>
  </si>
  <si>
    <t>07.09.22</t>
  </si>
  <si>
    <t>Limitation by SW version</t>
  </si>
  <si>
    <t>n48: TDD: 3550 MHz – 3700 MHz</t>
  </si>
  <si>
    <t>100 MHz</t>
  </si>
  <si>
    <t> 535</t>
  </si>
  <si>
    <t> 550</t>
  </si>
  <si>
    <t> 600</t>
  </si>
  <si>
    <t>05.01.23</t>
  </si>
  <si>
    <t>TDD Split ( %DL: %UL )</t>
  </si>
  <si>
    <t>DDDDDDDFUU</t>
  </si>
  <si>
    <t>DDDFUUDFUU</t>
  </si>
  <si>
    <t xml:space="preserve"> (SR 21.50)</t>
  </si>
  <si>
    <t xml:space="preserve">DDDFUUUUUU </t>
  </si>
  <si>
    <t>DL_splite_NR</t>
  </si>
  <si>
    <t>UL_splite_NR</t>
  </si>
  <si>
    <t>SSF_splite_NR</t>
  </si>
  <si>
    <t>Format_input_NR</t>
  </si>
  <si>
    <t>manual</t>
  </si>
  <si>
    <t>01.02.23</t>
  </si>
  <si>
    <t>SW Limitation  v20.00</t>
  </si>
  <si>
    <t>DL split %</t>
  </si>
  <si>
    <t>UL split %</t>
  </si>
  <si>
    <t xml:space="preserve">SSF split % </t>
  </si>
  <si>
    <t>Product Support</t>
  </si>
  <si>
    <t xml:space="preserve">Format 2 - DL 0% : UL  0% </t>
  </si>
  <si>
    <t>SW Limitation  v20.5/ / TDD Split  choose option/Product Support option</t>
  </si>
  <si>
    <t>DDDFUDDDFU</t>
  </si>
  <si>
    <t>DL  80% : UL 20% ('70/20/10' DL/UL/F %)</t>
  </si>
  <si>
    <t>DL  60% : UL 40% ('40/40/20' DL/UL/F %)</t>
  </si>
  <si>
    <t>DL  40% : UL 60% ('30/60/10' DL/UL/F %)</t>
  </si>
  <si>
    <t>DL  80% : UL 20% ('60/20/20' DL/UL/F %)</t>
  </si>
  <si>
    <t>20.02.23</t>
  </si>
  <si>
    <t>added ('60/20/20' DL/UL/F %) option changed ('40/40/20' DL/UL/F %) SSF to format2</t>
  </si>
  <si>
    <t>VRAN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</si>
</sst>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43" formatCode="_(* #,##0.00_);_(* \(#,##0.00\);_(* &quot;-&quot;??_);_(@_)"/>
    <numFmt numFmtId="164" formatCode="0.000"/>
    <numFmt numFmtId="165" formatCode="_(* #,##0_);_(* \(#,##0\);_(* &quot;-&quot;??_);_(@_)"/>
    <numFmt numFmtId="166" formatCode="0.0000"/>
    <numFmt numFmtId="167" formatCode="0.0%"/>
    <numFmt numFmtId="168" formatCode="0.0"/>
    <numFmt numFmtId="169" formatCode="0.000%"/>
    <numFmt numFmtId="170" formatCode="0.000000"/>
  </numFmts>
  <fonts count="50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9"/>
      <color rgb="FF000000"/>
      <name val="Arial"/>
      <family val="2"/>
    </font>
    <font>
      <sz val="10"/>
      <color theme="1"/>
      <name val="Times New Roman"/>
      <family val="1"/>
    </font>
    <font>
      <b/>
      <sz val="9"/>
      <color theme="1"/>
      <name val="Arial"/>
      <family val="2"/>
    </font>
    <font>
      <sz val="9"/>
      <color theme="1"/>
      <name val="Arial"/>
      <family val="2"/>
    </font>
    <font>
      <sz val="9"/>
      <color rgb="FF000000"/>
      <name val="Arial"/>
      <family val="2"/>
    </font>
    <font>
      <b/>
      <sz val="9"/>
      <color rgb="FF000000"/>
      <name val="Arial"/>
      <family val="2"/>
    </font>
    <font>
      <b/>
      <i/>
      <sz val="9"/>
      <color theme="1"/>
      <name val="Arial"/>
      <family val="2"/>
    </font>
    <font>
      <b/>
      <i/>
      <sz val="9"/>
      <color rgb="FF000000"/>
      <name val="Arial"/>
      <family val="2"/>
    </font>
    <font>
      <b/>
      <i/>
      <vertAlign val="subscript"/>
      <sz val="9"/>
      <color rgb="FF000000"/>
      <name val="Arial"/>
      <family val="2"/>
    </font>
    <font>
      <b/>
      <sz val="10"/>
      <color theme="1"/>
      <name val="Arial"/>
      <family val="2"/>
    </font>
    <font>
      <b/>
      <i/>
      <vertAlign val="subscript"/>
      <sz val="9"/>
      <color theme="1"/>
      <name val="Arial"/>
      <family val="2"/>
    </font>
    <font>
      <b/>
      <sz val="8"/>
      <color theme="1"/>
      <name val="Arial"/>
      <family val="2"/>
    </font>
    <font>
      <b/>
      <sz val="10"/>
      <color rgb="FF000000"/>
      <name val="Times New Roman"/>
      <family val="1"/>
    </font>
    <font>
      <sz val="10"/>
      <color rgb="FF000000"/>
      <name val="Times New Roman"/>
      <family val="1"/>
    </font>
    <font>
      <sz val="9"/>
      <color rgb="FF000000"/>
      <name val="Times New Roman"/>
      <family val="1"/>
    </font>
    <font>
      <strike/>
      <sz val="10"/>
      <color rgb="FF000000"/>
      <name val="Times New Roman"/>
      <family val="1"/>
    </font>
    <font>
      <b/>
      <vertAlign val="subscript"/>
      <sz val="9"/>
      <color theme="1"/>
      <name val="Arial"/>
      <family val="2"/>
    </font>
    <font>
      <b/>
      <i/>
      <sz val="10"/>
      <color theme="1"/>
      <name val="Arial"/>
      <family val="2"/>
    </font>
    <font>
      <b/>
      <vertAlign val="subscript"/>
      <sz val="10"/>
      <color theme="1"/>
      <name val="Arial"/>
      <family val="2"/>
    </font>
    <font>
      <sz val="8"/>
      <color theme="1"/>
      <name val="Arial"/>
      <family val="2"/>
    </font>
    <font>
      <sz val="12"/>
      <color theme="1"/>
      <name val="Calibri"/>
      <family val="2"/>
      <scheme val="minor"/>
    </font>
    <font>
      <sz val="12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z val="8"/>
      <color rgb="FFFF0000"/>
      <name val="Arial"/>
      <family val="2"/>
    </font>
    <font>
      <b/>
      <sz val="11"/>
      <color theme="1"/>
      <name val="Calibri"/>
      <family val="2"/>
      <scheme val="minor"/>
    </font>
    <font>
      <i/>
      <sz val="10"/>
      <color theme="1"/>
      <name val="Times New Roman"/>
      <family val="1"/>
    </font>
    <font>
      <sz val="10"/>
      <color theme="1"/>
      <name val="Arial"/>
      <family val="2"/>
    </font>
    <font>
      <sz val="10"/>
      <color rgb="FF0F3447"/>
      <name val="Avenir Book"/>
    </font>
    <font>
      <b/>
      <sz val="10"/>
      <color rgb="FF0F3447"/>
      <name val="Avenir Book"/>
    </font>
    <font>
      <b/>
      <sz val="11"/>
      <name val="Calibri"/>
      <family val="2"/>
      <scheme val="minor"/>
    </font>
    <font>
      <sz val="11"/>
      <color rgb="FF003399"/>
      <name val="Calibri"/>
      <family val="2"/>
      <scheme val="minor"/>
    </font>
    <font>
      <sz val="11"/>
      <color rgb="FF0000CC"/>
      <name val="Calibri"/>
      <family val="2"/>
      <scheme val="minor"/>
    </font>
    <font>
      <sz val="11"/>
      <color rgb="FF9C0006"/>
      <name val="Calibri"/>
      <family val="2"/>
      <scheme val="minor"/>
    </font>
    <font>
      <sz val="8"/>
      <color rgb="FF172B4D"/>
      <name val="Segoe UI"/>
      <family val="2"/>
    </font>
    <font>
      <sz val="16"/>
      <color theme="1"/>
      <name val="Cambria Math"/>
      <family val="1"/>
    </font>
    <font>
      <sz val="11"/>
      <color theme="1"/>
      <name val="Cambria Math"/>
      <family val="1"/>
    </font>
    <font>
      <sz val="11"/>
      <color rgb="FF000000"/>
      <name val="Calibri"/>
      <family val="2"/>
    </font>
    <font>
      <sz val="12"/>
      <color rgb="FF000000"/>
      <name val="Calibri"/>
      <family val="2"/>
    </font>
    <font>
      <sz val="12"/>
      <color rgb="FF1F497D"/>
      <name val="Calibri"/>
      <family val="2"/>
    </font>
    <font>
      <sz val="11"/>
      <color rgb="FF1F497D"/>
      <name val="Calibri"/>
      <family val="2"/>
    </font>
    <font>
      <sz val="11"/>
      <color rgb="FF1F497D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omic Sans MS"/>
      <family val="4"/>
    </font>
  </fonts>
  <fills count="26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F2F2F2"/>
      </patternFill>
    </fill>
    <fill>
      <patternFill patternType="solid">
        <fgColor rgb="FFE0E0E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FFC7CE"/>
      </patternFill>
    </fill>
    <fill>
      <patternFill patternType="solid">
        <fgColor theme="5" tint="0.39997558519241921"/>
        <bgColor indexed="65"/>
      </patternFill>
    </fill>
    <fill>
      <patternFill patternType="solid">
        <fgColor rgb="FFC000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6EFCE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5" tint="0.79998168889431442"/>
        <bgColor indexed="64"/>
      </patternFill>
    </fill>
  </fills>
  <borders count="6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double">
        <color indexed="64"/>
      </right>
      <top style="medium">
        <color indexed="64"/>
      </top>
      <bottom/>
      <diagonal/>
    </border>
    <border>
      <left style="medium">
        <color indexed="64"/>
      </left>
      <right style="double">
        <color indexed="64"/>
      </right>
      <top/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 style="double">
        <color indexed="64"/>
      </bottom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 style="medium">
        <color indexed="64"/>
      </left>
      <right style="double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 style="medium">
        <color indexed="64"/>
      </right>
      <top/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 style="medium">
        <color indexed="64"/>
      </bottom>
      <diagonal/>
    </border>
    <border>
      <left/>
      <right/>
      <top style="double">
        <color indexed="64"/>
      </top>
      <bottom style="medium">
        <color indexed="64"/>
      </bottom>
      <diagonal/>
    </border>
    <border>
      <left/>
      <right style="medium">
        <color indexed="64"/>
      </right>
      <top style="double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rgb="FF000000"/>
      </right>
      <top/>
      <bottom style="medium">
        <color indexed="64"/>
      </bottom>
      <diagonal/>
    </border>
    <border>
      <left style="medium">
        <color rgb="FF000000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indexed="64"/>
      </right>
      <top/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</borders>
  <cellStyleXfs count="10">
    <xf numFmtId="0" fontId="0" fillId="0" borderId="0"/>
    <xf numFmtId="9" fontId="1" fillId="0" borderId="0" applyFont="0" applyFill="0" applyBorder="0" applyAlignment="0" applyProtection="0"/>
    <xf numFmtId="0" fontId="2" fillId="2" borderId="0" applyNumberFormat="0" applyBorder="0" applyAlignment="0" applyProtection="0"/>
    <xf numFmtId="0" fontId="3" fillId="3" borderId="1" applyNumberFormat="0" applyAlignment="0" applyProtection="0"/>
    <xf numFmtId="43" fontId="1" fillId="0" borderId="0" applyFont="0" applyFill="0" applyBorder="0" applyAlignment="0" applyProtection="0"/>
    <xf numFmtId="0" fontId="37" fillId="15" borderId="0" applyNumberFormat="0" applyBorder="0" applyAlignment="0" applyProtection="0"/>
    <xf numFmtId="0" fontId="1" fillId="16" borderId="0" applyNumberFormat="0" applyBorder="0" applyAlignment="0" applyProtection="0"/>
    <xf numFmtId="0" fontId="46" fillId="19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</cellStyleXfs>
  <cellXfs count="320">
    <xf numFmtId="0" fontId="0" fillId="0" borderId="0" xfId="0"/>
    <xf numFmtId="0" fontId="0" fillId="0" borderId="2" xfId="0" applyBorder="1"/>
    <xf numFmtId="0" fontId="5" fillId="0" borderId="0" xfId="0" applyFont="1"/>
    <xf numFmtId="0" fontId="6" fillId="0" borderId="3" xfId="0" applyFont="1" applyBorder="1" applyAlignment="1">
      <alignment vertical="center" wrapText="1"/>
    </xf>
    <xf numFmtId="0" fontId="6" fillId="0" borderId="4" xfId="0" applyFont="1" applyBorder="1" applyAlignment="1">
      <alignment vertical="center" wrapText="1"/>
    </xf>
    <xf numFmtId="0" fontId="7" fillId="0" borderId="5" xfId="0" applyFont="1" applyBorder="1" applyAlignment="1">
      <alignment horizontal="center" vertical="center" wrapText="1"/>
    </xf>
    <xf numFmtId="0" fontId="7" fillId="0" borderId="6" xfId="0" applyFont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 readingOrder="1"/>
    </xf>
    <xf numFmtId="0" fontId="6" fillId="0" borderId="8" xfId="0" applyFont="1" applyBorder="1" applyAlignment="1">
      <alignment horizontal="center" wrapText="1"/>
    </xf>
    <xf numFmtId="0" fontId="0" fillId="0" borderId="9" xfId="0" applyBorder="1"/>
    <xf numFmtId="0" fontId="0" fillId="0" borderId="10" xfId="0" applyBorder="1" applyAlignment="1">
      <alignment wrapText="1"/>
    </xf>
    <xf numFmtId="0" fontId="4" fillId="0" borderId="11" xfId="0" applyFont="1" applyBorder="1" applyAlignment="1">
      <alignment horizontal="center" vertical="center" wrapText="1" readingOrder="1"/>
    </xf>
    <xf numFmtId="0" fontId="4" fillId="0" borderId="12" xfId="0" applyFont="1" applyBorder="1" applyAlignment="1">
      <alignment horizontal="left" vertical="center" wrapText="1" readingOrder="1"/>
    </xf>
    <xf numFmtId="0" fontId="4" fillId="0" borderId="13" xfId="0" applyFont="1" applyBorder="1" applyAlignment="1">
      <alignment horizontal="center" vertical="center" wrapText="1" readingOrder="1"/>
    </xf>
    <xf numFmtId="0" fontId="4" fillId="0" borderId="14" xfId="0" applyFont="1" applyBorder="1" applyAlignment="1">
      <alignment horizontal="center" vertical="center" wrapText="1" readingOrder="1"/>
    </xf>
    <xf numFmtId="0" fontId="4" fillId="0" borderId="15" xfId="0" applyFont="1" applyBorder="1" applyAlignment="1">
      <alignment horizontal="left" vertical="center" wrapText="1" readingOrder="1"/>
    </xf>
    <xf numFmtId="0" fontId="6" fillId="0" borderId="6" xfId="0" applyFont="1" applyBorder="1" applyAlignment="1">
      <alignment horizontal="center" vertical="center" wrapText="1"/>
    </xf>
    <xf numFmtId="0" fontId="7" fillId="0" borderId="18" xfId="0" applyFont="1" applyBorder="1" applyAlignment="1">
      <alignment horizontal="center" vertical="center" wrapText="1"/>
    </xf>
    <xf numFmtId="0" fontId="6" fillId="0" borderId="18" xfId="0" applyFont="1" applyBorder="1" applyAlignment="1">
      <alignment horizontal="center" vertical="center" wrapText="1"/>
    </xf>
    <xf numFmtId="0" fontId="8" fillId="0" borderId="12" xfId="0" applyFont="1" applyBorder="1" applyAlignment="1">
      <alignment horizontal="left" vertical="center" wrapText="1" readingOrder="1"/>
    </xf>
    <xf numFmtId="0" fontId="4" fillId="0" borderId="22" xfId="0" applyFont="1" applyBorder="1" applyAlignment="1">
      <alignment horizontal="center" vertical="center" wrapText="1" readingOrder="1"/>
    </xf>
    <xf numFmtId="0" fontId="4" fillId="0" borderId="24" xfId="0" applyFont="1" applyBorder="1" applyAlignment="1">
      <alignment horizontal="center" vertical="center" wrapText="1" readingOrder="1"/>
    </xf>
    <xf numFmtId="0" fontId="8" fillId="0" borderId="23" xfId="0" applyFont="1" applyBorder="1" applyAlignment="1">
      <alignment horizontal="left" vertical="center" wrapText="1" readingOrder="1"/>
    </xf>
    <xf numFmtId="0" fontId="9" fillId="4" borderId="25" xfId="0" applyFont="1" applyFill="1" applyBorder="1" applyAlignment="1">
      <alignment horizontal="center" vertical="center" wrapText="1"/>
    </xf>
    <xf numFmtId="0" fontId="11" fillId="4" borderId="26" xfId="0" applyFont="1" applyFill="1" applyBorder="1" applyAlignment="1">
      <alignment horizontal="center" vertical="center" wrapText="1"/>
    </xf>
    <xf numFmtId="0" fontId="9" fillId="4" borderId="17" xfId="0" applyFont="1" applyFill="1" applyBorder="1" applyAlignment="1">
      <alignment horizontal="center" vertical="center" wrapText="1"/>
    </xf>
    <xf numFmtId="0" fontId="11" fillId="4" borderId="28" xfId="0" applyFont="1" applyFill="1" applyBorder="1" applyAlignment="1">
      <alignment horizontal="center" vertical="center" wrapText="1"/>
    </xf>
    <xf numFmtId="0" fontId="9" fillId="4" borderId="28" xfId="0" applyFont="1" applyFill="1" applyBorder="1" applyAlignment="1">
      <alignment horizontal="center" vertical="center" wrapText="1"/>
    </xf>
    <xf numFmtId="0" fontId="9" fillId="0" borderId="29" xfId="0" applyFont="1" applyBorder="1" applyAlignment="1">
      <alignment horizontal="center" vertical="center" wrapText="1"/>
    </xf>
    <xf numFmtId="0" fontId="8" fillId="0" borderId="6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13" fillId="0" borderId="18" xfId="0" applyFont="1" applyBorder="1" applyAlignment="1">
      <alignment vertical="center"/>
    </xf>
    <xf numFmtId="0" fontId="6" fillId="4" borderId="25" xfId="0" applyFont="1" applyFill="1" applyBorder="1" applyAlignment="1">
      <alignment horizontal="center" vertical="center" wrapText="1"/>
    </xf>
    <xf numFmtId="0" fontId="10" fillId="4" borderId="26" xfId="0" applyFont="1" applyFill="1" applyBorder="1" applyAlignment="1">
      <alignment horizontal="center" vertical="center" wrapText="1"/>
    </xf>
    <xf numFmtId="0" fontId="6" fillId="4" borderId="17" xfId="0" applyFont="1" applyFill="1" applyBorder="1" applyAlignment="1">
      <alignment horizontal="center" vertical="center" wrapText="1"/>
    </xf>
    <xf numFmtId="0" fontId="10" fillId="4" borderId="28" xfId="0" applyFont="1" applyFill="1" applyBorder="1" applyAlignment="1">
      <alignment horizontal="center" vertical="center" wrapText="1"/>
    </xf>
    <xf numFmtId="0" fontId="6" fillId="4" borderId="28" xfId="0" applyFont="1" applyFill="1" applyBorder="1" applyAlignment="1">
      <alignment horizontal="center" vertical="center" wrapText="1"/>
    </xf>
    <xf numFmtId="0" fontId="9" fillId="4" borderId="30" xfId="0" applyFont="1" applyFill="1" applyBorder="1" applyAlignment="1">
      <alignment horizontal="center" vertical="center" wrapText="1"/>
    </xf>
    <xf numFmtId="0" fontId="9" fillId="4" borderId="27" xfId="0" applyFont="1" applyFill="1" applyBorder="1" applyAlignment="1">
      <alignment horizontal="center" vertical="center" wrapText="1"/>
    </xf>
    <xf numFmtId="0" fontId="8" fillId="0" borderId="5" xfId="0" applyFont="1" applyBorder="1" applyAlignment="1">
      <alignment horizontal="center" vertical="center" wrapText="1"/>
    </xf>
    <xf numFmtId="0" fontId="8" fillId="0" borderId="31" xfId="0" applyFont="1" applyBorder="1" applyAlignment="1">
      <alignment horizontal="center" vertical="center" wrapText="1"/>
    </xf>
    <xf numFmtId="0" fontId="8" fillId="0" borderId="28" xfId="0" applyFont="1" applyBorder="1" applyAlignment="1">
      <alignment horizontal="center" vertical="center" wrapText="1"/>
    </xf>
    <xf numFmtId="0" fontId="6" fillId="0" borderId="18" xfId="0" applyFont="1" applyBorder="1" applyAlignment="1">
      <alignment vertical="center"/>
    </xf>
    <xf numFmtId="0" fontId="15" fillId="0" borderId="18" xfId="0" applyFont="1" applyBorder="1" applyAlignment="1">
      <alignment vertical="center"/>
    </xf>
    <xf numFmtId="0" fontId="16" fillId="4" borderId="30" xfId="0" applyFont="1" applyFill="1" applyBorder="1" applyAlignment="1">
      <alignment horizontal="center" vertical="center" wrapText="1"/>
    </xf>
    <xf numFmtId="0" fontId="16" fillId="4" borderId="27" xfId="0" applyFont="1" applyFill="1" applyBorder="1" applyAlignment="1">
      <alignment horizontal="center" vertical="center" wrapText="1"/>
    </xf>
    <xf numFmtId="0" fontId="17" fillId="0" borderId="5" xfId="0" applyFont="1" applyBorder="1" applyAlignment="1">
      <alignment horizontal="center" vertical="center" wrapText="1"/>
    </xf>
    <xf numFmtId="0" fontId="18" fillId="0" borderId="5" xfId="0" applyFont="1" applyBorder="1" applyAlignment="1">
      <alignment horizontal="center" vertical="center" wrapText="1"/>
    </xf>
    <xf numFmtId="0" fontId="18" fillId="0" borderId="6" xfId="0" applyFont="1" applyBorder="1" applyAlignment="1">
      <alignment horizontal="center" vertical="center" wrapText="1"/>
    </xf>
    <xf numFmtId="0" fontId="18" fillId="0" borderId="31" xfId="0" applyFont="1" applyBorder="1" applyAlignment="1">
      <alignment horizontal="center" vertical="center" wrapText="1"/>
    </xf>
    <xf numFmtId="0" fontId="18" fillId="0" borderId="28" xfId="0" applyFont="1" applyBorder="1" applyAlignment="1">
      <alignment horizontal="center" vertical="center" wrapText="1"/>
    </xf>
    <xf numFmtId="0" fontId="17" fillId="0" borderId="6" xfId="0" applyFont="1" applyBorder="1" applyAlignment="1">
      <alignment horizontal="center" vertical="center" wrapText="1"/>
    </xf>
    <xf numFmtId="0" fontId="16" fillId="0" borderId="29" xfId="0" applyFont="1" applyBorder="1" applyAlignment="1">
      <alignment horizontal="center" vertical="center" wrapText="1"/>
    </xf>
    <xf numFmtId="0" fontId="19" fillId="0" borderId="6" xfId="0" applyFont="1" applyBorder="1" applyAlignment="1">
      <alignment horizontal="center" vertical="center" wrapText="1"/>
    </xf>
    <xf numFmtId="0" fontId="15" fillId="0" borderId="0" xfId="0" applyFont="1" applyAlignment="1">
      <alignment vertical="center"/>
    </xf>
    <xf numFmtId="0" fontId="6" fillId="0" borderId="4" xfId="0" applyFont="1" applyBorder="1" applyAlignment="1">
      <alignment horizontal="center" vertical="center" wrapText="1"/>
    </xf>
    <xf numFmtId="0" fontId="6" fillId="0" borderId="17" xfId="0" applyFont="1" applyBorder="1" applyAlignment="1">
      <alignment horizontal="center" vertical="center" wrapText="1"/>
    </xf>
    <xf numFmtId="0" fontId="6" fillId="0" borderId="36" xfId="0" applyFont="1" applyBorder="1" applyAlignment="1">
      <alignment horizontal="center" vertical="center" wrapText="1"/>
    </xf>
    <xf numFmtId="0" fontId="15" fillId="0" borderId="37" xfId="0" applyFont="1" applyBorder="1" applyAlignment="1">
      <alignment horizontal="center" vertical="center" wrapText="1"/>
    </xf>
    <xf numFmtId="0" fontId="15" fillId="0" borderId="41" xfId="0" applyFont="1" applyBorder="1" applyAlignment="1">
      <alignment horizontal="center" vertical="center" wrapText="1"/>
    </xf>
    <xf numFmtId="0" fontId="15" fillId="0" borderId="42" xfId="0" applyFont="1" applyBorder="1" applyAlignment="1">
      <alignment horizontal="center" vertical="center" wrapText="1"/>
    </xf>
    <xf numFmtId="0" fontId="6" fillId="0" borderId="42" xfId="0" applyFont="1" applyBorder="1" applyAlignment="1">
      <alignment horizontal="center" vertical="center" wrapText="1"/>
    </xf>
    <xf numFmtId="0" fontId="7" fillId="0" borderId="39" xfId="0" applyFont="1" applyBorder="1" applyAlignment="1">
      <alignment horizontal="center" vertical="center" wrapText="1"/>
    </xf>
    <xf numFmtId="0" fontId="7" fillId="0" borderId="42" xfId="0" applyFont="1" applyBorder="1" applyAlignment="1">
      <alignment horizontal="center" vertical="center" wrapText="1"/>
    </xf>
    <xf numFmtId="0" fontId="13" fillId="0" borderId="43" xfId="0" applyFont="1" applyBorder="1" applyAlignment="1">
      <alignment vertical="center"/>
    </xf>
    <xf numFmtId="0" fontId="6" fillId="0" borderId="40" xfId="0" applyFont="1" applyBorder="1" applyAlignment="1">
      <alignment horizontal="center" vertical="center" wrapText="1"/>
    </xf>
    <xf numFmtId="0" fontId="13" fillId="0" borderId="44" xfId="0" applyFont="1" applyBorder="1" applyAlignment="1">
      <alignment vertical="center"/>
    </xf>
    <xf numFmtId="0" fontId="0" fillId="0" borderId="4" xfId="0" applyBorder="1"/>
    <xf numFmtId="0" fontId="23" fillId="0" borderId="18" xfId="0" applyFont="1" applyBorder="1" applyAlignment="1">
      <alignment vertical="center"/>
    </xf>
    <xf numFmtId="0" fontId="5" fillId="0" borderId="45" xfId="0" applyFont="1" applyBorder="1"/>
    <xf numFmtId="0" fontId="0" fillId="0" borderId="20" xfId="0" applyBorder="1"/>
    <xf numFmtId="0" fontId="15" fillId="0" borderId="51" xfId="0" applyFont="1" applyBorder="1" applyAlignment="1">
      <alignment horizontal="center" vertical="center" wrapText="1"/>
    </xf>
    <xf numFmtId="0" fontId="15" fillId="0" borderId="43" xfId="0" applyFont="1" applyBorder="1" applyAlignment="1">
      <alignment horizontal="center" vertical="center" wrapText="1"/>
    </xf>
    <xf numFmtId="0" fontId="6" fillId="0" borderId="43" xfId="0" applyFont="1" applyBorder="1" applyAlignment="1">
      <alignment horizontal="center" vertical="center" wrapText="1"/>
    </xf>
    <xf numFmtId="0" fontId="7" fillId="0" borderId="43" xfId="0" applyFont="1" applyBorder="1" applyAlignment="1">
      <alignment horizontal="center" vertical="center" wrapText="1"/>
    </xf>
    <xf numFmtId="0" fontId="6" fillId="0" borderId="44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left"/>
    </xf>
    <xf numFmtId="1" fontId="24" fillId="5" borderId="10" xfId="3" applyNumberFormat="1" applyFont="1" applyFill="1" applyBorder="1" applyAlignment="1">
      <alignment horizontal="center"/>
    </xf>
    <xf numFmtId="0" fontId="0" fillId="6" borderId="2" xfId="0" applyFill="1" applyBorder="1" applyAlignment="1">
      <alignment horizontal="center" vertical="center"/>
    </xf>
    <xf numFmtId="0" fontId="0" fillId="6" borderId="50" xfId="0" applyFill="1" applyBorder="1" applyAlignment="1">
      <alignment horizontal="center" vertical="center"/>
    </xf>
    <xf numFmtId="2" fontId="8" fillId="0" borderId="6" xfId="0" applyNumberFormat="1" applyFont="1" applyBorder="1" applyAlignment="1">
      <alignment horizontal="center" vertical="center" wrapText="1"/>
    </xf>
    <xf numFmtId="1" fontId="24" fillId="5" borderId="50" xfId="3" applyNumberFormat="1" applyFont="1" applyFill="1" applyBorder="1" applyAlignment="1">
      <alignment horizontal="center"/>
    </xf>
    <xf numFmtId="1" fontId="24" fillId="5" borderId="3" xfId="3" applyNumberFormat="1" applyFont="1" applyFill="1" applyBorder="1" applyAlignment="1">
      <alignment horizontal="center"/>
    </xf>
    <xf numFmtId="0" fontId="27" fillId="7" borderId="0" xfId="0" applyFont="1" applyFill="1" applyProtection="1">
      <protection locked="0"/>
    </xf>
    <xf numFmtId="164" fontId="27" fillId="7" borderId="0" xfId="0" applyNumberFormat="1" applyFont="1" applyFill="1" applyProtection="1">
      <protection locked="0"/>
    </xf>
    <xf numFmtId="0" fontId="26" fillId="7" borderId="0" xfId="0" applyFont="1" applyFill="1"/>
    <xf numFmtId="0" fontId="27" fillId="7" borderId="0" xfId="0" applyFont="1" applyFill="1" applyAlignment="1" applyProtection="1">
      <alignment horizontal="center"/>
      <protection locked="0"/>
    </xf>
    <xf numFmtId="0" fontId="28" fillId="7" borderId="18" xfId="0" applyFont="1" applyFill="1" applyBorder="1" applyAlignment="1">
      <alignment vertical="center"/>
    </xf>
    <xf numFmtId="0" fontId="0" fillId="7" borderId="0" xfId="0" applyFill="1"/>
    <xf numFmtId="0" fontId="5" fillId="7" borderId="0" xfId="0" applyFont="1" applyFill="1"/>
    <xf numFmtId="0" fontId="15" fillId="7" borderId="18" xfId="0" applyFont="1" applyFill="1" applyBorder="1" applyAlignment="1">
      <alignment vertical="center"/>
    </xf>
    <xf numFmtId="0" fontId="5" fillId="0" borderId="0" xfId="0" applyFont="1" applyAlignment="1">
      <alignment horizontal="left" vertical="center" indent="3"/>
    </xf>
    <xf numFmtId="0" fontId="6" fillId="0" borderId="16" xfId="0" applyFont="1" applyBorder="1" applyAlignment="1">
      <alignment horizontal="center" vertical="center" wrapText="1"/>
    </xf>
    <xf numFmtId="0" fontId="6" fillId="0" borderId="35" xfId="0" applyFont="1" applyBorder="1" applyAlignment="1">
      <alignment horizontal="center" vertical="center" wrapText="1"/>
    </xf>
    <xf numFmtId="9" fontId="0" fillId="0" borderId="0" xfId="1" applyFont="1" applyBorder="1" applyAlignment="1">
      <alignment horizontal="center"/>
    </xf>
    <xf numFmtId="0" fontId="0" fillId="8" borderId="2" xfId="0" applyFill="1" applyBorder="1"/>
    <xf numFmtId="0" fontId="0" fillId="8" borderId="0" xfId="0" applyFill="1"/>
    <xf numFmtId="0" fontId="4" fillId="8" borderId="12" xfId="0" applyFont="1" applyFill="1" applyBorder="1" applyAlignment="1">
      <alignment horizontal="left" vertical="center" wrapText="1" readingOrder="1"/>
    </xf>
    <xf numFmtId="0" fontId="8" fillId="8" borderId="23" xfId="0" applyFont="1" applyFill="1" applyBorder="1" applyAlignment="1">
      <alignment horizontal="left" vertical="center" wrapText="1" readingOrder="1"/>
    </xf>
    <xf numFmtId="0" fontId="4" fillId="8" borderId="11" xfId="0" applyFont="1" applyFill="1" applyBorder="1" applyAlignment="1">
      <alignment horizontal="center" vertical="center" wrapText="1" readingOrder="1"/>
    </xf>
    <xf numFmtId="0" fontId="4" fillId="8" borderId="13" xfId="0" applyFont="1" applyFill="1" applyBorder="1" applyAlignment="1">
      <alignment horizontal="center" vertical="center" wrapText="1" readingOrder="1"/>
    </xf>
    <xf numFmtId="0" fontId="8" fillId="8" borderId="52" xfId="0" applyFont="1" applyFill="1" applyBorder="1" applyAlignment="1">
      <alignment horizontal="center" vertical="center" wrapText="1" readingOrder="1"/>
    </xf>
    <xf numFmtId="0" fontId="7" fillId="8" borderId="2" xfId="0" applyFont="1" applyFill="1" applyBorder="1" applyAlignment="1">
      <alignment horizontal="center" vertical="center" wrapText="1"/>
    </xf>
    <xf numFmtId="0" fontId="0" fillId="8" borderId="13" xfId="0" applyFill="1" applyBorder="1"/>
    <xf numFmtId="0" fontId="0" fillId="8" borderId="15" xfId="0" applyFill="1" applyBorder="1"/>
    <xf numFmtId="0" fontId="7" fillId="8" borderId="48" xfId="0" applyFont="1" applyFill="1" applyBorder="1" applyAlignment="1">
      <alignment horizontal="center" vertical="center" wrapText="1"/>
    </xf>
    <xf numFmtId="0" fontId="7" fillId="8" borderId="49" xfId="0" applyFont="1" applyFill="1" applyBorder="1" applyAlignment="1">
      <alignment horizontal="center" vertical="center" wrapText="1"/>
    </xf>
    <xf numFmtId="0" fontId="7" fillId="8" borderId="46" xfId="0" applyFont="1" applyFill="1" applyBorder="1" applyAlignment="1">
      <alignment horizontal="center" vertical="center" wrapText="1"/>
    </xf>
    <xf numFmtId="0" fontId="7" fillId="8" borderId="47" xfId="0" applyFont="1" applyFill="1" applyBorder="1" applyAlignment="1">
      <alignment horizontal="center" vertical="center" wrapText="1"/>
    </xf>
    <xf numFmtId="0" fontId="7" fillId="8" borderId="39" xfId="0" applyFont="1" applyFill="1" applyBorder="1" applyAlignment="1">
      <alignment horizontal="center" vertical="center" wrapText="1"/>
    </xf>
    <xf numFmtId="0" fontId="4" fillId="8" borderId="3" xfId="0" applyFont="1" applyFill="1" applyBorder="1" applyAlignment="1">
      <alignment horizontal="center" vertical="center" wrapText="1" readingOrder="1"/>
    </xf>
    <xf numFmtId="0" fontId="6" fillId="8" borderId="2" xfId="0" applyFont="1" applyFill="1" applyBorder="1" applyAlignment="1">
      <alignment horizontal="center" vertical="center" wrapText="1"/>
    </xf>
    <xf numFmtId="0" fontId="0" fillId="8" borderId="2" xfId="0" applyFill="1" applyBorder="1" applyAlignment="1">
      <alignment horizontal="center" vertical="center"/>
    </xf>
    <xf numFmtId="9" fontId="0" fillId="8" borderId="0" xfId="1" applyFont="1" applyFill="1" applyBorder="1"/>
    <xf numFmtId="0" fontId="0" fillId="0" borderId="19" xfId="0" applyBorder="1"/>
    <xf numFmtId="0" fontId="0" fillId="8" borderId="9" xfId="0" applyFill="1" applyBorder="1"/>
    <xf numFmtId="0" fontId="0" fillId="0" borderId="53" xfId="0" applyBorder="1"/>
    <xf numFmtId="0" fontId="6" fillId="0" borderId="16" xfId="0" applyFont="1" applyBorder="1" applyAlignment="1">
      <alignment vertical="center" wrapText="1"/>
    </xf>
    <xf numFmtId="0" fontId="6" fillId="0" borderId="5" xfId="0" applyFont="1" applyBorder="1" applyAlignment="1">
      <alignment vertical="center" wrapText="1"/>
    </xf>
    <xf numFmtId="0" fontId="6" fillId="0" borderId="17" xfId="0" applyFont="1" applyBorder="1" applyAlignment="1">
      <alignment vertical="center" wrapText="1"/>
    </xf>
    <xf numFmtId="0" fontId="6" fillId="0" borderId="6" xfId="0" applyFont="1" applyBorder="1" applyAlignment="1">
      <alignment vertical="center" wrapText="1"/>
    </xf>
    <xf numFmtId="0" fontId="7" fillId="8" borderId="2" xfId="0" applyFont="1" applyFill="1" applyBorder="1" applyAlignment="1">
      <alignment vertical="center" wrapText="1"/>
    </xf>
    <xf numFmtId="0" fontId="0" fillId="6" borderId="0" xfId="0" applyFill="1"/>
    <xf numFmtId="0" fontId="6" fillId="0" borderId="19" xfId="0" applyFont="1" applyBorder="1" applyAlignment="1">
      <alignment vertical="center" wrapText="1"/>
    </xf>
    <xf numFmtId="0" fontId="6" fillId="0" borderId="54" xfId="0" applyFont="1" applyBorder="1" applyAlignment="1">
      <alignment vertical="center" wrapText="1"/>
    </xf>
    <xf numFmtId="0" fontId="6" fillId="0" borderId="2" xfId="0" applyFont="1" applyBorder="1" applyAlignment="1">
      <alignment horizontal="center" vertical="center" wrapText="1"/>
    </xf>
    <xf numFmtId="0" fontId="6" fillId="0" borderId="2" xfId="0" applyFont="1" applyBorder="1" applyAlignment="1">
      <alignment vertical="center" wrapText="1"/>
    </xf>
    <xf numFmtId="0" fontId="6" fillId="0" borderId="0" xfId="0" applyFont="1" applyAlignment="1">
      <alignment horizontal="center" vertical="center" wrapText="1"/>
    </xf>
    <xf numFmtId="0" fontId="0" fillId="9" borderId="2" xfId="0" applyFill="1" applyBorder="1"/>
    <xf numFmtId="0" fontId="5" fillId="0" borderId="0" xfId="0" applyFont="1" applyAlignment="1">
      <alignment horizontal="left" vertical="center" indent="10"/>
    </xf>
    <xf numFmtId="0" fontId="6" fillId="0" borderId="0" xfId="0" applyFont="1"/>
    <xf numFmtId="0" fontId="0" fillId="6" borderId="2" xfId="0" applyFill="1" applyBorder="1"/>
    <xf numFmtId="0" fontId="24" fillId="0" borderId="8" xfId="0" applyFont="1" applyBorder="1" applyAlignment="1">
      <alignment horizontal="left"/>
    </xf>
    <xf numFmtId="0" fontId="25" fillId="2" borderId="10" xfId="2" applyFont="1" applyBorder="1" applyAlignment="1" applyProtection="1">
      <alignment horizontal="center" vertical="center"/>
      <protection locked="0"/>
    </xf>
    <xf numFmtId="0" fontId="24" fillId="0" borderId="13" xfId="0" applyFont="1" applyBorder="1" applyAlignment="1">
      <alignment horizontal="left"/>
    </xf>
    <xf numFmtId="0" fontId="7" fillId="8" borderId="5" xfId="0" applyFont="1" applyFill="1" applyBorder="1" applyAlignment="1">
      <alignment horizontal="center" vertical="center" wrapText="1"/>
    </xf>
    <xf numFmtId="0" fontId="7" fillId="8" borderId="0" xfId="0" applyFont="1" applyFill="1" applyAlignment="1">
      <alignment horizontal="center" vertical="center" wrapText="1"/>
    </xf>
    <xf numFmtId="0" fontId="7" fillId="8" borderId="3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left"/>
    </xf>
    <xf numFmtId="0" fontId="25" fillId="2" borderId="15" xfId="2" applyFont="1" applyBorder="1" applyAlignment="1" applyProtection="1">
      <alignment horizontal="center" vertical="center"/>
      <protection locked="0"/>
    </xf>
    <xf numFmtId="9" fontId="0" fillId="8" borderId="2" xfId="1" applyFont="1" applyFill="1" applyBorder="1"/>
    <xf numFmtId="165" fontId="0" fillId="8" borderId="0" xfId="4" applyNumberFormat="1" applyFont="1" applyFill="1" applyBorder="1"/>
    <xf numFmtId="9" fontId="25" fillId="2" borderId="12" xfId="1" applyFont="1" applyFill="1" applyBorder="1" applyAlignment="1" applyProtection="1">
      <alignment horizontal="center" vertical="center"/>
      <protection locked="0"/>
    </xf>
    <xf numFmtId="10" fontId="0" fillId="6" borderId="50" xfId="1" applyNumberFormat="1" applyFont="1" applyFill="1" applyBorder="1" applyAlignment="1">
      <alignment horizontal="center" vertical="center"/>
    </xf>
    <xf numFmtId="0" fontId="29" fillId="0" borderId="0" xfId="0" applyFont="1"/>
    <xf numFmtId="10" fontId="0" fillId="0" borderId="0" xfId="0" applyNumberFormat="1"/>
    <xf numFmtId="166" fontId="0" fillId="0" borderId="0" xfId="0" applyNumberFormat="1"/>
    <xf numFmtId="9" fontId="0" fillId="0" borderId="0" xfId="1" applyFont="1"/>
    <xf numFmtId="167" fontId="0" fillId="6" borderId="50" xfId="1" applyNumberFormat="1" applyFont="1" applyFill="1" applyBorder="1" applyAlignment="1">
      <alignment horizontal="center" vertical="center"/>
    </xf>
    <xf numFmtId="9" fontId="24" fillId="0" borderId="11" xfId="0" applyNumberFormat="1" applyFont="1" applyBorder="1" applyAlignment="1">
      <alignment horizontal="left"/>
    </xf>
    <xf numFmtId="9" fontId="0" fillId="6" borderId="50" xfId="1" applyFont="1" applyFill="1" applyBorder="1" applyAlignment="1">
      <alignment horizontal="center" vertical="center"/>
    </xf>
    <xf numFmtId="0" fontId="27" fillId="7" borderId="0" xfId="0" applyFont="1" applyFill="1" applyAlignment="1" applyProtection="1">
      <alignment horizontal="left"/>
      <protection locked="0"/>
    </xf>
    <xf numFmtId="0" fontId="25" fillId="2" borderId="12" xfId="2" applyFont="1" applyBorder="1" applyAlignment="1" applyProtection="1">
      <alignment horizontal="center" vertical="center"/>
      <protection locked="0"/>
    </xf>
    <xf numFmtId="0" fontId="24" fillId="0" borderId="55" xfId="0" applyFont="1" applyBorder="1" applyAlignment="1">
      <alignment horizontal="left"/>
    </xf>
    <xf numFmtId="0" fontId="24" fillId="0" borderId="56" xfId="0" applyFont="1" applyBorder="1" applyAlignment="1">
      <alignment horizontal="left"/>
    </xf>
    <xf numFmtId="0" fontId="0" fillId="11" borderId="2" xfId="0" applyFill="1" applyBorder="1" applyAlignment="1">
      <alignment horizontal="center"/>
    </xf>
    <xf numFmtId="0" fontId="0" fillId="11" borderId="2" xfId="0" applyFill="1" applyBorder="1"/>
    <xf numFmtId="168" fontId="0" fillId="0" borderId="0" xfId="0" applyNumberFormat="1"/>
    <xf numFmtId="1" fontId="0" fillId="0" borderId="0" xfId="0" applyNumberFormat="1"/>
    <xf numFmtId="0" fontId="15" fillId="0" borderId="0" xfId="0" applyFont="1" applyAlignment="1">
      <alignment horizontal="center" vertical="center" wrapText="1"/>
    </xf>
    <xf numFmtId="0" fontId="0" fillId="0" borderId="57" xfId="0" applyBorder="1"/>
    <xf numFmtId="0" fontId="0" fillId="5" borderId="2" xfId="0" applyFill="1" applyBorder="1"/>
    <xf numFmtId="0" fontId="0" fillId="0" borderId="2" xfId="0" applyBorder="1" applyAlignment="1">
      <alignment wrapText="1"/>
    </xf>
    <xf numFmtId="165" fontId="26" fillId="7" borderId="0" xfId="4" applyNumberFormat="1" applyFont="1" applyFill="1"/>
    <xf numFmtId="0" fontId="13" fillId="0" borderId="0" xfId="0" applyFont="1" applyAlignment="1">
      <alignment horizontal="center" vertical="center"/>
    </xf>
    <xf numFmtId="0" fontId="4" fillId="0" borderId="6" xfId="0" applyFont="1" applyBorder="1" applyAlignment="1">
      <alignment horizontal="center" vertical="center" wrapText="1"/>
    </xf>
    <xf numFmtId="0" fontId="17" fillId="0" borderId="0" xfId="0" applyFont="1"/>
    <xf numFmtId="164" fontId="8" fillId="0" borderId="6" xfId="0" applyNumberFormat="1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9" fillId="7" borderId="29" xfId="0" applyFont="1" applyFill="1" applyBorder="1" applyAlignment="1">
      <alignment horizontal="center" vertical="center" wrapText="1"/>
    </xf>
    <xf numFmtId="2" fontId="8" fillId="7" borderId="6" xfId="0" applyNumberFormat="1" applyFont="1" applyFill="1" applyBorder="1" applyAlignment="1">
      <alignment horizontal="center" vertical="center" wrapText="1"/>
    </xf>
    <xf numFmtId="0" fontId="9" fillId="4" borderId="16" xfId="0" applyFont="1" applyFill="1" applyBorder="1" applyAlignment="1">
      <alignment horizontal="center" vertical="center" wrapText="1"/>
    </xf>
    <xf numFmtId="0" fontId="9" fillId="4" borderId="31" xfId="0" applyFont="1" applyFill="1" applyBorder="1" applyAlignment="1">
      <alignment horizontal="center" vertical="center" wrapText="1"/>
    </xf>
    <xf numFmtId="0" fontId="4" fillId="0" borderId="20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30" fillId="0" borderId="6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17" fillId="0" borderId="0" xfId="0" applyFont="1" applyAlignment="1">
      <alignment horizontal="center" vertical="center" wrapText="1"/>
    </xf>
    <xf numFmtId="0" fontId="31" fillId="0" borderId="0" xfId="0" applyFont="1" applyAlignment="1">
      <alignment horizontal="left" vertical="center" indent="10" readingOrder="1"/>
    </xf>
    <xf numFmtId="0" fontId="32" fillId="0" borderId="0" xfId="0" applyFont="1" applyAlignment="1">
      <alignment horizontal="left" vertical="center" indent="10" readingOrder="1"/>
    </xf>
    <xf numFmtId="0" fontId="17" fillId="11" borderId="0" xfId="0" applyFont="1" applyFill="1" applyAlignment="1">
      <alignment horizontal="center" vertical="center" wrapText="1"/>
    </xf>
    <xf numFmtId="0" fontId="0" fillId="11" borderId="0" xfId="0" applyFill="1"/>
    <xf numFmtId="0" fontId="34" fillId="7" borderId="0" xfId="0" applyFont="1" applyFill="1"/>
    <xf numFmtId="168" fontId="0" fillId="7" borderId="0" xfId="0" applyNumberFormat="1" applyFill="1" applyAlignment="1">
      <alignment horizontal="left"/>
    </xf>
    <xf numFmtId="14" fontId="0" fillId="7" borderId="0" xfId="0" applyNumberFormat="1" applyFill="1"/>
    <xf numFmtId="0" fontId="36" fillId="7" borderId="0" xfId="0" applyFont="1" applyFill="1" applyAlignment="1">
      <alignment horizontal="center"/>
    </xf>
    <xf numFmtId="0" fontId="7" fillId="0" borderId="0" xfId="0" applyFont="1" applyAlignment="1">
      <alignment horizontal="center" vertical="center" wrapText="1"/>
    </xf>
    <xf numFmtId="10" fontId="0" fillId="0" borderId="0" xfId="1" applyNumberFormat="1" applyFont="1"/>
    <xf numFmtId="169" fontId="0" fillId="0" borderId="0" xfId="1" applyNumberFormat="1" applyFont="1"/>
    <xf numFmtId="10" fontId="26" fillId="7" borderId="0" xfId="0" applyNumberFormat="1" applyFont="1" applyFill="1"/>
    <xf numFmtId="9" fontId="27" fillId="7" borderId="0" xfId="0" applyNumberFormat="1" applyFont="1" applyFill="1" applyProtection="1">
      <protection locked="0"/>
    </xf>
    <xf numFmtId="9" fontId="24" fillId="10" borderId="10" xfId="1" applyFont="1" applyFill="1" applyBorder="1" applyAlignment="1">
      <alignment horizontal="center"/>
    </xf>
    <xf numFmtId="0" fontId="6" fillId="0" borderId="21" xfId="0" applyFont="1" applyBorder="1" applyAlignment="1">
      <alignment vertical="center" wrapText="1"/>
    </xf>
    <xf numFmtId="0" fontId="0" fillId="0" borderId="16" xfId="0" applyBorder="1"/>
    <xf numFmtId="0" fontId="0" fillId="0" borderId="35" xfId="0" applyBorder="1"/>
    <xf numFmtId="0" fontId="0" fillId="0" borderId="5" xfId="0" applyBorder="1"/>
    <xf numFmtId="0" fontId="0" fillId="13" borderId="2" xfId="0" applyFill="1" applyBorder="1"/>
    <xf numFmtId="0" fontId="0" fillId="12" borderId="2" xfId="0" applyFill="1" applyBorder="1"/>
    <xf numFmtId="0" fontId="0" fillId="10" borderId="2" xfId="0" applyFill="1" applyBorder="1"/>
    <xf numFmtId="10" fontId="0" fillId="0" borderId="2" xfId="1" applyNumberFormat="1" applyFont="1" applyBorder="1"/>
    <xf numFmtId="0" fontId="38" fillId="0" borderId="0" xfId="0" applyFont="1" applyAlignment="1">
      <alignment horizontal="left" vertical="center" wrapText="1" indent="1"/>
    </xf>
    <xf numFmtId="0" fontId="38" fillId="0" borderId="0" xfId="0" applyFont="1" applyAlignment="1">
      <alignment horizontal="left" vertical="center" wrapText="1" indent="2"/>
    </xf>
    <xf numFmtId="0" fontId="38" fillId="0" borderId="0" xfId="0" applyFont="1" applyAlignment="1">
      <alignment horizontal="left" vertical="center" wrapText="1" indent="3"/>
    </xf>
    <xf numFmtId="0" fontId="38" fillId="0" borderId="0" xfId="0" applyFont="1" applyAlignment="1">
      <alignment horizontal="left" vertical="center" wrapText="1" indent="4"/>
    </xf>
    <xf numFmtId="0" fontId="37" fillId="15" borderId="0" xfId="5" applyAlignment="1">
      <alignment horizontal="left" vertical="center" wrapText="1" indent="4"/>
    </xf>
    <xf numFmtId="0" fontId="37" fillId="15" borderId="2" xfId="5" applyBorder="1"/>
    <xf numFmtId="0" fontId="1" fillId="16" borderId="2" xfId="6" applyBorder="1"/>
    <xf numFmtId="0" fontId="39" fillId="0" borderId="0" xfId="0" applyFont="1" applyAlignment="1">
      <alignment horizontal="left" vertical="center" readingOrder="1"/>
    </xf>
    <xf numFmtId="0" fontId="40" fillId="0" borderId="0" xfId="0" applyFont="1"/>
    <xf numFmtId="0" fontId="4" fillId="11" borderId="6" xfId="0" applyFont="1" applyFill="1" applyBorder="1" applyAlignment="1">
      <alignment horizontal="center" vertical="center" wrapText="1"/>
    </xf>
    <xf numFmtId="0" fontId="37" fillId="15" borderId="0" xfId="5" applyAlignment="1">
      <alignment horizontal="left" vertical="center" wrapText="1" indent="2"/>
    </xf>
    <xf numFmtId="0" fontId="2" fillId="2" borderId="0" xfId="2"/>
    <xf numFmtId="1" fontId="0" fillId="0" borderId="2" xfId="0" applyNumberFormat="1" applyBorder="1"/>
    <xf numFmtId="0" fontId="0" fillId="17" borderId="2" xfId="0" applyFill="1" applyBorder="1"/>
    <xf numFmtId="1" fontId="26" fillId="7" borderId="0" xfId="0" applyNumberFormat="1" applyFont="1" applyFill="1"/>
    <xf numFmtId="168" fontId="24" fillId="5" borderId="10" xfId="3" applyNumberFormat="1" applyFont="1" applyFill="1" applyBorder="1" applyAlignment="1">
      <alignment horizontal="center"/>
    </xf>
    <xf numFmtId="0" fontId="40" fillId="0" borderId="0" xfId="0" applyFont="1" applyAlignment="1">
      <alignment horizontal="left" vertical="center" readingOrder="1"/>
    </xf>
    <xf numFmtId="0" fontId="24" fillId="0" borderId="58" xfId="0" applyFont="1" applyBorder="1" applyAlignment="1">
      <alignment horizontal="left"/>
    </xf>
    <xf numFmtId="1" fontId="0" fillId="6" borderId="2" xfId="0" applyNumberFormat="1" applyFill="1" applyBorder="1"/>
    <xf numFmtId="1" fontId="0" fillId="6" borderId="0" xfId="0" applyNumberFormat="1" applyFill="1"/>
    <xf numFmtId="168" fontId="24" fillId="5" borderId="3" xfId="3" applyNumberFormat="1" applyFont="1" applyFill="1" applyBorder="1" applyAlignment="1">
      <alignment horizontal="center"/>
    </xf>
    <xf numFmtId="0" fontId="41" fillId="18" borderId="3" xfId="0" applyFont="1" applyFill="1" applyBorder="1" applyAlignment="1">
      <alignment vertical="center"/>
    </xf>
    <xf numFmtId="0" fontId="41" fillId="18" borderId="4" xfId="0" applyFont="1" applyFill="1" applyBorder="1" applyAlignment="1">
      <alignment vertical="center"/>
    </xf>
    <xf numFmtId="0" fontId="42" fillId="18" borderId="5" xfId="0" applyFont="1" applyFill="1" applyBorder="1" applyAlignment="1">
      <alignment vertical="center"/>
    </xf>
    <xf numFmtId="0" fontId="43" fillId="18" borderId="6" xfId="0" applyFont="1" applyFill="1" applyBorder="1" applyAlignment="1">
      <alignment horizontal="center" vertical="center"/>
    </xf>
    <xf numFmtId="0" fontId="41" fillId="18" borderId="6" xfId="0" applyFont="1" applyFill="1" applyBorder="1" applyAlignment="1">
      <alignment vertical="center"/>
    </xf>
    <xf numFmtId="0" fontId="42" fillId="18" borderId="6" xfId="0" applyFont="1" applyFill="1" applyBorder="1" applyAlignment="1">
      <alignment vertical="center"/>
    </xf>
    <xf numFmtId="0" fontId="45" fillId="0" borderId="0" xfId="0" applyFont="1" applyAlignment="1">
      <alignment vertical="center"/>
    </xf>
    <xf numFmtId="0" fontId="7" fillId="0" borderId="3" xfId="0" applyFont="1" applyBorder="1" applyAlignment="1">
      <alignment horizontal="center" vertical="center" wrapText="1"/>
    </xf>
    <xf numFmtId="0" fontId="7" fillId="0" borderId="4" xfId="0" applyFont="1" applyBorder="1" applyAlignment="1">
      <alignment horizontal="center" vertical="center" wrapText="1"/>
    </xf>
    <xf numFmtId="0" fontId="7" fillId="8" borderId="17" xfId="0" applyFont="1" applyFill="1" applyBorder="1" applyAlignment="1">
      <alignment horizontal="center" vertical="center" wrapText="1"/>
    </xf>
    <xf numFmtId="0" fontId="7" fillId="8" borderId="36" xfId="0" applyFont="1" applyFill="1" applyBorder="1" applyAlignment="1">
      <alignment horizontal="center" vertical="center" wrapText="1"/>
    </xf>
    <xf numFmtId="0" fontId="0" fillId="0" borderId="18" xfId="0" applyBorder="1"/>
    <xf numFmtId="0" fontId="0" fillId="8" borderId="21" xfId="0" applyFill="1" applyBorder="1"/>
    <xf numFmtId="0" fontId="7" fillId="8" borderId="6" xfId="0" applyFont="1" applyFill="1" applyBorder="1" applyAlignment="1">
      <alignment horizontal="center" vertical="center" wrapText="1"/>
    </xf>
    <xf numFmtId="0" fontId="7" fillId="0" borderId="35" xfId="0" applyFont="1" applyBorder="1" applyAlignment="1">
      <alignment horizontal="center" vertical="center" wrapText="1"/>
    </xf>
    <xf numFmtId="0" fontId="7" fillId="0" borderId="16" xfId="0" applyFont="1" applyBorder="1" applyAlignment="1">
      <alignment horizontal="center" vertical="center" wrapText="1"/>
    </xf>
    <xf numFmtId="1" fontId="24" fillId="10" borderId="59" xfId="3" applyNumberFormat="1" applyFont="1" applyFill="1" applyBorder="1" applyAlignment="1" applyProtection="1">
      <alignment horizontal="center"/>
      <protection locked="0"/>
    </xf>
    <xf numFmtId="2" fontId="4" fillId="0" borderId="36" xfId="0" applyNumberFormat="1" applyFont="1" applyBorder="1" applyAlignment="1">
      <alignment horizontal="center" vertical="center" wrapText="1"/>
    </xf>
    <xf numFmtId="0" fontId="9" fillId="4" borderId="0" xfId="0" applyFont="1" applyFill="1" applyAlignment="1">
      <alignment horizontal="center" vertical="center" wrapText="1"/>
    </xf>
    <xf numFmtId="2" fontId="8" fillId="0" borderId="0" xfId="0" applyNumberFormat="1" applyFont="1" applyAlignment="1">
      <alignment horizontal="center" vertical="center" wrapText="1"/>
    </xf>
    <xf numFmtId="2" fontId="46" fillId="19" borderId="6" xfId="7" applyNumberFormat="1" applyBorder="1" applyAlignment="1">
      <alignment horizontal="center" vertical="center" wrapText="1"/>
    </xf>
    <xf numFmtId="2" fontId="2" fillId="2" borderId="6" xfId="2" applyNumberFormat="1" applyBorder="1" applyAlignment="1">
      <alignment horizontal="center" vertical="center" wrapText="1"/>
    </xf>
    <xf numFmtId="168" fontId="24" fillId="10" borderId="59" xfId="3" applyNumberFormat="1" applyFont="1" applyFill="1" applyBorder="1" applyAlignment="1" applyProtection="1">
      <alignment horizontal="center"/>
      <protection locked="0"/>
    </xf>
    <xf numFmtId="170" fontId="0" fillId="0" borderId="0" xfId="0" applyNumberFormat="1"/>
    <xf numFmtId="0" fontId="0" fillId="14" borderId="2" xfId="0" applyFill="1" applyBorder="1"/>
    <xf numFmtId="0" fontId="46" fillId="19" borderId="0" xfId="7"/>
    <xf numFmtId="1" fontId="1" fillId="21" borderId="0" xfId="8" applyNumberFormat="1"/>
    <xf numFmtId="0" fontId="1" fillId="21" borderId="0" xfId="8"/>
    <xf numFmtId="1" fontId="0" fillId="14" borderId="0" xfId="0" applyNumberFormat="1" applyFill="1"/>
    <xf numFmtId="0" fontId="0" fillId="14" borderId="0" xfId="0" applyFill="1"/>
    <xf numFmtId="0" fontId="1" fillId="14" borderId="0" xfId="8" applyFill="1"/>
    <xf numFmtId="0" fontId="24" fillId="0" borderId="11" xfId="0" applyFont="1" applyBorder="1" applyAlignment="1">
      <alignment horizontal="left" wrapText="1"/>
    </xf>
    <xf numFmtId="0" fontId="1" fillId="22" borderId="0" xfId="9"/>
    <xf numFmtId="1" fontId="1" fillId="22" borderId="0" xfId="9" applyNumberFormat="1"/>
    <xf numFmtId="0" fontId="24" fillId="0" borderId="58" xfId="0" applyFont="1" applyBorder="1" applyAlignment="1">
      <alignment horizontal="left" wrapText="1"/>
    </xf>
    <xf numFmtId="10" fontId="0" fillId="20" borderId="50" xfId="1" applyNumberFormat="1" applyFont="1" applyFill="1" applyBorder="1" applyAlignment="1">
      <alignment horizontal="center" vertical="center"/>
    </xf>
    <xf numFmtId="0" fontId="47" fillId="7" borderId="0" xfId="0" applyFont="1" applyFill="1"/>
    <xf numFmtId="0" fontId="48" fillId="0" borderId="0" xfId="0" applyFont="1" applyAlignment="1">
      <alignment vertical="center"/>
    </xf>
    <xf numFmtId="0" fontId="25" fillId="2" borderId="12" xfId="2" applyFont="1" applyBorder="1" applyAlignment="1" applyProtection="1">
      <alignment horizontal="center" vertical="center" wrapText="1"/>
      <protection locked="0"/>
    </xf>
    <xf numFmtId="9" fontId="25" fillId="23" borderId="12" xfId="1" applyFont="1" applyFill="1" applyBorder="1" applyAlignment="1" applyProtection="1">
      <alignment horizontal="center" vertical="center"/>
    </xf>
    <xf numFmtId="0" fontId="0" fillId="24" borderId="0" xfId="0" applyFill="1"/>
    <xf numFmtId="168" fontId="24" fillId="10" borderId="10" xfId="3" applyNumberFormat="1" applyFont="1" applyFill="1" applyBorder="1" applyAlignment="1" applyProtection="1">
      <alignment horizontal="center"/>
      <protection locked="0"/>
    </xf>
    <xf numFmtId="9" fontId="24" fillId="10" borderId="59" xfId="1" applyFont="1" applyFill="1" applyBorder="1" applyAlignment="1">
      <alignment horizontal="center"/>
    </xf>
    <xf numFmtId="9" fontId="24" fillId="10" borderId="15" xfId="1" applyFont="1" applyFill="1" applyBorder="1" applyAlignment="1" applyProtection="1">
      <alignment horizontal="center"/>
      <protection locked="0"/>
    </xf>
    <xf numFmtId="0" fontId="0" fillId="25" borderId="2" xfId="0" applyFill="1" applyBorder="1"/>
    <xf numFmtId="0" fontId="0" fillId="9" borderId="2" xfId="0" applyFill="1" applyBorder="1" applyAlignment="1" applyProtection="1">
      <alignment horizontal="center"/>
      <protection hidden="1"/>
    </xf>
    <xf numFmtId="9" fontId="0" fillId="0" borderId="2" xfId="0" applyNumberFormat="1" applyBorder="1"/>
    <xf numFmtId="0" fontId="24" fillId="0" borderId="61" xfId="0" applyFont="1" applyBorder="1" applyAlignment="1">
      <alignment horizontal="left"/>
    </xf>
    <xf numFmtId="0" fontId="24" fillId="0" borderId="61" xfId="0" applyFont="1" applyBorder="1" applyAlignment="1">
      <alignment horizontal="left" wrapText="1"/>
    </xf>
    <xf numFmtId="0" fontId="49" fillId="0" borderId="2" xfId="0" applyFont="1" applyBorder="1" applyAlignment="1">
      <alignment horizontal="left" vertical="center" indent="1"/>
    </xf>
    <xf numFmtId="0" fontId="24" fillId="0" borderId="2" xfId="0" applyFont="1" applyBorder="1" applyAlignment="1">
      <alignment horizontal="left"/>
    </xf>
    <xf numFmtId="0" fontId="24" fillId="0" borderId="2" xfId="0" applyFont="1" applyBorder="1" applyAlignment="1">
      <alignment horizontal="left" wrapText="1"/>
    </xf>
    <xf numFmtId="9" fontId="0" fillId="6" borderId="2" xfId="0" applyNumberFormat="1" applyFill="1" applyBorder="1"/>
    <xf numFmtId="0" fontId="2" fillId="6" borderId="0" xfId="2" applyFill="1"/>
    <xf numFmtId="0" fontId="35" fillId="7" borderId="0" xfId="0" applyFont="1" applyFill="1" applyAlignment="1">
      <alignment horizontal="center"/>
    </xf>
    <xf numFmtId="9" fontId="0" fillId="0" borderId="0" xfId="0" applyNumberFormat="1"/>
    <xf numFmtId="0" fontId="49" fillId="0" borderId="0" xfId="0" applyFont="1" applyAlignment="1">
      <alignment horizontal="left" vertical="center" indent="1"/>
    </xf>
    <xf numFmtId="0" fontId="35" fillId="7" borderId="0" xfId="0" applyFont="1" applyFill="1" applyAlignment="1">
      <alignment horizontal="center"/>
    </xf>
    <xf numFmtId="0" fontId="0" fillId="0" borderId="2" xfId="0" applyBorder="1" applyAlignment="1">
      <alignment horizontal="center"/>
    </xf>
    <xf numFmtId="0" fontId="4" fillId="8" borderId="8" xfId="0" applyFont="1" applyFill="1" applyBorder="1" applyAlignment="1">
      <alignment horizontal="center" vertical="center" wrapText="1" readingOrder="1"/>
    </xf>
    <xf numFmtId="0" fontId="4" fillId="8" borderId="10" xfId="0" applyFont="1" applyFill="1" applyBorder="1" applyAlignment="1">
      <alignment horizontal="center" vertical="center" wrapText="1" readingOrder="1"/>
    </xf>
    <xf numFmtId="0" fontId="13" fillId="0" borderId="0" xfId="0" applyFont="1" applyAlignment="1">
      <alignment horizontal="center" vertical="center"/>
    </xf>
    <xf numFmtId="0" fontId="6" fillId="0" borderId="20" xfId="0" applyFont="1" applyBorder="1" applyAlignment="1">
      <alignment horizontal="center" vertical="center" wrapText="1"/>
    </xf>
    <xf numFmtId="0" fontId="6" fillId="0" borderId="21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 wrapText="1"/>
    </xf>
    <xf numFmtId="0" fontId="6" fillId="0" borderId="16" xfId="0" applyFont="1" applyBorder="1" applyAlignment="1">
      <alignment horizontal="center" vertical="center" wrapText="1"/>
    </xf>
    <xf numFmtId="0" fontId="6" fillId="0" borderId="5" xfId="0" applyFont="1" applyBorder="1" applyAlignment="1">
      <alignment horizontal="center" vertical="center" wrapText="1"/>
    </xf>
    <xf numFmtId="0" fontId="6" fillId="0" borderId="60" xfId="0" applyFont="1" applyBorder="1" applyAlignment="1">
      <alignment horizontal="center" vertical="center" wrapText="1"/>
    </xf>
    <xf numFmtId="0" fontId="6" fillId="0" borderId="9" xfId="0" applyFont="1" applyBorder="1" applyAlignment="1">
      <alignment horizontal="center" vertical="center" wrapText="1"/>
    </xf>
    <xf numFmtId="0" fontId="6" fillId="0" borderId="17" xfId="0" applyFont="1" applyBorder="1" applyAlignment="1">
      <alignment horizontal="center" vertical="center" wrapText="1"/>
    </xf>
    <xf numFmtId="0" fontId="7" fillId="0" borderId="16" xfId="0" applyFont="1" applyBorder="1" applyAlignment="1">
      <alignment horizontal="center" vertical="center" wrapText="1"/>
    </xf>
    <xf numFmtId="0" fontId="7" fillId="0" borderId="35" xfId="0" applyFont="1" applyBorder="1" applyAlignment="1">
      <alignment horizontal="center" vertical="center" wrapText="1"/>
    </xf>
    <xf numFmtId="0" fontId="7" fillId="0" borderId="5" xfId="0" applyFont="1" applyBorder="1" applyAlignment="1">
      <alignment horizontal="center" vertical="center" wrapText="1"/>
    </xf>
    <xf numFmtId="0" fontId="6" fillId="0" borderId="19" xfId="0" applyFont="1" applyBorder="1" applyAlignment="1">
      <alignment horizontal="center" vertical="center" wrapText="1"/>
    </xf>
    <xf numFmtId="0" fontId="8" fillId="0" borderId="20" xfId="0" applyFont="1" applyBorder="1" applyAlignment="1">
      <alignment horizontal="center" vertical="center" wrapText="1"/>
    </xf>
    <xf numFmtId="0" fontId="8" fillId="0" borderId="4" xfId="0" applyFont="1" applyBorder="1" applyAlignment="1">
      <alignment horizontal="center" vertical="center" wrapText="1"/>
    </xf>
    <xf numFmtId="0" fontId="6" fillId="0" borderId="37" xfId="0" applyFont="1" applyBorder="1" applyAlignment="1">
      <alignment horizontal="center" vertical="center" wrapText="1"/>
    </xf>
    <xf numFmtId="0" fontId="6" fillId="0" borderId="39" xfId="0" applyFont="1" applyBorder="1" applyAlignment="1">
      <alignment horizontal="center" vertical="center" wrapText="1"/>
    </xf>
    <xf numFmtId="0" fontId="17" fillId="0" borderId="32" xfId="0" applyFont="1" applyBorder="1" applyAlignment="1">
      <alignment horizontal="center" vertical="center" wrapText="1"/>
    </xf>
    <xf numFmtId="0" fontId="17" fillId="0" borderId="33" xfId="0" applyFont="1" applyBorder="1" applyAlignment="1">
      <alignment horizontal="center" vertical="center" wrapText="1"/>
    </xf>
    <xf numFmtId="0" fontId="17" fillId="0" borderId="34" xfId="0" applyFont="1" applyBorder="1" applyAlignment="1">
      <alignment horizontal="center" vertical="center" wrapText="1"/>
    </xf>
    <xf numFmtId="0" fontId="13" fillId="0" borderId="18" xfId="0" applyFont="1" applyBorder="1" applyAlignment="1">
      <alignment horizontal="center" vertical="center"/>
    </xf>
    <xf numFmtId="0" fontId="6" fillId="0" borderId="35" xfId="0" applyFont="1" applyBorder="1" applyAlignment="1">
      <alignment horizontal="center" vertical="center" wrapText="1"/>
    </xf>
    <xf numFmtId="0" fontId="7" fillId="0" borderId="20" xfId="0" applyFont="1" applyBorder="1" applyAlignment="1">
      <alignment horizontal="center" vertical="center" wrapText="1"/>
    </xf>
    <xf numFmtId="0" fontId="7" fillId="0" borderId="21" xfId="0" applyFont="1" applyBorder="1" applyAlignment="1">
      <alignment horizontal="center" vertical="center" wrapText="1"/>
    </xf>
    <xf numFmtId="9" fontId="0" fillId="0" borderId="2" xfId="1" applyFont="1" applyBorder="1" applyAlignment="1">
      <alignment horizontal="center"/>
    </xf>
    <xf numFmtId="0" fontId="15" fillId="0" borderId="37" xfId="0" applyFont="1" applyBorder="1" applyAlignment="1">
      <alignment horizontal="center" vertical="center" wrapText="1"/>
    </xf>
    <xf numFmtId="0" fontId="15" fillId="0" borderId="38" xfId="0" applyFont="1" applyBorder="1" applyAlignment="1">
      <alignment horizontal="center" vertical="center" wrapText="1"/>
    </xf>
    <xf numFmtId="0" fontId="15" fillId="0" borderId="39" xfId="0" applyFont="1" applyBorder="1" applyAlignment="1">
      <alignment horizontal="center" vertical="center" wrapText="1"/>
    </xf>
    <xf numFmtId="0" fontId="8" fillId="0" borderId="32" xfId="0" applyFont="1" applyBorder="1" applyAlignment="1">
      <alignment horizontal="center" vertical="center" wrapText="1"/>
    </xf>
    <xf numFmtId="0" fontId="8" fillId="0" borderId="33" xfId="0" applyFont="1" applyBorder="1" applyAlignment="1">
      <alignment horizontal="center" vertical="center" wrapText="1"/>
    </xf>
    <xf numFmtId="0" fontId="8" fillId="0" borderId="34" xfId="0" applyFont="1" applyBorder="1" applyAlignment="1">
      <alignment horizontal="center" vertical="center" wrapText="1"/>
    </xf>
    <xf numFmtId="0" fontId="4" fillId="0" borderId="20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6" fillId="4" borderId="16" xfId="0" applyFont="1" applyFill="1" applyBorder="1" applyAlignment="1">
      <alignment horizontal="center" vertical="center" wrapText="1"/>
    </xf>
    <xf numFmtId="0" fontId="6" fillId="4" borderId="31" xfId="0" applyFont="1" applyFill="1" applyBorder="1" applyAlignment="1">
      <alignment horizontal="center" vertical="center" wrapText="1"/>
    </xf>
    <xf numFmtId="0" fontId="9" fillId="4" borderId="16" xfId="0" applyFont="1" applyFill="1" applyBorder="1" applyAlignment="1">
      <alignment horizontal="center" vertical="center" wrapText="1"/>
    </xf>
    <xf numFmtId="0" fontId="9" fillId="4" borderId="31" xfId="0" applyFont="1" applyFill="1" applyBorder="1" applyAlignment="1">
      <alignment horizontal="center" vertical="center" wrapText="1"/>
    </xf>
  </cellXfs>
  <cellStyles count="10">
    <cellStyle name="20% - Accent1" xfId="9" builtinId="30"/>
    <cellStyle name="20% - Accent3" xfId="8" builtinId="38"/>
    <cellStyle name="60% - Accent2" xfId="6" builtinId="36"/>
    <cellStyle name="Bad" xfId="5" builtinId="27"/>
    <cellStyle name="Calculation" xfId="3" builtinId="22"/>
    <cellStyle name="Comma" xfId="4" builtinId="3"/>
    <cellStyle name="Good" xfId="7" builtinId="26"/>
    <cellStyle name="Neutral" xfId="2" builtinId="28"/>
    <cellStyle name="Normal" xfId="0" builtinId="0"/>
    <cellStyle name="Percent" xfId="1" builtinId="5"/>
  </cellStyles>
  <dxfs count="5">
    <dxf>
      <font>
        <color auto="1"/>
      </font>
      <fill>
        <patternFill>
          <bgColor theme="1"/>
        </patternFill>
      </fill>
    </dxf>
    <dxf>
      <font>
        <color auto="1"/>
      </font>
      <fill>
        <patternFill>
          <bgColor theme="1"/>
        </patternFill>
      </fill>
    </dxf>
    <dxf>
      <font>
        <color auto="1"/>
      </font>
      <fill>
        <patternFill>
          <bgColor theme="1"/>
        </patternFill>
      </fill>
    </dxf>
    <dxf>
      <font>
        <color auto="1"/>
      </font>
      <fill>
        <patternFill>
          <bgColor theme="1"/>
        </patternFill>
      </fill>
    </dxf>
    <dxf>
      <font>
        <color auto="1"/>
      </font>
      <fill>
        <patternFill>
          <bgColor theme="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Relationship Id="rId14" Type="http://schemas.openxmlformats.org/officeDocument/2006/relationships/customXml" Target="../customXml/item2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8" Type="http://schemas.openxmlformats.org/officeDocument/2006/relationships/image" Target="../media/image9.png"/><Relationship Id="rId3" Type="http://schemas.openxmlformats.org/officeDocument/2006/relationships/image" Target="../media/image4.wmf"/><Relationship Id="rId7" Type="http://schemas.openxmlformats.org/officeDocument/2006/relationships/image" Target="../media/image8.wmf"/><Relationship Id="rId2" Type="http://schemas.openxmlformats.org/officeDocument/2006/relationships/image" Target="../media/image3.wmf"/><Relationship Id="rId1" Type="http://schemas.openxmlformats.org/officeDocument/2006/relationships/image" Target="../media/image2.png"/><Relationship Id="rId6" Type="http://schemas.openxmlformats.org/officeDocument/2006/relationships/image" Target="../media/image7.wmf"/><Relationship Id="rId5" Type="http://schemas.openxmlformats.org/officeDocument/2006/relationships/image" Target="../media/image6.wmf"/><Relationship Id="rId4" Type="http://schemas.openxmlformats.org/officeDocument/2006/relationships/image" Target="../media/image5.wmf"/></Relationships>
</file>

<file path=xl/drawings/_rels/drawing5.xml.rels><?xml version="1.0" encoding="UTF-8" standalone="yes"?>
<Relationships xmlns="http://schemas.openxmlformats.org/package/2006/relationships"><Relationship Id="rId3" Type="http://schemas.openxmlformats.org/officeDocument/2006/relationships/image" Target="../media/image6.wmf"/><Relationship Id="rId2" Type="http://schemas.openxmlformats.org/officeDocument/2006/relationships/image" Target="../media/image5.wmf"/><Relationship Id="rId1" Type="http://schemas.openxmlformats.org/officeDocument/2006/relationships/image" Target="../media/image4.wmf"/><Relationship Id="rId6" Type="http://schemas.openxmlformats.org/officeDocument/2006/relationships/image" Target="../media/image11.emf"/><Relationship Id="rId5" Type="http://schemas.openxmlformats.org/officeDocument/2006/relationships/image" Target="../media/image10.emf"/><Relationship Id="rId4" Type="http://schemas.openxmlformats.org/officeDocument/2006/relationships/image" Target="../media/image7.wmf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2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1279658</xdr:colOff>
      <xdr:row>1</xdr:row>
      <xdr:rowOff>42436</xdr:rowOff>
    </xdr:from>
    <xdr:to>
      <xdr:col>7</xdr:col>
      <xdr:colOff>481724</xdr:colOff>
      <xdr:row>7</xdr:row>
      <xdr:rowOff>9802</xdr:rowOff>
    </xdr:to>
    <xdr:pic>
      <xdr:nvPicPr>
        <xdr:cNvPr id="2" name="Picture 3" descr="Air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607589" y="239505"/>
          <a:ext cx="1183704" cy="97460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6</xdr:col>
      <xdr:colOff>1136805</xdr:colOff>
      <xdr:row>0</xdr:row>
      <xdr:rowOff>137160</xdr:rowOff>
    </xdr:from>
    <xdr:to>
      <xdr:col>12</xdr:col>
      <xdr:colOff>38100</xdr:colOff>
      <xdr:row>7</xdr:row>
      <xdr:rowOff>186121</xdr:rowOff>
    </xdr:to>
    <xdr:sp macro="" textlink="">
      <xdr:nvSpPr>
        <xdr:cNvPr id="3" name="Rectangle 1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>
          <a:spLocks noChangeArrowheads="1"/>
        </xdr:cNvSpPr>
      </xdr:nvSpPr>
      <xdr:spPr bwMode="auto">
        <a:xfrm>
          <a:off x="10464736" y="137160"/>
          <a:ext cx="4353536" cy="1253271"/>
        </a:xfrm>
        <a:prstGeom prst="rect">
          <a:avLst/>
        </a:prstGeom>
        <a:noFill/>
        <a:ln w="9525">
          <a:solidFill>
            <a:srgbClr val="0000FF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22860</xdr:colOff>
      <xdr:row>5</xdr:row>
      <xdr:rowOff>106680</xdr:rowOff>
    </xdr:from>
    <xdr:to>
      <xdr:col>3</xdr:col>
      <xdr:colOff>304800</xdr:colOff>
      <xdr:row>7</xdr:row>
      <xdr:rowOff>76200</xdr:rowOff>
    </xdr:to>
    <xdr:sp macro="" textlink="">
      <xdr:nvSpPr>
        <xdr:cNvPr id="2" name="Speech Bubble: Rectangle with Corners Rounded 1">
          <a:extLst>
            <a:ext uri="{FF2B5EF4-FFF2-40B4-BE49-F238E27FC236}">
              <a16:creationId xmlns:a16="http://schemas.microsoft.com/office/drawing/2014/main" id="{96EE6429-F76E-4518-9489-A985A6324D39}"/>
            </a:ext>
          </a:extLst>
        </xdr:cNvPr>
        <xdr:cNvSpPr/>
      </xdr:nvSpPr>
      <xdr:spPr>
        <a:xfrm>
          <a:off x="1242060" y="1021080"/>
          <a:ext cx="891540" cy="335280"/>
        </a:xfrm>
        <a:prstGeom prst="wedgeRoundRectCallout">
          <a:avLst>
            <a:gd name="adj1" fmla="val 180304"/>
            <a:gd name="adj2" fmla="val -14405"/>
            <a:gd name="adj3" fmla="val 1666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PDCCH</a:t>
          </a:r>
        </a:p>
      </xdr:txBody>
    </xdr:sp>
    <xdr:clientData/>
  </xdr:twoCellAnchor>
  <xdr:twoCellAnchor>
    <xdr:from>
      <xdr:col>4</xdr:col>
      <xdr:colOff>502920</xdr:colOff>
      <xdr:row>16</xdr:row>
      <xdr:rowOff>144780</xdr:rowOff>
    </xdr:from>
    <xdr:to>
      <xdr:col>6</xdr:col>
      <xdr:colOff>175260</xdr:colOff>
      <xdr:row>18</xdr:row>
      <xdr:rowOff>114300</xdr:rowOff>
    </xdr:to>
    <xdr:sp macro="" textlink="">
      <xdr:nvSpPr>
        <xdr:cNvPr id="3" name="Speech Bubble: Rectangle with Corners Rounded 2">
          <a:extLst>
            <a:ext uri="{FF2B5EF4-FFF2-40B4-BE49-F238E27FC236}">
              <a16:creationId xmlns:a16="http://schemas.microsoft.com/office/drawing/2014/main" id="{7FEC84AD-31E2-4398-83D9-FA982A715C68}"/>
            </a:ext>
          </a:extLst>
        </xdr:cNvPr>
        <xdr:cNvSpPr/>
      </xdr:nvSpPr>
      <xdr:spPr>
        <a:xfrm>
          <a:off x="2941320" y="3070860"/>
          <a:ext cx="891540" cy="335280"/>
        </a:xfrm>
        <a:prstGeom prst="wedgeRoundRectCallout">
          <a:avLst>
            <a:gd name="adj1" fmla="val 136714"/>
            <a:gd name="adj2" fmla="val -328041"/>
            <a:gd name="adj3" fmla="val 1666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DMRS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438150</xdr:colOff>
      <xdr:row>1</xdr:row>
      <xdr:rowOff>66675</xdr:rowOff>
    </xdr:from>
    <xdr:to>
      <xdr:col>6</xdr:col>
      <xdr:colOff>628650</xdr:colOff>
      <xdr:row>5</xdr:row>
      <xdr:rowOff>9525</xdr:rowOff>
    </xdr:to>
    <xdr:pic>
      <xdr:nvPicPr>
        <xdr:cNvPr id="2" name="Picture 3" descr="Air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43850" y="257175"/>
          <a:ext cx="781050" cy="704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5</xdr:col>
      <xdr:colOff>219075</xdr:colOff>
      <xdr:row>0</xdr:row>
      <xdr:rowOff>352425</xdr:rowOff>
    </xdr:from>
    <xdr:to>
      <xdr:col>9</xdr:col>
      <xdr:colOff>638175</xdr:colOff>
      <xdr:row>5</xdr:row>
      <xdr:rowOff>142875</xdr:rowOff>
    </xdr:to>
    <xdr:sp macro="" textlink="">
      <xdr:nvSpPr>
        <xdr:cNvPr id="3" name="Rectangle 1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SpPr>
          <a:spLocks noChangeArrowheads="1"/>
        </xdr:cNvSpPr>
      </xdr:nvSpPr>
      <xdr:spPr bwMode="auto">
        <a:xfrm>
          <a:off x="7724775" y="190500"/>
          <a:ext cx="2828925" cy="904875"/>
        </a:xfrm>
        <a:prstGeom prst="rect">
          <a:avLst/>
        </a:prstGeom>
        <a:noFill/>
        <a:ln w="9525">
          <a:solidFill>
            <a:srgbClr val="0000FF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1</xdr:row>
      <xdr:rowOff>0</xdr:rowOff>
    </xdr:from>
    <xdr:to>
      <xdr:col>5</xdr:col>
      <xdr:colOff>962025</xdr:colOff>
      <xdr:row>1</xdr:row>
      <xdr:rowOff>219075</xdr:rowOff>
    </xdr:to>
    <xdr:sp macro="" textlink="">
      <xdr:nvSpPr>
        <xdr:cNvPr id="2049" name="Object 1" hidden="1">
          <a:extLst>
            <a:ext uri="{63B3BB69-23CF-44E3-9099-C40C66FF867C}">
              <a14:compatExt xmlns:a14="http://schemas.microsoft.com/office/drawing/2010/main" spid="_x0000_s2049"/>
            </a:ext>
            <a:ext uri="{FF2B5EF4-FFF2-40B4-BE49-F238E27FC236}">
              <a16:creationId xmlns:a16="http://schemas.microsoft.com/office/drawing/2014/main" id="{00000000-0008-0000-0200-000001080000}"/>
            </a:ext>
          </a:extLst>
        </xdr:cNvPr>
        <xdr:cNvSpPr/>
      </xdr:nvSpPr>
      <xdr:spPr bwMode="auto">
        <a:xfrm>
          <a:off x="7822406" y="333375"/>
          <a:ext cx="962025" cy="219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4</xdr:col>
      <xdr:colOff>219075</xdr:colOff>
      <xdr:row>1</xdr:row>
      <xdr:rowOff>247650</xdr:rowOff>
    </xdr:from>
    <xdr:to>
      <xdr:col>4</xdr:col>
      <xdr:colOff>361950</xdr:colOff>
      <xdr:row>1</xdr:row>
      <xdr:rowOff>400050</xdr:rowOff>
    </xdr:to>
    <xdr:sp macro="" textlink="">
      <xdr:nvSpPr>
        <xdr:cNvPr id="2050" name="Object 2" hidden="1">
          <a:extLst>
            <a:ext uri="{63B3BB69-23CF-44E3-9099-C40C66FF867C}">
              <a14:compatExt xmlns:a14="http://schemas.microsoft.com/office/drawing/2010/main" spid="_x0000_s2050"/>
            </a:ext>
            <a:ext uri="{FF2B5EF4-FFF2-40B4-BE49-F238E27FC236}">
              <a16:creationId xmlns:a16="http://schemas.microsoft.com/office/drawing/2014/main" id="{00000000-0008-0000-0200-000002080000}"/>
            </a:ext>
          </a:extLst>
        </xdr:cNvPr>
        <xdr:cNvSpPr/>
      </xdr:nvSpPr>
      <xdr:spPr bwMode="auto">
        <a:xfrm>
          <a:off x="5957888" y="581025"/>
          <a:ext cx="1428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4</xdr:col>
      <xdr:colOff>219075</xdr:colOff>
      <xdr:row>11</xdr:row>
      <xdr:rowOff>209550</xdr:rowOff>
    </xdr:from>
    <xdr:to>
      <xdr:col>4</xdr:col>
      <xdr:colOff>361950</xdr:colOff>
      <xdr:row>11</xdr:row>
      <xdr:rowOff>209550</xdr:rowOff>
    </xdr:to>
    <xdr:sp macro="" textlink="">
      <xdr:nvSpPr>
        <xdr:cNvPr id="2051" name="Object 3" hidden="1">
          <a:extLst>
            <a:ext uri="{63B3BB69-23CF-44E3-9099-C40C66FF867C}">
              <a14:compatExt xmlns:a14="http://schemas.microsoft.com/office/drawing/2010/main" spid="_x0000_s2051"/>
            </a:ext>
            <a:ext uri="{FF2B5EF4-FFF2-40B4-BE49-F238E27FC236}">
              <a16:creationId xmlns:a16="http://schemas.microsoft.com/office/drawing/2014/main" id="{00000000-0008-0000-0200-000003080000}"/>
            </a:ext>
          </a:extLst>
        </xdr:cNvPr>
        <xdr:cNvSpPr/>
      </xdr:nvSpPr>
      <xdr:spPr bwMode="auto">
        <a:xfrm>
          <a:off x="5957888" y="3269456"/>
          <a:ext cx="142875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5</xdr:col>
      <xdr:colOff>0</xdr:colOff>
      <xdr:row>11</xdr:row>
      <xdr:rowOff>0</xdr:rowOff>
    </xdr:from>
    <xdr:to>
      <xdr:col>5</xdr:col>
      <xdr:colOff>1200150</xdr:colOff>
      <xdr:row>11</xdr:row>
      <xdr:rowOff>209550</xdr:rowOff>
    </xdr:to>
    <xdr:sp macro="" textlink="">
      <xdr:nvSpPr>
        <xdr:cNvPr id="2052" name="Object 4" hidden="1">
          <a:extLst>
            <a:ext uri="{63B3BB69-23CF-44E3-9099-C40C66FF867C}">
              <a14:compatExt xmlns:a14="http://schemas.microsoft.com/office/drawing/2010/main" spid="_x0000_s2052"/>
            </a:ext>
            <a:ext uri="{FF2B5EF4-FFF2-40B4-BE49-F238E27FC236}">
              <a16:creationId xmlns:a16="http://schemas.microsoft.com/office/drawing/2014/main" id="{00000000-0008-0000-0200-000004080000}"/>
            </a:ext>
          </a:extLst>
        </xdr:cNvPr>
        <xdr:cNvSpPr/>
      </xdr:nvSpPr>
      <xdr:spPr bwMode="auto">
        <a:xfrm>
          <a:off x="7822406" y="3059906"/>
          <a:ext cx="120015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6</xdr:col>
      <xdr:colOff>0</xdr:colOff>
      <xdr:row>11</xdr:row>
      <xdr:rowOff>0</xdr:rowOff>
    </xdr:from>
    <xdr:to>
      <xdr:col>7</xdr:col>
      <xdr:colOff>4763</xdr:colOff>
      <xdr:row>11</xdr:row>
      <xdr:rowOff>209550</xdr:rowOff>
    </xdr:to>
    <xdr:sp macro="" textlink="">
      <xdr:nvSpPr>
        <xdr:cNvPr id="2053" name="Object 5" hidden="1">
          <a:extLst>
            <a:ext uri="{63B3BB69-23CF-44E3-9099-C40C66FF867C}">
              <a14:compatExt xmlns:a14="http://schemas.microsoft.com/office/drawing/2010/main" spid="_x0000_s2053"/>
            </a:ext>
            <a:ext uri="{FF2B5EF4-FFF2-40B4-BE49-F238E27FC236}">
              <a16:creationId xmlns:a16="http://schemas.microsoft.com/office/drawing/2014/main" id="{00000000-0008-0000-0200-000005080000}"/>
            </a:ext>
          </a:extLst>
        </xdr:cNvPr>
        <xdr:cNvSpPr/>
      </xdr:nvSpPr>
      <xdr:spPr bwMode="auto">
        <a:xfrm>
          <a:off x="9024938" y="3059906"/>
          <a:ext cx="74295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7</xdr:col>
      <xdr:colOff>0</xdr:colOff>
      <xdr:row>11</xdr:row>
      <xdr:rowOff>0</xdr:rowOff>
    </xdr:from>
    <xdr:to>
      <xdr:col>7</xdr:col>
      <xdr:colOff>781050</xdr:colOff>
      <xdr:row>11</xdr:row>
      <xdr:rowOff>209550</xdr:rowOff>
    </xdr:to>
    <xdr:sp macro="" textlink="">
      <xdr:nvSpPr>
        <xdr:cNvPr id="2054" name="Object 6" hidden="1">
          <a:extLst>
            <a:ext uri="{63B3BB69-23CF-44E3-9099-C40C66FF867C}">
              <a14:compatExt xmlns:a14="http://schemas.microsoft.com/office/drawing/2010/main" spid="_x0000_s2054"/>
            </a:ext>
            <a:ext uri="{FF2B5EF4-FFF2-40B4-BE49-F238E27FC236}">
              <a16:creationId xmlns:a16="http://schemas.microsoft.com/office/drawing/2014/main" id="{00000000-0008-0000-0200-000006080000}"/>
            </a:ext>
          </a:extLst>
        </xdr:cNvPr>
        <xdr:cNvSpPr/>
      </xdr:nvSpPr>
      <xdr:spPr bwMode="auto">
        <a:xfrm>
          <a:off x="9763125" y="3059906"/>
          <a:ext cx="78105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4</xdr:col>
      <xdr:colOff>0</xdr:colOff>
      <xdr:row>19</xdr:row>
      <xdr:rowOff>0</xdr:rowOff>
    </xdr:from>
    <xdr:to>
      <xdr:col>4</xdr:col>
      <xdr:colOff>142875</xdr:colOff>
      <xdr:row>19</xdr:row>
      <xdr:rowOff>161925</xdr:rowOff>
    </xdr:to>
    <xdr:sp macro="" textlink="">
      <xdr:nvSpPr>
        <xdr:cNvPr id="2055" name="Object 7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00000000-0008-0000-0200-000007080000}"/>
            </a:ext>
          </a:extLst>
        </xdr:cNvPr>
        <xdr:cNvSpPr/>
      </xdr:nvSpPr>
      <xdr:spPr bwMode="auto">
        <a:xfrm>
          <a:off x="5738813" y="5310188"/>
          <a:ext cx="142875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5</xdr:col>
      <xdr:colOff>0</xdr:colOff>
      <xdr:row>19</xdr:row>
      <xdr:rowOff>0</xdr:rowOff>
    </xdr:from>
    <xdr:to>
      <xdr:col>5</xdr:col>
      <xdr:colOff>1200150</xdr:colOff>
      <xdr:row>19</xdr:row>
      <xdr:rowOff>200025</xdr:rowOff>
    </xdr:to>
    <xdr:sp macro="" textlink="">
      <xdr:nvSpPr>
        <xdr:cNvPr id="2056" name="Object 8" hidden="1">
          <a:extLst>
            <a:ext uri="{63B3BB69-23CF-44E3-9099-C40C66FF867C}">
              <a14:compatExt xmlns:a14="http://schemas.microsoft.com/office/drawing/2010/main" spid="_x0000_s2056"/>
            </a:ext>
            <a:ext uri="{FF2B5EF4-FFF2-40B4-BE49-F238E27FC236}">
              <a16:creationId xmlns:a16="http://schemas.microsoft.com/office/drawing/2014/main" id="{00000000-0008-0000-0200-000008080000}"/>
            </a:ext>
          </a:extLst>
        </xdr:cNvPr>
        <xdr:cNvSpPr/>
      </xdr:nvSpPr>
      <xdr:spPr bwMode="auto">
        <a:xfrm>
          <a:off x="7822406" y="5310188"/>
          <a:ext cx="1200150" cy="200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6</xdr:col>
      <xdr:colOff>0</xdr:colOff>
      <xdr:row>19</xdr:row>
      <xdr:rowOff>0</xdr:rowOff>
    </xdr:from>
    <xdr:to>
      <xdr:col>7</xdr:col>
      <xdr:colOff>4763</xdr:colOff>
      <xdr:row>19</xdr:row>
      <xdr:rowOff>200025</xdr:rowOff>
    </xdr:to>
    <xdr:sp macro="" textlink="">
      <xdr:nvSpPr>
        <xdr:cNvPr id="2057" name="Object 9" hidden="1">
          <a:extLst>
            <a:ext uri="{63B3BB69-23CF-44E3-9099-C40C66FF867C}">
              <a14:compatExt xmlns:a14="http://schemas.microsoft.com/office/drawing/2010/main" spid="_x0000_s2057"/>
            </a:ext>
            <a:ext uri="{FF2B5EF4-FFF2-40B4-BE49-F238E27FC236}">
              <a16:creationId xmlns:a16="http://schemas.microsoft.com/office/drawing/2014/main" id="{00000000-0008-0000-0200-000009080000}"/>
            </a:ext>
          </a:extLst>
        </xdr:cNvPr>
        <xdr:cNvSpPr/>
      </xdr:nvSpPr>
      <xdr:spPr bwMode="auto">
        <a:xfrm>
          <a:off x="9024938" y="5310188"/>
          <a:ext cx="742950" cy="200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7</xdr:col>
      <xdr:colOff>0</xdr:colOff>
      <xdr:row>19</xdr:row>
      <xdr:rowOff>0</xdr:rowOff>
    </xdr:from>
    <xdr:to>
      <xdr:col>7</xdr:col>
      <xdr:colOff>781050</xdr:colOff>
      <xdr:row>20</xdr:row>
      <xdr:rowOff>57150</xdr:rowOff>
    </xdr:to>
    <xdr:sp macro="" textlink="">
      <xdr:nvSpPr>
        <xdr:cNvPr id="2058" name="Object 10" hidden="1">
          <a:extLst>
            <a:ext uri="{63B3BB69-23CF-44E3-9099-C40C66FF867C}">
              <a14:compatExt xmlns:a14="http://schemas.microsoft.com/office/drawing/2010/main" spid="_x0000_s2058"/>
            </a:ext>
            <a:ext uri="{FF2B5EF4-FFF2-40B4-BE49-F238E27FC236}">
              <a16:creationId xmlns:a16="http://schemas.microsoft.com/office/drawing/2014/main" id="{00000000-0008-0000-0200-00000A080000}"/>
            </a:ext>
          </a:extLst>
        </xdr:cNvPr>
        <xdr:cNvSpPr/>
      </xdr:nvSpPr>
      <xdr:spPr bwMode="auto">
        <a:xfrm>
          <a:off x="9763125" y="5310188"/>
          <a:ext cx="781050" cy="25955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4</xdr:col>
      <xdr:colOff>104775</xdr:colOff>
      <xdr:row>22</xdr:row>
      <xdr:rowOff>19050</xdr:rowOff>
    </xdr:from>
    <xdr:to>
      <xdr:col>5</xdr:col>
      <xdr:colOff>752475</xdr:colOff>
      <xdr:row>23</xdr:row>
      <xdr:rowOff>19050</xdr:rowOff>
    </xdr:to>
    <xdr:sp macro="" textlink="">
      <xdr:nvSpPr>
        <xdr:cNvPr id="2059" name="Object 11" hidden="1">
          <a:extLst>
            <a:ext uri="{63B3BB69-23CF-44E3-9099-C40C66FF867C}">
              <a14:compatExt xmlns:a14="http://schemas.microsoft.com/office/drawing/2010/main" spid="_x0000_s2059"/>
            </a:ext>
            <a:ext uri="{FF2B5EF4-FFF2-40B4-BE49-F238E27FC236}">
              <a16:creationId xmlns:a16="http://schemas.microsoft.com/office/drawing/2014/main" id="{00000000-0008-0000-0200-00000B080000}"/>
            </a:ext>
          </a:extLst>
        </xdr:cNvPr>
        <xdr:cNvSpPr/>
      </xdr:nvSpPr>
      <xdr:spPr bwMode="auto">
        <a:xfrm>
          <a:off x="5843588" y="6079331"/>
          <a:ext cx="2731293" cy="20240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7</xdr:col>
      <xdr:colOff>219075</xdr:colOff>
      <xdr:row>1</xdr:row>
      <xdr:rowOff>247650</xdr:rowOff>
    </xdr:from>
    <xdr:to>
      <xdr:col>7</xdr:col>
      <xdr:colOff>361950</xdr:colOff>
      <xdr:row>1</xdr:row>
      <xdr:rowOff>400050</xdr:rowOff>
    </xdr:to>
    <xdr:sp macro="" textlink="">
      <xdr:nvSpPr>
        <xdr:cNvPr id="2060" name="Object 12" hidden="1">
          <a:extLst>
            <a:ext uri="{63B3BB69-23CF-44E3-9099-C40C66FF867C}">
              <a14:compatExt xmlns:a14="http://schemas.microsoft.com/office/drawing/2010/main" spid="_x0000_s2060"/>
            </a:ext>
            <a:ext uri="{FF2B5EF4-FFF2-40B4-BE49-F238E27FC236}">
              <a16:creationId xmlns:a16="http://schemas.microsoft.com/office/drawing/2014/main" id="{00000000-0008-0000-0200-00000C080000}"/>
            </a:ext>
          </a:extLst>
        </xdr:cNvPr>
        <xdr:cNvSpPr/>
      </xdr:nvSpPr>
      <xdr:spPr bwMode="auto">
        <a:xfrm>
          <a:off x="9982200" y="581025"/>
          <a:ext cx="1428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571500</xdr:colOff>
      <xdr:row>37</xdr:row>
      <xdr:rowOff>80278</xdr:rowOff>
    </xdr:from>
    <xdr:to>
      <xdr:col>4</xdr:col>
      <xdr:colOff>3425086</xdr:colOff>
      <xdr:row>44</xdr:row>
      <xdr:rowOff>75908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19200" y="8176528"/>
          <a:ext cx="8132818" cy="1548205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1</xdr:row>
      <xdr:rowOff>0</xdr:rowOff>
    </xdr:from>
    <xdr:to>
      <xdr:col>5</xdr:col>
      <xdr:colOff>962025</xdr:colOff>
      <xdr:row>1</xdr:row>
      <xdr:rowOff>219075</xdr:rowOff>
    </xdr:to>
    <xdr:pic>
      <xdr:nvPicPr>
        <xdr:cNvPr id="3" name="Picture 1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343400" y="333375"/>
          <a:ext cx="962025" cy="219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4</xdr:col>
      <xdr:colOff>219075</xdr:colOff>
      <xdr:row>1</xdr:row>
      <xdr:rowOff>247650</xdr:rowOff>
    </xdr:from>
    <xdr:to>
      <xdr:col>4</xdr:col>
      <xdr:colOff>361950</xdr:colOff>
      <xdr:row>1</xdr:row>
      <xdr:rowOff>400050</xdr:rowOff>
    </xdr:to>
    <xdr:pic>
      <xdr:nvPicPr>
        <xdr:cNvPr id="4" name="Picture 2">
          <a:extLst>
            <a:ext uri="{FF2B5EF4-FFF2-40B4-BE49-F238E27FC236}">
              <a16:creationId xmlns:a16="http://schemas.microsoft.com/office/drawing/2014/main" id="{00000000-0008-0000-02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52875" y="581025"/>
          <a:ext cx="1428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4</xdr:col>
      <xdr:colOff>219075</xdr:colOff>
      <xdr:row>11</xdr:row>
      <xdr:rowOff>247650</xdr:rowOff>
    </xdr:from>
    <xdr:to>
      <xdr:col>4</xdr:col>
      <xdr:colOff>361950</xdr:colOff>
      <xdr:row>11</xdr:row>
      <xdr:rowOff>400050</xdr:rowOff>
    </xdr:to>
    <xdr:pic>
      <xdr:nvPicPr>
        <xdr:cNvPr id="5" name="Picture 3">
          <a:extLst>
            <a:ext uri="{FF2B5EF4-FFF2-40B4-BE49-F238E27FC236}">
              <a16:creationId xmlns:a16="http://schemas.microsoft.com/office/drawing/2014/main" id="{00000000-0008-0000-02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52875" y="3219450"/>
          <a:ext cx="142875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11</xdr:row>
      <xdr:rowOff>0</xdr:rowOff>
    </xdr:from>
    <xdr:to>
      <xdr:col>5</xdr:col>
      <xdr:colOff>1447800</xdr:colOff>
      <xdr:row>11</xdr:row>
      <xdr:rowOff>704850</xdr:rowOff>
    </xdr:to>
    <xdr:pic>
      <xdr:nvPicPr>
        <xdr:cNvPr id="6" name="Picture 4">
          <a:extLst>
            <a:ext uri="{FF2B5EF4-FFF2-40B4-BE49-F238E27FC236}">
              <a16:creationId xmlns:a16="http://schemas.microsoft.com/office/drawing/2014/main" id="{00000000-0008-0000-0200-00000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343400" y="3009900"/>
          <a:ext cx="120015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6</xdr:col>
      <xdr:colOff>0</xdr:colOff>
      <xdr:row>11</xdr:row>
      <xdr:rowOff>0</xdr:rowOff>
    </xdr:from>
    <xdr:to>
      <xdr:col>6</xdr:col>
      <xdr:colOff>1733550</xdr:colOff>
      <xdr:row>11</xdr:row>
      <xdr:rowOff>695325</xdr:rowOff>
    </xdr:to>
    <xdr:pic>
      <xdr:nvPicPr>
        <xdr:cNvPr id="7" name="Picture 5">
          <a:extLst>
            <a:ext uri="{FF2B5EF4-FFF2-40B4-BE49-F238E27FC236}">
              <a16:creationId xmlns:a16="http://schemas.microsoft.com/office/drawing/2014/main" id="{00000000-0008-0000-0200-00000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43550" y="3009900"/>
          <a:ext cx="714375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7</xdr:col>
      <xdr:colOff>0</xdr:colOff>
      <xdr:row>11</xdr:row>
      <xdr:rowOff>0</xdr:rowOff>
    </xdr:from>
    <xdr:to>
      <xdr:col>7</xdr:col>
      <xdr:colOff>2133600</xdr:colOff>
      <xdr:row>11</xdr:row>
      <xdr:rowOff>714375</xdr:rowOff>
    </xdr:to>
    <xdr:pic>
      <xdr:nvPicPr>
        <xdr:cNvPr id="8" name="Picture 6">
          <a:extLst>
            <a:ext uri="{FF2B5EF4-FFF2-40B4-BE49-F238E27FC236}">
              <a16:creationId xmlns:a16="http://schemas.microsoft.com/office/drawing/2014/main" id="{00000000-0008-0000-0200-00000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257925" y="3009900"/>
          <a:ext cx="6096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4</xdr:col>
      <xdr:colOff>0</xdr:colOff>
      <xdr:row>19</xdr:row>
      <xdr:rowOff>0</xdr:rowOff>
    </xdr:from>
    <xdr:to>
      <xdr:col>4</xdr:col>
      <xdr:colOff>142875</xdr:colOff>
      <xdr:row>19</xdr:row>
      <xdr:rowOff>161925</xdr:rowOff>
    </xdr:to>
    <xdr:pic>
      <xdr:nvPicPr>
        <xdr:cNvPr id="9" name="Picture 7">
          <a:extLst>
            <a:ext uri="{FF2B5EF4-FFF2-40B4-BE49-F238E27FC236}">
              <a16:creationId xmlns:a16="http://schemas.microsoft.com/office/drawing/2014/main" id="{00000000-0008-0000-0200-00000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33800" y="5076825"/>
          <a:ext cx="142875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19</xdr:row>
      <xdr:rowOff>0</xdr:rowOff>
    </xdr:from>
    <xdr:to>
      <xdr:col>5</xdr:col>
      <xdr:colOff>1666875</xdr:colOff>
      <xdr:row>19</xdr:row>
      <xdr:rowOff>676275</xdr:rowOff>
    </xdr:to>
    <xdr:pic>
      <xdr:nvPicPr>
        <xdr:cNvPr id="10" name="Picture 8">
          <a:extLst>
            <a:ext uri="{FF2B5EF4-FFF2-40B4-BE49-F238E27FC236}">
              <a16:creationId xmlns:a16="http://schemas.microsoft.com/office/drawing/2014/main" id="{00000000-0008-0000-0200-00000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343400" y="5076825"/>
          <a:ext cx="1200150" cy="200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6</xdr:col>
      <xdr:colOff>0</xdr:colOff>
      <xdr:row>19</xdr:row>
      <xdr:rowOff>0</xdr:rowOff>
    </xdr:from>
    <xdr:to>
      <xdr:col>6</xdr:col>
      <xdr:colOff>1619250</xdr:colOff>
      <xdr:row>19</xdr:row>
      <xdr:rowOff>685800</xdr:rowOff>
    </xdr:to>
    <xdr:pic>
      <xdr:nvPicPr>
        <xdr:cNvPr id="11" name="Picture 9">
          <a:extLst>
            <a:ext uri="{FF2B5EF4-FFF2-40B4-BE49-F238E27FC236}">
              <a16:creationId xmlns:a16="http://schemas.microsoft.com/office/drawing/2014/main" id="{00000000-0008-0000-0200-00000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43550" y="5076825"/>
          <a:ext cx="714375" cy="200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7</xdr:col>
      <xdr:colOff>0</xdr:colOff>
      <xdr:row>19</xdr:row>
      <xdr:rowOff>0</xdr:rowOff>
    </xdr:from>
    <xdr:to>
      <xdr:col>7</xdr:col>
      <xdr:colOff>1971675</xdr:colOff>
      <xdr:row>20</xdr:row>
      <xdr:rowOff>57150</xdr:rowOff>
    </xdr:to>
    <xdr:pic>
      <xdr:nvPicPr>
        <xdr:cNvPr id="12" name="Picture 10">
          <a:extLst>
            <a:ext uri="{FF2B5EF4-FFF2-40B4-BE49-F238E27FC236}">
              <a16:creationId xmlns:a16="http://schemas.microsoft.com/office/drawing/2014/main" id="{00000000-0008-0000-0200-00000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257925" y="5076825"/>
          <a:ext cx="609600" cy="2571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4</xdr:col>
      <xdr:colOff>104775</xdr:colOff>
      <xdr:row>22</xdr:row>
      <xdr:rowOff>19050</xdr:rowOff>
    </xdr:from>
    <xdr:to>
      <xdr:col>5</xdr:col>
      <xdr:colOff>752475</xdr:colOff>
      <xdr:row>23</xdr:row>
      <xdr:rowOff>19050</xdr:rowOff>
    </xdr:to>
    <xdr:pic>
      <xdr:nvPicPr>
        <xdr:cNvPr id="13" name="Picture 11">
          <a:extLst>
            <a:ext uri="{FF2B5EF4-FFF2-40B4-BE49-F238E27FC236}">
              <a16:creationId xmlns:a16="http://schemas.microsoft.com/office/drawing/2014/main" id="{00000000-0008-0000-0200-00000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38575" y="5953125"/>
          <a:ext cx="1257300" cy="3143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7</xdr:col>
      <xdr:colOff>219075</xdr:colOff>
      <xdr:row>1</xdr:row>
      <xdr:rowOff>247650</xdr:rowOff>
    </xdr:from>
    <xdr:to>
      <xdr:col>7</xdr:col>
      <xdr:colOff>361950</xdr:colOff>
      <xdr:row>1</xdr:row>
      <xdr:rowOff>400050</xdr:rowOff>
    </xdr:to>
    <xdr:pic>
      <xdr:nvPicPr>
        <xdr:cNvPr id="14" name="Picture 12">
          <a:extLst>
            <a:ext uri="{FF2B5EF4-FFF2-40B4-BE49-F238E27FC236}">
              <a16:creationId xmlns:a16="http://schemas.microsoft.com/office/drawing/2014/main" id="{00000000-0008-0000-0200-00000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77000" y="581025"/>
          <a:ext cx="1428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49</xdr:row>
      <xdr:rowOff>0</xdr:rowOff>
    </xdr:from>
    <xdr:to>
      <xdr:col>9</xdr:col>
      <xdr:colOff>304800</xdr:colOff>
      <xdr:row>50</xdr:row>
      <xdr:rowOff>114300</xdr:rowOff>
    </xdr:to>
    <xdr:sp macro="" textlink="">
      <xdr:nvSpPr>
        <xdr:cNvPr id="4097" name="AutoShape 1" descr="image">
          <a:extLst>
            <a:ext uri="{FF2B5EF4-FFF2-40B4-BE49-F238E27FC236}">
              <a16:creationId xmlns:a16="http://schemas.microsoft.com/office/drawing/2014/main" id="{8F473D33-3EC6-458C-8540-68F8F351D892}"/>
            </a:ext>
          </a:extLst>
        </xdr:cNvPr>
        <xdr:cNvSpPr>
          <a:spLocks noChangeAspect="1" noChangeArrowheads="1"/>
        </xdr:cNvSpPr>
      </xdr:nvSpPr>
      <xdr:spPr bwMode="auto">
        <a:xfrm>
          <a:off x="11430000" y="13775531"/>
          <a:ext cx="304800" cy="42386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209550</xdr:colOff>
      <xdr:row>44</xdr:row>
      <xdr:rowOff>114300</xdr:rowOff>
    </xdr:from>
    <xdr:to>
      <xdr:col>4</xdr:col>
      <xdr:colOff>6500727</xdr:colOff>
      <xdr:row>56</xdr:row>
      <xdr:rowOff>19050</xdr:rowOff>
    </xdr:to>
    <xdr:pic>
      <xdr:nvPicPr>
        <xdr:cNvPr id="15" name="Picture 14">
          <a:extLst>
            <a:ext uri="{FF2B5EF4-FFF2-40B4-BE49-F238E27FC236}">
              <a16:creationId xmlns:a16="http://schemas.microsoft.com/office/drawing/2014/main" id="{0AFCC93A-178E-4999-A054-ECCFCCB8C4F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5372100" y="10048875"/>
          <a:ext cx="7110327" cy="2190750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219075</xdr:colOff>
      <xdr:row>1</xdr:row>
      <xdr:rowOff>247650</xdr:rowOff>
    </xdr:from>
    <xdr:to>
      <xdr:col>2</xdr:col>
      <xdr:colOff>361950</xdr:colOff>
      <xdr:row>1</xdr:row>
      <xdr:rowOff>400050</xdr:rowOff>
    </xdr:to>
    <xdr:sp macro="" textlink="">
      <xdr:nvSpPr>
        <xdr:cNvPr id="2" name="Object 3" hidden="1">
          <a:extLst>
            <a:ext uri="{63B3BB69-23CF-44E3-9099-C40C66FF867C}">
              <a14:compatExt xmlns:a14="http://schemas.microsoft.com/office/drawing/2010/main" spid="_x0000_s2051"/>
            </a:ex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SpPr/>
      </xdr:nvSpPr>
      <xdr:spPr bwMode="auto">
        <a:xfrm>
          <a:off x="3952875" y="3219450"/>
          <a:ext cx="142875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3</xdr:col>
      <xdr:colOff>0</xdr:colOff>
      <xdr:row>1</xdr:row>
      <xdr:rowOff>0</xdr:rowOff>
    </xdr:from>
    <xdr:to>
      <xdr:col>3</xdr:col>
      <xdr:colOff>1447800</xdr:colOff>
      <xdr:row>1</xdr:row>
      <xdr:rowOff>704850</xdr:rowOff>
    </xdr:to>
    <xdr:sp macro="" textlink="">
      <xdr:nvSpPr>
        <xdr:cNvPr id="3" name="Object 4" hidden="1">
          <a:extLst>
            <a:ext uri="{63B3BB69-23CF-44E3-9099-C40C66FF867C}">
              <a14:compatExt xmlns:a14="http://schemas.microsoft.com/office/drawing/2010/main" spid="_x0000_s2052"/>
            </a:ext>
            <a:ext uri="{FF2B5EF4-FFF2-40B4-BE49-F238E27FC236}">
              <a16:creationId xmlns:a16="http://schemas.microsoft.com/office/drawing/2014/main" id="{00000000-0008-0000-0300-000003000000}"/>
            </a:ext>
          </a:extLst>
        </xdr:cNvPr>
        <xdr:cNvSpPr/>
      </xdr:nvSpPr>
      <xdr:spPr bwMode="auto">
        <a:xfrm>
          <a:off x="4343400" y="3009900"/>
          <a:ext cx="120015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4</xdr:col>
      <xdr:colOff>0</xdr:colOff>
      <xdr:row>1</xdr:row>
      <xdr:rowOff>0</xdr:rowOff>
    </xdr:from>
    <xdr:to>
      <xdr:col>4</xdr:col>
      <xdr:colOff>1733550</xdr:colOff>
      <xdr:row>1</xdr:row>
      <xdr:rowOff>695325</xdr:rowOff>
    </xdr:to>
    <xdr:sp macro="" textlink="">
      <xdr:nvSpPr>
        <xdr:cNvPr id="4" name="Object 5" hidden="1">
          <a:extLst>
            <a:ext uri="{63B3BB69-23CF-44E3-9099-C40C66FF867C}">
              <a14:compatExt xmlns:a14="http://schemas.microsoft.com/office/drawing/2010/main" spid="_x0000_s2053"/>
            </a:ext>
            <a:ext uri="{FF2B5EF4-FFF2-40B4-BE49-F238E27FC236}">
              <a16:creationId xmlns:a16="http://schemas.microsoft.com/office/drawing/2014/main" id="{00000000-0008-0000-0300-000004000000}"/>
            </a:ext>
          </a:extLst>
        </xdr:cNvPr>
        <xdr:cNvSpPr/>
      </xdr:nvSpPr>
      <xdr:spPr bwMode="auto">
        <a:xfrm>
          <a:off x="5543550" y="3009900"/>
          <a:ext cx="714375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5</xdr:col>
      <xdr:colOff>0</xdr:colOff>
      <xdr:row>1</xdr:row>
      <xdr:rowOff>0</xdr:rowOff>
    </xdr:from>
    <xdr:to>
      <xdr:col>5</xdr:col>
      <xdr:colOff>2133600</xdr:colOff>
      <xdr:row>1</xdr:row>
      <xdr:rowOff>714375</xdr:rowOff>
    </xdr:to>
    <xdr:sp macro="" textlink="">
      <xdr:nvSpPr>
        <xdr:cNvPr id="5" name="Object 6" hidden="1">
          <a:extLst>
            <a:ext uri="{63B3BB69-23CF-44E3-9099-C40C66FF867C}">
              <a14:compatExt xmlns:a14="http://schemas.microsoft.com/office/drawing/2010/main" spid="_x0000_s2054"/>
            </a:ext>
            <a:ext uri="{FF2B5EF4-FFF2-40B4-BE49-F238E27FC236}">
              <a16:creationId xmlns:a16="http://schemas.microsoft.com/office/drawing/2014/main" id="{00000000-0008-0000-0300-000005000000}"/>
            </a:ext>
          </a:extLst>
        </xdr:cNvPr>
        <xdr:cNvSpPr/>
      </xdr:nvSpPr>
      <xdr:spPr bwMode="auto">
        <a:xfrm>
          <a:off x="6257925" y="3009900"/>
          <a:ext cx="6096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2</xdr:col>
      <xdr:colOff>219075</xdr:colOff>
      <xdr:row>1</xdr:row>
      <xdr:rowOff>247650</xdr:rowOff>
    </xdr:from>
    <xdr:to>
      <xdr:col>2</xdr:col>
      <xdr:colOff>361950</xdr:colOff>
      <xdr:row>1</xdr:row>
      <xdr:rowOff>400050</xdr:rowOff>
    </xdr:to>
    <xdr:pic>
      <xdr:nvPicPr>
        <xdr:cNvPr id="6" name="Picture 3">
          <a:extLst>
            <a:ext uri="{FF2B5EF4-FFF2-40B4-BE49-F238E27FC236}">
              <a16:creationId xmlns:a16="http://schemas.microsoft.com/office/drawing/2014/main" id="{00000000-0008-0000-0300-00000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52875" y="3219450"/>
          <a:ext cx="142875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3</xdr:col>
      <xdr:colOff>0</xdr:colOff>
      <xdr:row>1</xdr:row>
      <xdr:rowOff>0</xdr:rowOff>
    </xdr:from>
    <xdr:to>
      <xdr:col>3</xdr:col>
      <xdr:colOff>1447800</xdr:colOff>
      <xdr:row>1</xdr:row>
      <xdr:rowOff>704850</xdr:rowOff>
    </xdr:to>
    <xdr:pic>
      <xdr:nvPicPr>
        <xdr:cNvPr id="7" name="Picture 4">
          <a:extLst>
            <a:ext uri="{FF2B5EF4-FFF2-40B4-BE49-F238E27FC236}">
              <a16:creationId xmlns:a16="http://schemas.microsoft.com/office/drawing/2014/main" id="{00000000-0008-0000-0300-00000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343400" y="3009900"/>
          <a:ext cx="120015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4</xdr:col>
      <xdr:colOff>0</xdr:colOff>
      <xdr:row>1</xdr:row>
      <xdr:rowOff>0</xdr:rowOff>
    </xdr:from>
    <xdr:to>
      <xdr:col>4</xdr:col>
      <xdr:colOff>1733550</xdr:colOff>
      <xdr:row>1</xdr:row>
      <xdr:rowOff>695325</xdr:rowOff>
    </xdr:to>
    <xdr:pic>
      <xdr:nvPicPr>
        <xdr:cNvPr id="8" name="Picture 5">
          <a:extLst>
            <a:ext uri="{FF2B5EF4-FFF2-40B4-BE49-F238E27FC236}">
              <a16:creationId xmlns:a16="http://schemas.microsoft.com/office/drawing/2014/main" id="{00000000-0008-0000-0300-00000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43550" y="3009900"/>
          <a:ext cx="714375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1</xdr:row>
      <xdr:rowOff>0</xdr:rowOff>
    </xdr:from>
    <xdr:to>
      <xdr:col>5</xdr:col>
      <xdr:colOff>2133600</xdr:colOff>
      <xdr:row>1</xdr:row>
      <xdr:rowOff>714375</xdr:rowOff>
    </xdr:to>
    <xdr:pic>
      <xdr:nvPicPr>
        <xdr:cNvPr id="9" name="Picture 6">
          <a:extLst>
            <a:ext uri="{FF2B5EF4-FFF2-40B4-BE49-F238E27FC236}">
              <a16:creationId xmlns:a16="http://schemas.microsoft.com/office/drawing/2014/main" id="{00000000-0008-0000-0300-00000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257925" y="3009900"/>
          <a:ext cx="6096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476250</xdr:colOff>
      <xdr:row>30</xdr:row>
      <xdr:rowOff>57149</xdr:rowOff>
    </xdr:from>
    <xdr:to>
      <xdr:col>10</xdr:col>
      <xdr:colOff>558211</xdr:colOff>
      <xdr:row>48</xdr:row>
      <xdr:rowOff>47624</xdr:rowOff>
    </xdr:to>
    <xdr:pic>
      <xdr:nvPicPr>
        <xdr:cNvPr id="10" name="Content Placeholder 5">
          <a:extLst>
            <a:ext uri="{FF2B5EF4-FFF2-40B4-BE49-F238E27FC236}">
              <a16:creationId xmlns:a16="http://schemas.microsoft.com/office/drawing/2014/main" id="{00000000-0008-0000-0300-00000A000000}"/>
            </a:ext>
          </a:extLst>
        </xdr:cNvPr>
        <xdr:cNvPicPr>
          <a:picLocks noGrp="1"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085850" y="5076824"/>
          <a:ext cx="6730411" cy="3438525"/>
        </a:xfrm>
        <a:prstGeom prst="rect">
          <a:avLst/>
        </a:prstGeom>
      </xdr:spPr>
    </xdr:pic>
    <xdr:clientData/>
  </xdr:twoCellAnchor>
  <xdr:twoCellAnchor>
    <xdr:from>
      <xdr:col>2</xdr:col>
      <xdr:colOff>47625</xdr:colOff>
      <xdr:row>13</xdr:row>
      <xdr:rowOff>161925</xdr:rowOff>
    </xdr:from>
    <xdr:to>
      <xdr:col>26</xdr:col>
      <xdr:colOff>419100</xdr:colOff>
      <xdr:row>13</xdr:row>
      <xdr:rowOff>180975</xdr:rowOff>
    </xdr:to>
    <xdr:cxnSp macro="">
      <xdr:nvCxnSpPr>
        <xdr:cNvPr id="12" name="Straight Arrow Connector 11">
          <a:extLst>
            <a:ext uri="{FF2B5EF4-FFF2-40B4-BE49-F238E27FC236}">
              <a16:creationId xmlns:a16="http://schemas.microsoft.com/office/drawing/2014/main" id="{00000000-0008-0000-0300-00000C000000}"/>
            </a:ext>
          </a:extLst>
        </xdr:cNvPr>
        <xdr:cNvCxnSpPr/>
      </xdr:nvCxnSpPr>
      <xdr:spPr>
        <a:xfrm flipV="1">
          <a:off x="1266825" y="1943100"/>
          <a:ext cx="15001875" cy="1905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400050</xdr:colOff>
      <xdr:row>13</xdr:row>
      <xdr:rowOff>9525</xdr:rowOff>
    </xdr:from>
    <xdr:to>
      <xdr:col>16</xdr:col>
      <xdr:colOff>314325</xdr:colOff>
      <xdr:row>14</xdr:row>
      <xdr:rowOff>19050</xdr:rowOff>
    </xdr:to>
    <xdr:sp macro="" textlink="">
      <xdr:nvSpPr>
        <xdr:cNvPr id="13" name="Rounded Rectangle 12">
          <a:extLst>
            <a:ext uri="{FF2B5EF4-FFF2-40B4-BE49-F238E27FC236}">
              <a16:creationId xmlns:a16="http://schemas.microsoft.com/office/drawing/2014/main" id="{00000000-0008-0000-0300-00000D000000}"/>
            </a:ext>
          </a:extLst>
        </xdr:cNvPr>
        <xdr:cNvSpPr/>
      </xdr:nvSpPr>
      <xdr:spPr>
        <a:xfrm>
          <a:off x="8934450" y="1790700"/>
          <a:ext cx="1133475" cy="2000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20</a:t>
          </a:r>
        </a:p>
      </xdr:txBody>
    </xdr:sp>
    <xdr:clientData/>
  </xdr:twoCellAnchor>
  <xdr:twoCellAnchor editAs="oneCell">
    <xdr:from>
      <xdr:col>1</xdr:col>
      <xdr:colOff>314325</xdr:colOff>
      <xdr:row>15</xdr:row>
      <xdr:rowOff>38099</xdr:rowOff>
    </xdr:from>
    <xdr:to>
      <xdr:col>7</xdr:col>
      <xdr:colOff>31086</xdr:colOff>
      <xdr:row>28</xdr:row>
      <xdr:rowOff>35724</xdr:rowOff>
    </xdr:to>
    <xdr:pic>
      <xdr:nvPicPr>
        <xdr:cNvPr id="14" name="Picture 13">
          <a:extLst>
            <a:ext uri="{FF2B5EF4-FFF2-40B4-BE49-F238E27FC236}">
              <a16:creationId xmlns:a16="http://schemas.microsoft.com/office/drawing/2014/main" id="{00000000-0008-0000-0300-00000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23925" y="2200274"/>
          <a:ext cx="4022061" cy="2474125"/>
        </a:xfrm>
        <a:prstGeom prst="rect">
          <a:avLst/>
        </a:prstGeom>
      </xdr:spPr>
    </xdr:pic>
    <xdr:clientData/>
  </xdr:twoCellAnchor>
  <xdr:twoCellAnchor editAs="oneCell">
    <xdr:from>
      <xdr:col>20</xdr:col>
      <xdr:colOff>142875</xdr:colOff>
      <xdr:row>15</xdr:row>
      <xdr:rowOff>38099</xdr:rowOff>
    </xdr:from>
    <xdr:to>
      <xdr:col>26</xdr:col>
      <xdr:colOff>507336</xdr:colOff>
      <xdr:row>28</xdr:row>
      <xdr:rowOff>35724</xdr:rowOff>
    </xdr:to>
    <xdr:pic>
      <xdr:nvPicPr>
        <xdr:cNvPr id="15" name="Picture 14">
          <a:extLst>
            <a:ext uri="{FF2B5EF4-FFF2-40B4-BE49-F238E27FC236}">
              <a16:creationId xmlns:a16="http://schemas.microsoft.com/office/drawing/2014/main" id="{00000000-0008-0000-0300-00000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2334875" y="2200274"/>
          <a:ext cx="4022061" cy="2474125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601980</xdr:colOff>
      <xdr:row>32</xdr:row>
      <xdr:rowOff>137160</xdr:rowOff>
    </xdr:from>
    <xdr:to>
      <xdr:col>17</xdr:col>
      <xdr:colOff>366964</xdr:colOff>
      <xdr:row>50</xdr:row>
      <xdr:rowOff>30080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A6ACBCA2-5DA9-43DB-91A0-C353B462DA8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875020" y="6629400"/>
          <a:ext cx="5609524" cy="3200000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502920</xdr:colOff>
      <xdr:row>5</xdr:row>
      <xdr:rowOff>99060</xdr:rowOff>
    </xdr:from>
    <xdr:to>
      <xdr:col>8</xdr:col>
      <xdr:colOff>228600</xdr:colOff>
      <xdr:row>8</xdr:row>
      <xdr:rowOff>137160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BF75F5AD-4F97-4D54-AB5C-FB6DA9F827F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l="1764" r="1398"/>
        <a:stretch/>
      </xdr:blipFill>
      <xdr:spPr>
        <a:xfrm>
          <a:off x="502920" y="1013460"/>
          <a:ext cx="4602480" cy="586740"/>
        </a:xfrm>
        <a:prstGeom prst="rect">
          <a:avLst/>
        </a:prstGeom>
      </xdr:spPr>
    </xdr:pic>
    <xdr:clientData/>
  </xdr:twoCellAnchor>
  <xdr:twoCellAnchor>
    <xdr:from>
      <xdr:col>0</xdr:col>
      <xdr:colOff>541020</xdr:colOff>
      <xdr:row>4</xdr:row>
      <xdr:rowOff>160020</xdr:rowOff>
    </xdr:from>
    <xdr:to>
      <xdr:col>4</xdr:col>
      <xdr:colOff>388620</xdr:colOff>
      <xdr:row>5</xdr:row>
      <xdr:rowOff>0</xdr:rowOff>
    </xdr:to>
    <xdr:cxnSp macro="">
      <xdr:nvCxnSpPr>
        <xdr:cNvPr id="6" name="Straight Arrow Connector 5">
          <a:extLst>
            <a:ext uri="{FF2B5EF4-FFF2-40B4-BE49-F238E27FC236}">
              <a16:creationId xmlns:a16="http://schemas.microsoft.com/office/drawing/2014/main" id="{2B67B1CC-648E-4FA4-862D-0E57C5CE1E3A}"/>
            </a:ext>
          </a:extLst>
        </xdr:cNvPr>
        <xdr:cNvCxnSpPr/>
      </xdr:nvCxnSpPr>
      <xdr:spPr>
        <a:xfrm>
          <a:off x="541020" y="891540"/>
          <a:ext cx="2286000" cy="2286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121920</xdr:colOff>
      <xdr:row>4</xdr:row>
      <xdr:rowOff>22860</xdr:rowOff>
    </xdr:from>
    <xdr:to>
      <xdr:col>3</xdr:col>
      <xdr:colOff>60960</xdr:colOff>
      <xdr:row>5</xdr:row>
      <xdr:rowOff>106680</xdr:rowOff>
    </xdr:to>
    <xdr:sp macro="" textlink="">
      <xdr:nvSpPr>
        <xdr:cNvPr id="8" name="Rectangle: Rounded Corners 7">
          <a:extLst>
            <a:ext uri="{FF2B5EF4-FFF2-40B4-BE49-F238E27FC236}">
              <a16:creationId xmlns:a16="http://schemas.microsoft.com/office/drawing/2014/main" id="{A9C5DBF3-DFBE-4335-A57D-2F86C8702FA2}"/>
            </a:ext>
          </a:extLst>
        </xdr:cNvPr>
        <xdr:cNvSpPr/>
      </xdr:nvSpPr>
      <xdr:spPr>
        <a:xfrm>
          <a:off x="1341120" y="754380"/>
          <a:ext cx="548640" cy="2667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5</a:t>
          </a:r>
          <a:r>
            <a:rPr lang="en-US" sz="1100" baseline="0"/>
            <a:t> ms</a:t>
          </a:r>
          <a:endParaRPr lang="en-US" sz="1100"/>
        </a:p>
      </xdr:txBody>
    </xdr:sp>
    <xdr:clientData/>
  </xdr:twoCellAnchor>
  <xdr:twoCellAnchor>
    <xdr:from>
      <xdr:col>4</xdr:col>
      <xdr:colOff>388620</xdr:colOff>
      <xdr:row>5</xdr:row>
      <xdr:rowOff>0</xdr:rowOff>
    </xdr:from>
    <xdr:to>
      <xdr:col>8</xdr:col>
      <xdr:colOff>236220</xdr:colOff>
      <xdr:row>5</xdr:row>
      <xdr:rowOff>22860</xdr:rowOff>
    </xdr:to>
    <xdr:cxnSp macro="">
      <xdr:nvCxnSpPr>
        <xdr:cNvPr id="9" name="Straight Arrow Connector 8">
          <a:extLst>
            <a:ext uri="{FF2B5EF4-FFF2-40B4-BE49-F238E27FC236}">
              <a16:creationId xmlns:a16="http://schemas.microsoft.com/office/drawing/2014/main" id="{957972F6-E4ED-4F4A-8BBA-0667188F260F}"/>
            </a:ext>
          </a:extLst>
        </xdr:cNvPr>
        <xdr:cNvCxnSpPr/>
      </xdr:nvCxnSpPr>
      <xdr:spPr>
        <a:xfrm>
          <a:off x="2827020" y="914400"/>
          <a:ext cx="2286000" cy="2286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579120</xdr:colOff>
      <xdr:row>4</xdr:row>
      <xdr:rowOff>45720</xdr:rowOff>
    </xdr:from>
    <xdr:to>
      <xdr:col>6</xdr:col>
      <xdr:colOff>518160</xdr:colOff>
      <xdr:row>5</xdr:row>
      <xdr:rowOff>129540</xdr:rowOff>
    </xdr:to>
    <xdr:sp macro="" textlink="">
      <xdr:nvSpPr>
        <xdr:cNvPr id="10" name="Rectangle: Rounded Corners 9">
          <a:extLst>
            <a:ext uri="{FF2B5EF4-FFF2-40B4-BE49-F238E27FC236}">
              <a16:creationId xmlns:a16="http://schemas.microsoft.com/office/drawing/2014/main" id="{F2909BC4-C244-42A1-ADA0-51BC810977F3}"/>
            </a:ext>
          </a:extLst>
        </xdr:cNvPr>
        <xdr:cNvSpPr/>
      </xdr:nvSpPr>
      <xdr:spPr>
        <a:xfrm>
          <a:off x="3627120" y="777240"/>
          <a:ext cx="548640" cy="2667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5</a:t>
          </a:r>
          <a:r>
            <a:rPr lang="en-US" sz="1100" baseline="0"/>
            <a:t> ms</a:t>
          </a:r>
          <a:endParaRPr lang="en-US" sz="1100"/>
        </a:p>
      </xdr:txBody>
    </xdr:sp>
    <xdr:clientData/>
  </xdr:twoCellAnchor>
  <xdr:oneCellAnchor>
    <xdr:from>
      <xdr:col>0</xdr:col>
      <xdr:colOff>502920</xdr:colOff>
      <xdr:row>5</xdr:row>
      <xdr:rowOff>99060</xdr:rowOff>
    </xdr:from>
    <xdr:ext cx="4602480" cy="586740"/>
    <xdr:pic>
      <xdr:nvPicPr>
        <xdr:cNvPr id="11" name="Picture 10">
          <a:extLst>
            <a:ext uri="{FF2B5EF4-FFF2-40B4-BE49-F238E27FC236}">
              <a16:creationId xmlns:a16="http://schemas.microsoft.com/office/drawing/2014/main" id="{1CAA163F-3D28-4329-BC2E-E96F28A2573B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l="1764" r="1398"/>
        <a:stretch/>
      </xdr:blipFill>
      <xdr:spPr>
        <a:xfrm>
          <a:off x="502920" y="1013460"/>
          <a:ext cx="4602480" cy="586740"/>
        </a:xfrm>
        <a:prstGeom prst="rect">
          <a:avLst/>
        </a:prstGeom>
      </xdr:spPr>
    </xdr:pic>
    <xdr:clientData/>
  </xdr:oneCellAnchor>
  <xdr:twoCellAnchor>
    <xdr:from>
      <xdr:col>0</xdr:col>
      <xdr:colOff>541020</xdr:colOff>
      <xdr:row>4</xdr:row>
      <xdr:rowOff>160020</xdr:rowOff>
    </xdr:from>
    <xdr:to>
      <xdr:col>4</xdr:col>
      <xdr:colOff>388620</xdr:colOff>
      <xdr:row>5</xdr:row>
      <xdr:rowOff>0</xdr:rowOff>
    </xdr:to>
    <xdr:cxnSp macro="">
      <xdr:nvCxnSpPr>
        <xdr:cNvPr id="12" name="Straight Arrow Connector 11">
          <a:extLst>
            <a:ext uri="{FF2B5EF4-FFF2-40B4-BE49-F238E27FC236}">
              <a16:creationId xmlns:a16="http://schemas.microsoft.com/office/drawing/2014/main" id="{A5D26F7E-AE7F-43C8-942F-F09A2CB7C9CF}"/>
            </a:ext>
          </a:extLst>
        </xdr:cNvPr>
        <xdr:cNvCxnSpPr/>
      </xdr:nvCxnSpPr>
      <xdr:spPr>
        <a:xfrm>
          <a:off x="541020" y="891540"/>
          <a:ext cx="2286000" cy="2286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121920</xdr:colOff>
      <xdr:row>4</xdr:row>
      <xdr:rowOff>22860</xdr:rowOff>
    </xdr:from>
    <xdr:to>
      <xdr:col>3</xdr:col>
      <xdr:colOff>60960</xdr:colOff>
      <xdr:row>5</xdr:row>
      <xdr:rowOff>106680</xdr:rowOff>
    </xdr:to>
    <xdr:sp macro="" textlink="">
      <xdr:nvSpPr>
        <xdr:cNvPr id="13" name="Rectangle: Rounded Corners 12">
          <a:extLst>
            <a:ext uri="{FF2B5EF4-FFF2-40B4-BE49-F238E27FC236}">
              <a16:creationId xmlns:a16="http://schemas.microsoft.com/office/drawing/2014/main" id="{10809117-1FB2-4808-8722-6852B302DBC7}"/>
            </a:ext>
          </a:extLst>
        </xdr:cNvPr>
        <xdr:cNvSpPr/>
      </xdr:nvSpPr>
      <xdr:spPr>
        <a:xfrm>
          <a:off x="1341120" y="754380"/>
          <a:ext cx="548640" cy="2667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5</a:t>
          </a:r>
          <a:r>
            <a:rPr lang="en-US" sz="1100" baseline="0"/>
            <a:t> ms</a:t>
          </a:r>
          <a:endParaRPr lang="en-US" sz="1100"/>
        </a:p>
      </xdr:txBody>
    </xdr:sp>
    <xdr:clientData/>
  </xdr:twoCellAnchor>
  <xdr:twoCellAnchor>
    <xdr:from>
      <xdr:col>4</xdr:col>
      <xdr:colOff>388620</xdr:colOff>
      <xdr:row>5</xdr:row>
      <xdr:rowOff>0</xdr:rowOff>
    </xdr:from>
    <xdr:to>
      <xdr:col>8</xdr:col>
      <xdr:colOff>236220</xdr:colOff>
      <xdr:row>5</xdr:row>
      <xdr:rowOff>22860</xdr:rowOff>
    </xdr:to>
    <xdr:cxnSp macro="">
      <xdr:nvCxnSpPr>
        <xdr:cNvPr id="14" name="Straight Arrow Connector 13">
          <a:extLst>
            <a:ext uri="{FF2B5EF4-FFF2-40B4-BE49-F238E27FC236}">
              <a16:creationId xmlns:a16="http://schemas.microsoft.com/office/drawing/2014/main" id="{C5FDBBA6-A06C-4609-AAC4-74BF68BF1356}"/>
            </a:ext>
          </a:extLst>
        </xdr:cNvPr>
        <xdr:cNvCxnSpPr/>
      </xdr:nvCxnSpPr>
      <xdr:spPr>
        <a:xfrm>
          <a:off x="2827020" y="914400"/>
          <a:ext cx="2286000" cy="2286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579120</xdr:colOff>
      <xdr:row>4</xdr:row>
      <xdr:rowOff>45720</xdr:rowOff>
    </xdr:from>
    <xdr:to>
      <xdr:col>6</xdr:col>
      <xdr:colOff>518160</xdr:colOff>
      <xdr:row>5</xdr:row>
      <xdr:rowOff>129540</xdr:rowOff>
    </xdr:to>
    <xdr:sp macro="" textlink="">
      <xdr:nvSpPr>
        <xdr:cNvPr id="15" name="Rectangle: Rounded Corners 14">
          <a:extLst>
            <a:ext uri="{FF2B5EF4-FFF2-40B4-BE49-F238E27FC236}">
              <a16:creationId xmlns:a16="http://schemas.microsoft.com/office/drawing/2014/main" id="{C81D2BAF-9D3A-466C-A88A-273CD1D40F50}"/>
            </a:ext>
          </a:extLst>
        </xdr:cNvPr>
        <xdr:cNvSpPr/>
      </xdr:nvSpPr>
      <xdr:spPr>
        <a:xfrm>
          <a:off x="3627120" y="777240"/>
          <a:ext cx="548640" cy="2667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5</a:t>
          </a:r>
          <a:r>
            <a:rPr lang="en-US" sz="1100" baseline="0"/>
            <a:t> ms</a:t>
          </a:r>
          <a:endParaRPr lang="en-US" sz="1100"/>
        </a:p>
      </xdr:txBody>
    </xdr:sp>
    <xdr:clientData/>
  </xdr:twoCellAnchor>
  <xdr:oneCellAnchor>
    <xdr:from>
      <xdr:col>8</xdr:col>
      <xdr:colOff>236220</xdr:colOff>
      <xdr:row>5</xdr:row>
      <xdr:rowOff>114300</xdr:rowOff>
    </xdr:from>
    <xdr:ext cx="4602480" cy="586740"/>
    <xdr:pic>
      <xdr:nvPicPr>
        <xdr:cNvPr id="16" name="Picture 15">
          <a:extLst>
            <a:ext uri="{FF2B5EF4-FFF2-40B4-BE49-F238E27FC236}">
              <a16:creationId xmlns:a16="http://schemas.microsoft.com/office/drawing/2014/main" id="{0A576238-76C4-48F3-A64D-68E1A2DAF042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l="1764" r="1398"/>
        <a:stretch/>
      </xdr:blipFill>
      <xdr:spPr>
        <a:xfrm>
          <a:off x="5113020" y="1028700"/>
          <a:ext cx="4602480" cy="586740"/>
        </a:xfrm>
        <a:prstGeom prst="rect">
          <a:avLst/>
        </a:prstGeom>
      </xdr:spPr>
    </xdr:pic>
    <xdr:clientData/>
  </xdr:oneCellAnchor>
  <xdr:twoCellAnchor>
    <xdr:from>
      <xdr:col>8</xdr:col>
      <xdr:colOff>274320</xdr:colOff>
      <xdr:row>4</xdr:row>
      <xdr:rowOff>175260</xdr:rowOff>
    </xdr:from>
    <xdr:to>
      <xdr:col>12</xdr:col>
      <xdr:colOff>121920</xdr:colOff>
      <xdr:row>5</xdr:row>
      <xdr:rowOff>15240</xdr:rowOff>
    </xdr:to>
    <xdr:cxnSp macro="">
      <xdr:nvCxnSpPr>
        <xdr:cNvPr id="17" name="Straight Arrow Connector 16">
          <a:extLst>
            <a:ext uri="{FF2B5EF4-FFF2-40B4-BE49-F238E27FC236}">
              <a16:creationId xmlns:a16="http://schemas.microsoft.com/office/drawing/2014/main" id="{00771A65-BB44-4D38-9D3F-7058C25EBE2A}"/>
            </a:ext>
          </a:extLst>
        </xdr:cNvPr>
        <xdr:cNvCxnSpPr/>
      </xdr:nvCxnSpPr>
      <xdr:spPr>
        <a:xfrm>
          <a:off x="5151120" y="906780"/>
          <a:ext cx="2286000" cy="2286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464820</xdr:colOff>
      <xdr:row>4</xdr:row>
      <xdr:rowOff>38100</xdr:rowOff>
    </xdr:from>
    <xdr:to>
      <xdr:col>10</xdr:col>
      <xdr:colOff>403860</xdr:colOff>
      <xdr:row>5</xdr:row>
      <xdr:rowOff>121920</xdr:rowOff>
    </xdr:to>
    <xdr:sp macro="" textlink="">
      <xdr:nvSpPr>
        <xdr:cNvPr id="18" name="Rectangle: Rounded Corners 17">
          <a:extLst>
            <a:ext uri="{FF2B5EF4-FFF2-40B4-BE49-F238E27FC236}">
              <a16:creationId xmlns:a16="http://schemas.microsoft.com/office/drawing/2014/main" id="{E91324FD-223E-46A1-961B-D95629A5BF13}"/>
            </a:ext>
          </a:extLst>
        </xdr:cNvPr>
        <xdr:cNvSpPr/>
      </xdr:nvSpPr>
      <xdr:spPr>
        <a:xfrm>
          <a:off x="5951220" y="769620"/>
          <a:ext cx="548640" cy="2667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5</a:t>
          </a:r>
          <a:r>
            <a:rPr lang="en-US" sz="1100" baseline="0"/>
            <a:t> ms</a:t>
          </a:r>
          <a:endParaRPr lang="en-US" sz="1100"/>
        </a:p>
      </xdr:txBody>
    </xdr:sp>
    <xdr:clientData/>
  </xdr:twoCellAnchor>
  <xdr:twoCellAnchor>
    <xdr:from>
      <xdr:col>12</xdr:col>
      <xdr:colOff>121920</xdr:colOff>
      <xdr:row>5</xdr:row>
      <xdr:rowOff>15240</xdr:rowOff>
    </xdr:from>
    <xdr:to>
      <xdr:col>15</xdr:col>
      <xdr:colOff>579120</xdr:colOff>
      <xdr:row>5</xdr:row>
      <xdr:rowOff>38100</xdr:rowOff>
    </xdr:to>
    <xdr:cxnSp macro="">
      <xdr:nvCxnSpPr>
        <xdr:cNvPr id="19" name="Straight Arrow Connector 18">
          <a:extLst>
            <a:ext uri="{FF2B5EF4-FFF2-40B4-BE49-F238E27FC236}">
              <a16:creationId xmlns:a16="http://schemas.microsoft.com/office/drawing/2014/main" id="{48B32870-26EE-4768-9CE1-7DFE23E5E44F}"/>
            </a:ext>
          </a:extLst>
        </xdr:cNvPr>
        <xdr:cNvCxnSpPr/>
      </xdr:nvCxnSpPr>
      <xdr:spPr>
        <a:xfrm>
          <a:off x="7437120" y="929640"/>
          <a:ext cx="2286000" cy="2286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312420</xdr:colOff>
      <xdr:row>4</xdr:row>
      <xdr:rowOff>60960</xdr:rowOff>
    </xdr:from>
    <xdr:to>
      <xdr:col>14</xdr:col>
      <xdr:colOff>251460</xdr:colOff>
      <xdr:row>5</xdr:row>
      <xdr:rowOff>144780</xdr:rowOff>
    </xdr:to>
    <xdr:sp macro="" textlink="">
      <xdr:nvSpPr>
        <xdr:cNvPr id="20" name="Rectangle: Rounded Corners 19">
          <a:extLst>
            <a:ext uri="{FF2B5EF4-FFF2-40B4-BE49-F238E27FC236}">
              <a16:creationId xmlns:a16="http://schemas.microsoft.com/office/drawing/2014/main" id="{0064EAA5-3EC2-4166-B941-7F44EA3DC0FD}"/>
            </a:ext>
          </a:extLst>
        </xdr:cNvPr>
        <xdr:cNvSpPr/>
      </xdr:nvSpPr>
      <xdr:spPr>
        <a:xfrm>
          <a:off x="8237220" y="792480"/>
          <a:ext cx="548640" cy="2667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5</a:t>
          </a:r>
          <a:r>
            <a:rPr lang="en-US" sz="1100" baseline="0"/>
            <a:t> ms</a:t>
          </a:r>
          <a:endParaRPr lang="en-US" sz="1100"/>
        </a:p>
      </xdr:txBody>
    </xdr:sp>
    <xdr:clientData/>
  </xdr:twoCellAnchor>
  <xdr:oneCellAnchor>
    <xdr:from>
      <xdr:col>15</xdr:col>
      <xdr:colOff>594360</xdr:colOff>
      <xdr:row>5</xdr:row>
      <xdr:rowOff>137160</xdr:rowOff>
    </xdr:from>
    <xdr:ext cx="4602480" cy="586740"/>
    <xdr:pic>
      <xdr:nvPicPr>
        <xdr:cNvPr id="21" name="Picture 20">
          <a:extLst>
            <a:ext uri="{FF2B5EF4-FFF2-40B4-BE49-F238E27FC236}">
              <a16:creationId xmlns:a16="http://schemas.microsoft.com/office/drawing/2014/main" id="{4527CDD3-C138-4BEE-8669-B68119B0F541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l="1764" r="1398"/>
        <a:stretch/>
      </xdr:blipFill>
      <xdr:spPr>
        <a:xfrm>
          <a:off x="9738360" y="1051560"/>
          <a:ext cx="4602480" cy="586740"/>
        </a:xfrm>
        <a:prstGeom prst="rect">
          <a:avLst/>
        </a:prstGeom>
      </xdr:spPr>
    </xdr:pic>
    <xdr:clientData/>
  </xdr:oneCellAnchor>
  <xdr:twoCellAnchor>
    <xdr:from>
      <xdr:col>16</xdr:col>
      <xdr:colOff>22860</xdr:colOff>
      <xdr:row>5</xdr:row>
      <xdr:rowOff>15240</xdr:rowOff>
    </xdr:from>
    <xdr:to>
      <xdr:col>19</xdr:col>
      <xdr:colOff>480060</xdr:colOff>
      <xdr:row>5</xdr:row>
      <xdr:rowOff>38100</xdr:rowOff>
    </xdr:to>
    <xdr:cxnSp macro="">
      <xdr:nvCxnSpPr>
        <xdr:cNvPr id="22" name="Straight Arrow Connector 21">
          <a:extLst>
            <a:ext uri="{FF2B5EF4-FFF2-40B4-BE49-F238E27FC236}">
              <a16:creationId xmlns:a16="http://schemas.microsoft.com/office/drawing/2014/main" id="{6CAA4ABF-44A4-463D-9449-38EC56F1CDEA}"/>
            </a:ext>
          </a:extLst>
        </xdr:cNvPr>
        <xdr:cNvCxnSpPr/>
      </xdr:nvCxnSpPr>
      <xdr:spPr>
        <a:xfrm>
          <a:off x="9776460" y="929640"/>
          <a:ext cx="2286000" cy="2286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213360</xdr:colOff>
      <xdr:row>4</xdr:row>
      <xdr:rowOff>60960</xdr:rowOff>
    </xdr:from>
    <xdr:to>
      <xdr:col>18</xdr:col>
      <xdr:colOff>152400</xdr:colOff>
      <xdr:row>5</xdr:row>
      <xdr:rowOff>144780</xdr:rowOff>
    </xdr:to>
    <xdr:sp macro="" textlink="">
      <xdr:nvSpPr>
        <xdr:cNvPr id="23" name="Rectangle: Rounded Corners 22">
          <a:extLst>
            <a:ext uri="{FF2B5EF4-FFF2-40B4-BE49-F238E27FC236}">
              <a16:creationId xmlns:a16="http://schemas.microsoft.com/office/drawing/2014/main" id="{1255DE9F-3E5D-41C4-B750-D7989A702316}"/>
            </a:ext>
          </a:extLst>
        </xdr:cNvPr>
        <xdr:cNvSpPr/>
      </xdr:nvSpPr>
      <xdr:spPr>
        <a:xfrm>
          <a:off x="10576560" y="792480"/>
          <a:ext cx="548640" cy="2667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5</a:t>
          </a:r>
          <a:r>
            <a:rPr lang="en-US" sz="1100" baseline="0"/>
            <a:t> ms</a:t>
          </a:r>
          <a:endParaRPr lang="en-US" sz="1100"/>
        </a:p>
      </xdr:txBody>
    </xdr:sp>
    <xdr:clientData/>
  </xdr:twoCellAnchor>
  <xdr:twoCellAnchor>
    <xdr:from>
      <xdr:col>19</xdr:col>
      <xdr:colOff>480060</xdr:colOff>
      <xdr:row>5</xdr:row>
      <xdr:rowOff>38100</xdr:rowOff>
    </xdr:from>
    <xdr:to>
      <xdr:col>23</xdr:col>
      <xdr:colOff>327660</xdr:colOff>
      <xdr:row>5</xdr:row>
      <xdr:rowOff>60960</xdr:rowOff>
    </xdr:to>
    <xdr:cxnSp macro="">
      <xdr:nvCxnSpPr>
        <xdr:cNvPr id="24" name="Straight Arrow Connector 23">
          <a:extLst>
            <a:ext uri="{FF2B5EF4-FFF2-40B4-BE49-F238E27FC236}">
              <a16:creationId xmlns:a16="http://schemas.microsoft.com/office/drawing/2014/main" id="{5F009E14-612B-48B7-99CE-CAE650964837}"/>
            </a:ext>
          </a:extLst>
        </xdr:cNvPr>
        <xdr:cNvCxnSpPr/>
      </xdr:nvCxnSpPr>
      <xdr:spPr>
        <a:xfrm>
          <a:off x="12062460" y="952500"/>
          <a:ext cx="2286000" cy="2286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60960</xdr:colOff>
      <xdr:row>4</xdr:row>
      <xdr:rowOff>83820</xdr:rowOff>
    </xdr:from>
    <xdr:to>
      <xdr:col>22</xdr:col>
      <xdr:colOff>0</xdr:colOff>
      <xdr:row>5</xdr:row>
      <xdr:rowOff>167640</xdr:rowOff>
    </xdr:to>
    <xdr:sp macro="" textlink="">
      <xdr:nvSpPr>
        <xdr:cNvPr id="25" name="Rectangle: Rounded Corners 24">
          <a:extLst>
            <a:ext uri="{FF2B5EF4-FFF2-40B4-BE49-F238E27FC236}">
              <a16:creationId xmlns:a16="http://schemas.microsoft.com/office/drawing/2014/main" id="{2C0883F9-32C1-496E-9CE4-F7CC56FBDBE4}"/>
            </a:ext>
          </a:extLst>
        </xdr:cNvPr>
        <xdr:cNvSpPr/>
      </xdr:nvSpPr>
      <xdr:spPr>
        <a:xfrm>
          <a:off x="12862560" y="815340"/>
          <a:ext cx="548640" cy="2667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5</a:t>
          </a:r>
          <a:r>
            <a:rPr lang="en-US" sz="1100" baseline="0"/>
            <a:t> ms</a:t>
          </a:r>
          <a:endParaRPr lang="en-US" sz="1100"/>
        </a:p>
      </xdr:txBody>
    </xdr:sp>
    <xdr:clientData/>
  </xdr:twoCellAnchor>
  <xdr:oneCellAnchor>
    <xdr:from>
      <xdr:col>15</xdr:col>
      <xdr:colOff>594360</xdr:colOff>
      <xdr:row>5</xdr:row>
      <xdr:rowOff>128451</xdr:rowOff>
    </xdr:from>
    <xdr:ext cx="4602480" cy="586740"/>
    <xdr:pic>
      <xdr:nvPicPr>
        <xdr:cNvPr id="26" name="Picture 25">
          <a:extLst>
            <a:ext uri="{FF2B5EF4-FFF2-40B4-BE49-F238E27FC236}">
              <a16:creationId xmlns:a16="http://schemas.microsoft.com/office/drawing/2014/main" id="{56E65D4B-1986-4A18-827F-A8E68C05E1EF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l="1764" r="1398"/>
        <a:stretch/>
      </xdr:blipFill>
      <xdr:spPr>
        <a:xfrm>
          <a:off x="9738360" y="1053737"/>
          <a:ext cx="4602480" cy="586740"/>
        </a:xfrm>
        <a:prstGeom prst="rect">
          <a:avLst/>
        </a:prstGeom>
      </xdr:spPr>
    </xdr:pic>
    <xdr:clientData/>
  </xdr:oneCellAnchor>
  <xdr:twoCellAnchor>
    <xdr:from>
      <xdr:col>16</xdr:col>
      <xdr:colOff>22860</xdr:colOff>
      <xdr:row>5</xdr:row>
      <xdr:rowOff>4354</xdr:rowOff>
    </xdr:from>
    <xdr:to>
      <xdr:col>19</xdr:col>
      <xdr:colOff>480060</xdr:colOff>
      <xdr:row>5</xdr:row>
      <xdr:rowOff>29391</xdr:rowOff>
    </xdr:to>
    <xdr:cxnSp macro="">
      <xdr:nvCxnSpPr>
        <xdr:cNvPr id="27" name="Straight Arrow Connector 26">
          <a:extLst>
            <a:ext uri="{FF2B5EF4-FFF2-40B4-BE49-F238E27FC236}">
              <a16:creationId xmlns:a16="http://schemas.microsoft.com/office/drawing/2014/main" id="{613203D1-2922-41D4-8B37-9890A4B1A20B}"/>
            </a:ext>
          </a:extLst>
        </xdr:cNvPr>
        <xdr:cNvCxnSpPr/>
      </xdr:nvCxnSpPr>
      <xdr:spPr>
        <a:xfrm>
          <a:off x="9776460" y="929640"/>
          <a:ext cx="2286000" cy="25037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213360</xdr:colOff>
      <xdr:row>4</xdr:row>
      <xdr:rowOff>52251</xdr:rowOff>
    </xdr:from>
    <xdr:to>
      <xdr:col>18</xdr:col>
      <xdr:colOff>152400</xdr:colOff>
      <xdr:row>5</xdr:row>
      <xdr:rowOff>136071</xdr:rowOff>
    </xdr:to>
    <xdr:sp macro="" textlink="">
      <xdr:nvSpPr>
        <xdr:cNvPr id="28" name="Rectangle: Rounded Corners 27">
          <a:extLst>
            <a:ext uri="{FF2B5EF4-FFF2-40B4-BE49-F238E27FC236}">
              <a16:creationId xmlns:a16="http://schemas.microsoft.com/office/drawing/2014/main" id="{D324E865-5CC5-4139-A9AA-2BDDA2F01B9E}"/>
            </a:ext>
          </a:extLst>
        </xdr:cNvPr>
        <xdr:cNvSpPr/>
      </xdr:nvSpPr>
      <xdr:spPr>
        <a:xfrm>
          <a:off x="10576560" y="792480"/>
          <a:ext cx="548640" cy="268877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5</a:t>
          </a:r>
          <a:r>
            <a:rPr lang="en-US" sz="1100" baseline="0"/>
            <a:t> ms</a:t>
          </a:r>
          <a:endParaRPr lang="en-US" sz="1100"/>
        </a:p>
      </xdr:txBody>
    </xdr:sp>
    <xdr:clientData/>
  </xdr:twoCellAnchor>
  <xdr:twoCellAnchor>
    <xdr:from>
      <xdr:col>19</xdr:col>
      <xdr:colOff>480060</xdr:colOff>
      <xdr:row>5</xdr:row>
      <xdr:rowOff>29391</xdr:rowOff>
    </xdr:from>
    <xdr:to>
      <xdr:col>23</xdr:col>
      <xdr:colOff>327660</xdr:colOff>
      <xdr:row>5</xdr:row>
      <xdr:rowOff>52251</xdr:rowOff>
    </xdr:to>
    <xdr:cxnSp macro="">
      <xdr:nvCxnSpPr>
        <xdr:cNvPr id="29" name="Straight Arrow Connector 28">
          <a:extLst>
            <a:ext uri="{FF2B5EF4-FFF2-40B4-BE49-F238E27FC236}">
              <a16:creationId xmlns:a16="http://schemas.microsoft.com/office/drawing/2014/main" id="{9491CABE-9EC6-49B3-9087-B95AD098A6B1}"/>
            </a:ext>
          </a:extLst>
        </xdr:cNvPr>
        <xdr:cNvCxnSpPr/>
      </xdr:nvCxnSpPr>
      <xdr:spPr>
        <a:xfrm>
          <a:off x="12062460" y="954677"/>
          <a:ext cx="2286000" cy="2286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60960</xdr:colOff>
      <xdr:row>4</xdr:row>
      <xdr:rowOff>75111</xdr:rowOff>
    </xdr:from>
    <xdr:to>
      <xdr:col>22</xdr:col>
      <xdr:colOff>0</xdr:colOff>
      <xdr:row>5</xdr:row>
      <xdr:rowOff>158931</xdr:rowOff>
    </xdr:to>
    <xdr:sp macro="" textlink="">
      <xdr:nvSpPr>
        <xdr:cNvPr id="30" name="Rectangle: Rounded Corners 29">
          <a:extLst>
            <a:ext uri="{FF2B5EF4-FFF2-40B4-BE49-F238E27FC236}">
              <a16:creationId xmlns:a16="http://schemas.microsoft.com/office/drawing/2014/main" id="{6810D218-4ADC-4FB0-89F3-6B6869F008F2}"/>
            </a:ext>
          </a:extLst>
        </xdr:cNvPr>
        <xdr:cNvSpPr/>
      </xdr:nvSpPr>
      <xdr:spPr>
        <a:xfrm>
          <a:off x="12862560" y="815340"/>
          <a:ext cx="548640" cy="268877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5</a:t>
          </a:r>
          <a:r>
            <a:rPr lang="en-US" sz="1100" baseline="0"/>
            <a:t> ms</a:t>
          </a:r>
          <a:endParaRPr lang="en-US" sz="1100"/>
        </a:p>
      </xdr:txBody>
    </xdr:sp>
    <xdr:clientData/>
  </xdr:twoCellAnchor>
  <xdr:oneCellAnchor>
    <xdr:from>
      <xdr:col>23</xdr:col>
      <xdr:colOff>359229</xdr:colOff>
      <xdr:row>5</xdr:row>
      <xdr:rowOff>163284</xdr:rowOff>
    </xdr:from>
    <xdr:ext cx="4602480" cy="586740"/>
    <xdr:pic>
      <xdr:nvPicPr>
        <xdr:cNvPr id="31" name="Picture 30">
          <a:extLst>
            <a:ext uri="{FF2B5EF4-FFF2-40B4-BE49-F238E27FC236}">
              <a16:creationId xmlns:a16="http://schemas.microsoft.com/office/drawing/2014/main" id="{727B53C6-AAE1-4B05-A6FE-4DD2B906C4C6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l="1764" r="1398"/>
        <a:stretch/>
      </xdr:blipFill>
      <xdr:spPr>
        <a:xfrm>
          <a:off x="14380029" y="1088570"/>
          <a:ext cx="4602480" cy="586740"/>
        </a:xfrm>
        <a:prstGeom prst="rect">
          <a:avLst/>
        </a:prstGeom>
      </xdr:spPr>
    </xdr:pic>
    <xdr:clientData/>
  </xdr:oneCellAnchor>
  <xdr:twoCellAnchor>
    <xdr:from>
      <xdr:col>23</xdr:col>
      <xdr:colOff>397329</xdr:colOff>
      <xdr:row>5</xdr:row>
      <xdr:rowOff>39187</xdr:rowOff>
    </xdr:from>
    <xdr:to>
      <xdr:col>27</xdr:col>
      <xdr:colOff>244929</xdr:colOff>
      <xdr:row>5</xdr:row>
      <xdr:rowOff>64224</xdr:rowOff>
    </xdr:to>
    <xdr:cxnSp macro="">
      <xdr:nvCxnSpPr>
        <xdr:cNvPr id="32" name="Straight Arrow Connector 31">
          <a:extLst>
            <a:ext uri="{FF2B5EF4-FFF2-40B4-BE49-F238E27FC236}">
              <a16:creationId xmlns:a16="http://schemas.microsoft.com/office/drawing/2014/main" id="{E084EE14-CB14-468D-8CEB-6471E403028F}"/>
            </a:ext>
          </a:extLst>
        </xdr:cNvPr>
        <xdr:cNvCxnSpPr/>
      </xdr:nvCxnSpPr>
      <xdr:spPr>
        <a:xfrm>
          <a:off x="14418129" y="964473"/>
          <a:ext cx="2286000" cy="25037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587829</xdr:colOff>
      <xdr:row>4</xdr:row>
      <xdr:rowOff>87084</xdr:rowOff>
    </xdr:from>
    <xdr:to>
      <xdr:col>25</xdr:col>
      <xdr:colOff>526869</xdr:colOff>
      <xdr:row>5</xdr:row>
      <xdr:rowOff>170904</xdr:rowOff>
    </xdr:to>
    <xdr:sp macro="" textlink="">
      <xdr:nvSpPr>
        <xdr:cNvPr id="33" name="Rectangle: Rounded Corners 32">
          <a:extLst>
            <a:ext uri="{FF2B5EF4-FFF2-40B4-BE49-F238E27FC236}">
              <a16:creationId xmlns:a16="http://schemas.microsoft.com/office/drawing/2014/main" id="{DAA85CAB-884A-4713-A7CC-9BD0E2A0682A}"/>
            </a:ext>
          </a:extLst>
        </xdr:cNvPr>
        <xdr:cNvSpPr/>
      </xdr:nvSpPr>
      <xdr:spPr>
        <a:xfrm>
          <a:off x="15218229" y="827313"/>
          <a:ext cx="548640" cy="268877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5</a:t>
          </a:r>
          <a:r>
            <a:rPr lang="en-US" sz="1100" baseline="0"/>
            <a:t> ms</a:t>
          </a:r>
          <a:endParaRPr lang="en-US" sz="1100"/>
        </a:p>
      </xdr:txBody>
    </xdr:sp>
    <xdr:clientData/>
  </xdr:twoCellAnchor>
  <xdr:twoCellAnchor>
    <xdr:from>
      <xdr:col>27</xdr:col>
      <xdr:colOff>244929</xdr:colOff>
      <xdr:row>5</xdr:row>
      <xdr:rowOff>64224</xdr:rowOff>
    </xdr:from>
    <xdr:to>
      <xdr:col>31</xdr:col>
      <xdr:colOff>92529</xdr:colOff>
      <xdr:row>5</xdr:row>
      <xdr:rowOff>87084</xdr:rowOff>
    </xdr:to>
    <xdr:cxnSp macro="">
      <xdr:nvCxnSpPr>
        <xdr:cNvPr id="34" name="Straight Arrow Connector 33">
          <a:extLst>
            <a:ext uri="{FF2B5EF4-FFF2-40B4-BE49-F238E27FC236}">
              <a16:creationId xmlns:a16="http://schemas.microsoft.com/office/drawing/2014/main" id="{E7CA20B3-80EE-44B7-A480-9D527BE8328C}"/>
            </a:ext>
          </a:extLst>
        </xdr:cNvPr>
        <xdr:cNvCxnSpPr/>
      </xdr:nvCxnSpPr>
      <xdr:spPr>
        <a:xfrm>
          <a:off x="16704129" y="989510"/>
          <a:ext cx="2286000" cy="2286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435429</xdr:colOff>
      <xdr:row>4</xdr:row>
      <xdr:rowOff>109944</xdr:rowOff>
    </xdr:from>
    <xdr:to>
      <xdr:col>29</xdr:col>
      <xdr:colOff>374469</xdr:colOff>
      <xdr:row>6</xdr:row>
      <xdr:rowOff>8707</xdr:rowOff>
    </xdr:to>
    <xdr:sp macro="" textlink="">
      <xdr:nvSpPr>
        <xdr:cNvPr id="35" name="Rectangle: Rounded Corners 34">
          <a:extLst>
            <a:ext uri="{FF2B5EF4-FFF2-40B4-BE49-F238E27FC236}">
              <a16:creationId xmlns:a16="http://schemas.microsoft.com/office/drawing/2014/main" id="{F6102E66-D9E1-4E16-9D7B-10F1E7C405A3}"/>
            </a:ext>
          </a:extLst>
        </xdr:cNvPr>
        <xdr:cNvSpPr/>
      </xdr:nvSpPr>
      <xdr:spPr>
        <a:xfrm>
          <a:off x="17504229" y="850173"/>
          <a:ext cx="548640" cy="268877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5</a:t>
          </a:r>
          <a:r>
            <a:rPr lang="en-US" sz="1100" baseline="0"/>
            <a:t> ms</a:t>
          </a:r>
          <a:endParaRPr lang="en-US" sz="1100"/>
        </a:p>
      </xdr:txBody>
    </xdr:sp>
    <xdr:clientData/>
  </xdr:twoCellAnchor>
  <xdr:twoCellAnchor>
    <xdr:from>
      <xdr:col>0</xdr:col>
      <xdr:colOff>87086</xdr:colOff>
      <xdr:row>10</xdr:row>
      <xdr:rowOff>130628</xdr:rowOff>
    </xdr:from>
    <xdr:to>
      <xdr:col>1</xdr:col>
      <xdr:colOff>108857</xdr:colOff>
      <xdr:row>12</xdr:row>
      <xdr:rowOff>87085</xdr:rowOff>
    </xdr:to>
    <xdr:sp macro="" textlink="">
      <xdr:nvSpPr>
        <xdr:cNvPr id="36" name="Speech Bubble: Rectangle with Corners Rounded 35">
          <a:extLst>
            <a:ext uri="{FF2B5EF4-FFF2-40B4-BE49-F238E27FC236}">
              <a16:creationId xmlns:a16="http://schemas.microsoft.com/office/drawing/2014/main" id="{6E4CF85E-9C70-498E-924E-154D099BE914}"/>
            </a:ext>
          </a:extLst>
        </xdr:cNvPr>
        <xdr:cNvSpPr/>
      </xdr:nvSpPr>
      <xdr:spPr>
        <a:xfrm>
          <a:off x="87086" y="1981199"/>
          <a:ext cx="631371" cy="326572"/>
        </a:xfrm>
        <a:prstGeom prst="wedgeRoundRectCallout">
          <a:avLst>
            <a:gd name="adj1" fmla="val 14881"/>
            <a:gd name="adj2" fmla="val -194256"/>
            <a:gd name="adj3" fmla="val 1666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slot 0</a:t>
          </a:r>
        </a:p>
      </xdr:txBody>
    </xdr:sp>
    <xdr:clientData/>
  </xdr:twoCellAnchor>
  <xdr:twoCellAnchor>
    <xdr:from>
      <xdr:col>0</xdr:col>
      <xdr:colOff>468086</xdr:colOff>
      <xdr:row>12</xdr:row>
      <xdr:rowOff>76199</xdr:rowOff>
    </xdr:from>
    <xdr:to>
      <xdr:col>1</xdr:col>
      <xdr:colOff>489857</xdr:colOff>
      <xdr:row>14</xdr:row>
      <xdr:rowOff>32657</xdr:rowOff>
    </xdr:to>
    <xdr:sp macro="" textlink="">
      <xdr:nvSpPr>
        <xdr:cNvPr id="37" name="Speech Bubble: Rectangle with Corners Rounded 36">
          <a:extLst>
            <a:ext uri="{FF2B5EF4-FFF2-40B4-BE49-F238E27FC236}">
              <a16:creationId xmlns:a16="http://schemas.microsoft.com/office/drawing/2014/main" id="{A736AADF-126B-4686-9404-04864BC2804E}"/>
            </a:ext>
          </a:extLst>
        </xdr:cNvPr>
        <xdr:cNvSpPr/>
      </xdr:nvSpPr>
      <xdr:spPr>
        <a:xfrm>
          <a:off x="468086" y="2296885"/>
          <a:ext cx="631371" cy="326572"/>
        </a:xfrm>
        <a:prstGeom prst="wedgeRoundRectCallout">
          <a:avLst>
            <a:gd name="adj1" fmla="val 2812"/>
            <a:gd name="adj2" fmla="val -297589"/>
            <a:gd name="adj3" fmla="val 1666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slot 1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61"/>
  <sheetViews>
    <sheetView tabSelected="1" zoomScale="87" zoomScaleNormal="70" workbookViewId="0">
      <selection activeCell="C5" sqref="C5"/>
    </sheetView>
  </sheetViews>
  <sheetFormatPr defaultColWidth="9.140625" defaultRowHeight="15"/>
  <cols>
    <col min="1" max="1" width="8.85546875" style="89" customWidth="1"/>
    <col min="2" max="2" width="30.28515625" style="89" bestFit="1" customWidth="1"/>
    <col min="3" max="3" width="41" style="89" customWidth="1"/>
    <col min="4" max="4" width="31.5703125" style="86" customWidth="1"/>
    <col min="5" max="5" width="16.28515625" style="86" bestFit="1" customWidth="1"/>
    <col min="6" max="6" width="17.28515625" style="86" customWidth="1"/>
    <col min="7" max="7" width="29.7109375" style="86" customWidth="1"/>
    <col min="8" max="8" width="17.7109375" style="86" bestFit="1" customWidth="1"/>
    <col min="9" max="9" width="8.85546875" style="86" customWidth="1"/>
    <col min="10" max="10" width="7.7109375" style="86" bestFit="1" customWidth="1"/>
    <col min="11" max="12" width="8.85546875" style="86" customWidth="1"/>
    <col min="13" max="21" width="8.85546875" style="89" customWidth="1"/>
    <col min="22" max="16384" width="9.140625" style="89"/>
  </cols>
  <sheetData>
    <row r="1" spans="1:21" ht="15.75" thickBot="1"/>
    <row r="2" spans="1:21" customFormat="1" ht="16.5" thickBot="1">
      <c r="A2" s="89"/>
      <c r="B2" s="133" t="s">
        <v>46</v>
      </c>
      <c r="C2" s="134" t="s">
        <v>445</v>
      </c>
      <c r="D2" s="86"/>
      <c r="E2" s="154" t="s">
        <v>201</v>
      </c>
      <c r="F2" s="82">
        <f>MAX(C35:C63)</f>
        <v>212.148</v>
      </c>
      <c r="G2" s="152"/>
      <c r="H2" s="84"/>
      <c r="I2" s="85"/>
      <c r="J2" s="85"/>
      <c r="K2" s="84"/>
      <c r="L2" s="86"/>
      <c r="M2" s="89"/>
      <c r="N2" s="89"/>
      <c r="O2" s="89"/>
      <c r="P2" s="89"/>
      <c r="Q2" s="89"/>
      <c r="R2" s="89"/>
      <c r="S2" s="89"/>
      <c r="T2" s="89"/>
      <c r="U2" s="89"/>
    </row>
    <row r="3" spans="1:21" customFormat="1" ht="16.5" thickBot="1">
      <c r="A3" s="89"/>
      <c r="B3" s="77" t="s">
        <v>173</v>
      </c>
      <c r="C3" s="153" t="s">
        <v>464</v>
      </c>
      <c r="D3" s="86" t="str">
        <f>IF(Frequency_Band_input_bug=1,"Update Band","")</f>
        <v/>
      </c>
      <c r="E3" s="155" t="s">
        <v>202</v>
      </c>
      <c r="F3" s="221">
        <f>MAX(D35:D63)</f>
        <v>25.411200000000001</v>
      </c>
      <c r="G3" s="86"/>
      <c r="H3" s="84"/>
      <c r="I3" s="279" t="s">
        <v>256</v>
      </c>
      <c r="J3" s="279"/>
      <c r="K3" s="279"/>
      <c r="L3" s="86"/>
      <c r="M3" s="89"/>
      <c r="N3" s="89"/>
      <c r="O3" s="89"/>
      <c r="P3" s="89"/>
      <c r="Q3" s="89"/>
      <c r="R3" s="89"/>
      <c r="S3" s="89"/>
      <c r="T3" s="89"/>
      <c r="U3" s="89"/>
    </row>
    <row r="4" spans="1:21" customFormat="1" ht="15.75">
      <c r="A4" s="89"/>
      <c r="B4" s="77" t="s">
        <v>470</v>
      </c>
      <c r="C4" s="153" t="s">
        <v>492</v>
      </c>
      <c r="D4" s="86"/>
      <c r="E4" s="139"/>
      <c r="F4" s="139"/>
      <c r="G4" s="86"/>
      <c r="H4" s="84"/>
      <c r="I4" s="279" t="str">
        <f>'Rev History'!H4</f>
        <v>Calculator v5.80</v>
      </c>
      <c r="J4" s="279"/>
      <c r="K4" s="279"/>
      <c r="L4" s="86"/>
      <c r="M4" s="89"/>
      <c r="N4" s="89"/>
      <c r="O4" s="89"/>
      <c r="P4" s="89"/>
      <c r="Q4" s="89"/>
      <c r="R4" s="89"/>
      <c r="S4" s="89"/>
      <c r="T4" s="89"/>
      <c r="U4" s="89"/>
    </row>
    <row r="5" spans="1:21" customFormat="1" ht="15.75">
      <c r="A5" s="89"/>
      <c r="B5" s="77" t="s">
        <v>485</v>
      </c>
      <c r="C5" s="153" t="s">
        <v>495</v>
      </c>
      <c r="D5" s="86"/>
      <c r="E5" s="139"/>
      <c r="F5" s="139"/>
      <c r="G5" s="86"/>
      <c r="H5" s="84"/>
      <c r="I5" s="276"/>
      <c r="J5" s="276"/>
      <c r="K5" s="276"/>
      <c r="L5" s="86"/>
      <c r="M5" s="89"/>
      <c r="N5" s="89"/>
      <c r="O5" s="89"/>
      <c r="P5" s="89"/>
      <c r="Q5" s="89"/>
      <c r="R5" s="89"/>
      <c r="S5" s="89"/>
      <c r="T5" s="89"/>
      <c r="U5" s="89"/>
    </row>
    <row r="6" spans="1:21" customFormat="1" ht="15.75">
      <c r="A6" s="89"/>
      <c r="B6" s="77" t="s">
        <v>482</v>
      </c>
      <c r="C6" s="143">
        <v>0.7</v>
      </c>
      <c r="D6" s="86"/>
      <c r="E6" s="139"/>
      <c r="F6" s="84"/>
      <c r="G6" s="86"/>
      <c r="H6" s="84"/>
      <c r="I6" s="86"/>
      <c r="J6" s="86"/>
      <c r="K6" s="86"/>
      <c r="L6" s="86"/>
      <c r="M6" s="89"/>
      <c r="N6" s="89"/>
      <c r="O6" s="89"/>
      <c r="P6" s="89"/>
      <c r="Q6" s="89"/>
      <c r="R6" s="89"/>
      <c r="S6" s="89"/>
      <c r="T6" s="89"/>
      <c r="U6" s="89"/>
    </row>
    <row r="7" spans="1:21" customFormat="1" ht="15.75">
      <c r="A7" s="89"/>
      <c r="B7" s="77" t="s">
        <v>483</v>
      </c>
      <c r="C7" s="143">
        <v>0.2</v>
      </c>
      <c r="D7" s="86"/>
      <c r="E7" s="84"/>
      <c r="F7" s="84"/>
      <c r="G7" s="86"/>
      <c r="H7" s="84"/>
      <c r="I7" s="86"/>
      <c r="J7" s="86"/>
      <c r="K7" s="86"/>
      <c r="L7" s="86"/>
      <c r="M7" s="89"/>
      <c r="N7" s="89"/>
      <c r="O7" s="89"/>
      <c r="P7" s="89"/>
      <c r="Q7" s="89"/>
      <c r="R7" s="89"/>
      <c r="S7" s="89"/>
      <c r="T7" s="89"/>
      <c r="U7" s="89"/>
    </row>
    <row r="8" spans="1:21" customFormat="1" ht="15.75">
      <c r="A8" s="89"/>
      <c r="B8" s="77" t="s">
        <v>484</v>
      </c>
      <c r="C8" s="261">
        <f>1-DL_splite_NR-UL_splite_NR</f>
        <v>0.2</v>
      </c>
      <c r="D8" s="164" t="str">
        <f>IF(SUM(C6:C7)&gt;100%,"Total % is more than 100%","")</f>
        <v/>
      </c>
      <c r="E8" s="84"/>
      <c r="F8" s="84"/>
      <c r="G8" s="84"/>
      <c r="H8" s="84"/>
      <c r="I8" s="86"/>
      <c r="J8" s="87"/>
      <c r="K8" s="84"/>
      <c r="L8" s="86"/>
      <c r="M8" s="89"/>
      <c r="N8" s="89"/>
      <c r="O8" s="89"/>
      <c r="P8" s="89"/>
      <c r="Q8" s="89"/>
      <c r="R8" s="89"/>
      <c r="S8" s="89"/>
      <c r="T8" s="89"/>
      <c r="U8" s="89"/>
    </row>
    <row r="9" spans="1:21" customFormat="1" ht="54.6" customHeight="1">
      <c r="A9" s="89"/>
      <c r="B9" s="253" t="s">
        <v>434</v>
      </c>
      <c r="C9" s="260" t="s">
        <v>486</v>
      </c>
      <c r="D9" s="86" t="str">
        <f>IF(DATA!BC17=0,"Update format","")</f>
        <v/>
      </c>
      <c r="E9" s="84"/>
      <c r="F9" s="84"/>
      <c r="G9" s="84"/>
      <c r="H9" s="84"/>
      <c r="I9" s="86"/>
      <c r="J9" s="87"/>
      <c r="K9" s="84"/>
      <c r="L9" s="86"/>
      <c r="M9" s="89"/>
      <c r="N9" s="89"/>
      <c r="O9" s="89"/>
      <c r="P9" s="89"/>
      <c r="Q9" s="89"/>
      <c r="R9" s="89"/>
      <c r="S9" s="89"/>
      <c r="T9" s="89"/>
      <c r="U9" s="89"/>
    </row>
    <row r="10" spans="1:21" customFormat="1" ht="5.45" hidden="1" customHeight="1">
      <c r="A10" s="89"/>
      <c r="B10" s="77" t="s">
        <v>149</v>
      </c>
      <c r="C10" s="153" t="s">
        <v>0</v>
      </c>
      <c r="D10" s="86"/>
      <c r="E10" s="84"/>
      <c r="F10" s="84"/>
      <c r="G10" s="84"/>
      <c r="H10" s="84"/>
      <c r="I10" s="87"/>
      <c r="J10" s="87"/>
      <c r="K10" s="84"/>
      <c r="L10" s="86"/>
      <c r="M10" s="89"/>
      <c r="N10" s="89"/>
      <c r="O10" s="89"/>
      <c r="P10" s="89"/>
      <c r="Q10" s="89"/>
      <c r="R10" s="89"/>
      <c r="S10" s="89"/>
      <c r="T10" s="89"/>
      <c r="U10" s="89"/>
    </row>
    <row r="11" spans="1:21" customFormat="1" ht="1.1499999999999999" hidden="1" customHeight="1">
      <c r="A11" s="89"/>
      <c r="B11" s="77" t="s">
        <v>150</v>
      </c>
      <c r="C11" s="153">
        <f>IF( Frequency_range_input_NR="FR1 (sub6) 450 MHz – 6000 MHz",30,120)</f>
        <v>30</v>
      </c>
      <c r="D11" s="86" t="str">
        <f>IF(SCS_input_bug_NR=1,"Update SCS","")</f>
        <v/>
      </c>
      <c r="E11" s="84"/>
      <c r="F11" s="84"/>
      <c r="G11" s="201"/>
      <c r="H11" s="84"/>
      <c r="I11" s="84"/>
      <c r="J11" s="87"/>
      <c r="K11" s="84"/>
      <c r="L11" s="86"/>
      <c r="M11" s="89"/>
      <c r="N11" s="89"/>
      <c r="O11" s="89"/>
      <c r="P11" s="89"/>
      <c r="Q11" s="89"/>
      <c r="R11" s="89"/>
      <c r="S11" s="89"/>
      <c r="T11" s="89"/>
      <c r="U11" s="89"/>
    </row>
    <row r="12" spans="1:21" customFormat="1" ht="15.75">
      <c r="A12" s="89"/>
      <c r="B12" s="77" t="s">
        <v>151</v>
      </c>
      <c r="C12" s="153">
        <v>40</v>
      </c>
      <c r="D12" s="86" t="str">
        <f>IF(SCS_n_input_bug_NR=1,"BW/SCS not sopport by 3GPP choose diffrent BW","")</f>
        <v/>
      </c>
      <c r="E12" s="84"/>
      <c r="F12" s="84"/>
      <c r="G12" s="84"/>
      <c r="H12" s="84"/>
      <c r="I12" s="84"/>
      <c r="J12" s="87"/>
      <c r="K12" s="84"/>
      <c r="L12" s="86"/>
      <c r="M12" s="89"/>
      <c r="N12" s="89"/>
      <c r="O12" s="89"/>
      <c r="P12" s="89"/>
      <c r="Q12" s="89"/>
      <c r="R12" s="89"/>
      <c r="S12" s="89"/>
      <c r="T12" s="89"/>
      <c r="U12" s="89"/>
    </row>
    <row r="13" spans="1:21" s="86" customFormat="1" ht="15.75">
      <c r="B13" s="77" t="s">
        <v>238</v>
      </c>
      <c r="C13" s="153">
        <v>256</v>
      </c>
      <c r="G13" s="84"/>
    </row>
    <row r="14" spans="1:21" s="86" customFormat="1" ht="15.75">
      <c r="B14" s="77" t="s">
        <v>239</v>
      </c>
      <c r="C14" s="153">
        <v>64</v>
      </c>
      <c r="G14" s="84"/>
    </row>
    <row r="15" spans="1:21" s="86" customFormat="1" ht="15.75">
      <c r="B15" s="77" t="s">
        <v>179</v>
      </c>
      <c r="C15" s="153">
        <v>2</v>
      </c>
      <c r="G15" s="84"/>
    </row>
    <row r="16" spans="1:21" s="86" customFormat="1" ht="15.75">
      <c r="B16" s="77" t="s">
        <v>160</v>
      </c>
      <c r="C16" s="153">
        <v>1</v>
      </c>
      <c r="G16" s="84"/>
    </row>
    <row r="17" spans="2:11" s="86" customFormat="1" ht="15.75">
      <c r="B17" s="77" t="s">
        <v>240</v>
      </c>
      <c r="C17" s="153">
        <v>1</v>
      </c>
      <c r="G17" s="84"/>
    </row>
    <row r="18" spans="2:11" s="86" customFormat="1" ht="15.75">
      <c r="B18" s="77" t="s">
        <v>241</v>
      </c>
      <c r="C18" s="153">
        <v>1</v>
      </c>
      <c r="G18" s="84"/>
    </row>
    <row r="19" spans="2:11" s="86" customFormat="1" ht="16.5" thickBot="1">
      <c r="B19" s="135" t="s">
        <v>451</v>
      </c>
      <c r="C19" s="140">
        <v>2</v>
      </c>
      <c r="D19" s="258" t="str">
        <f>IF(IF(BW_NR&lt;=20,2,1)=C19,"",CONCATENATE("default is ",IF(BW_NR&lt;=20,2,1)))</f>
        <v>default is 1</v>
      </c>
      <c r="G19" s="84"/>
    </row>
    <row r="20" spans="2:11" s="86" customFormat="1" ht="15.75">
      <c r="B20" s="133" t="s">
        <v>463</v>
      </c>
      <c r="C20" s="263" t="s">
        <v>440</v>
      </c>
      <c r="D20" s="258"/>
      <c r="G20" s="84"/>
    </row>
    <row r="21" spans="2:11" s="86" customFormat="1" ht="15.75">
      <c r="B21" s="218" t="s">
        <v>459</v>
      </c>
      <c r="C21" s="238">
        <v>1350</v>
      </c>
      <c r="D21" s="258"/>
      <c r="G21" s="84"/>
    </row>
    <row r="22" spans="2:11" ht="15.75">
      <c r="B22" s="256" t="s">
        <v>200</v>
      </c>
      <c r="C22" s="238">
        <f>DATA!C2</f>
        <v>106</v>
      </c>
      <c r="E22" s="84"/>
      <c r="F22" s="84"/>
      <c r="G22" s="84"/>
      <c r="H22" s="84"/>
      <c r="I22" s="84"/>
      <c r="J22" s="84"/>
      <c r="K22" s="84"/>
    </row>
    <row r="23" spans="2:11" ht="15.75">
      <c r="B23" s="218" t="s">
        <v>442</v>
      </c>
      <c r="C23" s="238">
        <f>IF(BW_NR=20,2,1)</f>
        <v>1</v>
      </c>
      <c r="E23" s="84"/>
      <c r="F23" s="84"/>
      <c r="G23" s="84"/>
      <c r="H23" s="84"/>
      <c r="I23" s="84"/>
      <c r="J23" s="84"/>
      <c r="K23" s="84"/>
    </row>
    <row r="24" spans="2:11" ht="15.75" hidden="1">
      <c r="B24" s="218" t="s">
        <v>321</v>
      </c>
      <c r="C24" s="238">
        <f>C19</f>
        <v>2</v>
      </c>
      <c r="E24" s="84"/>
      <c r="F24" s="84"/>
      <c r="G24" s="84"/>
      <c r="H24" s="84"/>
      <c r="I24" s="84"/>
      <c r="J24" s="84"/>
      <c r="K24" s="84"/>
    </row>
    <row r="25" spans="2:11" ht="31.9" customHeight="1">
      <c r="B25" s="256" t="s">
        <v>443</v>
      </c>
      <c r="C25" s="238">
        <f>IF(Product_Support="VRAN",36,12)</f>
        <v>36</v>
      </c>
      <c r="E25" s="84"/>
      <c r="F25" s="84"/>
      <c r="G25" s="84"/>
      <c r="H25" s="84"/>
      <c r="I25" s="84"/>
      <c r="J25" s="84"/>
      <c r="K25" s="84"/>
    </row>
    <row r="26" spans="2:11" ht="16.149999999999999" customHeight="1">
      <c r="B26" s="218" t="s">
        <v>439</v>
      </c>
      <c r="C26" s="238" t="s">
        <v>440</v>
      </c>
      <c r="E26" s="84"/>
      <c r="F26" s="84"/>
      <c r="G26" s="84"/>
      <c r="H26" s="84"/>
      <c r="I26" s="84"/>
      <c r="J26" s="84"/>
      <c r="K26" s="84"/>
    </row>
    <row r="27" spans="2:11" ht="15.75">
      <c r="B27" s="218" t="s">
        <v>444</v>
      </c>
      <c r="C27" s="238">
        <v>36</v>
      </c>
      <c r="E27" s="84"/>
      <c r="F27" s="84"/>
      <c r="G27" s="84"/>
      <c r="H27" s="84"/>
      <c r="I27" s="84"/>
      <c r="J27" s="84"/>
      <c r="K27" s="84"/>
    </row>
    <row r="28" spans="2:11" ht="15.75">
      <c r="B28" s="218" t="s">
        <v>423</v>
      </c>
      <c r="C28" s="244">
        <v>80</v>
      </c>
      <c r="E28" s="84"/>
      <c r="F28" s="84"/>
      <c r="G28" s="84"/>
      <c r="H28" s="84"/>
      <c r="I28" s="84"/>
      <c r="J28" s="84"/>
      <c r="K28" s="84"/>
    </row>
    <row r="29" spans="2:11" ht="15.75">
      <c r="B29" s="218" t="s">
        <v>433</v>
      </c>
      <c r="C29" s="244">
        <v>3</v>
      </c>
      <c r="E29" s="84"/>
      <c r="F29" s="84"/>
      <c r="G29" s="84"/>
      <c r="H29" s="84"/>
      <c r="I29" s="84"/>
      <c r="J29" s="84"/>
      <c r="K29" s="84"/>
    </row>
    <row r="30" spans="2:11" ht="15.6" customHeight="1" thickBot="1">
      <c r="B30" s="135" t="s">
        <v>172</v>
      </c>
      <c r="C30" s="265">
        <v>0</v>
      </c>
      <c r="E30" s="84"/>
      <c r="F30" s="84"/>
      <c r="G30" s="84"/>
      <c r="H30" s="84"/>
      <c r="I30" s="84"/>
      <c r="J30" s="85"/>
      <c r="K30" s="84"/>
    </row>
    <row r="31" spans="2:11" ht="15.6" hidden="1" customHeight="1" thickBot="1">
      <c r="B31" s="218" t="s">
        <v>187</v>
      </c>
      <c r="C31" s="264">
        <f>DL_Overhead_NR</f>
        <v>0</v>
      </c>
      <c r="D31" s="190"/>
      <c r="E31" s="191"/>
      <c r="F31" s="84"/>
      <c r="G31" s="84"/>
      <c r="H31" s="84"/>
      <c r="I31" s="84"/>
      <c r="J31" s="85"/>
      <c r="K31" s="84"/>
    </row>
    <row r="32" spans="2:11" ht="15.6" hidden="1" customHeight="1" thickBot="1">
      <c r="B32" s="135" t="s">
        <v>188</v>
      </c>
      <c r="C32" s="192">
        <f>UL_Overhead_NR</f>
        <v>0</v>
      </c>
      <c r="E32" s="84"/>
      <c r="F32" s="84"/>
      <c r="G32" s="84"/>
      <c r="H32" s="84"/>
      <c r="I32" s="84"/>
      <c r="J32" s="85"/>
      <c r="K32" s="84"/>
    </row>
    <row r="33" spans="1:21" ht="16.5" thickBot="1">
      <c r="E33" s="84"/>
      <c r="F33" s="84"/>
      <c r="G33" s="84"/>
      <c r="H33"/>
      <c r="I33" s="84"/>
      <c r="J33" s="85"/>
      <c r="K33" s="84"/>
    </row>
    <row r="34" spans="1:21" customFormat="1" ht="28.15" customHeight="1" thickBot="1">
      <c r="A34" s="89"/>
      <c r="B34" s="24" t="s">
        <v>13</v>
      </c>
      <c r="C34" s="26" t="s">
        <v>156</v>
      </c>
      <c r="D34" s="26" t="s">
        <v>161</v>
      </c>
      <c r="E34" s="86"/>
      <c r="F34" s="86"/>
      <c r="G34" s="84"/>
      <c r="H34" s="86"/>
      <c r="I34" s="86"/>
      <c r="J34" s="86"/>
      <c r="K34" s="86"/>
      <c r="L34" s="86"/>
      <c r="M34" s="89"/>
      <c r="N34" s="89"/>
      <c r="O34" s="89"/>
      <c r="P34" s="89"/>
      <c r="Q34" s="89"/>
      <c r="R34" s="89"/>
      <c r="S34" s="89"/>
      <c r="T34" s="89"/>
      <c r="U34" s="89"/>
    </row>
    <row r="35" spans="1:21" customFormat="1" ht="16.5" thickBot="1">
      <c r="A35" s="89"/>
      <c r="B35" s="82">
        <v>28</v>
      </c>
      <c r="C35" s="78" t="str">
        <f>IF(VLOOKUP(B35,TP!$A$3:$I$31,9,0)="","",MIN(VLOOKUP(B35,TP!$A$3:$I$31,9,0),SW_Limitation))</f>
        <v/>
      </c>
      <c r="D35" s="216">
        <f>VLOOKUP(B35,TP!$AA$3:$AG$31,7,0)</f>
        <v>25.411200000000001</v>
      </c>
      <c r="E35" s="86"/>
      <c r="F35" s="86"/>
      <c r="G35" s="84"/>
      <c r="H35" s="86"/>
      <c r="I35" s="86"/>
      <c r="J35" s="86"/>
      <c r="K35" s="86"/>
      <c r="L35" s="86"/>
      <c r="M35" s="89"/>
      <c r="N35" s="89"/>
      <c r="O35" s="89"/>
      <c r="P35" s="89"/>
      <c r="Q35" s="89"/>
      <c r="R35" s="89"/>
      <c r="S35" s="89"/>
      <c r="T35" s="89"/>
      <c r="U35" s="89"/>
    </row>
    <row r="36" spans="1:21" customFormat="1" ht="16.5" thickBot="1">
      <c r="A36" s="89"/>
      <c r="B36" s="82">
        <v>27</v>
      </c>
      <c r="C36" s="78">
        <f>IF(VLOOKUP(B36,TP!$A$3:$I$31,9,0)="","",MIN(VLOOKUP(B36,TP!$A$3:$I$31,9,0),SW_Limitation))</f>
        <v>212.148</v>
      </c>
      <c r="D36" s="216">
        <f>VLOOKUP(B36,TP!$AA$3:$AG$31,7,0)</f>
        <v>24.591999999999999</v>
      </c>
      <c r="E36" s="86"/>
      <c r="F36" s="86"/>
      <c r="G36" s="84"/>
      <c r="H36" s="86"/>
      <c r="I36" s="86"/>
      <c r="J36" s="86"/>
      <c r="K36" s="86"/>
      <c r="L36" s="86"/>
      <c r="M36" s="89"/>
      <c r="N36" s="89"/>
      <c r="O36" s="89"/>
      <c r="P36" s="89"/>
      <c r="Q36" s="89"/>
      <c r="R36" s="89"/>
      <c r="S36" s="89"/>
      <c r="T36" s="89"/>
      <c r="U36" s="89"/>
    </row>
    <row r="37" spans="1:21" customFormat="1" ht="16.5" thickBot="1">
      <c r="A37" s="89"/>
      <c r="B37" s="82">
        <v>26</v>
      </c>
      <c r="C37" s="78">
        <f>IF(VLOOKUP(B37,TP!$A$3:$I$31,9,0)="","",MIN(VLOOKUP(B37,TP!$A$3:$I$31,9,0),SW_Limitation))</f>
        <v>202.923</v>
      </c>
      <c r="D37" s="216">
        <f>VLOOKUP(B37,TP!$AA$3:$AG$31,7,0)</f>
        <v>23.3536</v>
      </c>
      <c r="E37" s="86"/>
      <c r="F37" s="86"/>
      <c r="G37" s="84"/>
      <c r="H37" s="86"/>
      <c r="I37" s="86"/>
      <c r="J37" s="86"/>
      <c r="K37" s="86"/>
      <c r="L37" s="86"/>
      <c r="M37" s="89"/>
      <c r="N37" s="89"/>
      <c r="O37" s="89"/>
      <c r="P37" s="89"/>
      <c r="Q37" s="89"/>
      <c r="R37" s="89"/>
      <c r="S37" s="89"/>
      <c r="T37" s="89"/>
      <c r="U37" s="89"/>
    </row>
    <row r="38" spans="1:21" customFormat="1" ht="16.5" thickBot="1">
      <c r="A38" s="89"/>
      <c r="B38" s="82">
        <v>25</v>
      </c>
      <c r="C38" s="78">
        <f>IF(VLOOKUP(B38,TP!$A$3:$I$31,9,0)="","",MIN(VLOOKUP(B38,TP!$A$3:$I$31,9,0),SW_Limitation))</f>
        <v>198.23400000000001</v>
      </c>
      <c r="D38" s="216">
        <f>VLOOKUP(B38,TP!$AA$3:$AG$31,7,0)</f>
        <v>22.121600000000001</v>
      </c>
      <c r="E38" s="86"/>
      <c r="F38" s="86"/>
      <c r="G38" s="84"/>
      <c r="H38" s="86"/>
      <c r="I38" s="86"/>
      <c r="J38" s="86"/>
      <c r="K38" s="86"/>
      <c r="L38" s="86"/>
      <c r="M38" s="89"/>
      <c r="N38" s="89"/>
      <c r="O38" s="89"/>
      <c r="P38" s="89"/>
      <c r="Q38" s="89"/>
      <c r="R38" s="89"/>
      <c r="S38" s="89"/>
      <c r="T38" s="89"/>
      <c r="U38" s="89"/>
    </row>
    <row r="39" spans="1:21" customFormat="1" ht="16.5" thickBot="1">
      <c r="A39" s="89"/>
      <c r="B39" s="82">
        <v>24</v>
      </c>
      <c r="C39" s="78">
        <f>IF(VLOOKUP(B39,TP!$A$3:$I$31,9,0)="","",MIN(VLOOKUP(B39,TP!$A$3:$I$31,9,0),SW_Limitation))</f>
        <v>188.97300000000001</v>
      </c>
      <c r="D39" s="216">
        <f>VLOOKUP(B39,TP!$AA$3:$AG$31,7,0)</f>
        <v>20.889600000000002</v>
      </c>
      <c r="E39" s="86"/>
      <c r="F39" s="86"/>
      <c r="G39" s="84"/>
      <c r="H39" s="86"/>
      <c r="I39" s="86"/>
      <c r="J39" s="86"/>
      <c r="K39" s="86"/>
      <c r="L39" s="86"/>
      <c r="M39" s="89"/>
      <c r="N39" s="89"/>
      <c r="O39" s="89"/>
      <c r="P39" s="89"/>
      <c r="Q39" s="89"/>
      <c r="R39" s="89"/>
      <c r="S39" s="89"/>
      <c r="T39" s="89"/>
      <c r="U39" s="89"/>
    </row>
    <row r="40" spans="1:21" customFormat="1" ht="16.5" thickBot="1">
      <c r="A40" s="89"/>
      <c r="B40" s="82">
        <v>23</v>
      </c>
      <c r="C40" s="78">
        <f>IF(VLOOKUP(B40,TP!$A$3:$I$31,9,0)="","",MIN(VLOOKUP(B40,TP!$A$3:$I$31,9,0),SW_Limitation))</f>
        <v>179.86500000000001</v>
      </c>
      <c r="D40" s="216">
        <f>VLOOKUP(B40,TP!$AA$3:$AG$31,7,0)</f>
        <v>19.267200000000003</v>
      </c>
      <c r="E40" s="86"/>
      <c r="F40" s="86"/>
      <c r="G40" s="84"/>
      <c r="H40" s="86"/>
      <c r="I40" s="86"/>
      <c r="J40" s="86"/>
      <c r="K40" s="86"/>
      <c r="L40" s="86"/>
      <c r="M40" s="89"/>
      <c r="N40" s="89"/>
      <c r="O40" s="89"/>
      <c r="P40" s="89"/>
      <c r="Q40" s="89"/>
      <c r="R40" s="89"/>
      <c r="S40" s="89"/>
      <c r="T40" s="89"/>
      <c r="U40" s="89"/>
    </row>
    <row r="41" spans="1:21" customFormat="1" ht="16.5" thickBot="1">
      <c r="A41" s="89"/>
      <c r="B41" s="82">
        <v>22</v>
      </c>
      <c r="C41" s="78">
        <f>IF(VLOOKUP(B41,TP!$A$3:$I$31,9,0)="","",MIN(VLOOKUP(B41,TP!$A$3:$I$31,9,0),SW_Limitation))</f>
        <v>170.559</v>
      </c>
      <c r="D41" s="216">
        <f>VLOOKUP(B41,TP!$AA$3:$AG$31,7,0)</f>
        <v>18.038399999999999</v>
      </c>
      <c r="E41" s="86"/>
      <c r="F41" s="86"/>
      <c r="G41" s="84"/>
      <c r="H41" s="86"/>
      <c r="I41" s="86"/>
      <c r="J41" s="86"/>
      <c r="K41" s="86"/>
      <c r="L41" s="86"/>
      <c r="M41" s="89"/>
      <c r="N41" s="89"/>
      <c r="O41" s="89"/>
      <c r="P41" s="89"/>
      <c r="Q41" s="89"/>
      <c r="R41" s="89"/>
      <c r="S41" s="89"/>
      <c r="T41" s="89"/>
      <c r="U41" s="89"/>
    </row>
    <row r="42" spans="1:21" customFormat="1" ht="16.5" thickBot="1">
      <c r="A42" s="89"/>
      <c r="B42" s="82">
        <v>21</v>
      </c>
      <c r="C42" s="78">
        <f>IF(VLOOKUP(B42,TP!$A$3:$I$31,9,0)="","",MIN(VLOOKUP(B42,TP!$A$3:$I$31,9,0),SW_Limitation))</f>
        <v>156.798</v>
      </c>
      <c r="D42" s="216">
        <f>VLOOKUP(B42,TP!$AA$3:$AG$31,7,0)</f>
        <v>16.3904</v>
      </c>
      <c r="E42" s="86"/>
      <c r="F42" s="86"/>
      <c r="G42" s="84"/>
      <c r="H42" s="86"/>
      <c r="I42" s="86"/>
      <c r="J42" s="86"/>
      <c r="K42" s="86"/>
      <c r="L42" s="86"/>
      <c r="M42" s="89"/>
      <c r="N42" s="89"/>
      <c r="O42" s="89"/>
      <c r="P42" s="89"/>
      <c r="Q42" s="89"/>
      <c r="R42" s="89"/>
      <c r="S42" s="89"/>
      <c r="T42" s="89"/>
      <c r="U42" s="89"/>
    </row>
    <row r="43" spans="1:21" customFormat="1" ht="16.5" thickBot="1">
      <c r="A43" s="90"/>
      <c r="B43" s="82">
        <v>20</v>
      </c>
      <c r="C43" s="78">
        <f>IF(VLOOKUP(B43,TP!$A$3:$I$31,9,0)="","",MIN(VLOOKUP(B43,TP!$A$3:$I$31,9,0),SW_Limitation))</f>
        <v>152.208</v>
      </c>
      <c r="D43" s="216">
        <f>VLOOKUP(B43,TP!$AA$3:$AG$31,7,0)</f>
        <v>15.1584</v>
      </c>
      <c r="E43" s="215"/>
      <c r="F43" s="86"/>
      <c r="G43" s="84"/>
      <c r="H43" s="86"/>
      <c r="I43" s="86"/>
      <c r="J43" s="86"/>
      <c r="K43" s="86"/>
      <c r="L43" s="86"/>
      <c r="M43" s="89"/>
      <c r="N43" s="89"/>
      <c r="O43" s="89"/>
      <c r="P43" s="89"/>
      <c r="Q43" s="89"/>
      <c r="R43" s="89"/>
      <c r="S43" s="89"/>
      <c r="T43" s="89"/>
      <c r="U43" s="89"/>
    </row>
    <row r="44" spans="1:21" customFormat="1" ht="16.5" thickBot="1">
      <c r="A44" s="89"/>
      <c r="B44" s="82">
        <v>19</v>
      </c>
      <c r="C44" s="78">
        <f>IF(VLOOKUP(B44,TP!$A$3:$I$31,9,0)="","",MIN(VLOOKUP(B44,TP!$A$3:$I$31,9,0),SW_Limitation))</f>
        <v>147.57299999999998</v>
      </c>
      <c r="D44" s="216">
        <f>VLOOKUP(B44,TP!$AA$3:$AG$31,7,0)</f>
        <v>13.926400000000001</v>
      </c>
      <c r="E44" s="86"/>
      <c r="F44" s="86"/>
      <c r="G44" s="84"/>
      <c r="H44" s="86"/>
      <c r="I44" s="86"/>
      <c r="J44" s="86"/>
      <c r="K44" s="86"/>
      <c r="L44" s="86"/>
      <c r="M44" s="89"/>
      <c r="N44" s="89"/>
      <c r="O44" s="89"/>
      <c r="P44" s="89"/>
      <c r="Q44" s="89"/>
      <c r="R44" s="89"/>
      <c r="S44" s="89"/>
      <c r="T44" s="89"/>
      <c r="U44" s="89"/>
    </row>
    <row r="45" spans="1:21" customFormat="1" ht="16.5" thickBot="1">
      <c r="A45" s="89"/>
      <c r="B45" s="82">
        <v>18</v>
      </c>
      <c r="C45" s="78">
        <f>IF(VLOOKUP(B45,TP!$A$3:$I$31,9,0)="","",MIN(VLOOKUP(B45,TP!$A$3:$I$31,9,0),SW_Limitation))</f>
        <v>138.34800000000001</v>
      </c>
      <c r="D45" s="216">
        <f>VLOOKUP(B45,TP!$AA$3:$AG$31,7,0)</f>
        <v>12.496</v>
      </c>
      <c r="E45" s="86"/>
      <c r="F45" s="86"/>
      <c r="G45" s="84"/>
      <c r="H45" s="86"/>
      <c r="I45" s="86"/>
      <c r="J45" s="86"/>
      <c r="K45" s="86"/>
      <c r="L45" s="86"/>
      <c r="M45" s="89"/>
      <c r="N45" s="89"/>
      <c r="O45" s="89"/>
      <c r="P45" s="89"/>
      <c r="Q45" s="89"/>
      <c r="R45" s="89"/>
      <c r="S45" s="89"/>
      <c r="T45" s="89"/>
      <c r="U45" s="89"/>
    </row>
    <row r="46" spans="1:21" customFormat="1" ht="16.5" thickBot="1">
      <c r="A46" s="89"/>
      <c r="B46" s="82">
        <v>17</v>
      </c>
      <c r="C46" s="78">
        <f>IF(VLOOKUP(B46,TP!$A$3:$I$31,9,0)="","",MIN(VLOOKUP(B46,TP!$A$3:$I$31,9,0),SW_Limitation))</f>
        <v>129.12299999999999</v>
      </c>
      <c r="D46" s="216">
        <f>VLOOKUP(B46,TP!$AA$3:$AG$31,7,0)</f>
        <v>11.6768</v>
      </c>
      <c r="E46" s="86"/>
      <c r="F46" s="86"/>
      <c r="G46" s="84"/>
      <c r="H46" s="86"/>
      <c r="I46" s="86"/>
      <c r="J46" s="86"/>
      <c r="K46" s="86"/>
      <c r="L46" s="86"/>
      <c r="M46" s="89"/>
      <c r="N46" s="89"/>
      <c r="O46" s="89"/>
      <c r="P46" s="89"/>
      <c r="Q46" s="89"/>
      <c r="R46" s="89"/>
      <c r="S46" s="89"/>
      <c r="T46" s="89"/>
      <c r="U46" s="89"/>
    </row>
    <row r="47" spans="1:21" customFormat="1" ht="16.5" thickBot="1">
      <c r="A47" s="89"/>
      <c r="B47" s="82">
        <v>16</v>
      </c>
      <c r="C47" s="78">
        <f>IF(VLOOKUP(B47,TP!$A$3:$I$31,9,0)="","",MIN(VLOOKUP(B47,TP!$A$3:$I$31,9,0),SW_Limitation))</f>
        <v>119.898</v>
      </c>
      <c r="D47" s="216">
        <f>VLOOKUP(B47,TP!$AA$3:$AG$31,7,0)</f>
        <v>11.6768</v>
      </c>
      <c r="E47" s="86"/>
      <c r="F47" s="86"/>
      <c r="G47" s="84"/>
      <c r="H47" s="86"/>
      <c r="I47" s="86"/>
      <c r="J47" s="86"/>
      <c r="K47" s="86"/>
      <c r="L47" s="86"/>
      <c r="M47" s="89"/>
      <c r="N47" s="89"/>
      <c r="O47" s="89"/>
      <c r="P47" s="89"/>
      <c r="Q47" s="89"/>
      <c r="R47" s="89"/>
      <c r="S47" s="89"/>
      <c r="T47" s="89"/>
      <c r="U47" s="89"/>
    </row>
    <row r="48" spans="1:21" customFormat="1" ht="16.5" thickBot="1">
      <c r="A48" s="89"/>
      <c r="B48" s="82">
        <v>15</v>
      </c>
      <c r="C48" s="78">
        <f>IF(VLOOKUP(B48,TP!$A$3:$I$31,9,0)="","",MIN(VLOOKUP(B48,TP!$A$3:$I$31,9,0),SW_Limitation))</f>
        <v>110.673</v>
      </c>
      <c r="D48" s="216">
        <f>VLOOKUP(B48,TP!$AA$3:$AG$31,7,0)</f>
        <v>11.0624</v>
      </c>
      <c r="E48" s="86"/>
      <c r="F48" s="86"/>
      <c r="G48" s="86"/>
      <c r="H48" s="86"/>
      <c r="I48" s="86"/>
      <c r="J48" s="86"/>
      <c r="K48" s="86"/>
      <c r="L48" s="86"/>
      <c r="M48" s="89"/>
      <c r="N48" s="89"/>
      <c r="O48" s="89"/>
      <c r="P48" s="89"/>
      <c r="Q48" s="89"/>
      <c r="R48" s="89"/>
      <c r="S48" s="89"/>
      <c r="T48" s="89"/>
      <c r="U48" s="89"/>
    </row>
    <row r="49" spans="1:21" customFormat="1" ht="16.5" thickBot="1">
      <c r="A49" s="89"/>
      <c r="B49" s="82">
        <v>14</v>
      </c>
      <c r="C49" s="78">
        <f>IF(VLOOKUP(B49,TP!$A$3:$I$31,9,0)="","",MIN(VLOOKUP(B49,TP!$A$3:$I$31,9,0),SW_Limitation))</f>
        <v>103.72500000000001</v>
      </c>
      <c r="D49" s="216">
        <f>VLOOKUP(B49,TP!$AA$3:$AG$31,7,0)</f>
        <v>9.8304000000000009</v>
      </c>
      <c r="E49" s="86"/>
      <c r="F49" s="86"/>
      <c r="G49" s="86"/>
      <c r="H49" s="86"/>
      <c r="I49" s="86"/>
      <c r="J49" s="86"/>
      <c r="K49" s="86"/>
      <c r="L49" s="86"/>
      <c r="M49" s="89"/>
      <c r="N49" s="89"/>
      <c r="O49" s="89"/>
      <c r="P49" s="89"/>
      <c r="Q49" s="89"/>
      <c r="R49" s="89"/>
      <c r="S49" s="89"/>
      <c r="T49" s="89"/>
      <c r="U49" s="89"/>
    </row>
    <row r="50" spans="1:21" customFormat="1" ht="16.5" thickBot="1">
      <c r="A50" s="89"/>
      <c r="B50" s="82">
        <v>13</v>
      </c>
      <c r="C50" s="78">
        <f>IF(VLOOKUP(B50,TP!$A$3:$I$31,9,0)="","",MIN(VLOOKUP(B50,TP!$A$3:$I$31,9,0),SW_Limitation))</f>
        <v>94.518000000000001</v>
      </c>
      <c r="D50" s="216">
        <f>VLOOKUP(B50,TP!$AA$3:$AG$31,7,0)</f>
        <v>8.8128000000000011</v>
      </c>
      <c r="E50" s="86"/>
      <c r="F50" s="86"/>
      <c r="G50" s="86"/>
      <c r="H50" s="86"/>
      <c r="I50" s="86"/>
      <c r="J50" s="86"/>
      <c r="K50" s="86"/>
      <c r="L50" s="86"/>
      <c r="M50" s="89"/>
      <c r="N50" s="89"/>
      <c r="O50" s="89"/>
      <c r="P50" s="89"/>
      <c r="Q50" s="89"/>
      <c r="R50" s="89"/>
      <c r="S50" s="89"/>
      <c r="T50" s="89"/>
      <c r="U50" s="89"/>
    </row>
    <row r="51" spans="1:21" customFormat="1" ht="16.5" thickBot="1">
      <c r="A51" s="89"/>
      <c r="B51" s="82">
        <v>12</v>
      </c>
      <c r="C51" s="78">
        <f>IF(VLOOKUP(B51,TP!$A$3:$I$31,9,0)="","",MIN(VLOOKUP(B51,TP!$A$3:$I$31,9,0),SW_Limitation))</f>
        <v>87.632999999999996</v>
      </c>
      <c r="D51" s="216">
        <f>VLOOKUP(B51,TP!$AA$3:$AG$31,7,0)</f>
        <v>7.7855999999999996</v>
      </c>
      <c r="E51" s="86"/>
      <c r="F51" s="86"/>
      <c r="G51" s="86"/>
      <c r="H51" s="86"/>
      <c r="I51" s="86"/>
      <c r="J51" s="86"/>
      <c r="K51" s="86"/>
      <c r="L51" s="86"/>
      <c r="M51" s="89"/>
      <c r="N51" s="89"/>
      <c r="O51" s="89"/>
      <c r="P51" s="89"/>
      <c r="Q51" s="89"/>
      <c r="R51" s="89"/>
      <c r="S51" s="89"/>
      <c r="T51" s="89"/>
      <c r="U51" s="89"/>
    </row>
    <row r="52" spans="1:21" customFormat="1" ht="16.5" thickBot="1">
      <c r="A52" s="89"/>
      <c r="B52" s="82">
        <v>11</v>
      </c>
      <c r="C52" s="78">
        <f>IF(VLOOKUP(B52,TP!$A$3:$I$31,9,0)="","",MIN(VLOOKUP(B52,TP!$A$3:$I$31,9,0),SW_Limitation))</f>
        <v>78.381</v>
      </c>
      <c r="D52" s="216">
        <f>VLOOKUP(B52,TP!$AA$3:$AG$31,7,0)</f>
        <v>6.7584000000000009</v>
      </c>
      <c r="E52" s="86"/>
      <c r="F52" s="86"/>
      <c r="G52" s="86"/>
      <c r="H52" s="86"/>
      <c r="I52" s="86"/>
      <c r="J52" s="86"/>
      <c r="K52" s="86"/>
      <c r="L52" s="86"/>
      <c r="M52" s="89"/>
      <c r="N52" s="89"/>
      <c r="O52" s="89"/>
      <c r="P52" s="89"/>
      <c r="Q52" s="89"/>
      <c r="R52" s="89"/>
      <c r="S52" s="89"/>
      <c r="T52" s="89"/>
      <c r="U52" s="89"/>
    </row>
    <row r="53" spans="1:21" customFormat="1" ht="16.5" thickBot="1">
      <c r="A53" s="89"/>
      <c r="B53" s="82">
        <v>10</v>
      </c>
      <c r="C53" s="78">
        <f>IF(VLOOKUP(B53,TP!$A$3:$I$31,9,0)="","",MIN(VLOOKUP(B53,TP!$A$3:$I$31,9,0),SW_Limitation))</f>
        <v>73.772999999999996</v>
      </c>
      <c r="D53" s="216">
        <f>VLOOKUP(B53,TP!$AA$3:$AG$31,7,0)</f>
        <v>6.0448000000000004</v>
      </c>
      <c r="E53" s="86"/>
      <c r="F53" s="86"/>
      <c r="G53" s="86"/>
      <c r="H53" s="86"/>
      <c r="I53" s="86"/>
      <c r="J53" s="86"/>
      <c r="K53" s="86"/>
      <c r="L53" s="86"/>
      <c r="M53" s="89"/>
      <c r="N53" s="89"/>
      <c r="O53" s="89"/>
      <c r="P53" s="89"/>
      <c r="Q53" s="89"/>
      <c r="R53" s="89"/>
      <c r="S53" s="89"/>
      <c r="T53" s="89"/>
      <c r="U53" s="89"/>
    </row>
    <row r="54" spans="1:21" customFormat="1" ht="16.5" thickBot="1">
      <c r="A54" s="89"/>
      <c r="B54" s="82">
        <v>9</v>
      </c>
      <c r="C54" s="78">
        <f>IF(VLOOKUP(B54,TP!$A$3:$I$31,9,0)="","",MIN(VLOOKUP(B54,TP!$A$3:$I$31,9,0),SW_Limitation))</f>
        <v>69.164999999999992</v>
      </c>
      <c r="D54" s="216">
        <f>VLOOKUP(B54,TP!$AA$3:$AG$31,7,0)</f>
        <v>6.0448000000000004</v>
      </c>
      <c r="E54" s="86"/>
      <c r="F54" s="86"/>
      <c r="G54" s="86"/>
      <c r="H54" s="86"/>
      <c r="I54" s="86"/>
      <c r="J54" s="86"/>
      <c r="K54" s="86"/>
      <c r="L54" s="86"/>
      <c r="M54" s="89"/>
      <c r="N54" s="89"/>
      <c r="O54" s="89"/>
      <c r="P54" s="89"/>
      <c r="Q54" s="89"/>
      <c r="R54" s="89"/>
      <c r="S54" s="89"/>
      <c r="T54" s="89"/>
      <c r="U54" s="89"/>
    </row>
    <row r="55" spans="1:21" customFormat="1" ht="16.5" thickBot="1">
      <c r="A55" s="89"/>
      <c r="B55" s="82">
        <v>8</v>
      </c>
      <c r="C55" s="78">
        <f>IF(VLOOKUP(B55,TP!$A$3:$I$31,9,0)="","",MIN(VLOOKUP(B55,TP!$A$3:$I$31,9,0),SW_Limitation))</f>
        <v>62.216999999999999</v>
      </c>
      <c r="D55" s="216">
        <f>VLOOKUP(B55,TP!$AA$3:$AG$31,7,0)</f>
        <v>5.3280000000000003</v>
      </c>
      <c r="E55" s="86"/>
      <c r="F55" s="86"/>
      <c r="G55" s="86"/>
      <c r="H55" s="86"/>
      <c r="I55" s="86"/>
      <c r="J55" s="86"/>
      <c r="K55" s="86"/>
      <c r="L55" s="86"/>
      <c r="M55" s="89"/>
      <c r="N55" s="89"/>
      <c r="O55" s="89"/>
      <c r="P55" s="89"/>
      <c r="Q55" s="89"/>
      <c r="R55" s="89"/>
      <c r="S55" s="89"/>
      <c r="T55" s="89"/>
      <c r="U55" s="89"/>
    </row>
    <row r="56" spans="1:21" customFormat="1" ht="16.5" thickBot="1">
      <c r="A56" s="89"/>
      <c r="B56" s="82">
        <v>7</v>
      </c>
      <c r="C56" s="78">
        <f>IF(VLOOKUP(B56,TP!$A$3:$I$31,9,0)="","",MIN(VLOOKUP(B56,TP!$A$3:$I$31,9,0),SW_Limitation))</f>
        <v>55.323</v>
      </c>
      <c r="D56" s="216">
        <f>VLOOKUP(B56,TP!$AA$3:$AG$31,7,0)</f>
        <v>4.7136000000000005</v>
      </c>
      <c r="E56" s="86"/>
      <c r="F56" s="86"/>
      <c r="G56" s="86"/>
      <c r="H56" s="86"/>
      <c r="I56" s="86"/>
      <c r="J56" s="86"/>
      <c r="K56" s="86"/>
      <c r="L56" s="86"/>
      <c r="M56" s="89"/>
      <c r="N56" s="89"/>
      <c r="O56" s="89"/>
      <c r="P56" s="89"/>
      <c r="Q56" s="89"/>
      <c r="R56" s="89"/>
      <c r="S56" s="89"/>
      <c r="T56" s="89"/>
      <c r="U56" s="89"/>
    </row>
    <row r="57" spans="1:21" customFormat="1" ht="16.5" thickBot="1">
      <c r="A57" s="89"/>
      <c r="B57" s="82">
        <v>6</v>
      </c>
      <c r="C57" s="78">
        <f>IF(VLOOKUP(B57,TP!$A$3:$I$31,9,0)="","",MIN(VLOOKUP(B57,TP!$A$3:$I$31,9,0),SW_Limitation))</f>
        <v>48.410999999999994</v>
      </c>
      <c r="D57" s="216">
        <f>VLOOKUP(B57,TP!$AA$3:$AG$31,7,0)</f>
        <v>3.9968000000000004</v>
      </c>
      <c r="E57" s="86"/>
      <c r="F57" s="86"/>
      <c r="G57" s="86"/>
      <c r="H57" s="86"/>
      <c r="I57" s="86"/>
      <c r="J57" s="86"/>
      <c r="K57" s="86"/>
      <c r="L57" s="86"/>
      <c r="M57" s="89"/>
      <c r="N57" s="89"/>
      <c r="O57" s="89"/>
      <c r="P57" s="89"/>
      <c r="Q57" s="89"/>
      <c r="R57" s="89"/>
      <c r="S57" s="89"/>
      <c r="T57" s="89"/>
      <c r="U57" s="89"/>
    </row>
    <row r="58" spans="1:21" customFormat="1" ht="16.5" thickBot="1">
      <c r="A58" s="89"/>
      <c r="B58" s="82">
        <v>5</v>
      </c>
      <c r="C58" s="78">
        <f>IF(VLOOKUP(B58,TP!$A$3:$I$31,9,0)="","",MIN(VLOOKUP(B58,TP!$A$3:$I$31,9,0),SW_Limitation))</f>
        <v>42.633000000000003</v>
      </c>
      <c r="D58" s="216">
        <f>VLOOKUP(B58,TP!$AA$3:$AG$31,7,0)</f>
        <v>3.3824000000000001</v>
      </c>
      <c r="E58" s="86"/>
      <c r="F58" s="86"/>
      <c r="G58" s="86"/>
      <c r="H58" s="86"/>
      <c r="I58" s="86"/>
      <c r="J58" s="86"/>
      <c r="K58" s="86"/>
      <c r="L58" s="86"/>
      <c r="M58" s="89"/>
      <c r="N58" s="89"/>
      <c r="O58" s="89"/>
      <c r="P58" s="89"/>
      <c r="Q58" s="89"/>
      <c r="R58" s="89"/>
      <c r="S58" s="89"/>
      <c r="T58" s="89"/>
      <c r="U58" s="89"/>
    </row>
    <row r="59" spans="1:21" customFormat="1" ht="16.5" thickBot="1">
      <c r="A59" s="89"/>
      <c r="B59" s="82">
        <v>4</v>
      </c>
      <c r="C59" s="78">
        <f>IF(VLOOKUP(B59,TP!$A$3:$I$31,9,0)="","",MIN(VLOOKUP(B59,TP!$A$3:$I$31,9,0),SW_Limitation))</f>
        <v>33.417000000000002</v>
      </c>
      <c r="D59" s="216">
        <f>VLOOKUP(B59,TP!$AA$3:$AG$31,7,0)</f>
        <v>2.7648000000000001</v>
      </c>
      <c r="E59" s="86"/>
      <c r="F59" s="86"/>
      <c r="G59" s="86"/>
      <c r="H59" s="86"/>
      <c r="I59" s="86"/>
      <c r="J59" s="86"/>
      <c r="K59" s="86"/>
      <c r="L59" s="86"/>
      <c r="M59" s="89"/>
      <c r="N59" s="89"/>
      <c r="O59" s="89"/>
      <c r="P59" s="89"/>
      <c r="Q59" s="89"/>
      <c r="R59" s="89"/>
      <c r="S59" s="89"/>
      <c r="T59" s="89"/>
      <c r="U59" s="89"/>
    </row>
    <row r="60" spans="1:21" customFormat="1" ht="16.5" thickBot="1">
      <c r="A60" s="89"/>
      <c r="B60" s="82">
        <v>3</v>
      </c>
      <c r="C60" s="78">
        <f>IF(VLOOKUP(B60,TP!$A$3:$I$31,9,0)="","",MIN(VLOOKUP(B60,TP!$A$3:$I$31,9,0),SW_Limitation))</f>
        <v>25.353000000000002</v>
      </c>
      <c r="D60" s="216">
        <f>VLOOKUP(B60,TP!$AA$3:$AG$31,7,0)</f>
        <v>2.2528000000000001</v>
      </c>
      <c r="E60" s="86"/>
      <c r="F60" s="86"/>
      <c r="G60" s="86"/>
      <c r="H60" s="86"/>
      <c r="I60" s="86"/>
      <c r="J60" s="86"/>
      <c r="K60" s="86"/>
      <c r="L60" s="86"/>
      <c r="M60" s="89"/>
      <c r="N60" s="89"/>
      <c r="O60" s="89"/>
      <c r="P60" s="89"/>
      <c r="Q60" s="89"/>
      <c r="R60" s="89"/>
      <c r="S60" s="89"/>
      <c r="T60" s="89"/>
      <c r="U60" s="89"/>
    </row>
    <row r="61" spans="1:21" customFormat="1" ht="16.5" thickBot="1">
      <c r="A61" s="89"/>
      <c r="B61" s="82">
        <v>2</v>
      </c>
      <c r="C61" s="78">
        <f>IF(VLOOKUP(B61,TP!$A$3:$I$31,9,0)="","",MIN(VLOOKUP(B61,TP!$A$3:$I$31,9,0),SW_Limitation))</f>
        <v>17.289000000000001</v>
      </c>
      <c r="D61" s="216">
        <f>VLOOKUP(B61,TP!$AA$3:$AG$31,7,0)</f>
        <v>1.7408000000000001</v>
      </c>
      <c r="E61" s="86"/>
      <c r="F61" s="86"/>
      <c r="G61" s="86"/>
      <c r="H61" s="86"/>
      <c r="I61" s="86"/>
      <c r="J61" s="86"/>
      <c r="K61" s="86"/>
      <c r="L61" s="86"/>
      <c r="M61" s="89"/>
      <c r="N61" s="89"/>
      <c r="O61" s="89"/>
      <c r="P61" s="89"/>
      <c r="Q61" s="89"/>
      <c r="R61" s="89"/>
      <c r="S61" s="89"/>
      <c r="T61" s="89"/>
      <c r="U61" s="89"/>
    </row>
    <row r="62" spans="1:21" customFormat="1" ht="16.5" thickBot="1">
      <c r="A62" s="89"/>
      <c r="B62" s="82">
        <v>1</v>
      </c>
      <c r="C62" s="78">
        <f>IF(VLOOKUP(B62,TP!$A$3:$I$31,9,0)="","",MIN(VLOOKUP(B62,TP!$A$3:$I$31,9,0),SW_Limitation))</f>
        <v>10.665000000000001</v>
      </c>
      <c r="D62" s="216">
        <f>VLOOKUP(B62,TP!$AA$3:$AG$31,7,0)</f>
        <v>1.4496000000000002</v>
      </c>
      <c r="E62" s="86"/>
      <c r="F62" s="86"/>
      <c r="G62" s="86"/>
      <c r="H62" s="86"/>
      <c r="I62" s="86"/>
      <c r="J62" s="86"/>
      <c r="K62" s="86"/>
      <c r="L62" s="86"/>
      <c r="M62" s="89"/>
      <c r="N62" s="89"/>
      <c r="O62" s="89"/>
      <c r="P62" s="89"/>
      <c r="Q62" s="89"/>
      <c r="R62" s="89"/>
      <c r="S62" s="89"/>
      <c r="T62" s="89"/>
      <c r="U62" s="89"/>
    </row>
    <row r="63" spans="1:21" customFormat="1" ht="16.5" thickBot="1">
      <c r="A63" s="89"/>
      <c r="B63" s="83">
        <v>0</v>
      </c>
      <c r="C63" s="78">
        <f>IF(VLOOKUP(B63,TP!$A$3:$I$31,9,0)="","",MIN(VLOOKUP(B63,TP!$A$3:$I$31,9,0),SW_Limitation))</f>
        <v>6.633</v>
      </c>
      <c r="D63" s="78">
        <f>VLOOKUP(B63,TP!$AA$3:$AG$31,7,0)</f>
        <v>1.0912000000000002</v>
      </c>
      <c r="E63" s="86"/>
      <c r="F63" s="86"/>
      <c r="G63" s="86"/>
      <c r="H63" s="86"/>
      <c r="I63" s="86"/>
      <c r="J63" s="86"/>
      <c r="K63" s="86"/>
      <c r="L63" s="86"/>
      <c r="M63" s="89"/>
      <c r="N63" s="89"/>
      <c r="O63" s="89"/>
      <c r="P63" s="89"/>
      <c r="Q63" s="89"/>
      <c r="R63" s="89"/>
      <c r="S63" s="89"/>
      <c r="T63" s="89"/>
      <c r="U63" s="89"/>
    </row>
    <row r="108" spans="10:22" ht="15.75" thickBot="1">
      <c r="J108" s="88"/>
      <c r="K108" s="88"/>
      <c r="P108" s="91"/>
      <c r="U108" s="91"/>
      <c r="V108" s="91"/>
    </row>
    <row r="161" ht="34.9" customHeight="1"/>
  </sheetData>
  <sheetProtection selectLockedCells="1"/>
  <mergeCells count="2">
    <mergeCell ref="I3:K3"/>
    <mergeCell ref="I4:K4"/>
  </mergeCells>
  <dataValidations count="7">
    <dataValidation type="list" allowBlank="1" showInputMessage="1" showErrorMessage="1" sqref="C13:C14" xr:uid="{00000000-0002-0000-0000-000000000000}">
      <formula1>"64,256"</formula1>
    </dataValidation>
    <dataValidation type="list" allowBlank="1" showInputMessage="1" showErrorMessage="1" sqref="C16" xr:uid="{00000000-0002-0000-0000-000001000000}">
      <formula1>"1,2,3,4"</formula1>
    </dataValidation>
    <dataValidation type="list" allowBlank="1" showInputMessage="1" showErrorMessage="1" sqref="C15" xr:uid="{00000000-0002-0000-0000-000002000000}">
      <formula1>"1,2,3,4,5,6,7,8,9,10,11,12"</formula1>
    </dataValidation>
    <dataValidation type="list" allowBlank="1" showInputMessage="1" showErrorMessage="1" sqref="C26" xr:uid="{DE1655F8-14C8-403A-8460-56EB6C0489A5}">
      <formula1>"NO,YES"</formula1>
    </dataValidation>
    <dataValidation type="list" allowBlank="1" showInputMessage="1" showErrorMessage="1" sqref="C20" xr:uid="{48BD17A3-71B9-43A4-AE17-05BD182BB734}">
      <formula1>"NO,19.0,19.5,20.0,20.5"</formula1>
    </dataValidation>
    <dataValidation type="list" allowBlank="1" showInputMessage="1" showErrorMessage="1" sqref="C21" xr:uid="{83898DB0-4032-4641-87CC-AECFF33A363A}">
      <formula1>"1300,1350,1400"</formula1>
    </dataValidation>
    <dataValidation type="list" allowBlank="1" showInputMessage="1" showErrorMessage="1" sqref="C5" xr:uid="{FC9F4B4D-355F-4D69-9E62-F8DCC5A255D2}">
      <formula1>"AIO-FSM,VRAN,UESIM-FSM"</formula1>
    </dataValidation>
  </dataValidations>
  <pageMargins left="0.7" right="0.7" top="0.75" bottom="0.75" header="0.3" footer="0.3"/>
  <pageSetup orientation="portrait" r:id="rId1"/>
  <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6" id="{617D15AD-AF71-498A-B96B-BA1AA92C140E}">
            <xm:f>OR(DATA!$C$7="FDD",$C$4&lt;&gt;"manual")</xm:f>
            <x14:dxf>
              <font>
                <color auto="1"/>
              </font>
              <fill>
                <patternFill>
                  <bgColor theme="1"/>
                </patternFill>
              </fill>
            </x14:dxf>
          </x14:cfRule>
          <xm:sqref>C9</xm:sqref>
        </x14:conditionalFormatting>
        <x14:conditionalFormatting xmlns:xm="http://schemas.microsoft.com/office/excel/2006/main">
          <x14:cfRule type="expression" priority="5" id="{ED4CB4F2-D559-4297-8EEE-97AF18ADE15D}">
            <xm:f>OR(DATA!$C$7="FDD",$C$4&lt;&gt;"manual")</xm:f>
            <x14:dxf>
              <font>
                <color auto="1"/>
              </font>
              <fill>
                <patternFill>
                  <bgColor theme="1"/>
                </patternFill>
              </fill>
            </x14:dxf>
          </x14:cfRule>
          <xm:sqref>C7</xm:sqref>
        </x14:conditionalFormatting>
        <x14:conditionalFormatting xmlns:xm="http://schemas.microsoft.com/office/excel/2006/main">
          <x14:cfRule type="expression" priority="4" id="{D88A4CEB-3CEA-4431-B9C8-A1DBCB44C8D5}">
            <xm:f>OR(DATA!$C$7="FDD",$C$4&lt;&gt;"manual")</xm:f>
            <x14:dxf>
              <font>
                <color auto="1"/>
              </font>
              <fill>
                <patternFill>
                  <bgColor theme="1"/>
                </patternFill>
              </fill>
            </x14:dxf>
          </x14:cfRule>
          <xm:sqref>C6</xm:sqref>
        </x14:conditionalFormatting>
        <x14:conditionalFormatting xmlns:xm="http://schemas.microsoft.com/office/excel/2006/main">
          <x14:cfRule type="expression" priority="3" id="{2ED31630-64EB-40B6-85AF-504EC00D2A8D}">
            <xm:f>OR(DATA!$C$7="FDD",$C$4&lt;&gt;"manual")</xm:f>
            <x14:dxf>
              <font>
                <color auto="1"/>
              </font>
              <fill>
                <patternFill>
                  <bgColor theme="1"/>
                </patternFill>
              </fill>
            </x14:dxf>
          </x14:cfRule>
          <xm:sqref>C8</xm:sqref>
        </x14:conditionalFormatting>
        <x14:conditionalFormatting xmlns:xm="http://schemas.microsoft.com/office/excel/2006/main">
          <x14:cfRule type="expression" priority="1" id="{46B8B844-D00F-4553-AC28-7B43A4D49E75}">
            <xm:f>OR(DATA!$C$7="FDD",$C$4="manual",$C$2="FR2 (mm) 24250 MHz – 52600 MHz")</xm:f>
            <x14:dxf>
              <font>
                <color auto="1"/>
              </font>
              <fill>
                <patternFill>
                  <bgColor theme="1"/>
                </patternFill>
              </fill>
            </x14:dxf>
          </x14:cfRule>
          <xm:sqref>C5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7">
        <x14:dataValidation type="list" allowBlank="1" showInputMessage="1" showErrorMessage="1" xr:uid="{1CCAE64E-0B1C-4143-8DD9-965B8031603E}">
          <x14:formula1>
            <xm:f>DATA!$E$96:$E$100</xm:f>
          </x14:formula1>
          <xm:sqref>C4</xm:sqref>
        </x14:dataValidation>
        <x14:dataValidation type="list" allowBlank="1" showInputMessage="1" showErrorMessage="1" xr:uid="{00000000-0002-0000-0000-000003000000}">
          <x14:formula1>
            <xm:f>DATA!$N$3:$N$4</xm:f>
          </x14:formula1>
          <xm:sqref>C2</xm:sqref>
        </x14:dataValidation>
        <x14:dataValidation type="list" allowBlank="1" showInputMessage="1" showErrorMessage="1" xr:uid="{00000000-0002-0000-0000-000004000000}">
          <x14:formula1>
            <xm:f>DATA!$I$3:$I$4</xm:f>
          </x14:formula1>
          <xm:sqref>C10</xm:sqref>
        </x14:dataValidation>
        <x14:dataValidation type="list" allowBlank="1" showInputMessage="1" showErrorMessage="1" xr:uid="{00000000-0002-0000-0000-000006000000}">
          <x14:formula1>
            <xm:f>DATA!$BJ$4:$BJ$59</xm:f>
          </x14:formula1>
          <xm:sqref>C9</xm:sqref>
        </x14:dataValidation>
        <x14:dataValidation type="list" allowBlank="1" showInputMessage="1" showErrorMessage="1" xr:uid="{00000000-0002-0000-0000-000007000000}">
          <x14:formula1>
            <xm:f>IF(DATA!$C$4="FR1",IF(SCS_NR=15,DATA!$AQ$2:$AZ$2,IF(SCS_NR=30,DATA!$AQ$2:$BE$2,DATA!$AR$2:$BE$2)),IF(SCS_NR=60,DATA!$AP$11:$AR$11,DATA!$AP$11:$AS$11))</xm:f>
          </x14:formula1>
          <xm:sqref>C12</xm:sqref>
        </x14:dataValidation>
        <x14:dataValidation type="list" allowBlank="1" showInputMessage="1" showErrorMessage="1" xr:uid="{00000000-0002-0000-0000-000008000000}">
          <x14:formula1>
            <xm:f>IF(Cyclic_prefix_NR=DATA!$BA$10,DATA!$BA$11,IF(DATA!$C$4=DATA!$AX$10,DATA!$AX$11:$AX$13,DATA!$AY$11:$AY$12))</xm:f>
          </x14:formula1>
          <xm:sqref>C11</xm:sqref>
        </x14:dataValidation>
        <x14:dataValidation type="list" allowBlank="1" showInputMessage="1" showErrorMessage="1" xr:uid="{00000000-0002-0000-0000-000005000000}">
          <x14:formula1>
            <xm:f>IF(Frequency_range_F_NR="FR1",DATA!$Q$13:$Q$54,DATA!$Q$79:$Q$84)</xm:f>
          </x14:formula1>
          <xm:sqref>C3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E1:X45"/>
  <sheetViews>
    <sheetView zoomScale="55" workbookViewId="0">
      <selection activeCell="U18" sqref="U18"/>
    </sheetView>
  </sheetViews>
  <sheetFormatPr defaultRowHeight="15"/>
  <cols>
    <col min="10" max="10" width="11.28515625" bestFit="1" customWidth="1"/>
    <col min="12" max="12" width="11.28515625" bestFit="1" customWidth="1"/>
    <col min="18" max="18" width="12" bestFit="1" customWidth="1"/>
    <col min="19" max="19" width="9.5703125" bestFit="1" customWidth="1"/>
    <col min="20" max="20" width="10.5703125" bestFit="1" customWidth="1"/>
    <col min="21" max="21" width="36" bestFit="1" customWidth="1"/>
  </cols>
  <sheetData>
    <row r="1" spans="5:21">
      <c r="F1">
        <v>0</v>
      </c>
      <c r="G1">
        <v>1</v>
      </c>
      <c r="H1">
        <v>2</v>
      </c>
      <c r="I1">
        <v>3</v>
      </c>
      <c r="J1">
        <v>4</v>
      </c>
      <c r="K1">
        <v>5</v>
      </c>
      <c r="L1">
        <v>6</v>
      </c>
      <c r="M1">
        <v>7</v>
      </c>
      <c r="N1" s="1">
        <v>8</v>
      </c>
      <c r="O1">
        <v>9</v>
      </c>
      <c r="P1">
        <v>10</v>
      </c>
      <c r="Q1">
        <v>11</v>
      </c>
      <c r="R1">
        <v>12</v>
      </c>
      <c r="S1">
        <v>13</v>
      </c>
    </row>
    <row r="2" spans="5:21">
      <c r="E2">
        <v>0</v>
      </c>
      <c r="F2" s="206"/>
      <c r="G2" s="214"/>
      <c r="H2" s="207"/>
      <c r="I2" s="207"/>
      <c r="J2" s="207"/>
      <c r="K2" s="1"/>
      <c r="L2" s="1"/>
      <c r="M2" s="1"/>
      <c r="N2" s="1"/>
      <c r="O2" s="1"/>
      <c r="P2" s="1"/>
      <c r="Q2" s="1"/>
      <c r="R2" s="1"/>
      <c r="S2" s="1"/>
      <c r="U2">
        <f>3*51</f>
        <v>153</v>
      </c>
    </row>
    <row r="3" spans="5:21">
      <c r="E3">
        <v>1</v>
      </c>
      <c r="F3" s="206"/>
      <c r="G3" s="214"/>
      <c r="H3" s="207"/>
      <c r="I3" s="207"/>
      <c r="J3" s="207"/>
      <c r="K3" s="1"/>
      <c r="L3" s="1"/>
      <c r="M3" s="1"/>
      <c r="N3" s="1"/>
      <c r="O3" s="1"/>
      <c r="P3" s="1"/>
      <c r="Q3" s="1"/>
      <c r="R3" s="1"/>
      <c r="S3" s="1"/>
      <c r="U3">
        <f>273</f>
        <v>273</v>
      </c>
    </row>
    <row r="4" spans="5:21">
      <c r="E4">
        <v>2</v>
      </c>
      <c r="F4" s="206"/>
      <c r="G4" s="214"/>
      <c r="H4" s="207"/>
      <c r="I4" s="207"/>
      <c r="J4" s="207"/>
      <c r="K4" s="1"/>
      <c r="L4" s="1"/>
      <c r="M4" s="1"/>
      <c r="N4" s="1"/>
      <c r="O4" s="1"/>
      <c r="P4" s="1"/>
      <c r="Q4" s="1"/>
      <c r="R4" s="1"/>
      <c r="S4" s="1"/>
    </row>
    <row r="5" spans="5:21">
      <c r="E5">
        <v>3</v>
      </c>
      <c r="F5" s="206"/>
      <c r="G5" s="214"/>
      <c r="H5" s="207"/>
      <c r="I5" s="207"/>
      <c r="J5" s="207"/>
      <c r="K5" s="1"/>
      <c r="L5" s="1"/>
      <c r="M5" s="1"/>
      <c r="N5" s="1"/>
      <c r="O5" s="1"/>
      <c r="P5" s="1"/>
      <c r="Q5" s="1"/>
      <c r="R5" s="1"/>
      <c r="S5" s="1"/>
    </row>
    <row r="6" spans="5:21">
      <c r="E6">
        <v>4</v>
      </c>
      <c r="F6" s="206"/>
      <c r="G6" s="214"/>
      <c r="H6" s="207"/>
      <c r="I6" s="207"/>
      <c r="J6" s="207"/>
      <c r="K6" s="1"/>
      <c r="L6" s="1"/>
      <c r="M6" s="1"/>
      <c r="N6" s="1"/>
      <c r="O6" s="1"/>
      <c r="P6" s="1"/>
      <c r="Q6" s="1"/>
      <c r="R6" s="1"/>
      <c r="S6" s="1"/>
    </row>
    <row r="7" spans="5:21">
      <c r="E7">
        <v>5</v>
      </c>
      <c r="F7" s="206"/>
      <c r="G7" s="214"/>
      <c r="H7" s="207"/>
      <c r="I7" s="207"/>
      <c r="J7" s="207"/>
      <c r="K7" s="1"/>
      <c r="L7" s="1"/>
      <c r="M7" s="1"/>
      <c r="N7" s="1"/>
      <c r="O7" s="1"/>
      <c r="P7" s="1"/>
      <c r="Q7" s="1"/>
      <c r="R7" s="1"/>
      <c r="S7" s="1"/>
    </row>
    <row r="8" spans="5:21">
      <c r="E8">
        <v>6</v>
      </c>
      <c r="F8" s="206"/>
      <c r="G8" s="214"/>
      <c r="H8" s="207"/>
      <c r="I8" s="207"/>
      <c r="J8" s="207"/>
      <c r="K8" s="1"/>
      <c r="L8" s="1"/>
      <c r="M8" s="1"/>
      <c r="N8" s="1"/>
      <c r="O8" s="1"/>
      <c r="P8" s="1"/>
      <c r="Q8" s="1"/>
      <c r="R8" s="1"/>
      <c r="S8" s="1"/>
    </row>
    <row r="9" spans="5:21">
      <c r="E9">
        <v>7</v>
      </c>
      <c r="F9" s="206"/>
      <c r="G9" s="214"/>
      <c r="H9" s="207"/>
      <c r="I9" s="207"/>
      <c r="J9" s="207"/>
      <c r="K9" s="1"/>
      <c r="L9" s="1"/>
      <c r="M9" s="1"/>
      <c r="N9" s="1"/>
      <c r="O9" s="1"/>
      <c r="P9" s="1"/>
      <c r="Q9" s="1"/>
      <c r="R9" s="1"/>
      <c r="S9" s="1"/>
    </row>
    <row r="10" spans="5:21">
      <c r="E10">
        <v>8</v>
      </c>
      <c r="F10" s="206"/>
      <c r="G10" s="214"/>
      <c r="H10" s="207"/>
      <c r="I10" s="207"/>
      <c r="J10" s="207"/>
      <c r="K10" s="1"/>
      <c r="L10" s="1"/>
      <c r="M10" s="1"/>
      <c r="N10" s="1"/>
      <c r="O10" s="1"/>
      <c r="P10" s="1"/>
      <c r="Q10" s="1"/>
      <c r="R10" s="1"/>
      <c r="S10" s="1"/>
    </row>
    <row r="11" spans="5:21">
      <c r="E11">
        <v>9</v>
      </c>
      <c r="F11" s="206"/>
      <c r="G11" s="214"/>
      <c r="H11" s="207"/>
      <c r="I11" s="207"/>
      <c r="J11" s="207"/>
      <c r="K11" s="1"/>
      <c r="L11" s="1"/>
      <c r="M11" s="1"/>
      <c r="N11" s="1"/>
      <c r="O11" s="1"/>
      <c r="P11" s="1"/>
      <c r="Q11" s="1"/>
      <c r="R11" s="1"/>
      <c r="S11" s="1"/>
    </row>
    <row r="12" spans="5:21">
      <c r="E12">
        <v>10</v>
      </c>
      <c r="F12" s="206"/>
      <c r="G12" s="214"/>
      <c r="H12" s="207"/>
      <c r="I12" s="207"/>
      <c r="J12" s="207"/>
      <c r="K12" s="1"/>
      <c r="L12" s="1"/>
      <c r="M12" s="1"/>
      <c r="N12" s="1"/>
      <c r="O12" s="1"/>
      <c r="P12" s="1"/>
      <c r="Q12" s="1"/>
      <c r="R12" s="1"/>
      <c r="S12" s="1"/>
    </row>
    <row r="13" spans="5:21">
      <c r="E13">
        <v>11</v>
      </c>
      <c r="F13" s="206"/>
      <c r="G13" s="214"/>
      <c r="H13" s="207"/>
      <c r="I13" s="207"/>
      <c r="J13" s="207"/>
      <c r="K13" s="1"/>
      <c r="L13" s="1"/>
      <c r="M13" s="1"/>
      <c r="N13" s="1"/>
      <c r="O13" s="1"/>
      <c r="P13" s="1"/>
      <c r="Q13" s="1"/>
      <c r="R13" s="1"/>
      <c r="S13" s="1"/>
    </row>
    <row r="14" spans="5:21">
      <c r="E14">
        <v>12</v>
      </c>
      <c r="F14" s="206"/>
      <c r="G14" s="214"/>
      <c r="H14" s="207"/>
      <c r="I14" s="207"/>
      <c r="J14" s="207"/>
      <c r="K14" s="1"/>
      <c r="L14" s="1"/>
      <c r="M14" s="1"/>
      <c r="N14" s="1"/>
      <c r="O14" s="1"/>
      <c r="P14" s="1"/>
      <c r="Q14" s="1"/>
      <c r="R14" s="1"/>
      <c r="S14" s="1"/>
    </row>
    <row r="16" spans="5:21" ht="121.5">
      <c r="I16" s="209" t="s">
        <v>309</v>
      </c>
      <c r="J16" s="209" t="s">
        <v>308</v>
      </c>
      <c r="K16" s="209" t="s">
        <v>310</v>
      </c>
      <c r="L16" s="209" t="s">
        <v>311</v>
      </c>
      <c r="M16" s="209" t="s">
        <v>312</v>
      </c>
      <c r="U16" s="208" t="s">
        <v>307</v>
      </c>
    </row>
    <row r="17" spans="8:24" ht="88.5" thickBot="1">
      <c r="H17">
        <v>28</v>
      </c>
      <c r="I17">
        <v>273</v>
      </c>
      <c r="J17">
        <f>9*12</f>
        <v>108</v>
      </c>
      <c r="K17">
        <f>2*1000*0.7-100</f>
        <v>1300</v>
      </c>
      <c r="L17" s="166">
        <v>5.5547000000000004</v>
      </c>
      <c r="M17">
        <v>2</v>
      </c>
      <c r="N17">
        <f>I17*J17*K17*L17*M17/10^6</f>
        <v>425.81441448000004</v>
      </c>
      <c r="O17" s="212">
        <f t="shared" ref="O17:O45" si="0">I17*P17*Q17*L17*M17/10^6</f>
        <v>662.37797808000005</v>
      </c>
      <c r="P17" s="212">
        <f>13*12</f>
        <v>156</v>
      </c>
      <c r="Q17">
        <f t="shared" ref="Q17:Q45" si="1">2*1000*0.7</f>
        <v>1400</v>
      </c>
      <c r="U17" s="217">
        <f>2*((14-1)*12-36)*273*(2*1000*0.7-100)*6*0.926</f>
        <v>473237856</v>
      </c>
    </row>
    <row r="18" spans="8:24" ht="15.75" thickBot="1">
      <c r="H18">
        <f>H17-1</f>
        <v>27</v>
      </c>
      <c r="I18">
        <v>273</v>
      </c>
      <c r="J18">
        <f t="shared" ref="J18:J45" si="2">9*12</f>
        <v>108</v>
      </c>
      <c r="K18">
        <f>2*1000*0.7-100</f>
        <v>1300</v>
      </c>
      <c r="L18" s="166">
        <v>5.3319999999999999</v>
      </c>
      <c r="M18">
        <v>2</v>
      </c>
      <c r="N18">
        <f t="shared" ref="N18:N45" si="3">I18*J18*K18*L18*M18/10^6</f>
        <v>408.74258880000002</v>
      </c>
      <c r="O18" s="212">
        <f t="shared" si="0"/>
        <v>635.8218048</v>
      </c>
      <c r="P18" s="212">
        <f t="shared" ref="P18:P45" si="4">13*12</f>
        <v>156</v>
      </c>
      <c r="Q18">
        <f t="shared" si="1"/>
        <v>1400</v>
      </c>
    </row>
    <row r="19" spans="8:24" ht="15.75" thickBot="1">
      <c r="H19">
        <f t="shared" ref="H19:H45" si="5">H18-1</f>
        <v>26</v>
      </c>
      <c r="I19">
        <v>273</v>
      </c>
      <c r="J19">
        <f t="shared" si="2"/>
        <v>108</v>
      </c>
      <c r="K19">
        <f t="shared" ref="K19:K45" si="6">2*1000*0.7-100</f>
        <v>1300</v>
      </c>
      <c r="L19" s="166">
        <v>5.1151999999999997</v>
      </c>
      <c r="M19">
        <v>2</v>
      </c>
      <c r="N19">
        <f t="shared" si="3"/>
        <v>392.12304768000001</v>
      </c>
      <c r="O19" s="212">
        <f t="shared" si="0"/>
        <v>609.96918527999992</v>
      </c>
      <c r="P19" s="212">
        <f t="shared" si="4"/>
        <v>156</v>
      </c>
      <c r="Q19">
        <f t="shared" si="1"/>
        <v>1400</v>
      </c>
    </row>
    <row r="20" spans="8:24" ht="15.75" thickBot="1">
      <c r="H20">
        <f t="shared" si="5"/>
        <v>25</v>
      </c>
      <c r="I20">
        <v>273</v>
      </c>
      <c r="J20">
        <f t="shared" si="2"/>
        <v>108</v>
      </c>
      <c r="K20">
        <f t="shared" si="6"/>
        <v>1300</v>
      </c>
      <c r="L20" s="166">
        <v>4.8163999999999998</v>
      </c>
      <c r="M20">
        <v>2</v>
      </c>
      <c r="N20">
        <f t="shared" si="3"/>
        <v>369.21751775999996</v>
      </c>
      <c r="O20" s="212">
        <f t="shared" si="0"/>
        <v>574.33836095999993</v>
      </c>
      <c r="P20" s="212">
        <f t="shared" si="4"/>
        <v>156</v>
      </c>
      <c r="Q20">
        <f t="shared" si="1"/>
        <v>1400</v>
      </c>
    </row>
    <row r="21" spans="8:24" ht="15.75" thickBot="1">
      <c r="H21">
        <f t="shared" si="5"/>
        <v>24</v>
      </c>
      <c r="I21">
        <v>273</v>
      </c>
      <c r="J21">
        <f t="shared" si="2"/>
        <v>108</v>
      </c>
      <c r="K21">
        <f t="shared" si="6"/>
        <v>1300</v>
      </c>
      <c r="L21" s="166">
        <v>4.5233999999999996</v>
      </c>
      <c r="M21">
        <v>2</v>
      </c>
      <c r="N21">
        <f t="shared" si="3"/>
        <v>346.75660656000002</v>
      </c>
      <c r="O21" s="212">
        <f t="shared" si="0"/>
        <v>539.39916575999996</v>
      </c>
      <c r="P21" s="212">
        <f t="shared" si="4"/>
        <v>156</v>
      </c>
      <c r="Q21">
        <f t="shared" si="1"/>
        <v>1400</v>
      </c>
    </row>
    <row r="22" spans="8:24" ht="15.75" thickBot="1">
      <c r="H22">
        <f t="shared" si="5"/>
        <v>23</v>
      </c>
      <c r="I22">
        <v>273</v>
      </c>
      <c r="J22">
        <f t="shared" si="2"/>
        <v>108</v>
      </c>
      <c r="K22">
        <f t="shared" si="6"/>
        <v>1300</v>
      </c>
      <c r="L22" s="166">
        <v>4.2129000000000003</v>
      </c>
      <c r="M22">
        <v>2</v>
      </c>
      <c r="N22">
        <f t="shared" si="3"/>
        <v>322.95417336000003</v>
      </c>
      <c r="O22" s="212">
        <f t="shared" si="0"/>
        <v>502.37315856000004</v>
      </c>
      <c r="P22" s="212">
        <f t="shared" si="4"/>
        <v>156</v>
      </c>
      <c r="Q22">
        <f t="shared" si="1"/>
        <v>1400</v>
      </c>
    </row>
    <row r="23" spans="8:24" ht="15.75" thickBot="1">
      <c r="H23">
        <f t="shared" si="5"/>
        <v>22</v>
      </c>
      <c r="I23">
        <v>273</v>
      </c>
      <c r="J23">
        <f t="shared" si="2"/>
        <v>108</v>
      </c>
      <c r="K23">
        <f t="shared" si="6"/>
        <v>1300</v>
      </c>
      <c r="L23" s="166">
        <v>3.9022999999999999</v>
      </c>
      <c r="M23">
        <v>2</v>
      </c>
      <c r="N23">
        <f t="shared" si="3"/>
        <v>299.14407432000002</v>
      </c>
      <c r="O23" s="212">
        <f t="shared" si="0"/>
        <v>465.33522671999998</v>
      </c>
      <c r="P23" s="212">
        <f t="shared" si="4"/>
        <v>156</v>
      </c>
      <c r="Q23">
        <f t="shared" si="1"/>
        <v>1400</v>
      </c>
    </row>
    <row r="24" spans="8:24" ht="15.75" thickBot="1">
      <c r="H24">
        <f t="shared" si="5"/>
        <v>21</v>
      </c>
      <c r="I24">
        <v>273</v>
      </c>
      <c r="J24">
        <f t="shared" si="2"/>
        <v>108</v>
      </c>
      <c r="K24">
        <f t="shared" si="6"/>
        <v>1300</v>
      </c>
      <c r="L24" s="166">
        <v>3.6093999999999999</v>
      </c>
      <c r="M24">
        <v>2</v>
      </c>
      <c r="N24">
        <f t="shared" si="3"/>
        <v>276.69082895999998</v>
      </c>
      <c r="O24" s="212">
        <f t="shared" si="0"/>
        <v>430.40795615999997</v>
      </c>
      <c r="P24" s="212">
        <f t="shared" si="4"/>
        <v>156</v>
      </c>
      <c r="Q24">
        <f t="shared" si="1"/>
        <v>1400</v>
      </c>
    </row>
    <row r="25" spans="8:24" ht="15.75" thickBot="1">
      <c r="H25">
        <f t="shared" si="5"/>
        <v>20</v>
      </c>
      <c r="I25">
        <v>273</v>
      </c>
      <c r="J25">
        <f t="shared" si="2"/>
        <v>108</v>
      </c>
      <c r="K25">
        <f t="shared" si="6"/>
        <v>1300</v>
      </c>
      <c r="L25" s="166">
        <v>3.3222999999999998</v>
      </c>
      <c r="M25">
        <v>2</v>
      </c>
      <c r="N25">
        <f t="shared" si="3"/>
        <v>254.68220231999999</v>
      </c>
      <c r="O25" s="212">
        <f t="shared" si="0"/>
        <v>396.17231471999997</v>
      </c>
      <c r="P25" s="212">
        <f t="shared" si="4"/>
        <v>156</v>
      </c>
      <c r="Q25">
        <f t="shared" si="1"/>
        <v>1400</v>
      </c>
    </row>
    <row r="26" spans="8:24" ht="15.75" thickBot="1">
      <c r="H26">
        <f t="shared" si="5"/>
        <v>19</v>
      </c>
      <c r="I26">
        <v>273</v>
      </c>
      <c r="J26">
        <f t="shared" si="2"/>
        <v>108</v>
      </c>
      <c r="K26">
        <f t="shared" si="6"/>
        <v>1300</v>
      </c>
      <c r="L26" s="166">
        <v>3.0293000000000001</v>
      </c>
      <c r="M26">
        <v>2</v>
      </c>
      <c r="N26">
        <f t="shared" si="3"/>
        <v>232.22129112000002</v>
      </c>
      <c r="O26" s="212">
        <f t="shared" si="0"/>
        <v>361.23311952000006</v>
      </c>
      <c r="P26" s="212">
        <f t="shared" si="4"/>
        <v>156</v>
      </c>
      <c r="Q26">
        <f t="shared" si="1"/>
        <v>1400</v>
      </c>
    </row>
    <row r="27" spans="8:24" ht="15.75" thickBot="1">
      <c r="H27">
        <f t="shared" si="5"/>
        <v>18</v>
      </c>
      <c r="I27">
        <v>273</v>
      </c>
      <c r="J27">
        <f t="shared" si="2"/>
        <v>108</v>
      </c>
      <c r="K27">
        <f t="shared" si="6"/>
        <v>1300</v>
      </c>
      <c r="L27" s="166">
        <v>2.7305000000000001</v>
      </c>
      <c r="M27">
        <v>2</v>
      </c>
      <c r="N27">
        <f t="shared" si="3"/>
        <v>209.31576120000003</v>
      </c>
      <c r="O27" s="212">
        <f t="shared" si="0"/>
        <v>325.60229520000001</v>
      </c>
      <c r="P27" s="212">
        <f t="shared" si="4"/>
        <v>156</v>
      </c>
      <c r="Q27">
        <f t="shared" si="1"/>
        <v>1400</v>
      </c>
    </row>
    <row r="28" spans="8:24" ht="15.75" thickBot="1">
      <c r="H28">
        <f t="shared" si="5"/>
        <v>17</v>
      </c>
      <c r="I28">
        <v>273</v>
      </c>
      <c r="J28">
        <f t="shared" si="2"/>
        <v>108</v>
      </c>
      <c r="K28">
        <f t="shared" si="6"/>
        <v>1300</v>
      </c>
      <c r="L28" s="166">
        <v>2.5703</v>
      </c>
      <c r="M28">
        <v>2</v>
      </c>
      <c r="N28">
        <f t="shared" si="3"/>
        <v>197.03508552000002</v>
      </c>
      <c r="O28" s="212">
        <f t="shared" si="0"/>
        <v>306.49902192000002</v>
      </c>
      <c r="P28" s="212">
        <f t="shared" si="4"/>
        <v>156</v>
      </c>
      <c r="Q28">
        <f t="shared" si="1"/>
        <v>1400</v>
      </c>
    </row>
    <row r="29" spans="8:24" ht="15.75" thickBot="1">
      <c r="H29">
        <f t="shared" si="5"/>
        <v>16</v>
      </c>
      <c r="I29">
        <v>273</v>
      </c>
      <c r="J29">
        <f t="shared" si="2"/>
        <v>108</v>
      </c>
      <c r="K29">
        <f t="shared" si="6"/>
        <v>1300</v>
      </c>
      <c r="L29" s="166">
        <v>2.5663999999999998</v>
      </c>
      <c r="M29">
        <v>2</v>
      </c>
      <c r="N29">
        <f t="shared" si="3"/>
        <v>196.73611775999998</v>
      </c>
      <c r="O29" s="212">
        <f t="shared" si="0"/>
        <v>306.03396096</v>
      </c>
      <c r="P29" s="212">
        <f t="shared" si="4"/>
        <v>156</v>
      </c>
      <c r="Q29">
        <f t="shared" si="1"/>
        <v>1400</v>
      </c>
      <c r="T29">
        <v>273</v>
      </c>
      <c r="U29" s="182">
        <v>120</v>
      </c>
      <c r="V29" s="182">
        <v>1300</v>
      </c>
      <c r="W29" s="210">
        <v>2.4062999999999999</v>
      </c>
      <c r="X29" s="182">
        <v>2</v>
      </c>
    </row>
    <row r="30" spans="8:24" ht="15.75" thickBot="1">
      <c r="H30" s="182">
        <f t="shared" si="5"/>
        <v>15</v>
      </c>
      <c r="I30">
        <v>273</v>
      </c>
      <c r="J30">
        <f t="shared" si="2"/>
        <v>108</v>
      </c>
      <c r="K30" s="182">
        <f t="shared" si="6"/>
        <v>1300</v>
      </c>
      <c r="L30" s="210">
        <v>2.4062999999999999</v>
      </c>
      <c r="M30" s="182">
        <v>2</v>
      </c>
      <c r="N30" s="182">
        <f t="shared" si="3"/>
        <v>184.46310792</v>
      </c>
      <c r="O30" s="212">
        <f t="shared" si="0"/>
        <v>286.94261231999997</v>
      </c>
      <c r="P30" s="212">
        <f t="shared" si="4"/>
        <v>156</v>
      </c>
      <c r="Q30">
        <f t="shared" si="1"/>
        <v>1400</v>
      </c>
      <c r="W30" s="166"/>
    </row>
    <row r="31" spans="8:24" ht="15.75" thickBot="1">
      <c r="H31">
        <f t="shared" si="5"/>
        <v>14</v>
      </c>
      <c r="I31">
        <v>273</v>
      </c>
      <c r="J31">
        <f t="shared" si="2"/>
        <v>108</v>
      </c>
      <c r="K31">
        <f t="shared" si="6"/>
        <v>1300</v>
      </c>
      <c r="L31" s="166">
        <v>2.1602000000000001</v>
      </c>
      <c r="M31">
        <v>2</v>
      </c>
      <c r="N31">
        <f t="shared" si="3"/>
        <v>165.59747568</v>
      </c>
      <c r="O31" s="212">
        <f t="shared" si="0"/>
        <v>257.59607327999998</v>
      </c>
      <c r="P31" s="212">
        <f t="shared" si="4"/>
        <v>156</v>
      </c>
      <c r="Q31">
        <f t="shared" si="1"/>
        <v>1400</v>
      </c>
      <c r="T31">
        <v>273</v>
      </c>
      <c r="U31" s="182">
        <v>120</v>
      </c>
      <c r="V31" s="182">
        <v>1300</v>
      </c>
      <c r="W31" s="210">
        <v>1.9140999999999999</v>
      </c>
      <c r="X31" s="182">
        <v>2</v>
      </c>
    </row>
    <row r="32" spans="8:24" ht="15.75" thickBot="1">
      <c r="H32" s="182">
        <f t="shared" si="5"/>
        <v>13</v>
      </c>
      <c r="I32">
        <v>273</v>
      </c>
      <c r="J32">
        <f t="shared" si="2"/>
        <v>108</v>
      </c>
      <c r="K32" s="182">
        <f t="shared" si="6"/>
        <v>1300</v>
      </c>
      <c r="L32" s="210">
        <v>1.9140999999999999</v>
      </c>
      <c r="M32" s="182">
        <v>2</v>
      </c>
      <c r="N32" s="182">
        <f t="shared" si="3"/>
        <v>146.73184344000001</v>
      </c>
      <c r="O32" s="212">
        <f t="shared" si="0"/>
        <v>228.24953423999997</v>
      </c>
      <c r="P32" s="212">
        <f>13*12</f>
        <v>156</v>
      </c>
      <c r="Q32">
        <f t="shared" si="1"/>
        <v>1400</v>
      </c>
      <c r="W32" s="166"/>
    </row>
    <row r="33" spans="8:24" ht="15.75" thickBot="1">
      <c r="H33">
        <f t="shared" si="5"/>
        <v>12</v>
      </c>
      <c r="I33">
        <v>273</v>
      </c>
      <c r="J33">
        <f t="shared" si="2"/>
        <v>108</v>
      </c>
      <c r="K33">
        <f t="shared" si="6"/>
        <v>1300</v>
      </c>
      <c r="L33" s="166">
        <v>1.6953</v>
      </c>
      <c r="M33">
        <v>2</v>
      </c>
      <c r="N33">
        <f t="shared" si="3"/>
        <v>129.95898552</v>
      </c>
      <c r="O33" s="212">
        <f t="shared" si="0"/>
        <v>202.15842192000002</v>
      </c>
      <c r="P33" s="212">
        <f t="shared" si="4"/>
        <v>156</v>
      </c>
      <c r="Q33">
        <f t="shared" si="1"/>
        <v>1400</v>
      </c>
      <c r="T33">
        <v>273</v>
      </c>
      <c r="U33" s="182">
        <v>120</v>
      </c>
      <c r="V33" s="182">
        <v>1300</v>
      </c>
      <c r="W33" s="210">
        <v>1.4765999999999999</v>
      </c>
      <c r="X33" s="182">
        <v>2</v>
      </c>
    </row>
    <row r="34" spans="8:24" ht="15.75" thickBot="1">
      <c r="H34" s="182">
        <f t="shared" si="5"/>
        <v>11</v>
      </c>
      <c r="I34">
        <v>273</v>
      </c>
      <c r="J34">
        <f t="shared" si="2"/>
        <v>108</v>
      </c>
      <c r="K34" s="182">
        <f t="shared" si="6"/>
        <v>1300</v>
      </c>
      <c r="L34" s="210">
        <v>1.4765999999999999</v>
      </c>
      <c r="M34" s="182">
        <v>2</v>
      </c>
      <c r="N34" s="182">
        <f t="shared" si="3"/>
        <v>113.19379343999999</v>
      </c>
      <c r="O34" s="212">
        <f t="shared" si="0"/>
        <v>176.07923423999998</v>
      </c>
      <c r="P34" s="212">
        <f t="shared" si="4"/>
        <v>156</v>
      </c>
      <c r="Q34">
        <f t="shared" si="1"/>
        <v>1400</v>
      </c>
    </row>
    <row r="35" spans="8:24" ht="15.75" thickBot="1">
      <c r="H35">
        <f t="shared" si="5"/>
        <v>10</v>
      </c>
      <c r="I35">
        <v>273</v>
      </c>
      <c r="J35">
        <f t="shared" si="2"/>
        <v>108</v>
      </c>
      <c r="K35">
        <f t="shared" si="6"/>
        <v>1300</v>
      </c>
      <c r="L35" s="166">
        <v>1.3281000000000001</v>
      </c>
      <c r="M35">
        <v>2</v>
      </c>
      <c r="N35">
        <f t="shared" si="3"/>
        <v>101.81002104000001</v>
      </c>
      <c r="O35" s="212">
        <f t="shared" si="0"/>
        <v>158.37114384</v>
      </c>
      <c r="P35" s="212">
        <f t="shared" si="4"/>
        <v>156</v>
      </c>
      <c r="Q35">
        <f t="shared" si="1"/>
        <v>1400</v>
      </c>
      <c r="S35" s="1"/>
      <c r="T35" s="280" t="s">
        <v>318</v>
      </c>
      <c r="U35" s="280"/>
      <c r="V35" s="280" t="s">
        <v>316</v>
      </c>
      <c r="W35" s="280"/>
    </row>
    <row r="36" spans="8:24" ht="15.75" thickBot="1">
      <c r="H36">
        <f t="shared" si="5"/>
        <v>9</v>
      </c>
      <c r="I36">
        <v>273</v>
      </c>
      <c r="J36">
        <f t="shared" si="2"/>
        <v>108</v>
      </c>
      <c r="K36">
        <f t="shared" si="6"/>
        <v>1300</v>
      </c>
      <c r="L36" s="166">
        <v>1.3262</v>
      </c>
      <c r="M36">
        <v>2</v>
      </c>
      <c r="N36">
        <f t="shared" si="3"/>
        <v>101.66437008</v>
      </c>
      <c r="O36" s="212">
        <f t="shared" si="0"/>
        <v>158.14457568</v>
      </c>
      <c r="P36" s="212">
        <f t="shared" si="4"/>
        <v>156</v>
      </c>
      <c r="Q36">
        <f t="shared" si="1"/>
        <v>1400</v>
      </c>
      <c r="S36" s="1" t="s">
        <v>313</v>
      </c>
      <c r="T36" s="1" t="s">
        <v>315</v>
      </c>
      <c r="U36" s="1" t="s">
        <v>317</v>
      </c>
      <c r="V36" s="1" t="s">
        <v>314</v>
      </c>
      <c r="W36" s="1" t="s">
        <v>315</v>
      </c>
    </row>
    <row r="37" spans="8:24" ht="15.75" thickBot="1">
      <c r="H37">
        <f t="shared" si="5"/>
        <v>8</v>
      </c>
      <c r="I37">
        <v>273</v>
      </c>
      <c r="J37">
        <f t="shared" si="2"/>
        <v>108</v>
      </c>
      <c r="K37">
        <f t="shared" si="6"/>
        <v>1300</v>
      </c>
      <c r="L37" s="166">
        <v>1.1758</v>
      </c>
      <c r="M37">
        <v>2</v>
      </c>
      <c r="N37">
        <f t="shared" si="3"/>
        <v>90.134946720000002</v>
      </c>
      <c r="O37" s="212">
        <f t="shared" si="0"/>
        <v>140.20991712</v>
      </c>
      <c r="P37" s="212">
        <f t="shared" si="4"/>
        <v>156</v>
      </c>
      <c r="Q37">
        <f t="shared" si="1"/>
        <v>1400</v>
      </c>
      <c r="S37" s="213">
        <v>15</v>
      </c>
      <c r="T37" s="213">
        <v>184</v>
      </c>
      <c r="U37" s="213">
        <v>286.94261231999997</v>
      </c>
      <c r="V37" s="213">
        <v>178</v>
      </c>
      <c r="W37" s="213">
        <v>268</v>
      </c>
    </row>
    <row r="38" spans="8:24" ht="15.75" thickBot="1">
      <c r="H38">
        <f t="shared" si="5"/>
        <v>7</v>
      </c>
      <c r="I38">
        <v>273</v>
      </c>
      <c r="J38">
        <f t="shared" si="2"/>
        <v>108</v>
      </c>
      <c r="K38">
        <f t="shared" si="6"/>
        <v>1300</v>
      </c>
      <c r="L38" s="166">
        <v>1.0273000000000001</v>
      </c>
      <c r="M38">
        <v>2</v>
      </c>
      <c r="N38">
        <f t="shared" si="3"/>
        <v>78.751174320000004</v>
      </c>
      <c r="O38" s="212">
        <f t="shared" si="0"/>
        <v>122.50182672000001</v>
      </c>
      <c r="P38" s="212">
        <f t="shared" si="4"/>
        <v>156</v>
      </c>
      <c r="Q38">
        <f t="shared" si="1"/>
        <v>1400</v>
      </c>
      <c r="S38" s="213">
        <v>13</v>
      </c>
      <c r="T38" s="213">
        <v>143</v>
      </c>
      <c r="U38" s="213">
        <v>228.24953423999997</v>
      </c>
      <c r="V38" s="213">
        <v>160</v>
      </c>
      <c r="W38" s="213">
        <v>220</v>
      </c>
    </row>
    <row r="39" spans="8:24" ht="15.75" thickBot="1">
      <c r="H39">
        <f t="shared" si="5"/>
        <v>6</v>
      </c>
      <c r="I39">
        <v>273</v>
      </c>
      <c r="J39">
        <f t="shared" si="2"/>
        <v>108</v>
      </c>
      <c r="K39">
        <f t="shared" si="6"/>
        <v>1300</v>
      </c>
      <c r="L39" s="166">
        <v>0.877</v>
      </c>
      <c r="M39">
        <v>2</v>
      </c>
      <c r="N39">
        <f t="shared" si="3"/>
        <v>67.229416799999996</v>
      </c>
      <c r="O39" s="212">
        <f t="shared" si="0"/>
        <v>104.5790928</v>
      </c>
      <c r="P39" s="212">
        <f t="shared" si="4"/>
        <v>156</v>
      </c>
      <c r="Q39">
        <f t="shared" si="1"/>
        <v>1400</v>
      </c>
      <c r="S39" s="213">
        <v>11</v>
      </c>
      <c r="T39" s="213">
        <v>113</v>
      </c>
      <c r="U39" s="213">
        <v>176.07923423999998</v>
      </c>
      <c r="V39" s="213">
        <v>123</v>
      </c>
      <c r="W39" s="213">
        <v>170</v>
      </c>
    </row>
    <row r="40" spans="8:24" ht="15.75" thickBot="1">
      <c r="H40">
        <f t="shared" si="5"/>
        <v>5</v>
      </c>
      <c r="I40">
        <v>273</v>
      </c>
      <c r="J40">
        <f t="shared" si="2"/>
        <v>108</v>
      </c>
      <c r="K40">
        <f t="shared" si="6"/>
        <v>1300</v>
      </c>
      <c r="L40" s="166">
        <v>0.74019999999999997</v>
      </c>
      <c r="M40">
        <v>2</v>
      </c>
      <c r="N40">
        <f t="shared" si="3"/>
        <v>56.742547680000001</v>
      </c>
      <c r="O40" s="212">
        <f t="shared" si="0"/>
        <v>88.266185280000002</v>
      </c>
      <c r="P40" s="212">
        <f t="shared" si="4"/>
        <v>156</v>
      </c>
      <c r="Q40">
        <f t="shared" si="1"/>
        <v>1400</v>
      </c>
    </row>
    <row r="41" spans="8:24" ht="15.75" thickBot="1">
      <c r="H41">
        <f t="shared" si="5"/>
        <v>4</v>
      </c>
      <c r="I41">
        <v>273</v>
      </c>
      <c r="J41">
        <f t="shared" si="2"/>
        <v>108</v>
      </c>
      <c r="K41">
        <f t="shared" si="6"/>
        <v>1300</v>
      </c>
      <c r="L41" s="166">
        <v>0.60160000000000002</v>
      </c>
      <c r="M41">
        <v>2</v>
      </c>
      <c r="N41">
        <f t="shared" si="3"/>
        <v>46.117693440000004</v>
      </c>
      <c r="O41" s="212">
        <f t="shared" si="0"/>
        <v>71.73863424000001</v>
      </c>
      <c r="P41" s="212">
        <f t="shared" si="4"/>
        <v>156</v>
      </c>
      <c r="Q41">
        <f t="shared" si="1"/>
        <v>1400</v>
      </c>
    </row>
    <row r="42" spans="8:24" ht="15.75" thickBot="1">
      <c r="H42">
        <f t="shared" si="5"/>
        <v>3</v>
      </c>
      <c r="I42">
        <v>273</v>
      </c>
      <c r="J42">
        <f t="shared" si="2"/>
        <v>108</v>
      </c>
      <c r="K42">
        <f t="shared" si="6"/>
        <v>1300</v>
      </c>
      <c r="L42" s="166">
        <v>0.49020000000000002</v>
      </c>
      <c r="M42">
        <v>2</v>
      </c>
      <c r="N42">
        <f t="shared" si="3"/>
        <v>37.577947680000001</v>
      </c>
      <c r="O42" s="212">
        <f t="shared" si="0"/>
        <v>58.454585280000003</v>
      </c>
      <c r="P42" s="212">
        <f t="shared" si="4"/>
        <v>156</v>
      </c>
      <c r="Q42">
        <f t="shared" si="1"/>
        <v>1400</v>
      </c>
    </row>
    <row r="43" spans="8:24" ht="15.75" thickBot="1">
      <c r="H43">
        <f t="shared" si="5"/>
        <v>2</v>
      </c>
      <c r="I43">
        <v>273</v>
      </c>
      <c r="J43">
        <f t="shared" si="2"/>
        <v>108</v>
      </c>
      <c r="K43">
        <f t="shared" si="6"/>
        <v>1300</v>
      </c>
      <c r="L43" s="166">
        <v>0.377</v>
      </c>
      <c r="M43">
        <v>2</v>
      </c>
      <c r="N43">
        <f t="shared" si="3"/>
        <v>28.900216799999999</v>
      </c>
      <c r="O43" s="212">
        <f t="shared" si="0"/>
        <v>44.955892799999994</v>
      </c>
      <c r="P43" s="212">
        <f t="shared" si="4"/>
        <v>156</v>
      </c>
      <c r="Q43">
        <f t="shared" si="1"/>
        <v>1400</v>
      </c>
    </row>
    <row r="44" spans="8:24" ht="15.75" thickBot="1">
      <c r="H44">
        <f t="shared" si="5"/>
        <v>1</v>
      </c>
      <c r="I44">
        <v>273</v>
      </c>
      <c r="J44">
        <f t="shared" si="2"/>
        <v>108</v>
      </c>
      <c r="K44">
        <f t="shared" si="6"/>
        <v>1300</v>
      </c>
      <c r="L44" s="166">
        <v>0.30659999999999998</v>
      </c>
      <c r="M44">
        <v>2</v>
      </c>
      <c r="N44">
        <f t="shared" si="3"/>
        <v>23.503465439999999</v>
      </c>
      <c r="O44" s="212">
        <f t="shared" si="0"/>
        <v>36.560946239999993</v>
      </c>
      <c r="P44" s="212">
        <f t="shared" si="4"/>
        <v>156</v>
      </c>
      <c r="Q44">
        <f t="shared" si="1"/>
        <v>1400</v>
      </c>
    </row>
    <row r="45" spans="8:24" ht="15.75" thickBot="1">
      <c r="H45">
        <f t="shared" si="5"/>
        <v>0</v>
      </c>
      <c r="I45">
        <v>273</v>
      </c>
      <c r="J45">
        <f t="shared" si="2"/>
        <v>108</v>
      </c>
      <c r="K45">
        <f t="shared" si="6"/>
        <v>1300</v>
      </c>
      <c r="L45" s="166">
        <v>0.2344</v>
      </c>
      <c r="M45">
        <v>2</v>
      </c>
      <c r="N45">
        <f t="shared" si="3"/>
        <v>17.96872896</v>
      </c>
      <c r="O45" s="212">
        <f t="shared" si="0"/>
        <v>27.95135616</v>
      </c>
      <c r="P45" s="212">
        <f t="shared" si="4"/>
        <v>156</v>
      </c>
      <c r="Q45">
        <f t="shared" si="1"/>
        <v>1400</v>
      </c>
    </row>
  </sheetData>
  <sortState xmlns:xlrd2="http://schemas.microsoft.com/office/spreadsheetml/2017/richdata2" ref="L17:L45">
    <sortCondition descending="1" ref="L17"/>
  </sortState>
  <mergeCells count="2">
    <mergeCell ref="V35:W35"/>
    <mergeCell ref="T35:U35"/>
  </mergeCells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3:J27"/>
  <sheetViews>
    <sheetView showGridLines="0" workbookViewId="0">
      <selection activeCell="D28" sqref="D28"/>
    </sheetView>
  </sheetViews>
  <sheetFormatPr defaultColWidth="9.140625" defaultRowHeight="15"/>
  <cols>
    <col min="1" max="1" width="11.28515625" customWidth="1"/>
    <col min="2" max="2" width="10.85546875" customWidth="1"/>
    <col min="3" max="3" width="12.42578125" customWidth="1"/>
    <col min="4" max="4" width="68.85546875" bestFit="1" customWidth="1"/>
  </cols>
  <sheetData>
    <row r="3" spans="1:10">
      <c r="A3" s="183" t="s">
        <v>250</v>
      </c>
      <c r="B3" s="183" t="s">
        <v>251</v>
      </c>
      <c r="C3" s="183" t="s">
        <v>252</v>
      </c>
      <c r="D3" s="183" t="s">
        <v>253</v>
      </c>
      <c r="F3" s="89"/>
      <c r="G3" s="89"/>
      <c r="H3" s="279" t="s">
        <v>256</v>
      </c>
      <c r="I3" s="279"/>
      <c r="J3" s="279"/>
    </row>
    <row r="4" spans="1:10">
      <c r="A4" s="184">
        <v>1</v>
      </c>
      <c r="B4" s="185" t="s">
        <v>255</v>
      </c>
      <c r="C4" s="89" t="s">
        <v>254</v>
      </c>
      <c r="D4" s="89"/>
      <c r="F4" s="89"/>
      <c r="G4" s="89"/>
      <c r="H4" s="279" t="str">
        <f>"Calculator v"&amp;TEXT(A25,"0.00")</f>
        <v>Calculator v5.80</v>
      </c>
      <c r="I4" s="279"/>
      <c r="J4" s="279"/>
    </row>
    <row r="5" spans="1:10">
      <c r="A5" s="184">
        <v>2</v>
      </c>
      <c r="B5" s="185" t="s">
        <v>279</v>
      </c>
      <c r="C5" s="89" t="s">
        <v>254</v>
      </c>
      <c r="D5" s="89" t="s">
        <v>267</v>
      </c>
      <c r="F5" s="89"/>
      <c r="G5" s="89"/>
    </row>
    <row r="6" spans="1:10">
      <c r="A6" s="184">
        <v>3</v>
      </c>
      <c r="B6" t="s">
        <v>278</v>
      </c>
      <c r="C6" s="89" t="s">
        <v>254</v>
      </c>
      <c r="D6" s="89" t="s">
        <v>280</v>
      </c>
      <c r="F6" s="89"/>
      <c r="G6" s="89"/>
      <c r="H6" s="89"/>
      <c r="I6" s="89"/>
      <c r="J6" s="186"/>
    </row>
    <row r="7" spans="1:10">
      <c r="A7" s="184">
        <v>4</v>
      </c>
      <c r="B7" s="185" t="s">
        <v>319</v>
      </c>
      <c r="C7" s="89" t="s">
        <v>254</v>
      </c>
      <c r="D7" s="89" t="s">
        <v>329</v>
      </c>
      <c r="F7" s="89"/>
      <c r="G7" s="89"/>
      <c r="H7" s="89"/>
      <c r="I7" s="89"/>
      <c r="J7" s="89"/>
    </row>
    <row r="8" spans="1:10">
      <c r="A8" s="184">
        <v>4.0999999999999996</v>
      </c>
      <c r="B8" s="185" t="s">
        <v>322</v>
      </c>
      <c r="C8" s="89" t="s">
        <v>254</v>
      </c>
      <c r="D8" s="89" t="s">
        <v>323</v>
      </c>
    </row>
    <row r="9" spans="1:10">
      <c r="A9" s="184">
        <v>4.2</v>
      </c>
      <c r="B9" s="185" t="s">
        <v>325</v>
      </c>
      <c r="C9" s="89" t="s">
        <v>254</v>
      </c>
      <c r="D9" s="89" t="s">
        <v>326</v>
      </c>
    </row>
    <row r="10" spans="1:10">
      <c r="A10" s="184">
        <v>4.3</v>
      </c>
      <c r="B10" s="185" t="s">
        <v>327</v>
      </c>
      <c r="C10" s="89" t="s">
        <v>254</v>
      </c>
      <c r="D10" s="89" t="s">
        <v>328</v>
      </c>
    </row>
    <row r="11" spans="1:10">
      <c r="A11" s="184">
        <v>4.4000000000000004</v>
      </c>
      <c r="B11" s="185" t="s">
        <v>330</v>
      </c>
      <c r="C11" s="89" t="s">
        <v>254</v>
      </c>
      <c r="D11" s="89" t="s">
        <v>331</v>
      </c>
    </row>
    <row r="12" spans="1:10">
      <c r="A12" s="184">
        <v>4.5</v>
      </c>
      <c r="B12" s="185" t="s">
        <v>415</v>
      </c>
      <c r="C12" s="89" t="s">
        <v>254</v>
      </c>
      <c r="D12" s="89" t="s">
        <v>416</v>
      </c>
    </row>
    <row r="13" spans="1:10">
      <c r="A13" s="184">
        <v>4.5999999999999996</v>
      </c>
      <c r="B13" s="185" t="s">
        <v>417</v>
      </c>
      <c r="C13" s="89" t="s">
        <v>254</v>
      </c>
      <c r="D13" s="89" t="s">
        <v>419</v>
      </c>
    </row>
    <row r="14" spans="1:10">
      <c r="A14" s="184">
        <v>4.7</v>
      </c>
      <c r="B14" s="185" t="s">
        <v>417</v>
      </c>
      <c r="C14" s="89" t="s">
        <v>254</v>
      </c>
      <c r="D14" s="89" t="s">
        <v>420</v>
      </c>
    </row>
    <row r="15" spans="1:10">
      <c r="A15" s="184">
        <v>4.8</v>
      </c>
      <c r="B15" s="185" t="s">
        <v>436</v>
      </c>
      <c r="C15" s="89" t="s">
        <v>254</v>
      </c>
      <c r="D15" s="89" t="s">
        <v>421</v>
      </c>
    </row>
    <row r="16" spans="1:10">
      <c r="A16" s="184">
        <v>4.9000000000000004</v>
      </c>
      <c r="B16" s="185" t="s">
        <v>436</v>
      </c>
      <c r="C16" s="89" t="s">
        <v>254</v>
      </c>
      <c r="D16" s="89" t="s">
        <v>424</v>
      </c>
    </row>
    <row r="17" spans="1:5">
      <c r="A17" s="184">
        <v>5</v>
      </c>
      <c r="B17" s="185" t="s">
        <v>435</v>
      </c>
      <c r="C17" s="89" t="s">
        <v>254</v>
      </c>
      <c r="D17" s="89" t="s">
        <v>437</v>
      </c>
    </row>
    <row r="18" spans="1:5">
      <c r="A18" s="184">
        <v>5.0999999999999996</v>
      </c>
      <c r="B18" s="185" t="s">
        <v>435</v>
      </c>
      <c r="C18" s="89" t="s">
        <v>254</v>
      </c>
      <c r="D18" s="89" t="s">
        <v>438</v>
      </c>
    </row>
    <row r="19" spans="1:5">
      <c r="A19" s="184">
        <v>5.2</v>
      </c>
      <c r="B19" s="185" t="s">
        <v>435</v>
      </c>
      <c r="C19" s="89" t="s">
        <v>254</v>
      </c>
      <c r="D19" s="89" t="s">
        <v>441</v>
      </c>
    </row>
    <row r="20" spans="1:5">
      <c r="A20" s="184">
        <v>5.3</v>
      </c>
      <c r="B20" s="185" t="s">
        <v>449</v>
      </c>
      <c r="C20" s="89" t="s">
        <v>254</v>
      </c>
      <c r="D20" s="89" t="s">
        <v>450</v>
      </c>
    </row>
    <row r="21" spans="1:5">
      <c r="A21" s="184">
        <v>5.4</v>
      </c>
      <c r="B21" s="185" t="s">
        <v>452</v>
      </c>
      <c r="C21" s="89" t="s">
        <v>254</v>
      </c>
      <c r="D21" s="89" t="s">
        <v>454</v>
      </c>
    </row>
    <row r="22" spans="1:5">
      <c r="A22" s="184">
        <v>5.5</v>
      </c>
      <c r="B22" s="185" t="s">
        <v>462</v>
      </c>
      <c r="C22" s="89" t="s">
        <v>254</v>
      </c>
      <c r="D22" s="89" t="s">
        <v>461</v>
      </c>
    </row>
    <row r="23" spans="1:5">
      <c r="A23" s="184">
        <v>5.6</v>
      </c>
      <c r="B23" s="185" t="s">
        <v>469</v>
      </c>
      <c r="C23" s="89" t="s">
        <v>254</v>
      </c>
      <c r="D23" s="89" t="s">
        <v>481</v>
      </c>
      <c r="E23" s="89"/>
    </row>
    <row r="24" spans="1:5">
      <c r="A24" s="184">
        <v>5.7</v>
      </c>
      <c r="B24" s="185" t="s">
        <v>480</v>
      </c>
      <c r="C24" s="89" t="s">
        <v>254</v>
      </c>
      <c r="D24" s="89" t="s">
        <v>487</v>
      </c>
      <c r="E24" s="89"/>
    </row>
    <row r="25" spans="1:5">
      <c r="A25" s="184">
        <v>5.8</v>
      </c>
      <c r="B25" s="185" t="s">
        <v>493</v>
      </c>
      <c r="C25" s="89" t="s">
        <v>254</v>
      </c>
      <c r="D25" s="89" t="s">
        <v>494</v>
      </c>
      <c r="E25" s="89"/>
    </row>
    <row r="26" spans="1:5">
      <c r="A26" s="184"/>
      <c r="B26" s="185"/>
      <c r="C26" s="89"/>
      <c r="D26" s="89"/>
      <c r="E26" s="89"/>
    </row>
    <row r="27" spans="1:5">
      <c r="A27" s="184"/>
      <c r="B27" s="185"/>
      <c r="C27" s="89"/>
      <c r="D27" s="89"/>
      <c r="E27" s="89"/>
    </row>
  </sheetData>
  <mergeCells count="2">
    <mergeCell ref="H3:J3"/>
    <mergeCell ref="H4:J4"/>
  </mergeCells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S196"/>
  <sheetViews>
    <sheetView topLeftCell="E74" zoomScale="80" zoomScaleNormal="80" workbookViewId="0">
      <selection activeCell="E96" sqref="E96:E100"/>
    </sheetView>
  </sheetViews>
  <sheetFormatPr defaultRowHeight="15"/>
  <cols>
    <col min="1" max="1" width="9.42578125" bestFit="1" customWidth="1"/>
    <col min="2" max="2" width="28.28515625" bestFit="1" customWidth="1"/>
    <col min="3" max="3" width="37.42578125" bestFit="1" customWidth="1"/>
    <col min="4" max="4" width="10.85546875" bestFit="1" customWidth="1"/>
    <col min="5" max="5" width="113.5703125" bestFit="1" customWidth="1"/>
    <col min="6" max="6" width="18" customWidth="1"/>
    <col min="7" max="7" width="11.140625" customWidth="1"/>
    <col min="8" max="8" width="11.7109375" bestFit="1" customWidth="1"/>
    <col min="9" max="9" width="13.140625" bestFit="1" customWidth="1"/>
    <col min="10" max="10" width="14.85546875" bestFit="1" customWidth="1"/>
    <col min="11" max="11" width="26.85546875" customWidth="1"/>
    <col min="12" max="12" width="19.7109375" customWidth="1"/>
    <col min="13" max="13" width="23.85546875" customWidth="1"/>
    <col min="14" max="14" width="29.7109375" bestFit="1" customWidth="1"/>
    <col min="15" max="15" width="17.7109375" customWidth="1"/>
    <col min="16" max="16" width="35.28515625" customWidth="1"/>
    <col min="17" max="17" width="32.28515625" bestFit="1" customWidth="1"/>
    <col min="25" max="25" width="11.85546875" customWidth="1"/>
    <col min="35" max="35" width="24.85546875" customWidth="1"/>
    <col min="41" max="41" width="64.7109375" bestFit="1" customWidth="1"/>
    <col min="55" max="55" width="20.7109375" bestFit="1" customWidth="1"/>
    <col min="61" max="61" width="11.5703125" bestFit="1" customWidth="1"/>
    <col min="62" max="62" width="46.28515625" bestFit="1" customWidth="1"/>
    <col min="87" max="87" width="28.85546875" bestFit="1" customWidth="1"/>
  </cols>
  <sheetData>
    <row r="1" spans="2:123" ht="26.45" customHeight="1" thickBot="1">
      <c r="B1" t="s">
        <v>418</v>
      </c>
      <c r="C1">
        <f>PDCCH_overhead_NR</f>
        <v>1</v>
      </c>
      <c r="E1" s="43" t="s">
        <v>42</v>
      </c>
      <c r="F1" s="43" t="s">
        <v>195</v>
      </c>
      <c r="G1" s="43"/>
      <c r="O1" s="303" t="s">
        <v>52</v>
      </c>
      <c r="P1" s="303"/>
      <c r="U1" s="69" t="s">
        <v>22</v>
      </c>
      <c r="V1" s="32"/>
      <c r="Z1" s="69" t="s">
        <v>25</v>
      </c>
      <c r="AA1" s="32"/>
      <c r="AB1" s="32"/>
      <c r="AC1" s="32"/>
      <c r="AE1" s="69" t="s">
        <v>41</v>
      </c>
      <c r="AF1" s="44"/>
      <c r="AG1" s="44"/>
      <c r="AH1" s="44"/>
      <c r="AJ1" s="69" t="s">
        <v>33</v>
      </c>
      <c r="AK1" s="44"/>
      <c r="AL1" s="44"/>
      <c r="AM1" s="44"/>
      <c r="AO1" s="65" t="s">
        <v>139</v>
      </c>
      <c r="AP1" s="65"/>
      <c r="AQ1" s="65"/>
      <c r="AR1" s="65"/>
      <c r="AS1" s="65"/>
      <c r="BK1" s="32" t="s">
        <v>45</v>
      </c>
      <c r="BL1" s="32"/>
      <c r="BM1" s="32"/>
      <c r="BN1" s="32"/>
      <c r="CM1" s="283" t="s">
        <v>146</v>
      </c>
      <c r="CN1" s="283"/>
      <c r="CO1" s="283"/>
      <c r="CP1" s="283"/>
      <c r="CQ1" s="283"/>
      <c r="CR1" s="283"/>
      <c r="CS1" s="283"/>
      <c r="CT1" s="283"/>
      <c r="CU1" s="165"/>
    </row>
    <row r="2" spans="2:123" ht="48.6" customHeight="1" thickBot="1">
      <c r="B2" s="1" t="s">
        <v>154</v>
      </c>
      <c r="C2" s="79">
        <f>HLOOKUP(BW_NR,IF(C4="FR1",$AQ$2:$BE$7, $AP$11:$AS$14), IF(C4="FR1",VLOOKUP(SCS_NR,$AP$5:$BF$7,17,0),  VLOOKUP(SCS_NR,AO13:AT14,6,0)),0)</f>
        <v>106</v>
      </c>
      <c r="E2" s="9"/>
      <c r="F2" s="10"/>
      <c r="G2" s="11" t="s">
        <v>1</v>
      </c>
      <c r="H2" s="9"/>
      <c r="I2" s="11" t="s">
        <v>1</v>
      </c>
      <c r="O2" s="7" t="s">
        <v>46</v>
      </c>
      <c r="P2" s="56" t="s">
        <v>47</v>
      </c>
      <c r="U2" s="24" t="s">
        <v>13</v>
      </c>
      <c r="V2" s="26" t="s">
        <v>15</v>
      </c>
      <c r="W2" s="26" t="s">
        <v>17</v>
      </c>
      <c r="X2" s="26" t="s">
        <v>19</v>
      </c>
      <c r="Z2" s="33" t="s">
        <v>13</v>
      </c>
      <c r="AA2" s="35" t="s">
        <v>15</v>
      </c>
      <c r="AB2" s="35" t="s">
        <v>17</v>
      </c>
      <c r="AC2" s="35" t="s">
        <v>19</v>
      </c>
      <c r="AE2" s="24" t="s">
        <v>13</v>
      </c>
      <c r="AF2" s="26" t="s">
        <v>15</v>
      </c>
      <c r="AG2" s="26" t="s">
        <v>40</v>
      </c>
      <c r="AH2" s="26" t="s">
        <v>19</v>
      </c>
      <c r="AJ2" s="38" t="s">
        <v>26</v>
      </c>
      <c r="AK2" s="39" t="s">
        <v>27</v>
      </c>
      <c r="AL2" s="39" t="s">
        <v>28</v>
      </c>
      <c r="AM2" s="39" t="s">
        <v>20</v>
      </c>
      <c r="AP2" s="308" t="s">
        <v>135</v>
      </c>
      <c r="AQ2" s="60">
        <v>5</v>
      </c>
      <c r="AR2" s="60">
        <v>10</v>
      </c>
      <c r="AS2" s="60">
        <v>15</v>
      </c>
      <c r="AT2" s="59">
        <v>20</v>
      </c>
      <c r="AU2" s="59">
        <v>25</v>
      </c>
      <c r="AV2" s="60">
        <v>30</v>
      </c>
      <c r="AW2" s="60">
        <v>35</v>
      </c>
      <c r="AX2" s="59">
        <v>40</v>
      </c>
      <c r="AY2" s="60">
        <v>45</v>
      </c>
      <c r="AZ2" s="59">
        <v>50</v>
      </c>
      <c r="BA2" s="59">
        <v>60</v>
      </c>
      <c r="BB2" s="60">
        <v>70</v>
      </c>
      <c r="BC2" s="59">
        <v>80</v>
      </c>
      <c r="BD2" s="60">
        <v>90</v>
      </c>
      <c r="BE2" s="72">
        <v>100</v>
      </c>
      <c r="BF2" s="113" t="s">
        <v>152</v>
      </c>
      <c r="BJ2" t="str">
        <f>CONCATENATE("Format ",BK7," - DL ",LEFT(CF7,3),"% : UL  ",LEFT(CG7,3),"%"," /(",BZ7,")DL:(",CA7,")UL"," /",BI7,"Km")</f>
        <v>Format 3 - DL 92.% : UL  0% /(13)DL:(0)UL /0Km</v>
      </c>
      <c r="BK2" s="287" t="s">
        <v>3</v>
      </c>
      <c r="BL2" s="295" t="s">
        <v>4</v>
      </c>
      <c r="BM2" s="290"/>
      <c r="BN2" s="290"/>
      <c r="BO2" s="290"/>
      <c r="BP2" s="290"/>
      <c r="BQ2" s="290"/>
      <c r="BR2" s="290"/>
      <c r="BS2" s="290"/>
      <c r="BT2" s="290"/>
      <c r="BU2" s="290"/>
      <c r="BV2" s="290"/>
      <c r="BW2" s="290"/>
      <c r="BX2" s="290"/>
      <c r="BY2" s="291"/>
      <c r="CC2" s="307" t="s">
        <v>10</v>
      </c>
      <c r="CD2" s="307"/>
      <c r="CE2" s="307"/>
      <c r="CF2" s="95"/>
      <c r="CG2" s="95"/>
      <c r="CH2" s="95"/>
      <c r="CI2" s="95"/>
      <c r="CM2" s="284" t="s">
        <v>141</v>
      </c>
      <c r="CN2" s="285"/>
      <c r="CO2" s="285"/>
      <c r="CP2" s="285"/>
      <c r="CQ2" s="285"/>
      <c r="CR2" s="285"/>
      <c r="CS2" s="285"/>
      <c r="CT2" s="285"/>
      <c r="CU2" s="285"/>
      <c r="CV2" s="285"/>
      <c r="CW2" s="285"/>
      <c r="CX2" s="285"/>
      <c r="CY2" s="285"/>
      <c r="CZ2" s="285"/>
      <c r="DA2" s="285"/>
      <c r="DB2" s="285"/>
      <c r="DC2" s="286"/>
    </row>
    <row r="3" spans="2:123" ht="16.5" thickTop="1" thickBot="1">
      <c r="B3" s="1" t="s">
        <v>155</v>
      </c>
      <c r="C3" s="79">
        <f>VLOOKUP(SCS_NR,$F$3:$H$7,3,0)</f>
        <v>1</v>
      </c>
      <c r="E3" s="12">
        <v>0</v>
      </c>
      <c r="F3" s="8">
        <f t="shared" ref="F3:F8" si="0">2^(E3)*15</f>
        <v>15</v>
      </c>
      <c r="G3" s="13" t="s">
        <v>0</v>
      </c>
      <c r="H3" s="100">
        <v>0</v>
      </c>
      <c r="I3" s="98" t="s">
        <v>0</v>
      </c>
      <c r="N3" s="96" t="str">
        <f>CONCATENATE(O3," (",Q3,") ",P3)</f>
        <v>FR1 (sub6) 450 MHz – 6000 MHz</v>
      </c>
      <c r="O3" s="6" t="s">
        <v>48</v>
      </c>
      <c r="P3" s="6" t="s">
        <v>49</v>
      </c>
      <c r="Q3" s="97" t="s">
        <v>148</v>
      </c>
      <c r="U3" s="25" t="s">
        <v>14</v>
      </c>
      <c r="V3" s="27" t="s">
        <v>16</v>
      </c>
      <c r="W3" s="27" t="s">
        <v>18</v>
      </c>
      <c r="X3" s="28" t="s">
        <v>20</v>
      </c>
      <c r="Z3" s="34" t="s">
        <v>23</v>
      </c>
      <c r="AA3" s="36" t="s">
        <v>24</v>
      </c>
      <c r="AB3" s="36" t="s">
        <v>18</v>
      </c>
      <c r="AC3" s="37" t="s">
        <v>20</v>
      </c>
      <c r="AE3" s="25" t="s">
        <v>39</v>
      </c>
      <c r="AF3" s="27" t="s">
        <v>16</v>
      </c>
      <c r="AG3" s="27" t="s">
        <v>18</v>
      </c>
      <c r="AH3" s="28" t="s">
        <v>20</v>
      </c>
      <c r="AJ3" s="40">
        <v>0</v>
      </c>
      <c r="AK3" s="311" t="s">
        <v>29</v>
      </c>
      <c r="AL3" s="312"/>
      <c r="AM3" s="313"/>
      <c r="AP3" s="309"/>
      <c r="AQ3" s="61" t="s">
        <v>136</v>
      </c>
      <c r="AR3" s="61" t="s">
        <v>136</v>
      </c>
      <c r="AS3" s="61" t="s">
        <v>136</v>
      </c>
      <c r="AT3" s="61" t="s">
        <v>136</v>
      </c>
      <c r="AU3" s="61" t="s">
        <v>136</v>
      </c>
      <c r="AV3" s="61" t="s">
        <v>136</v>
      </c>
      <c r="AW3" s="61" t="s">
        <v>136</v>
      </c>
      <c r="AX3" s="61" t="s">
        <v>136</v>
      </c>
      <c r="AY3" s="61" t="s">
        <v>136</v>
      </c>
      <c r="AZ3" s="61" t="s">
        <v>136</v>
      </c>
      <c r="BA3" s="61" t="s">
        <v>136</v>
      </c>
      <c r="BB3" s="61" t="s">
        <v>136</v>
      </c>
      <c r="BC3" s="61" t="s">
        <v>136</v>
      </c>
      <c r="BD3" s="61" t="s">
        <v>136</v>
      </c>
      <c r="BE3" s="73" t="s">
        <v>136</v>
      </c>
      <c r="BF3" s="113"/>
      <c r="BI3" s="160" t="s">
        <v>207</v>
      </c>
      <c r="BK3" s="288"/>
      <c r="BL3" s="17">
        <v>0</v>
      </c>
      <c r="BM3" s="17">
        <v>1</v>
      </c>
      <c r="BN3" s="17">
        <v>2</v>
      </c>
      <c r="BO3" s="17">
        <v>3</v>
      </c>
      <c r="BP3" s="17">
        <v>4</v>
      </c>
      <c r="BQ3" s="17">
        <v>5</v>
      </c>
      <c r="BR3" s="17">
        <v>6</v>
      </c>
      <c r="BS3" s="17">
        <v>7</v>
      </c>
      <c r="BT3" s="17">
        <v>8</v>
      </c>
      <c r="BU3" s="17">
        <v>9</v>
      </c>
      <c r="BV3" s="17">
        <v>10</v>
      </c>
      <c r="BW3" s="17">
        <v>11</v>
      </c>
      <c r="BX3" s="17">
        <v>12</v>
      </c>
      <c r="BY3" s="19">
        <v>13</v>
      </c>
      <c r="BZ3" s="1" t="s">
        <v>5</v>
      </c>
      <c r="CA3" s="1" t="s">
        <v>6</v>
      </c>
      <c r="CB3" s="1" t="s">
        <v>7</v>
      </c>
      <c r="CC3" s="1" t="s">
        <v>5</v>
      </c>
      <c r="CD3" s="1" t="s">
        <v>6</v>
      </c>
      <c r="CE3" s="1" t="s">
        <v>7</v>
      </c>
      <c r="CM3" s="287" t="s">
        <v>142</v>
      </c>
      <c r="CN3" s="58" t="s">
        <v>143</v>
      </c>
      <c r="CO3" s="118">
        <v>5</v>
      </c>
      <c r="CP3" s="118">
        <v>10</v>
      </c>
      <c r="CQ3" s="118">
        <v>15</v>
      </c>
      <c r="CR3" s="118">
        <v>20</v>
      </c>
      <c r="CS3" s="118">
        <v>25</v>
      </c>
      <c r="CT3" s="118">
        <v>30</v>
      </c>
      <c r="CU3" s="118">
        <v>35</v>
      </c>
      <c r="CV3" s="118">
        <v>40</v>
      </c>
      <c r="CW3" s="118">
        <v>45</v>
      </c>
      <c r="CX3" s="118">
        <v>50</v>
      </c>
      <c r="CY3" s="118">
        <v>60</v>
      </c>
      <c r="CZ3" s="118">
        <v>70</v>
      </c>
      <c r="DA3" s="118">
        <v>80</v>
      </c>
      <c r="DB3" s="118">
        <v>90</v>
      </c>
      <c r="DC3" s="124">
        <v>100</v>
      </c>
      <c r="DD3" s="126">
        <v>200</v>
      </c>
      <c r="DE3" s="127">
        <v>400</v>
      </c>
      <c r="DK3" s="92" t="s">
        <v>162</v>
      </c>
      <c r="DL3" s="92" t="s">
        <v>163</v>
      </c>
      <c r="DR3" s="92" t="s">
        <v>162</v>
      </c>
      <c r="DS3" s="92" t="s">
        <v>168</v>
      </c>
    </row>
    <row r="4" spans="2:123" ht="16.5" thickBot="1">
      <c r="B4" s="77" t="s">
        <v>46</v>
      </c>
      <c r="C4" s="80" t="str">
        <f>IF(Frequency_range_input_NR=N3,"FR1","FR2")</f>
        <v>FR1</v>
      </c>
      <c r="E4" s="12">
        <v>1</v>
      </c>
      <c r="F4" s="8">
        <f t="shared" si="0"/>
        <v>30</v>
      </c>
      <c r="G4" s="13" t="s">
        <v>0</v>
      </c>
      <c r="H4" s="100">
        <v>1</v>
      </c>
      <c r="I4" s="99" t="s">
        <v>12</v>
      </c>
      <c r="N4" s="96" t="str">
        <f>CONCATENATE(O4," (",Q4,") ",P4)</f>
        <v>FR2 (mm) 24250 MHz – 52600 MHz</v>
      </c>
      <c r="O4" s="6" t="s">
        <v>50</v>
      </c>
      <c r="P4" s="6" t="s">
        <v>51</v>
      </c>
      <c r="Q4" s="97" t="s">
        <v>147</v>
      </c>
      <c r="U4" s="29">
        <v>0</v>
      </c>
      <c r="V4" s="30">
        <v>2</v>
      </c>
      <c r="W4" s="30">
        <v>120</v>
      </c>
      <c r="X4" s="30">
        <v>0.2344</v>
      </c>
      <c r="Z4" s="29">
        <v>0</v>
      </c>
      <c r="AA4" s="30">
        <v>2</v>
      </c>
      <c r="AB4" s="30">
        <v>120</v>
      </c>
      <c r="AC4" s="30">
        <v>0.2344</v>
      </c>
      <c r="AE4" s="29">
        <v>0</v>
      </c>
      <c r="AF4" s="52">
        <v>1</v>
      </c>
      <c r="AG4" s="52">
        <v>240</v>
      </c>
      <c r="AH4" s="52">
        <v>0.2344</v>
      </c>
      <c r="AJ4" s="40">
        <v>1</v>
      </c>
      <c r="AK4" s="30" t="s">
        <v>30</v>
      </c>
      <c r="AL4" s="30">
        <v>78</v>
      </c>
      <c r="AM4" s="30">
        <v>0.15229999999999999</v>
      </c>
      <c r="AP4" s="310"/>
      <c r="AQ4" s="62" t="s">
        <v>137</v>
      </c>
      <c r="AR4" s="62" t="s">
        <v>137</v>
      </c>
      <c r="AS4" s="62" t="s">
        <v>137</v>
      </c>
      <c r="AT4" s="62" t="s">
        <v>137</v>
      </c>
      <c r="AU4" s="62" t="s">
        <v>137</v>
      </c>
      <c r="AV4" s="62" t="s">
        <v>137</v>
      </c>
      <c r="AW4" s="62" t="s">
        <v>137</v>
      </c>
      <c r="AX4" s="62" t="s">
        <v>137</v>
      </c>
      <c r="AY4" s="62" t="s">
        <v>137</v>
      </c>
      <c r="AZ4" s="62" t="s">
        <v>137</v>
      </c>
      <c r="BA4" s="62" t="s">
        <v>137</v>
      </c>
      <c r="BB4" s="62" t="s">
        <v>137</v>
      </c>
      <c r="BC4" s="62" t="s">
        <v>137</v>
      </c>
      <c r="BD4" s="62" t="s">
        <v>137</v>
      </c>
      <c r="BE4" s="74" t="s">
        <v>137</v>
      </c>
      <c r="BF4" s="113"/>
      <c r="BI4" s="159"/>
      <c r="BJ4" s="114" t="str">
        <f>CONCATENATE("Format ",BK4," - DL ",LEFT(CF4,3),"% : UL  ",LEFT(CG4,3),"%"," ",BI4)</f>
        <v xml:space="preserve">Format 0 - DL 100% : UL  0% </v>
      </c>
      <c r="BK4" s="5">
        <v>0</v>
      </c>
      <c r="BL4" s="6" t="s">
        <v>5</v>
      </c>
      <c r="BM4" s="6" t="s">
        <v>5</v>
      </c>
      <c r="BN4" s="6" t="s">
        <v>5</v>
      </c>
      <c r="BO4" s="6" t="s">
        <v>5</v>
      </c>
      <c r="BP4" s="6" t="s">
        <v>5</v>
      </c>
      <c r="BQ4" s="6" t="s">
        <v>5</v>
      </c>
      <c r="BR4" s="6" t="s">
        <v>5</v>
      </c>
      <c r="BS4" s="6" t="s">
        <v>5</v>
      </c>
      <c r="BT4" s="6" t="s">
        <v>5</v>
      </c>
      <c r="BU4" s="6" t="s">
        <v>5</v>
      </c>
      <c r="BV4" s="6" t="s">
        <v>5</v>
      </c>
      <c r="BW4" s="6" t="s">
        <v>5</v>
      </c>
      <c r="BX4" s="6" t="s">
        <v>5</v>
      </c>
      <c r="BY4" s="18" t="s">
        <v>5</v>
      </c>
      <c r="BZ4" s="1">
        <f t="shared" ref="BZ4:BZ35" si="1">COUNTIF(BL4:BY4,"D")</f>
        <v>14</v>
      </c>
      <c r="CA4" s="1">
        <f t="shared" ref="CA4:CA35" si="2">COUNTIF(BL4:BY4,"U")</f>
        <v>0</v>
      </c>
      <c r="CB4" s="1">
        <f t="shared" ref="CB4:CB35" si="3">COUNTIF(BL4:BY4,"X")</f>
        <v>0</v>
      </c>
      <c r="CC4" s="141">
        <f t="shared" ref="CC4:CC35" si="4">BZ4/14</f>
        <v>1</v>
      </c>
      <c r="CD4" s="141">
        <f t="shared" ref="CD4:CD35" si="5">CA4/14</f>
        <v>0</v>
      </c>
      <c r="CE4" s="141">
        <f t="shared" ref="CE4:CE35" si="6">CB4/14</f>
        <v>0</v>
      </c>
      <c r="CF4" s="142">
        <f>CC4*100</f>
        <v>100</v>
      </c>
      <c r="CG4" s="142">
        <f>CD4*100</f>
        <v>0</v>
      </c>
      <c r="CH4" s="142">
        <f>CE4*100</f>
        <v>0</v>
      </c>
      <c r="CI4">
        <f>1/SCS_NR*1000</f>
        <v>33.333333333333336</v>
      </c>
      <c r="CM4" s="288"/>
      <c r="CN4" s="17" t="s">
        <v>144</v>
      </c>
      <c r="CO4" s="119"/>
      <c r="CP4" s="119"/>
      <c r="CQ4" s="119"/>
      <c r="CR4" s="119"/>
      <c r="CS4" s="119"/>
      <c r="CT4" s="119"/>
      <c r="CU4" s="119"/>
      <c r="CV4" s="119"/>
      <c r="CW4" s="119"/>
      <c r="CX4" s="119"/>
      <c r="CY4" s="119"/>
      <c r="CZ4" s="119"/>
      <c r="DA4" s="119"/>
      <c r="DB4" s="119"/>
      <c r="DC4" s="125"/>
      <c r="DD4" s="1"/>
      <c r="DE4" s="1"/>
      <c r="DK4" s="92" t="s">
        <v>162</v>
      </c>
      <c r="DL4" s="92" t="s">
        <v>164</v>
      </c>
      <c r="DR4" s="92" t="s">
        <v>162</v>
      </c>
      <c r="DS4" s="92" t="s">
        <v>169</v>
      </c>
    </row>
    <row r="5" spans="2:123" ht="16.5" thickBot="1">
      <c r="B5" s="77" t="s">
        <v>143</v>
      </c>
      <c r="C5" s="80">
        <f>SCS_NR</f>
        <v>30</v>
      </c>
      <c r="E5" s="12">
        <v>2</v>
      </c>
      <c r="F5" s="8">
        <f t="shared" si="0"/>
        <v>60</v>
      </c>
      <c r="G5" s="20" t="s">
        <v>0</v>
      </c>
      <c r="H5" s="100">
        <v>2</v>
      </c>
      <c r="U5" s="29">
        <v>1</v>
      </c>
      <c r="V5" s="30">
        <v>2</v>
      </c>
      <c r="W5" s="30">
        <v>193</v>
      </c>
      <c r="X5" s="30">
        <v>0.377</v>
      </c>
      <c r="Z5" s="29">
        <v>1</v>
      </c>
      <c r="AA5" s="30">
        <v>2</v>
      </c>
      <c r="AB5" s="30">
        <v>157</v>
      </c>
      <c r="AC5" s="30">
        <v>0.30659999999999998</v>
      </c>
      <c r="AE5" s="53">
        <v>1</v>
      </c>
      <c r="AF5" s="52">
        <v>1</v>
      </c>
      <c r="AG5" s="52">
        <v>314</v>
      </c>
      <c r="AH5" s="52">
        <v>0.30659999999999998</v>
      </c>
      <c r="AJ5" s="40">
        <v>2</v>
      </c>
      <c r="AK5" s="30" t="s">
        <v>30</v>
      </c>
      <c r="AL5" s="30">
        <v>120</v>
      </c>
      <c r="AM5" s="30">
        <v>0.2344</v>
      </c>
      <c r="AP5" s="63">
        <v>15</v>
      </c>
      <c r="AQ5" s="64">
        <v>25</v>
      </c>
      <c r="AR5" s="64">
        <v>52</v>
      </c>
      <c r="AS5" s="64">
        <v>79</v>
      </c>
      <c r="AT5" s="64">
        <v>106</v>
      </c>
      <c r="AU5" s="64">
        <v>133</v>
      </c>
      <c r="AV5" s="64">
        <v>160</v>
      </c>
      <c r="AW5" s="64">
        <v>188</v>
      </c>
      <c r="AX5" s="64">
        <v>216</v>
      </c>
      <c r="AY5" s="64">
        <v>242</v>
      </c>
      <c r="AZ5" s="64">
        <v>270</v>
      </c>
      <c r="BA5" s="64" t="s">
        <v>108</v>
      </c>
      <c r="BB5" s="64" t="s">
        <v>108</v>
      </c>
      <c r="BC5" s="64" t="s">
        <v>108</v>
      </c>
      <c r="BD5" s="64" t="s">
        <v>108</v>
      </c>
      <c r="BE5" s="75" t="s">
        <v>108</v>
      </c>
      <c r="BF5" s="113">
        <v>4</v>
      </c>
      <c r="BI5" s="159"/>
      <c r="BJ5" s="114" t="str">
        <f t="shared" ref="BJ5:BJ6" si="7">CONCATENATE("Format ",BK5," - DL ",LEFT(CF5,3),"% : UL  ",LEFT(CG5,3),"%"," ",BI5)</f>
        <v xml:space="preserve">Format 1 - DL 0% : UL  100% </v>
      </c>
      <c r="BK5" s="5">
        <v>1</v>
      </c>
      <c r="BL5" s="6" t="s">
        <v>6</v>
      </c>
      <c r="BM5" s="6" t="s">
        <v>6</v>
      </c>
      <c r="BN5" s="6" t="s">
        <v>6</v>
      </c>
      <c r="BO5" s="6" t="s">
        <v>6</v>
      </c>
      <c r="BP5" s="6" t="s">
        <v>6</v>
      </c>
      <c r="BQ5" s="6" t="s">
        <v>6</v>
      </c>
      <c r="BR5" s="6" t="s">
        <v>6</v>
      </c>
      <c r="BS5" s="6" t="s">
        <v>6</v>
      </c>
      <c r="BT5" s="6" t="s">
        <v>6</v>
      </c>
      <c r="BU5" s="6" t="s">
        <v>6</v>
      </c>
      <c r="BV5" s="6" t="s">
        <v>6</v>
      </c>
      <c r="BW5" s="6" t="s">
        <v>6</v>
      </c>
      <c r="BX5" s="6" t="s">
        <v>6</v>
      </c>
      <c r="BY5" s="18" t="s">
        <v>6</v>
      </c>
      <c r="BZ5" s="1">
        <f t="shared" si="1"/>
        <v>0</v>
      </c>
      <c r="CA5" s="1">
        <f t="shared" si="2"/>
        <v>14</v>
      </c>
      <c r="CB5" s="1">
        <f t="shared" si="3"/>
        <v>0</v>
      </c>
      <c r="CC5" s="141">
        <f t="shared" si="4"/>
        <v>0</v>
      </c>
      <c r="CD5" s="141">
        <f t="shared" si="5"/>
        <v>1</v>
      </c>
      <c r="CE5" s="141">
        <f t="shared" si="6"/>
        <v>0</v>
      </c>
      <c r="CF5" s="142">
        <f t="shared" ref="CF5:CF60" si="8">CC5*100</f>
        <v>0</v>
      </c>
      <c r="CG5" s="142">
        <f t="shared" ref="CG5:CG60" si="9">CD5*100</f>
        <v>100</v>
      </c>
      <c r="CH5" s="142">
        <f t="shared" ref="CH5:CH60" si="10">CE5*100</f>
        <v>0</v>
      </c>
      <c r="CK5" s="96" t="str">
        <f>CONCATENATE(CL5,"_",CN5)</f>
        <v>1_15</v>
      </c>
      <c r="CL5" s="122">
        <v>1</v>
      </c>
      <c r="CM5" s="237"/>
      <c r="CN5" s="230">
        <v>15</v>
      </c>
      <c r="CO5" s="229">
        <v>5</v>
      </c>
      <c r="CP5" s="230">
        <v>10</v>
      </c>
      <c r="CQ5" s="230">
        <v>15</v>
      </c>
      <c r="CR5" s="230">
        <v>20</v>
      </c>
      <c r="CS5" s="230">
        <v>25</v>
      </c>
      <c r="CT5" s="230">
        <v>30</v>
      </c>
      <c r="CU5" s="230"/>
      <c r="CV5" s="230">
        <v>40</v>
      </c>
      <c r="CW5" s="230">
        <v>45</v>
      </c>
      <c r="CX5" s="230">
        <v>50</v>
      </c>
      <c r="CY5" s="230"/>
      <c r="CZ5" s="230"/>
      <c r="DA5" s="230"/>
      <c r="DB5" s="230"/>
      <c r="DC5" s="230"/>
      <c r="DD5" s="1"/>
      <c r="DE5" s="1"/>
      <c r="DK5" s="92" t="s">
        <v>162</v>
      </c>
      <c r="DL5" s="92" t="s">
        <v>165</v>
      </c>
      <c r="DR5" s="92" t="s">
        <v>162</v>
      </c>
      <c r="DS5" s="92" t="s">
        <v>170</v>
      </c>
    </row>
    <row r="6" spans="2:123" ht="16.5" thickBot="1">
      <c r="B6" s="77" t="s">
        <v>176</v>
      </c>
      <c r="C6" s="80">
        <f>IF( AND(Cyclic_prefix_NR="Extended",SCS_NR&lt;&gt; 60 ), 1,   IF(OR(AND(Frequency_range_F_NR="FR2",SCS_NR&lt;60),  AND(Frequency_range_F_NR="FR1",SCS_NR&gt;60)   ),1,0))</f>
        <v>0</v>
      </c>
      <c r="E6" s="12">
        <v>3</v>
      </c>
      <c r="F6" s="8">
        <f t="shared" si="0"/>
        <v>120</v>
      </c>
      <c r="G6" s="13" t="s">
        <v>0</v>
      </c>
      <c r="H6" s="100">
        <v>3</v>
      </c>
      <c r="J6" t="s">
        <v>265</v>
      </c>
      <c r="K6" t="s">
        <v>264</v>
      </c>
      <c r="L6" t="s">
        <v>266</v>
      </c>
      <c r="U6" s="29">
        <v>2</v>
      </c>
      <c r="V6" s="30">
        <v>2</v>
      </c>
      <c r="W6" s="30">
        <v>308</v>
      </c>
      <c r="X6" s="30">
        <v>0.60160000000000002</v>
      </c>
      <c r="Z6" s="29">
        <v>2</v>
      </c>
      <c r="AA6" s="30">
        <v>2</v>
      </c>
      <c r="AB6" s="30">
        <v>193</v>
      </c>
      <c r="AC6" s="30">
        <v>0.377</v>
      </c>
      <c r="AE6" s="53">
        <v>2</v>
      </c>
      <c r="AF6" s="52">
        <v>2</v>
      </c>
      <c r="AG6" s="52">
        <v>193</v>
      </c>
      <c r="AH6" s="52">
        <v>0.377</v>
      </c>
      <c r="AJ6" s="40">
        <v>3</v>
      </c>
      <c r="AK6" s="30" t="s">
        <v>30</v>
      </c>
      <c r="AL6" s="30">
        <v>193</v>
      </c>
      <c r="AM6" s="30">
        <v>0.377</v>
      </c>
      <c r="AP6" s="63">
        <v>30</v>
      </c>
      <c r="AQ6" s="64">
        <v>11</v>
      </c>
      <c r="AR6" s="64">
        <v>24</v>
      </c>
      <c r="AS6" s="64">
        <v>38</v>
      </c>
      <c r="AT6" s="64">
        <v>51</v>
      </c>
      <c r="AU6" s="64">
        <v>65</v>
      </c>
      <c r="AV6" s="64">
        <v>78</v>
      </c>
      <c r="AW6" s="64">
        <v>92</v>
      </c>
      <c r="AX6" s="64">
        <v>106</v>
      </c>
      <c r="AY6" s="64">
        <v>119</v>
      </c>
      <c r="AZ6" s="64">
        <v>133</v>
      </c>
      <c r="BA6" s="64">
        <v>162</v>
      </c>
      <c r="BB6" s="64">
        <v>189</v>
      </c>
      <c r="BC6" s="64">
        <v>217</v>
      </c>
      <c r="BD6" s="64">
        <v>245</v>
      </c>
      <c r="BE6" s="75">
        <v>273</v>
      </c>
      <c r="BF6" s="103">
        <v>5</v>
      </c>
      <c r="BI6" s="158"/>
      <c r="BJ6" s="114" t="str">
        <f t="shared" si="7"/>
        <v xml:space="preserve">Format 2 - DL 0% : UL  0% </v>
      </c>
      <c r="BK6" s="5">
        <v>2</v>
      </c>
      <c r="BL6" s="6" t="s">
        <v>7</v>
      </c>
      <c r="BM6" s="6" t="s">
        <v>7</v>
      </c>
      <c r="BN6" s="6" t="s">
        <v>7</v>
      </c>
      <c r="BO6" s="6" t="s">
        <v>7</v>
      </c>
      <c r="BP6" s="6" t="s">
        <v>7</v>
      </c>
      <c r="BQ6" s="6" t="s">
        <v>7</v>
      </c>
      <c r="BR6" s="6" t="s">
        <v>7</v>
      </c>
      <c r="BS6" s="6" t="s">
        <v>7</v>
      </c>
      <c r="BT6" s="6" t="s">
        <v>7</v>
      </c>
      <c r="BU6" s="6" t="s">
        <v>7</v>
      </c>
      <c r="BV6" s="6" t="s">
        <v>7</v>
      </c>
      <c r="BW6" s="6" t="s">
        <v>7</v>
      </c>
      <c r="BX6" s="6" t="s">
        <v>7</v>
      </c>
      <c r="BY6" s="18" t="s">
        <v>7</v>
      </c>
      <c r="BZ6" s="1">
        <f t="shared" si="1"/>
        <v>0</v>
      </c>
      <c r="CA6" s="1">
        <f t="shared" si="2"/>
        <v>0</v>
      </c>
      <c r="CB6" s="1">
        <f t="shared" si="3"/>
        <v>14</v>
      </c>
      <c r="CC6" s="141">
        <f t="shared" si="4"/>
        <v>0</v>
      </c>
      <c r="CD6" s="141">
        <f t="shared" si="5"/>
        <v>0</v>
      </c>
      <c r="CE6" s="141">
        <f t="shared" si="6"/>
        <v>1</v>
      </c>
      <c r="CF6" s="142">
        <f t="shared" si="8"/>
        <v>0</v>
      </c>
      <c r="CG6" s="142">
        <f t="shared" si="9"/>
        <v>0</v>
      </c>
      <c r="CH6" s="142">
        <f t="shared" si="10"/>
        <v>100</v>
      </c>
      <c r="CK6" s="96" t="str">
        <f t="shared" ref="CK6:CK69" si="11">CONCATENATE(CL6,"_",CN6)</f>
        <v>1_30</v>
      </c>
      <c r="CL6" s="122">
        <v>1</v>
      </c>
      <c r="CM6" s="236" t="s">
        <v>61</v>
      </c>
      <c r="CN6" s="6">
        <v>30</v>
      </c>
      <c r="CO6" s="5"/>
      <c r="CP6" s="6">
        <v>10</v>
      </c>
      <c r="CQ6" s="6">
        <v>15</v>
      </c>
      <c r="CR6" s="6">
        <v>20</v>
      </c>
      <c r="CS6" s="6">
        <v>25</v>
      </c>
      <c r="CT6" s="6">
        <v>30</v>
      </c>
      <c r="CU6" s="6"/>
      <c r="CV6" s="6">
        <v>40</v>
      </c>
      <c r="CW6" s="6">
        <v>45</v>
      </c>
      <c r="CX6" s="6">
        <v>50</v>
      </c>
      <c r="CY6" s="6"/>
      <c r="CZ6" s="6"/>
      <c r="DA6" s="6"/>
      <c r="DB6" s="6"/>
      <c r="DC6" s="6"/>
      <c r="DD6" s="1"/>
      <c r="DE6" s="1"/>
      <c r="DK6" s="92" t="s">
        <v>162</v>
      </c>
      <c r="DL6" s="92" t="s">
        <v>166</v>
      </c>
    </row>
    <row r="7" spans="2:123" ht="16.5" thickBot="1">
      <c r="B7" s="77" t="s">
        <v>189</v>
      </c>
      <c r="C7" s="80" t="str">
        <f>VLOOKUP(Frequency_Band_input_NR,$Q$13:$S$85,3,0)</f>
        <v>TDD</v>
      </c>
      <c r="E7" s="14">
        <v>4</v>
      </c>
      <c r="F7" s="15">
        <f t="shared" si="0"/>
        <v>240</v>
      </c>
      <c r="G7" s="16" t="s">
        <v>0</v>
      </c>
      <c r="H7" s="101">
        <v>4</v>
      </c>
      <c r="J7" s="187">
        <v>8</v>
      </c>
      <c r="K7">
        <f>J7/2</f>
        <v>4</v>
      </c>
      <c r="L7">
        <f>K7*20</f>
        <v>80</v>
      </c>
      <c r="M7">
        <f>K7*C2</f>
        <v>424</v>
      </c>
      <c r="U7" s="29">
        <v>3</v>
      </c>
      <c r="V7" s="30">
        <v>2</v>
      </c>
      <c r="W7" s="30">
        <v>449</v>
      </c>
      <c r="X7" s="30">
        <v>0.877</v>
      </c>
      <c r="Z7" s="29">
        <v>3</v>
      </c>
      <c r="AA7" s="30">
        <v>2</v>
      </c>
      <c r="AB7" s="30">
        <v>251</v>
      </c>
      <c r="AC7" s="30">
        <v>0.49020000000000002</v>
      </c>
      <c r="AE7" s="29">
        <v>3</v>
      </c>
      <c r="AF7" s="52">
        <v>2</v>
      </c>
      <c r="AG7" s="52">
        <v>251</v>
      </c>
      <c r="AH7" s="52">
        <v>0.49020000000000002</v>
      </c>
      <c r="AJ7" s="40">
        <v>4</v>
      </c>
      <c r="AK7" s="30" t="s">
        <v>30</v>
      </c>
      <c r="AL7" s="30">
        <v>308</v>
      </c>
      <c r="AM7" s="30">
        <v>0.60160000000000002</v>
      </c>
      <c r="AP7" s="63">
        <v>60</v>
      </c>
      <c r="AQ7" s="64" t="s">
        <v>108</v>
      </c>
      <c r="AR7" s="64">
        <v>11</v>
      </c>
      <c r="AS7" s="64">
        <v>18</v>
      </c>
      <c r="AT7" s="64">
        <v>24</v>
      </c>
      <c r="AU7" s="64">
        <v>31</v>
      </c>
      <c r="AV7" s="64">
        <v>38</v>
      </c>
      <c r="AW7" s="64">
        <v>44</v>
      </c>
      <c r="AX7" s="64">
        <v>51</v>
      </c>
      <c r="AY7" s="64">
        <v>58</v>
      </c>
      <c r="AZ7" s="64">
        <v>65</v>
      </c>
      <c r="BA7" s="64">
        <v>79</v>
      </c>
      <c r="BB7" s="64">
        <v>93</v>
      </c>
      <c r="BC7" s="64">
        <v>107</v>
      </c>
      <c r="BD7" s="64">
        <v>121</v>
      </c>
      <c r="BE7" s="75">
        <v>135</v>
      </c>
      <c r="BF7" s="103">
        <v>6</v>
      </c>
      <c r="BH7">
        <f t="shared" ref="BH7:BH59" si="12">IF($BC$11=BJ5,1,0)</f>
        <v>0</v>
      </c>
      <c r="BI7" s="158">
        <f t="shared" ref="BI7:BI59" si="13">MAX(ROUNDUP(((($BD$15*$BD$12*10^6*CB7)-$BD$16)/10^6*3*(10^8)/2/1000),1),0)</f>
        <v>0</v>
      </c>
      <c r="BJ7" s="114" t="str">
        <f>CONCATENATE("Format ",BK7," - DL ",LEFT(CF7,3),"% : UL  ",LEFT(CG7,3),"%"," /(",BZ7,")DL:(",CA7,")UL")</f>
        <v>Format 3 - DL 92.% : UL  0% /(13)DL:(0)UL</v>
      </c>
      <c r="BK7" s="5">
        <v>3</v>
      </c>
      <c r="BL7" s="6" t="s">
        <v>5</v>
      </c>
      <c r="BM7" s="6" t="s">
        <v>5</v>
      </c>
      <c r="BN7" s="6" t="s">
        <v>5</v>
      </c>
      <c r="BO7" s="6" t="s">
        <v>5</v>
      </c>
      <c r="BP7" s="6" t="s">
        <v>5</v>
      </c>
      <c r="BQ7" s="6" t="s">
        <v>5</v>
      </c>
      <c r="BR7" s="6" t="s">
        <v>5</v>
      </c>
      <c r="BS7" s="6" t="s">
        <v>5</v>
      </c>
      <c r="BT7" s="6" t="s">
        <v>5</v>
      </c>
      <c r="BU7" s="6" t="s">
        <v>5</v>
      </c>
      <c r="BV7" s="6" t="s">
        <v>5</v>
      </c>
      <c r="BW7" s="6" t="s">
        <v>5</v>
      </c>
      <c r="BX7" s="6" t="s">
        <v>5</v>
      </c>
      <c r="BY7" s="18" t="s">
        <v>7</v>
      </c>
      <c r="BZ7" s="1">
        <f t="shared" si="1"/>
        <v>13</v>
      </c>
      <c r="CA7" s="1">
        <f t="shared" si="2"/>
        <v>0</v>
      </c>
      <c r="CB7" s="1">
        <f t="shared" si="3"/>
        <v>1</v>
      </c>
      <c r="CC7" s="141">
        <f t="shared" si="4"/>
        <v>0.9285714285714286</v>
      </c>
      <c r="CD7" s="141">
        <f t="shared" si="5"/>
        <v>0</v>
      </c>
      <c r="CE7" s="141">
        <f t="shared" si="6"/>
        <v>7.1428571428571425E-2</v>
      </c>
      <c r="CF7" s="142">
        <f t="shared" si="8"/>
        <v>92.857142857142861</v>
      </c>
      <c r="CG7" s="142">
        <f t="shared" si="9"/>
        <v>0</v>
      </c>
      <c r="CH7" s="142">
        <f t="shared" si="10"/>
        <v>7.1428571428571423</v>
      </c>
      <c r="CK7" s="96" t="str">
        <f t="shared" si="11"/>
        <v>1_60</v>
      </c>
      <c r="CL7" s="122">
        <v>1</v>
      </c>
      <c r="CM7" s="5"/>
      <c r="CN7" s="6">
        <v>60</v>
      </c>
      <c r="CO7" s="5"/>
      <c r="CP7" s="6">
        <v>10</v>
      </c>
      <c r="CQ7" s="6">
        <v>15</v>
      </c>
      <c r="CR7" s="6">
        <v>20</v>
      </c>
      <c r="CS7" s="6">
        <v>25</v>
      </c>
      <c r="CT7" s="6">
        <v>30</v>
      </c>
      <c r="CU7" s="6"/>
      <c r="CV7" s="6">
        <v>40</v>
      </c>
      <c r="CW7" s="6">
        <v>45</v>
      </c>
      <c r="CX7" s="6">
        <v>50</v>
      </c>
      <c r="CY7" s="6"/>
      <c r="CZ7" s="6"/>
      <c r="DA7" s="6"/>
      <c r="DB7" s="6"/>
      <c r="DC7" s="6"/>
      <c r="DD7" s="1"/>
      <c r="DE7" s="1"/>
      <c r="DK7" s="92" t="s">
        <v>162</v>
      </c>
      <c r="DL7" s="92" t="s">
        <v>167</v>
      </c>
    </row>
    <row r="8" spans="2:123" ht="16.5" thickBot="1">
      <c r="B8" s="150" t="s">
        <v>198</v>
      </c>
      <c r="C8" s="257">
        <f>DL_splite_NR-CSI_NR</f>
        <v>0.5625</v>
      </c>
      <c r="E8" s="21">
        <v>2</v>
      </c>
      <c r="F8" s="22">
        <f t="shared" si="0"/>
        <v>60</v>
      </c>
      <c r="G8" s="23" t="s">
        <v>12</v>
      </c>
      <c r="H8" s="102">
        <v>2</v>
      </c>
      <c r="U8" s="29">
        <v>4</v>
      </c>
      <c r="V8" s="30">
        <v>2</v>
      </c>
      <c r="W8" s="30">
        <v>602</v>
      </c>
      <c r="X8" s="30">
        <v>1.1758</v>
      </c>
      <c r="Z8" s="29">
        <v>4</v>
      </c>
      <c r="AA8" s="30">
        <v>2</v>
      </c>
      <c r="AB8" s="30">
        <v>308</v>
      </c>
      <c r="AC8" s="30">
        <v>0.60160000000000002</v>
      </c>
      <c r="AE8" s="29">
        <v>4</v>
      </c>
      <c r="AF8" s="52">
        <v>2</v>
      </c>
      <c r="AG8" s="52">
        <v>308</v>
      </c>
      <c r="AH8" s="52">
        <v>0.60160000000000002</v>
      </c>
      <c r="AJ8" s="40">
        <v>5</v>
      </c>
      <c r="AK8" s="30" t="s">
        <v>30</v>
      </c>
      <c r="AL8" s="30">
        <v>449</v>
      </c>
      <c r="AM8" s="30">
        <v>0.877</v>
      </c>
      <c r="BD8" s="31"/>
      <c r="BH8">
        <f t="shared" si="12"/>
        <v>1</v>
      </c>
      <c r="BI8" s="158">
        <f t="shared" si="13"/>
        <v>4.8</v>
      </c>
      <c r="BJ8" s="114" t="str">
        <f t="shared" ref="BJ8:BJ59" si="14">CONCATENATE("Format ",BK8," - DL ",LEFT(CF8,3),"% : UL  ",LEFT(CG8,3),"%"," /(",BZ8,")DL:(",CA8,")UL")</f>
        <v>Format 4 - DL 85.% : UL  0% /(12)DL:(0)UL</v>
      </c>
      <c r="BK8" s="5">
        <v>4</v>
      </c>
      <c r="BL8" s="6" t="s">
        <v>5</v>
      </c>
      <c r="BM8" s="6" t="s">
        <v>5</v>
      </c>
      <c r="BN8" s="6" t="s">
        <v>5</v>
      </c>
      <c r="BO8" s="6" t="s">
        <v>5</v>
      </c>
      <c r="BP8" s="6" t="s">
        <v>5</v>
      </c>
      <c r="BQ8" s="6" t="s">
        <v>5</v>
      </c>
      <c r="BR8" s="6" t="s">
        <v>5</v>
      </c>
      <c r="BS8" s="6" t="s">
        <v>5</v>
      </c>
      <c r="BT8" s="6" t="s">
        <v>5</v>
      </c>
      <c r="BU8" s="6" t="s">
        <v>5</v>
      </c>
      <c r="BV8" s="6" t="s">
        <v>5</v>
      </c>
      <c r="BW8" s="6" t="s">
        <v>5</v>
      </c>
      <c r="BX8" s="6" t="s">
        <v>7</v>
      </c>
      <c r="BY8" s="18" t="s">
        <v>7</v>
      </c>
      <c r="BZ8" s="1">
        <f t="shared" si="1"/>
        <v>12</v>
      </c>
      <c r="CA8" s="1">
        <f t="shared" si="2"/>
        <v>0</v>
      </c>
      <c r="CB8" s="1">
        <f t="shared" si="3"/>
        <v>2</v>
      </c>
      <c r="CC8" s="141">
        <f t="shared" si="4"/>
        <v>0.8571428571428571</v>
      </c>
      <c r="CD8" s="141">
        <f t="shared" si="5"/>
        <v>0</v>
      </c>
      <c r="CE8" s="141">
        <f t="shared" si="6"/>
        <v>0.14285714285714285</v>
      </c>
      <c r="CF8" s="142">
        <f t="shared" si="8"/>
        <v>85.714285714285708</v>
      </c>
      <c r="CG8" s="142">
        <f t="shared" si="9"/>
        <v>0</v>
      </c>
      <c r="CH8" s="142">
        <f t="shared" si="10"/>
        <v>14.285714285714285</v>
      </c>
      <c r="CK8" s="96" t="str">
        <f t="shared" si="11"/>
        <v>2_15</v>
      </c>
      <c r="CL8" s="122">
        <v>2</v>
      </c>
      <c r="CM8" s="236"/>
      <c r="CN8" s="6">
        <v>15</v>
      </c>
      <c r="CO8" s="5">
        <v>5</v>
      </c>
      <c r="CP8" s="6">
        <v>10</v>
      </c>
      <c r="CQ8" s="6">
        <v>15</v>
      </c>
      <c r="CR8" s="6">
        <v>20</v>
      </c>
      <c r="CS8" s="6">
        <v>25</v>
      </c>
      <c r="CT8" s="6">
        <v>30</v>
      </c>
      <c r="CU8" s="6">
        <v>35</v>
      </c>
      <c r="CV8" s="6">
        <v>40</v>
      </c>
      <c r="CW8" s="6"/>
      <c r="CX8" s="6"/>
      <c r="CY8" s="6"/>
      <c r="CZ8" s="6"/>
      <c r="DA8" s="6"/>
      <c r="DB8" s="6"/>
      <c r="DC8" s="6"/>
      <c r="DD8" s="1"/>
      <c r="DE8" s="1"/>
    </row>
    <row r="9" spans="2:123" ht="16.5" thickBot="1">
      <c r="B9" s="150" t="s">
        <v>199</v>
      </c>
      <c r="C9" s="151">
        <f>UL_splite_NR-D53</f>
        <v>0.2</v>
      </c>
      <c r="M9" s="303" t="s">
        <v>133</v>
      </c>
      <c r="N9" s="303"/>
      <c r="O9" s="303"/>
      <c r="P9" s="303"/>
      <c r="U9" s="29">
        <v>5</v>
      </c>
      <c r="V9" s="30">
        <v>4</v>
      </c>
      <c r="W9" s="30">
        <v>378</v>
      </c>
      <c r="X9" s="30">
        <v>1.4765999999999999</v>
      </c>
      <c r="Z9" s="29">
        <v>5</v>
      </c>
      <c r="AA9" s="30">
        <v>2</v>
      </c>
      <c r="AB9" s="30">
        <v>379</v>
      </c>
      <c r="AC9" s="30">
        <v>0.74019999999999997</v>
      </c>
      <c r="AE9" s="29">
        <v>5</v>
      </c>
      <c r="AF9" s="52">
        <v>2</v>
      </c>
      <c r="AG9" s="52">
        <v>379</v>
      </c>
      <c r="AH9" s="52">
        <v>0.74019999999999997</v>
      </c>
      <c r="AJ9" s="41">
        <v>6</v>
      </c>
      <c r="AK9" s="42" t="s">
        <v>30</v>
      </c>
      <c r="AL9" s="42">
        <v>602</v>
      </c>
      <c r="AM9" s="42">
        <v>1.1758</v>
      </c>
      <c r="AX9" s="281" t="s">
        <v>0</v>
      </c>
      <c r="AY9" s="282"/>
      <c r="BH9">
        <f t="shared" si="12"/>
        <v>0</v>
      </c>
      <c r="BI9" s="158">
        <f t="shared" si="13"/>
        <v>10.1</v>
      </c>
      <c r="BJ9" s="114" t="str">
        <f t="shared" si="14"/>
        <v>Format 5 - DL 78.% : UL  0% /(11)DL:(0)UL</v>
      </c>
      <c r="BK9" s="5">
        <v>5</v>
      </c>
      <c r="BL9" s="6" t="s">
        <v>5</v>
      </c>
      <c r="BM9" s="6" t="s">
        <v>5</v>
      </c>
      <c r="BN9" s="6" t="s">
        <v>5</v>
      </c>
      <c r="BO9" s="6" t="s">
        <v>5</v>
      </c>
      <c r="BP9" s="6" t="s">
        <v>5</v>
      </c>
      <c r="BQ9" s="6" t="s">
        <v>5</v>
      </c>
      <c r="BR9" s="6" t="s">
        <v>5</v>
      </c>
      <c r="BS9" s="6" t="s">
        <v>5</v>
      </c>
      <c r="BT9" s="6" t="s">
        <v>5</v>
      </c>
      <c r="BU9" s="6" t="s">
        <v>5</v>
      </c>
      <c r="BV9" s="6" t="s">
        <v>5</v>
      </c>
      <c r="BW9" s="6" t="s">
        <v>7</v>
      </c>
      <c r="BX9" s="6" t="s">
        <v>7</v>
      </c>
      <c r="BY9" s="18" t="s">
        <v>7</v>
      </c>
      <c r="BZ9" s="1">
        <f t="shared" si="1"/>
        <v>11</v>
      </c>
      <c r="CA9" s="1">
        <f t="shared" si="2"/>
        <v>0</v>
      </c>
      <c r="CB9" s="1">
        <f t="shared" si="3"/>
        <v>3</v>
      </c>
      <c r="CC9" s="141">
        <f t="shared" si="4"/>
        <v>0.7857142857142857</v>
      </c>
      <c r="CD9" s="141">
        <f t="shared" si="5"/>
        <v>0</v>
      </c>
      <c r="CE9" s="141">
        <f t="shared" si="6"/>
        <v>0.21428571428571427</v>
      </c>
      <c r="CF9" s="142">
        <f t="shared" si="8"/>
        <v>78.571428571428569</v>
      </c>
      <c r="CG9" s="142">
        <f t="shared" si="9"/>
        <v>0</v>
      </c>
      <c r="CH9" s="142">
        <f t="shared" si="10"/>
        <v>21.428571428571427</v>
      </c>
      <c r="CK9" s="96" t="str">
        <f t="shared" si="11"/>
        <v>2_30</v>
      </c>
      <c r="CL9" s="122">
        <v>2</v>
      </c>
      <c r="CM9" s="236" t="s">
        <v>65</v>
      </c>
      <c r="CN9" s="6">
        <v>30</v>
      </c>
      <c r="CO9" s="5"/>
      <c r="CP9" s="6">
        <v>10</v>
      </c>
      <c r="CQ9" s="6">
        <v>15</v>
      </c>
      <c r="CR9" s="6">
        <v>20</v>
      </c>
      <c r="CS9" s="6">
        <v>25</v>
      </c>
      <c r="CT9" s="6">
        <v>30</v>
      </c>
      <c r="CU9" s="6">
        <v>35</v>
      </c>
      <c r="CV9" s="6">
        <v>40</v>
      </c>
      <c r="CW9" s="6"/>
      <c r="CX9" s="6"/>
      <c r="CY9" s="6"/>
      <c r="CZ9" s="6"/>
      <c r="DA9" s="6"/>
      <c r="DB9" s="6"/>
      <c r="DC9" s="6"/>
      <c r="DD9" s="1"/>
      <c r="DE9" s="1"/>
    </row>
    <row r="10" spans="2:123" ht="24.75" thickBot="1">
      <c r="B10" s="77" t="s">
        <v>192</v>
      </c>
      <c r="C10" s="149">
        <f>IF(Duplex_NR="FDD",1,VLOOKUP(Format_input_NR,$BJ$4:$CE$59,20,0))</f>
        <v>0</v>
      </c>
      <c r="E10" s="55" t="s">
        <v>43</v>
      </c>
      <c r="F10" s="55"/>
      <c r="G10" s="55"/>
      <c r="H10" s="55"/>
      <c r="M10" s="287" t="s">
        <v>53</v>
      </c>
      <c r="N10" s="57" t="s">
        <v>54</v>
      </c>
      <c r="O10" s="57" t="s">
        <v>57</v>
      </c>
      <c r="P10" s="295" t="s">
        <v>60</v>
      </c>
      <c r="Q10" s="96" t="s">
        <v>174</v>
      </c>
      <c r="R10" s="96">
        <f>VLOOKUP(Frequency_Band_input_NR,$Q$13:$R$85,2,0)</f>
        <v>48</v>
      </c>
      <c r="S10" s="97"/>
      <c r="U10" s="29">
        <v>6</v>
      </c>
      <c r="V10" s="30">
        <v>4</v>
      </c>
      <c r="W10" s="30">
        <v>434</v>
      </c>
      <c r="X10" s="30">
        <v>1.6953</v>
      </c>
      <c r="Z10" s="29">
        <v>6</v>
      </c>
      <c r="AA10" s="30">
        <v>2</v>
      </c>
      <c r="AB10" s="30">
        <v>449</v>
      </c>
      <c r="AC10" s="30">
        <v>0.877</v>
      </c>
      <c r="AE10" s="29">
        <v>6</v>
      </c>
      <c r="AF10" s="52">
        <v>2</v>
      </c>
      <c r="AG10" s="52">
        <v>449</v>
      </c>
      <c r="AH10" s="52">
        <v>0.877</v>
      </c>
      <c r="AJ10" s="40">
        <v>7</v>
      </c>
      <c r="AK10" s="30" t="s">
        <v>31</v>
      </c>
      <c r="AL10" s="30">
        <v>378</v>
      </c>
      <c r="AM10" s="30">
        <v>1.4765999999999999</v>
      </c>
      <c r="AO10" s="67" t="s">
        <v>140</v>
      </c>
      <c r="AP10" s="67"/>
      <c r="AQ10" s="67"/>
      <c r="AR10" s="67"/>
      <c r="AS10" s="67"/>
      <c r="AX10" s="104" t="s">
        <v>48</v>
      </c>
      <c r="AY10" s="105" t="s">
        <v>50</v>
      </c>
      <c r="BA10" s="99" t="s">
        <v>12</v>
      </c>
      <c r="BH10">
        <f t="shared" si="12"/>
        <v>0</v>
      </c>
      <c r="BI10" s="158">
        <f t="shared" si="13"/>
        <v>15.5</v>
      </c>
      <c r="BJ10" s="114" t="str">
        <f t="shared" si="14"/>
        <v>Format 6 - DL 71.% : UL  0% /(10)DL:(0)UL</v>
      </c>
      <c r="BK10" s="5">
        <v>6</v>
      </c>
      <c r="BL10" s="6" t="s">
        <v>5</v>
      </c>
      <c r="BM10" s="6" t="s">
        <v>5</v>
      </c>
      <c r="BN10" s="6" t="s">
        <v>5</v>
      </c>
      <c r="BO10" s="6" t="s">
        <v>5</v>
      </c>
      <c r="BP10" s="6" t="s">
        <v>5</v>
      </c>
      <c r="BQ10" s="6" t="s">
        <v>5</v>
      </c>
      <c r="BR10" s="6" t="s">
        <v>5</v>
      </c>
      <c r="BS10" s="6" t="s">
        <v>5</v>
      </c>
      <c r="BT10" s="6" t="s">
        <v>5</v>
      </c>
      <c r="BU10" s="6" t="s">
        <v>5</v>
      </c>
      <c r="BV10" s="6" t="s">
        <v>7</v>
      </c>
      <c r="BW10" s="6" t="s">
        <v>7</v>
      </c>
      <c r="BX10" s="6" t="s">
        <v>7</v>
      </c>
      <c r="BY10" s="18" t="s">
        <v>7</v>
      </c>
      <c r="BZ10" s="1">
        <f t="shared" si="1"/>
        <v>10</v>
      </c>
      <c r="CA10" s="1">
        <f t="shared" si="2"/>
        <v>0</v>
      </c>
      <c r="CB10" s="1">
        <f t="shared" si="3"/>
        <v>4</v>
      </c>
      <c r="CC10" s="141">
        <f t="shared" si="4"/>
        <v>0.7142857142857143</v>
      </c>
      <c r="CD10" s="141">
        <f t="shared" si="5"/>
        <v>0</v>
      </c>
      <c r="CE10" s="141">
        <f t="shared" si="6"/>
        <v>0.2857142857142857</v>
      </c>
      <c r="CF10" s="142">
        <f t="shared" si="8"/>
        <v>71.428571428571431</v>
      </c>
      <c r="CG10" s="142">
        <f t="shared" si="9"/>
        <v>0</v>
      </c>
      <c r="CH10" s="142">
        <f t="shared" si="10"/>
        <v>28.571428571428569</v>
      </c>
      <c r="CK10" s="96" t="str">
        <f t="shared" si="11"/>
        <v>2_60</v>
      </c>
      <c r="CL10" s="122">
        <v>2</v>
      </c>
      <c r="CM10" s="5"/>
      <c r="CN10" s="6">
        <v>60</v>
      </c>
      <c r="CO10" s="5"/>
      <c r="CP10" s="6">
        <v>10</v>
      </c>
      <c r="CQ10" s="6">
        <v>15</v>
      </c>
      <c r="CR10" s="6">
        <v>20</v>
      </c>
      <c r="CS10" s="6">
        <v>25</v>
      </c>
      <c r="CT10" s="6">
        <v>30</v>
      </c>
      <c r="CU10" s="6">
        <v>35</v>
      </c>
      <c r="CV10" s="6">
        <v>40</v>
      </c>
      <c r="CW10" s="6"/>
      <c r="CX10" s="6"/>
      <c r="CY10" s="6"/>
      <c r="CZ10" s="6"/>
      <c r="DA10" s="6"/>
      <c r="DB10" s="6"/>
      <c r="DC10" s="6"/>
      <c r="DD10" s="1"/>
      <c r="DE10" s="1"/>
    </row>
    <row r="11" spans="2:123" ht="24.75" thickBot="1">
      <c r="B11" s="77" t="s">
        <v>193</v>
      </c>
      <c r="C11" s="149">
        <f>IF(Duplex_NR="FDD",1,VLOOKUP(Format_input_NR,$BJ$4:$CE$59,21,0))</f>
        <v>0</v>
      </c>
      <c r="G11" t="s">
        <v>263</v>
      </c>
      <c r="H11" t="s">
        <v>2</v>
      </c>
      <c r="I11" t="s">
        <v>258</v>
      </c>
      <c r="M11" s="304"/>
      <c r="N11" s="58" t="s">
        <v>55</v>
      </c>
      <c r="O11" s="58" t="s">
        <v>58</v>
      </c>
      <c r="P11" s="304"/>
      <c r="Q11" s="96" t="s">
        <v>175</v>
      </c>
      <c r="R11" s="96">
        <f>IF(OR(AND(Frequency_range_F_NR="FR1",Frequency_n_NR&gt;250),AND(Frequency_range_F_NR="FR2",Frequency_n_NR&lt;250)),1,0)</f>
        <v>0</v>
      </c>
      <c r="S11" s="97"/>
      <c r="U11" s="29">
        <v>7</v>
      </c>
      <c r="V11" s="30">
        <v>4</v>
      </c>
      <c r="W11" s="30">
        <v>490</v>
      </c>
      <c r="X11" s="30">
        <v>1.9140999999999999</v>
      </c>
      <c r="Z11" s="29">
        <v>7</v>
      </c>
      <c r="AA11" s="30">
        <v>2</v>
      </c>
      <c r="AB11" s="30">
        <v>526</v>
      </c>
      <c r="AC11" s="30">
        <v>1.0273000000000001</v>
      </c>
      <c r="AE11" s="29">
        <v>7</v>
      </c>
      <c r="AF11" s="52">
        <v>2</v>
      </c>
      <c r="AG11" s="52">
        <v>526</v>
      </c>
      <c r="AH11" s="52">
        <v>1.0273000000000001</v>
      </c>
      <c r="AJ11" s="40">
        <v>8</v>
      </c>
      <c r="AK11" s="30" t="s">
        <v>31</v>
      </c>
      <c r="AL11" s="30">
        <v>490</v>
      </c>
      <c r="AM11" s="30">
        <v>1.9140999999999999</v>
      </c>
      <c r="AO11" s="298" t="s">
        <v>135</v>
      </c>
      <c r="AP11" s="66">
        <v>50</v>
      </c>
      <c r="AQ11" s="66">
        <v>100</v>
      </c>
      <c r="AR11" s="66">
        <v>200</v>
      </c>
      <c r="AS11" s="76">
        <v>400</v>
      </c>
      <c r="AT11" s="112" t="s">
        <v>153</v>
      </c>
      <c r="AX11" s="106">
        <v>15</v>
      </c>
      <c r="AY11" s="107">
        <v>60</v>
      </c>
      <c r="BA11" s="111">
        <v>60</v>
      </c>
      <c r="BC11" t="str">
        <f>Format_input_NR</f>
        <v xml:space="preserve">Format 2 - DL 0% : UL  0% </v>
      </c>
      <c r="BH11">
        <f t="shared" si="12"/>
        <v>0</v>
      </c>
      <c r="BI11" s="158">
        <f t="shared" si="13"/>
        <v>20.8</v>
      </c>
      <c r="BJ11" s="114" t="str">
        <f t="shared" si="14"/>
        <v>Format 7 - DL 64.% : UL  0% /(9)DL:(0)UL</v>
      </c>
      <c r="BK11" s="5">
        <v>7</v>
      </c>
      <c r="BL11" s="6" t="s">
        <v>5</v>
      </c>
      <c r="BM11" s="6" t="s">
        <v>5</v>
      </c>
      <c r="BN11" s="6" t="s">
        <v>5</v>
      </c>
      <c r="BO11" s="6" t="s">
        <v>5</v>
      </c>
      <c r="BP11" s="6" t="s">
        <v>5</v>
      </c>
      <c r="BQ11" s="6" t="s">
        <v>5</v>
      </c>
      <c r="BR11" s="6" t="s">
        <v>5</v>
      </c>
      <c r="BS11" s="6" t="s">
        <v>5</v>
      </c>
      <c r="BT11" s="6" t="s">
        <v>5</v>
      </c>
      <c r="BU11" s="6" t="s">
        <v>7</v>
      </c>
      <c r="BV11" s="6" t="s">
        <v>7</v>
      </c>
      <c r="BW11" s="6" t="s">
        <v>7</v>
      </c>
      <c r="BX11" s="6" t="s">
        <v>7</v>
      </c>
      <c r="BY11" s="18" t="s">
        <v>7</v>
      </c>
      <c r="BZ11" s="1">
        <f t="shared" si="1"/>
        <v>9</v>
      </c>
      <c r="CA11" s="1">
        <f t="shared" si="2"/>
        <v>0</v>
      </c>
      <c r="CB11" s="1">
        <f t="shared" si="3"/>
        <v>5</v>
      </c>
      <c r="CC11" s="141">
        <f t="shared" si="4"/>
        <v>0.6428571428571429</v>
      </c>
      <c r="CD11" s="141">
        <f t="shared" si="5"/>
        <v>0</v>
      </c>
      <c r="CE11" s="141">
        <f t="shared" si="6"/>
        <v>0.35714285714285715</v>
      </c>
      <c r="CF11" s="142">
        <f t="shared" si="8"/>
        <v>64.285714285714292</v>
      </c>
      <c r="CG11" s="142">
        <f t="shared" si="9"/>
        <v>0</v>
      </c>
      <c r="CH11" s="142">
        <f t="shared" si="10"/>
        <v>35.714285714285715</v>
      </c>
      <c r="CK11" s="96" t="str">
        <f t="shared" si="11"/>
        <v>3_15</v>
      </c>
      <c r="CL11" s="122">
        <v>3</v>
      </c>
      <c r="CM11" s="236"/>
      <c r="CN11" s="6">
        <v>15</v>
      </c>
      <c r="CO11" s="5">
        <v>5</v>
      </c>
      <c r="CP11" s="6">
        <v>10</v>
      </c>
      <c r="CQ11" s="6">
        <v>15</v>
      </c>
      <c r="CR11" s="6">
        <v>20</v>
      </c>
      <c r="CS11" s="6">
        <v>25</v>
      </c>
      <c r="CT11" s="6">
        <v>30</v>
      </c>
      <c r="CU11" s="6">
        <v>35</v>
      </c>
      <c r="CV11" s="6">
        <v>40</v>
      </c>
      <c r="CW11" s="6">
        <v>45</v>
      </c>
      <c r="CX11" s="6">
        <v>50</v>
      </c>
      <c r="CY11" s="6"/>
      <c r="CZ11" s="6"/>
      <c r="DA11" s="6"/>
      <c r="DB11" s="6"/>
      <c r="DC11" s="6"/>
      <c r="DD11" s="1"/>
      <c r="DE11" s="1"/>
    </row>
    <row r="12" spans="2:123" ht="16.5" thickBot="1">
      <c r="B12" s="77" t="s">
        <v>196</v>
      </c>
      <c r="C12" s="144">
        <f>IF(Duplex_NR="FDD",1,SSF_splite_NR*DL_split_SSF_NR+DL_splite_NR)</f>
        <v>0.6</v>
      </c>
      <c r="E12" s="3"/>
      <c r="F12" s="4"/>
      <c r="G12" s="4"/>
      <c r="H12" s="4"/>
      <c r="I12" t="s">
        <v>257</v>
      </c>
      <c r="M12" s="288"/>
      <c r="N12" s="17" t="s">
        <v>56</v>
      </c>
      <c r="O12" s="17" t="s">
        <v>59</v>
      </c>
      <c r="P12" s="288"/>
      <c r="U12" s="29">
        <v>8</v>
      </c>
      <c r="V12" s="30">
        <v>4</v>
      </c>
      <c r="W12" s="30">
        <v>553</v>
      </c>
      <c r="X12" s="30">
        <v>2.1602000000000001</v>
      </c>
      <c r="Z12" s="29">
        <v>8</v>
      </c>
      <c r="AA12" s="30">
        <v>2</v>
      </c>
      <c r="AB12" s="30">
        <v>602</v>
      </c>
      <c r="AC12" s="30">
        <v>1.1758</v>
      </c>
      <c r="AE12" s="29">
        <v>8</v>
      </c>
      <c r="AF12" s="52">
        <v>2</v>
      </c>
      <c r="AG12" s="52">
        <v>602</v>
      </c>
      <c r="AH12" s="52">
        <v>1.1758</v>
      </c>
      <c r="AJ12" s="41">
        <v>9</v>
      </c>
      <c r="AK12" s="42" t="s">
        <v>31</v>
      </c>
      <c r="AL12" s="42">
        <v>616</v>
      </c>
      <c r="AM12" s="42">
        <v>2.4062999999999999</v>
      </c>
      <c r="AO12" s="299"/>
      <c r="AP12" s="62" t="s">
        <v>137</v>
      </c>
      <c r="AQ12" s="62" t="s">
        <v>137</v>
      </c>
      <c r="AR12" s="62" t="s">
        <v>137</v>
      </c>
      <c r="AS12" s="74" t="s">
        <v>137</v>
      </c>
      <c r="AT12" s="96"/>
      <c r="AX12" s="108">
        <v>30</v>
      </c>
      <c r="AY12" s="109">
        <v>120</v>
      </c>
      <c r="BC12" s="1" t="s">
        <v>203</v>
      </c>
      <c r="BD12" s="156">
        <v>3.2552083333333335E-8</v>
      </c>
      <c r="BH12">
        <f t="shared" si="12"/>
        <v>0</v>
      </c>
      <c r="BI12" s="158">
        <f t="shared" si="13"/>
        <v>63.6</v>
      </c>
      <c r="BJ12" s="114" t="str">
        <f t="shared" si="14"/>
        <v>Format 8 - DL 0% : UL  7.1% /(0)DL:(1)UL</v>
      </c>
      <c r="BK12" s="5">
        <v>8</v>
      </c>
      <c r="BL12" s="6" t="s">
        <v>7</v>
      </c>
      <c r="BM12" s="6" t="s">
        <v>7</v>
      </c>
      <c r="BN12" s="6" t="s">
        <v>7</v>
      </c>
      <c r="BO12" s="6" t="s">
        <v>7</v>
      </c>
      <c r="BP12" s="6" t="s">
        <v>7</v>
      </c>
      <c r="BQ12" s="6" t="s">
        <v>7</v>
      </c>
      <c r="BR12" s="6" t="s">
        <v>7</v>
      </c>
      <c r="BS12" s="6" t="s">
        <v>7</v>
      </c>
      <c r="BT12" s="6" t="s">
        <v>7</v>
      </c>
      <c r="BU12" s="6" t="s">
        <v>7</v>
      </c>
      <c r="BV12" s="6" t="s">
        <v>7</v>
      </c>
      <c r="BW12" s="6" t="s">
        <v>7</v>
      </c>
      <c r="BX12" s="6" t="s">
        <v>7</v>
      </c>
      <c r="BY12" s="18" t="s">
        <v>6</v>
      </c>
      <c r="BZ12" s="1">
        <f t="shared" si="1"/>
        <v>0</v>
      </c>
      <c r="CA12" s="1">
        <f t="shared" si="2"/>
        <v>1</v>
      </c>
      <c r="CB12" s="1">
        <f t="shared" si="3"/>
        <v>13</v>
      </c>
      <c r="CC12" s="141">
        <f t="shared" si="4"/>
        <v>0</v>
      </c>
      <c r="CD12" s="141">
        <f t="shared" si="5"/>
        <v>7.1428571428571425E-2</v>
      </c>
      <c r="CE12" s="141">
        <f t="shared" si="6"/>
        <v>0.9285714285714286</v>
      </c>
      <c r="CF12" s="142">
        <f t="shared" si="8"/>
        <v>0</v>
      </c>
      <c r="CG12" s="142">
        <f t="shared" si="9"/>
        <v>7.1428571428571423</v>
      </c>
      <c r="CH12" s="142">
        <f t="shared" si="10"/>
        <v>92.857142857142861</v>
      </c>
      <c r="CK12" s="96" t="str">
        <f t="shared" si="11"/>
        <v>3_30</v>
      </c>
      <c r="CL12" s="122">
        <v>3</v>
      </c>
      <c r="CM12" s="236" t="s">
        <v>68</v>
      </c>
      <c r="CN12" s="6">
        <v>30</v>
      </c>
      <c r="CO12" s="5"/>
      <c r="CP12" s="6">
        <v>10</v>
      </c>
      <c r="CQ12" s="6">
        <v>15</v>
      </c>
      <c r="CR12" s="6">
        <v>20</v>
      </c>
      <c r="CS12" s="6">
        <v>25</v>
      </c>
      <c r="CT12" s="6">
        <v>30</v>
      </c>
      <c r="CU12" s="6">
        <v>35</v>
      </c>
      <c r="CV12" s="6">
        <v>40</v>
      </c>
      <c r="CW12" s="6">
        <v>45</v>
      </c>
      <c r="CX12" s="6">
        <v>50</v>
      </c>
      <c r="CY12" s="6"/>
      <c r="CZ12" s="6"/>
      <c r="DA12" s="6"/>
      <c r="DB12" s="6"/>
      <c r="DC12" s="6"/>
      <c r="DD12" s="1"/>
      <c r="DE12" s="1"/>
    </row>
    <row r="13" spans="2:123" ht="24.75" thickBot="1">
      <c r="B13" s="77" t="s">
        <v>197</v>
      </c>
      <c r="C13" s="144">
        <f>IF(Duplex_NR="FDD",1,SSF_splite_NR*UL_split_SSF_NR+UL_splite_NR)-D53</f>
        <v>0.2</v>
      </c>
      <c r="D13">
        <v>15</v>
      </c>
      <c r="E13" s="5">
        <v>0</v>
      </c>
      <c r="F13" s="6">
        <v>14</v>
      </c>
      <c r="G13" s="6">
        <f>2^(E13)*10</f>
        <v>10</v>
      </c>
      <c r="H13" s="6">
        <v>1</v>
      </c>
      <c r="I13">
        <f>H13*20</f>
        <v>20</v>
      </c>
      <c r="J13">
        <f>I13*$C$2</f>
        <v>2120</v>
      </c>
      <c r="K13" s="189">
        <f>$L$7/J13</f>
        <v>3.7735849056603772E-2</v>
      </c>
      <c r="L13" s="148">
        <f>$M$7/J13</f>
        <v>0.2</v>
      </c>
      <c r="M13" s="229" t="s">
        <v>61</v>
      </c>
      <c r="N13" s="230" t="s">
        <v>62</v>
      </c>
      <c r="O13" s="230" t="s">
        <v>63</v>
      </c>
      <c r="P13" s="230" t="s">
        <v>64</v>
      </c>
      <c r="Q13" s="96" t="str">
        <f>CONCATENATE(M13,": ",P13,": ",O13)</f>
        <v>n1: FDD: 2110 MHz – 2170 MHz</v>
      </c>
      <c r="R13" s="136">
        <v>1</v>
      </c>
      <c r="S13" s="137" t="str">
        <f>P13</f>
        <v>FDD</v>
      </c>
      <c r="U13" s="29">
        <v>9</v>
      </c>
      <c r="V13" s="30">
        <v>4</v>
      </c>
      <c r="W13" s="30">
        <v>616</v>
      </c>
      <c r="X13" s="30">
        <v>2.4062999999999999</v>
      </c>
      <c r="Z13" s="29">
        <v>9</v>
      </c>
      <c r="AA13" s="30">
        <v>2</v>
      </c>
      <c r="AB13" s="30">
        <v>679</v>
      </c>
      <c r="AC13" s="30">
        <v>1.3262</v>
      </c>
      <c r="AE13" s="29">
        <v>9</v>
      </c>
      <c r="AF13" s="52">
        <v>2</v>
      </c>
      <c r="AG13" s="52">
        <v>679</v>
      </c>
      <c r="AH13" s="52">
        <v>1.3262</v>
      </c>
      <c r="AJ13" s="40">
        <v>10</v>
      </c>
      <c r="AK13" s="30" t="s">
        <v>32</v>
      </c>
      <c r="AL13" s="30">
        <v>466</v>
      </c>
      <c r="AM13" s="30">
        <v>2.7305000000000001</v>
      </c>
      <c r="AO13" s="63">
        <v>60</v>
      </c>
      <c r="AP13" s="64">
        <v>66</v>
      </c>
      <c r="AQ13" s="64">
        <v>132</v>
      </c>
      <c r="AR13" s="64">
        <v>264</v>
      </c>
      <c r="AS13" s="75" t="s">
        <v>138</v>
      </c>
      <c r="AT13" s="103">
        <v>3</v>
      </c>
      <c r="AX13" s="110">
        <v>60</v>
      </c>
      <c r="BC13" s="1" t="s">
        <v>204</v>
      </c>
      <c r="BD13" s="157">
        <f>144*2^(-numerologie_NR)</f>
        <v>72</v>
      </c>
      <c r="BH13">
        <f t="shared" si="12"/>
        <v>0</v>
      </c>
      <c r="BI13" s="158">
        <f t="shared" si="13"/>
        <v>58.300000000000004</v>
      </c>
      <c r="BJ13" s="114" t="str">
        <f t="shared" si="14"/>
        <v>Format 9 - DL 0% : UL  14.% /(0)DL:(2)UL</v>
      </c>
      <c r="BK13" s="5">
        <v>9</v>
      </c>
      <c r="BL13" s="6" t="s">
        <v>7</v>
      </c>
      <c r="BM13" s="6" t="s">
        <v>7</v>
      </c>
      <c r="BN13" s="6" t="s">
        <v>7</v>
      </c>
      <c r="BO13" s="6" t="s">
        <v>7</v>
      </c>
      <c r="BP13" s="6" t="s">
        <v>7</v>
      </c>
      <c r="BQ13" s="6" t="s">
        <v>7</v>
      </c>
      <c r="BR13" s="6" t="s">
        <v>7</v>
      </c>
      <c r="BS13" s="6" t="s">
        <v>7</v>
      </c>
      <c r="BT13" s="6" t="s">
        <v>7</v>
      </c>
      <c r="BU13" s="6" t="s">
        <v>7</v>
      </c>
      <c r="BV13" s="6" t="s">
        <v>7</v>
      </c>
      <c r="BW13" s="6" t="s">
        <v>7</v>
      </c>
      <c r="BX13" s="6" t="s">
        <v>6</v>
      </c>
      <c r="BY13" s="18" t="s">
        <v>6</v>
      </c>
      <c r="BZ13" s="1">
        <f t="shared" si="1"/>
        <v>0</v>
      </c>
      <c r="CA13" s="1">
        <f t="shared" si="2"/>
        <v>2</v>
      </c>
      <c r="CB13" s="1">
        <f t="shared" si="3"/>
        <v>12</v>
      </c>
      <c r="CC13" s="141">
        <f t="shared" si="4"/>
        <v>0</v>
      </c>
      <c r="CD13" s="141">
        <f t="shared" si="5"/>
        <v>0.14285714285714285</v>
      </c>
      <c r="CE13" s="141">
        <f t="shared" si="6"/>
        <v>0.8571428571428571</v>
      </c>
      <c r="CF13" s="142">
        <f t="shared" si="8"/>
        <v>0</v>
      </c>
      <c r="CG13" s="142">
        <f t="shared" si="9"/>
        <v>14.285714285714285</v>
      </c>
      <c r="CH13" s="142">
        <f t="shared" si="10"/>
        <v>85.714285714285708</v>
      </c>
      <c r="CK13" s="96" t="str">
        <f t="shared" si="11"/>
        <v>3_60</v>
      </c>
      <c r="CL13" s="122">
        <v>3</v>
      </c>
      <c r="CM13" s="5"/>
      <c r="CN13" s="6">
        <v>60</v>
      </c>
      <c r="CO13" s="5"/>
      <c r="CP13" s="6">
        <v>10</v>
      </c>
      <c r="CQ13" s="6">
        <v>15</v>
      </c>
      <c r="CR13" s="6">
        <v>20</v>
      </c>
      <c r="CS13" s="6">
        <v>25</v>
      </c>
      <c r="CT13" s="6">
        <v>30</v>
      </c>
      <c r="CU13" s="6">
        <v>35</v>
      </c>
      <c r="CV13" s="6">
        <v>40</v>
      </c>
      <c r="CW13" s="6">
        <v>45</v>
      </c>
      <c r="CX13" s="6">
        <v>50</v>
      </c>
      <c r="CY13" s="6"/>
      <c r="CZ13" s="6"/>
      <c r="DA13" s="6"/>
      <c r="DB13" s="6"/>
      <c r="DC13" s="6"/>
      <c r="DD13" s="1"/>
      <c r="DE13" s="1"/>
    </row>
    <row r="14" spans="2:123" ht="24.75" thickBot="1">
      <c r="B14" s="77" t="s">
        <v>194</v>
      </c>
      <c r="C14" s="144">
        <f>IF(Duplex_NR="FDD",0,1-SUM(C12:C13))</f>
        <v>0.19999999999999996</v>
      </c>
      <c r="D14">
        <v>30</v>
      </c>
      <c r="E14" s="5">
        <v>1</v>
      </c>
      <c r="F14" s="6">
        <v>14</v>
      </c>
      <c r="G14" s="6">
        <f>2^(E14)*10</f>
        <v>20</v>
      </c>
      <c r="H14" s="6">
        <v>2</v>
      </c>
      <c r="I14">
        <f t="shared" ref="I14:I17" si="15">H14*20</f>
        <v>40</v>
      </c>
      <c r="J14">
        <f>G14*$C$2</f>
        <v>2120</v>
      </c>
      <c r="K14" s="189">
        <f t="shared" ref="K14:K17" si="16">$L$7/J14</f>
        <v>3.7735849056603772E-2</v>
      </c>
      <c r="L14" s="148">
        <f t="shared" ref="L14:L17" si="17">$M$7/J14</f>
        <v>0.2</v>
      </c>
      <c r="M14" s="5" t="s">
        <v>65</v>
      </c>
      <c r="N14" s="6" t="s">
        <v>66</v>
      </c>
      <c r="O14" s="6" t="s">
        <v>67</v>
      </c>
      <c r="P14" s="6" t="s">
        <v>64</v>
      </c>
      <c r="Q14" s="96" t="str">
        <f t="shared" ref="Q14:Q41" si="18">CONCATENATE(M14,": ",P14,": ",O14)</f>
        <v>n2: FDD: 1930 MHz – 1990 MHz</v>
      </c>
      <c r="R14" s="136">
        <v>2</v>
      </c>
      <c r="S14" s="137" t="str">
        <f t="shared" ref="S14:S41" si="19">P14</f>
        <v>FDD</v>
      </c>
      <c r="U14" s="29">
        <v>10</v>
      </c>
      <c r="V14" s="30">
        <v>4</v>
      </c>
      <c r="W14" s="30">
        <v>658</v>
      </c>
      <c r="X14" s="30">
        <v>2.5703</v>
      </c>
      <c r="Z14" s="29">
        <v>10</v>
      </c>
      <c r="AA14" s="30">
        <v>4</v>
      </c>
      <c r="AB14" s="30">
        <v>340</v>
      </c>
      <c r="AC14" s="30">
        <v>1.3281000000000001</v>
      </c>
      <c r="AE14" s="29">
        <v>10</v>
      </c>
      <c r="AF14" s="54">
        <v>4</v>
      </c>
      <c r="AG14" s="52">
        <v>340</v>
      </c>
      <c r="AH14" s="52">
        <v>1.3281000000000001</v>
      </c>
      <c r="AJ14" s="40">
        <v>11</v>
      </c>
      <c r="AK14" s="30" t="s">
        <v>32</v>
      </c>
      <c r="AL14" s="30">
        <v>567</v>
      </c>
      <c r="AM14" s="30">
        <v>3.3222999999999998</v>
      </c>
      <c r="AO14" s="63">
        <v>120</v>
      </c>
      <c r="AP14" s="64">
        <v>32</v>
      </c>
      <c r="AQ14" s="64">
        <v>66</v>
      </c>
      <c r="AR14" s="64">
        <v>132</v>
      </c>
      <c r="AS14" s="75">
        <v>264</v>
      </c>
      <c r="AT14" s="103">
        <v>4</v>
      </c>
      <c r="BC14" s="1" t="s">
        <v>205</v>
      </c>
      <c r="BD14" s="157">
        <f>2048*2^(-numerologie_NR)</f>
        <v>1024</v>
      </c>
      <c r="BH14">
        <f t="shared" si="12"/>
        <v>0</v>
      </c>
      <c r="BI14" s="158">
        <f t="shared" si="13"/>
        <v>0</v>
      </c>
      <c r="BJ14" s="114" t="str">
        <f t="shared" si="14"/>
        <v>Format 10 - DL 0% : UL  92.% /(0)DL:(13)UL</v>
      </c>
      <c r="BK14" s="5">
        <v>10</v>
      </c>
      <c r="BL14" s="6" t="s">
        <v>7</v>
      </c>
      <c r="BM14" s="6" t="s">
        <v>6</v>
      </c>
      <c r="BN14" s="6" t="s">
        <v>6</v>
      </c>
      <c r="BO14" s="6" t="s">
        <v>6</v>
      </c>
      <c r="BP14" s="6" t="s">
        <v>6</v>
      </c>
      <c r="BQ14" s="6" t="s">
        <v>6</v>
      </c>
      <c r="BR14" s="6" t="s">
        <v>6</v>
      </c>
      <c r="BS14" s="6" t="s">
        <v>6</v>
      </c>
      <c r="BT14" s="6" t="s">
        <v>6</v>
      </c>
      <c r="BU14" s="6" t="s">
        <v>6</v>
      </c>
      <c r="BV14" s="6" t="s">
        <v>6</v>
      </c>
      <c r="BW14" s="6" t="s">
        <v>6</v>
      </c>
      <c r="BX14" s="6" t="s">
        <v>6</v>
      </c>
      <c r="BY14" s="18" t="s">
        <v>6</v>
      </c>
      <c r="BZ14" s="1">
        <f t="shared" si="1"/>
        <v>0</v>
      </c>
      <c r="CA14" s="1">
        <f t="shared" si="2"/>
        <v>13</v>
      </c>
      <c r="CB14" s="1">
        <f t="shared" si="3"/>
        <v>1</v>
      </c>
      <c r="CC14" s="141">
        <f t="shared" si="4"/>
        <v>0</v>
      </c>
      <c r="CD14" s="141">
        <f t="shared" si="5"/>
        <v>0.9285714285714286</v>
      </c>
      <c r="CE14" s="141">
        <f t="shared" si="6"/>
        <v>7.1428571428571425E-2</v>
      </c>
      <c r="CF14" s="142">
        <f t="shared" si="8"/>
        <v>0</v>
      </c>
      <c r="CG14" s="142">
        <f t="shared" si="9"/>
        <v>92.857142857142861</v>
      </c>
      <c r="CH14" s="142">
        <f t="shared" si="10"/>
        <v>7.1428571428571423</v>
      </c>
      <c r="CK14" s="96" t="str">
        <f t="shared" si="11"/>
        <v>5_15</v>
      </c>
      <c r="CL14" s="122">
        <v>5</v>
      </c>
      <c r="CM14" s="236"/>
      <c r="CN14" s="6">
        <v>15</v>
      </c>
      <c r="CO14" s="5">
        <v>5</v>
      </c>
      <c r="CP14" s="6">
        <v>10</v>
      </c>
      <c r="CQ14" s="6">
        <v>15</v>
      </c>
      <c r="CR14" s="6">
        <v>20</v>
      </c>
      <c r="CS14" s="6">
        <v>257</v>
      </c>
      <c r="CT14" s="6"/>
      <c r="CU14" s="6"/>
      <c r="CV14" s="6"/>
      <c r="CW14" s="6"/>
      <c r="CX14" s="6"/>
      <c r="CY14" s="6"/>
      <c r="CZ14" s="6"/>
      <c r="DA14" s="6"/>
      <c r="DB14" s="6"/>
      <c r="DC14" s="6"/>
      <c r="DD14" s="1"/>
      <c r="DE14" s="1"/>
    </row>
    <row r="15" spans="2:123" ht="24.75" thickBot="1">
      <c r="C15" s="146">
        <f>SUM(C12:C14)</f>
        <v>1</v>
      </c>
      <c r="D15">
        <v>60</v>
      </c>
      <c r="E15" s="5">
        <v>2</v>
      </c>
      <c r="F15" s="6">
        <v>14</v>
      </c>
      <c r="G15" s="6">
        <f>2^(E15)*10</f>
        <v>40</v>
      </c>
      <c r="H15" s="6">
        <v>4</v>
      </c>
      <c r="I15">
        <f t="shared" si="15"/>
        <v>80</v>
      </c>
      <c r="J15">
        <f>G15*$C$2</f>
        <v>4240</v>
      </c>
      <c r="K15" s="189">
        <f t="shared" si="16"/>
        <v>1.8867924528301886E-2</v>
      </c>
      <c r="L15" s="148">
        <f t="shared" si="17"/>
        <v>0.1</v>
      </c>
      <c r="M15" s="5" t="s">
        <v>68</v>
      </c>
      <c r="N15" s="6" t="s">
        <v>69</v>
      </c>
      <c r="O15" s="6" t="s">
        <v>70</v>
      </c>
      <c r="P15" s="6" t="s">
        <v>64</v>
      </c>
      <c r="Q15" s="96" t="str">
        <f t="shared" si="18"/>
        <v>n3: FDD: 1805 MHz – 1880 MHz</v>
      </c>
      <c r="R15" s="136">
        <v>3</v>
      </c>
      <c r="S15" s="137" t="str">
        <f t="shared" si="19"/>
        <v>FDD</v>
      </c>
      <c r="U15" s="29">
        <v>11</v>
      </c>
      <c r="V15" s="30">
        <v>6</v>
      </c>
      <c r="W15" s="30">
        <v>466</v>
      </c>
      <c r="X15" s="30">
        <v>2.7305000000000001</v>
      </c>
      <c r="Z15" s="29">
        <v>11</v>
      </c>
      <c r="AA15" s="30">
        <v>4</v>
      </c>
      <c r="AB15" s="30">
        <v>378</v>
      </c>
      <c r="AC15" s="30">
        <v>1.4765999999999999</v>
      </c>
      <c r="AE15" s="29">
        <v>11</v>
      </c>
      <c r="AF15" s="52">
        <v>4</v>
      </c>
      <c r="AG15" s="52">
        <v>378</v>
      </c>
      <c r="AH15" s="52">
        <v>1.4765999999999999</v>
      </c>
      <c r="AJ15" s="40">
        <v>12</v>
      </c>
      <c r="AK15" s="30" t="s">
        <v>32</v>
      </c>
      <c r="AL15" s="30">
        <v>666</v>
      </c>
      <c r="AM15" s="30">
        <v>3.9022999999999999</v>
      </c>
      <c r="BC15" s="1" t="s">
        <v>206</v>
      </c>
      <c r="BD15" s="157">
        <f>BD14+BD13</f>
        <v>1096</v>
      </c>
      <c r="BH15">
        <f t="shared" si="12"/>
        <v>0</v>
      </c>
      <c r="BI15" s="158">
        <f t="shared" si="13"/>
        <v>4.8</v>
      </c>
      <c r="BJ15" s="114" t="str">
        <f t="shared" si="14"/>
        <v>Format 11 - DL 0% : UL  85.% /(0)DL:(12)UL</v>
      </c>
      <c r="BK15" s="5">
        <v>11</v>
      </c>
      <c r="BL15" s="6" t="s">
        <v>7</v>
      </c>
      <c r="BM15" s="6" t="s">
        <v>7</v>
      </c>
      <c r="BN15" s="6" t="s">
        <v>6</v>
      </c>
      <c r="BO15" s="6" t="s">
        <v>6</v>
      </c>
      <c r="BP15" s="6" t="s">
        <v>6</v>
      </c>
      <c r="BQ15" s="6" t="s">
        <v>6</v>
      </c>
      <c r="BR15" s="6" t="s">
        <v>6</v>
      </c>
      <c r="BS15" s="6" t="s">
        <v>6</v>
      </c>
      <c r="BT15" s="6" t="s">
        <v>6</v>
      </c>
      <c r="BU15" s="6" t="s">
        <v>6</v>
      </c>
      <c r="BV15" s="6" t="s">
        <v>6</v>
      </c>
      <c r="BW15" s="6" t="s">
        <v>6</v>
      </c>
      <c r="BX15" s="6" t="s">
        <v>6</v>
      </c>
      <c r="BY15" s="18" t="s">
        <v>6</v>
      </c>
      <c r="BZ15" s="1">
        <f t="shared" si="1"/>
        <v>0</v>
      </c>
      <c r="CA15" s="1">
        <f t="shared" si="2"/>
        <v>12</v>
      </c>
      <c r="CB15" s="1">
        <f t="shared" si="3"/>
        <v>2</v>
      </c>
      <c r="CC15" s="141">
        <f t="shared" si="4"/>
        <v>0</v>
      </c>
      <c r="CD15" s="141">
        <f t="shared" si="5"/>
        <v>0.8571428571428571</v>
      </c>
      <c r="CE15" s="141">
        <f t="shared" si="6"/>
        <v>0.14285714285714285</v>
      </c>
      <c r="CF15" s="142">
        <f t="shared" si="8"/>
        <v>0</v>
      </c>
      <c r="CG15" s="142">
        <f t="shared" si="9"/>
        <v>85.714285714285708</v>
      </c>
      <c r="CH15" s="142">
        <f t="shared" si="10"/>
        <v>14.285714285714285</v>
      </c>
      <c r="CK15" s="96" t="str">
        <f t="shared" si="11"/>
        <v>5_30</v>
      </c>
      <c r="CL15" s="122">
        <v>5</v>
      </c>
      <c r="CM15" s="236" t="s">
        <v>71</v>
      </c>
      <c r="CN15" s="6">
        <v>30</v>
      </c>
      <c r="CO15" s="5"/>
      <c r="CP15" s="6">
        <v>10</v>
      </c>
      <c r="CQ15" s="6">
        <v>15</v>
      </c>
      <c r="CR15" s="6">
        <v>20</v>
      </c>
      <c r="CS15" s="6">
        <v>257</v>
      </c>
      <c r="CT15" s="6"/>
      <c r="CU15" s="6"/>
      <c r="CV15" s="6"/>
      <c r="CW15" s="6"/>
      <c r="CX15" s="6"/>
      <c r="CY15" s="6"/>
      <c r="CZ15" s="6"/>
      <c r="DA15" s="6"/>
      <c r="DB15" s="6"/>
      <c r="DC15" s="6"/>
      <c r="DD15" s="1"/>
      <c r="DE15" s="1"/>
    </row>
    <row r="16" spans="2:123" ht="30.75" thickBot="1">
      <c r="D16">
        <v>120</v>
      </c>
      <c r="E16" s="5">
        <v>3</v>
      </c>
      <c r="F16" s="6">
        <v>14</v>
      </c>
      <c r="G16" s="6">
        <f>2^(E16)*10</f>
        <v>80</v>
      </c>
      <c r="H16" s="6">
        <v>8</v>
      </c>
      <c r="I16">
        <f t="shared" si="15"/>
        <v>160</v>
      </c>
      <c r="J16">
        <f>G16*$C$2</f>
        <v>8480</v>
      </c>
      <c r="K16" s="189">
        <f t="shared" si="16"/>
        <v>9.433962264150943E-3</v>
      </c>
      <c r="L16" s="148">
        <f t="shared" si="17"/>
        <v>0.05</v>
      </c>
      <c r="M16" s="5" t="s">
        <v>71</v>
      </c>
      <c r="N16" s="6" t="s">
        <v>72</v>
      </c>
      <c r="O16" s="6" t="s">
        <v>73</v>
      </c>
      <c r="P16" s="6" t="s">
        <v>64</v>
      </c>
      <c r="Q16" s="96" t="str">
        <f t="shared" si="18"/>
        <v>n5: FDD: 869 MHz – 894 MHz</v>
      </c>
      <c r="R16" s="136">
        <v>5</v>
      </c>
      <c r="S16" s="137" t="str">
        <f t="shared" si="19"/>
        <v>FDD</v>
      </c>
      <c r="U16" s="29">
        <v>12</v>
      </c>
      <c r="V16" s="30">
        <v>6</v>
      </c>
      <c r="W16" s="30">
        <v>517</v>
      </c>
      <c r="X16" s="30">
        <v>3.0293000000000001</v>
      </c>
      <c r="Z16" s="29">
        <v>12</v>
      </c>
      <c r="AA16" s="30">
        <v>4</v>
      </c>
      <c r="AB16" s="30">
        <v>434</v>
      </c>
      <c r="AC16" s="30">
        <v>1.6953</v>
      </c>
      <c r="AE16" s="29">
        <v>12</v>
      </c>
      <c r="AF16" s="52">
        <v>4</v>
      </c>
      <c r="AG16" s="52">
        <v>434</v>
      </c>
      <c r="AH16" s="52">
        <v>1.6953</v>
      </c>
      <c r="AJ16" s="40">
        <v>13</v>
      </c>
      <c r="AK16" s="30" t="s">
        <v>32</v>
      </c>
      <c r="AL16" s="30">
        <v>772</v>
      </c>
      <c r="AM16" s="30">
        <v>4.5233999999999996</v>
      </c>
      <c r="BC16" s="163" t="s">
        <v>208</v>
      </c>
      <c r="BD16" s="157">
        <f>40</f>
        <v>40</v>
      </c>
      <c r="BH16">
        <f t="shared" si="12"/>
        <v>0</v>
      </c>
      <c r="BI16" s="158">
        <f t="shared" si="13"/>
        <v>10.1</v>
      </c>
      <c r="BJ16" s="114" t="str">
        <f t="shared" si="14"/>
        <v>Format 12 - DL 0% : UL  78.% /(0)DL:(11)UL</v>
      </c>
      <c r="BK16" s="5">
        <v>12</v>
      </c>
      <c r="BL16" s="6" t="s">
        <v>7</v>
      </c>
      <c r="BM16" s="6" t="s">
        <v>7</v>
      </c>
      <c r="BN16" s="6" t="s">
        <v>7</v>
      </c>
      <c r="BO16" s="6" t="s">
        <v>6</v>
      </c>
      <c r="BP16" s="6" t="s">
        <v>6</v>
      </c>
      <c r="BQ16" s="6" t="s">
        <v>6</v>
      </c>
      <c r="BR16" s="6" t="s">
        <v>6</v>
      </c>
      <c r="BS16" s="6" t="s">
        <v>6</v>
      </c>
      <c r="BT16" s="6" t="s">
        <v>6</v>
      </c>
      <c r="BU16" s="6" t="s">
        <v>6</v>
      </c>
      <c r="BV16" s="6" t="s">
        <v>6</v>
      </c>
      <c r="BW16" s="6" t="s">
        <v>6</v>
      </c>
      <c r="BX16" s="6" t="s">
        <v>6</v>
      </c>
      <c r="BY16" s="18" t="s">
        <v>6</v>
      </c>
      <c r="BZ16" s="1">
        <f t="shared" si="1"/>
        <v>0</v>
      </c>
      <c r="CA16" s="1">
        <f t="shared" si="2"/>
        <v>11</v>
      </c>
      <c r="CB16" s="1">
        <f t="shared" si="3"/>
        <v>3</v>
      </c>
      <c r="CC16" s="141">
        <f t="shared" si="4"/>
        <v>0</v>
      </c>
      <c r="CD16" s="141">
        <f t="shared" si="5"/>
        <v>0.7857142857142857</v>
      </c>
      <c r="CE16" s="141">
        <f t="shared" si="6"/>
        <v>0.21428571428571427</v>
      </c>
      <c r="CF16" s="142">
        <f t="shared" si="8"/>
        <v>0</v>
      </c>
      <c r="CG16" s="142">
        <f t="shared" si="9"/>
        <v>78.571428571428569</v>
      </c>
      <c r="CH16" s="142">
        <f t="shared" si="10"/>
        <v>21.428571428571427</v>
      </c>
      <c r="CK16" s="96" t="str">
        <f t="shared" si="11"/>
        <v>5_60</v>
      </c>
      <c r="CL16" s="122">
        <v>5</v>
      </c>
      <c r="CM16" s="5"/>
      <c r="CN16" s="6">
        <v>60</v>
      </c>
      <c r="CO16" s="5"/>
      <c r="CP16" s="6"/>
      <c r="CQ16" s="6"/>
      <c r="CR16" s="6"/>
      <c r="CS16" s="6"/>
      <c r="CT16" s="6"/>
      <c r="CU16" s="6"/>
      <c r="CV16" s="6"/>
      <c r="CW16" s="6"/>
      <c r="CX16" s="6"/>
      <c r="CY16" s="6"/>
      <c r="CZ16" s="6"/>
      <c r="DA16" s="6"/>
      <c r="DB16" s="6"/>
      <c r="DC16" s="6"/>
      <c r="DD16" s="1"/>
      <c r="DE16" s="1"/>
    </row>
    <row r="17" spans="1:109" ht="24.75" thickBot="1">
      <c r="A17" s="1"/>
      <c r="B17" s="1" t="s">
        <v>185</v>
      </c>
      <c r="C17" s="1" t="s">
        <v>186</v>
      </c>
      <c r="D17">
        <v>240</v>
      </c>
      <c r="E17" s="5">
        <v>4</v>
      </c>
      <c r="F17" s="6">
        <v>14</v>
      </c>
      <c r="G17" s="6">
        <f>2^(E17)*10</f>
        <v>160</v>
      </c>
      <c r="H17" s="6">
        <v>16</v>
      </c>
      <c r="I17">
        <f t="shared" si="15"/>
        <v>320</v>
      </c>
      <c r="J17">
        <f>G17*$C$2</f>
        <v>16960</v>
      </c>
      <c r="K17" s="189">
        <f t="shared" si="16"/>
        <v>4.7169811320754715E-3</v>
      </c>
      <c r="L17" s="148">
        <f t="shared" si="17"/>
        <v>2.5000000000000001E-2</v>
      </c>
      <c r="M17" s="5" t="s">
        <v>74</v>
      </c>
      <c r="N17" s="6" t="s">
        <v>75</v>
      </c>
      <c r="O17" s="6" t="s">
        <v>76</v>
      </c>
      <c r="P17" s="6" t="s">
        <v>64</v>
      </c>
      <c r="Q17" s="96" t="str">
        <f t="shared" si="18"/>
        <v>n7: FDD: 2620 MHz – 2690 MHz</v>
      </c>
      <c r="R17" s="136">
        <v>7</v>
      </c>
      <c r="S17" s="137" t="str">
        <f t="shared" si="19"/>
        <v>FDD</v>
      </c>
      <c r="U17" s="29">
        <v>13</v>
      </c>
      <c r="V17" s="30">
        <v>6</v>
      </c>
      <c r="W17" s="30">
        <v>567</v>
      </c>
      <c r="X17" s="30">
        <v>3.3222999999999998</v>
      </c>
      <c r="Z17" s="29">
        <v>13</v>
      </c>
      <c r="AA17" s="30">
        <v>4</v>
      </c>
      <c r="AB17" s="30">
        <v>490</v>
      </c>
      <c r="AC17" s="30">
        <v>1.9140999999999999</v>
      </c>
      <c r="AE17" s="29">
        <v>13</v>
      </c>
      <c r="AF17" s="52">
        <v>4</v>
      </c>
      <c r="AG17" s="52">
        <v>490</v>
      </c>
      <c r="AH17" s="52">
        <v>1.9140999999999999</v>
      </c>
      <c r="AJ17" s="40">
        <v>14</v>
      </c>
      <c r="AK17" s="30" t="s">
        <v>32</v>
      </c>
      <c r="AL17" s="30">
        <v>873</v>
      </c>
      <c r="AM17" s="30">
        <v>5.1151999999999997</v>
      </c>
      <c r="BC17" s="157">
        <f>SUM(BH6:BH59)</f>
        <v>1</v>
      </c>
      <c r="BH17">
        <f t="shared" si="12"/>
        <v>0</v>
      </c>
      <c r="BI17" s="158">
        <f t="shared" si="13"/>
        <v>15.5</v>
      </c>
      <c r="BJ17" s="114" t="str">
        <f t="shared" si="14"/>
        <v>Format 13 - DL 0% : UL  71.% /(0)DL:(10)UL</v>
      </c>
      <c r="BK17" s="5">
        <v>13</v>
      </c>
      <c r="BL17" s="6" t="s">
        <v>7</v>
      </c>
      <c r="BM17" s="6" t="s">
        <v>7</v>
      </c>
      <c r="BN17" s="6" t="s">
        <v>7</v>
      </c>
      <c r="BO17" s="6" t="s">
        <v>7</v>
      </c>
      <c r="BP17" s="6" t="s">
        <v>6</v>
      </c>
      <c r="BQ17" s="6" t="s">
        <v>6</v>
      </c>
      <c r="BR17" s="6" t="s">
        <v>6</v>
      </c>
      <c r="BS17" s="6" t="s">
        <v>6</v>
      </c>
      <c r="BT17" s="6" t="s">
        <v>6</v>
      </c>
      <c r="BU17" s="6" t="s">
        <v>6</v>
      </c>
      <c r="BV17" s="6" t="s">
        <v>6</v>
      </c>
      <c r="BW17" s="6" t="s">
        <v>6</v>
      </c>
      <c r="BX17" s="6" t="s">
        <v>6</v>
      </c>
      <c r="BY17" s="18" t="s">
        <v>6</v>
      </c>
      <c r="BZ17" s="1">
        <f t="shared" si="1"/>
        <v>0</v>
      </c>
      <c r="CA17" s="1">
        <f t="shared" si="2"/>
        <v>10</v>
      </c>
      <c r="CB17" s="1">
        <f t="shared" si="3"/>
        <v>4</v>
      </c>
      <c r="CC17" s="141">
        <f t="shared" si="4"/>
        <v>0</v>
      </c>
      <c r="CD17" s="141">
        <f t="shared" si="5"/>
        <v>0.7142857142857143</v>
      </c>
      <c r="CE17" s="141">
        <f t="shared" si="6"/>
        <v>0.2857142857142857</v>
      </c>
      <c r="CF17" s="142">
        <f t="shared" si="8"/>
        <v>0</v>
      </c>
      <c r="CG17" s="142">
        <f t="shared" si="9"/>
        <v>71.428571428571431</v>
      </c>
      <c r="CH17" s="142">
        <f t="shared" si="10"/>
        <v>28.571428571428569</v>
      </c>
      <c r="CK17" s="96" t="str">
        <f t="shared" si="11"/>
        <v>7_15</v>
      </c>
      <c r="CL17" s="122">
        <v>7</v>
      </c>
      <c r="CM17" s="236"/>
      <c r="CN17" s="6">
        <v>15</v>
      </c>
      <c r="CO17" s="5">
        <v>5</v>
      </c>
      <c r="CP17" s="6">
        <v>10</v>
      </c>
      <c r="CQ17" s="6">
        <v>15</v>
      </c>
      <c r="CR17" s="6">
        <v>20</v>
      </c>
      <c r="CS17" s="6">
        <v>25</v>
      </c>
      <c r="CT17" s="6">
        <v>30</v>
      </c>
      <c r="CU17" s="6">
        <v>35</v>
      </c>
      <c r="CV17" s="6">
        <v>40</v>
      </c>
      <c r="CW17" s="6"/>
      <c r="CX17" s="6">
        <v>50</v>
      </c>
      <c r="CY17" s="6"/>
      <c r="CZ17" s="6"/>
      <c r="DA17" s="6"/>
      <c r="DB17" s="6"/>
      <c r="DC17" s="6"/>
      <c r="DD17" s="1"/>
      <c r="DE17" s="1"/>
    </row>
    <row r="18" spans="1:109" ht="15.75" thickBot="1">
      <c r="A18" s="1" t="s">
        <v>171</v>
      </c>
      <c r="B18" s="132">
        <v>0</v>
      </c>
      <c r="C18" s="132">
        <v>0</v>
      </c>
      <c r="E18" s="2"/>
      <c r="M18" s="5" t="s">
        <v>77</v>
      </c>
      <c r="N18" s="6" t="s">
        <v>78</v>
      </c>
      <c r="O18" s="6" t="s">
        <v>79</v>
      </c>
      <c r="P18" s="6" t="s">
        <v>64</v>
      </c>
      <c r="Q18" s="96" t="str">
        <f t="shared" si="18"/>
        <v>n8: FDD: 925 MHz – 960 MHz</v>
      </c>
      <c r="R18" s="136">
        <v>8</v>
      </c>
      <c r="S18" s="137" t="str">
        <f t="shared" si="19"/>
        <v>FDD</v>
      </c>
      <c r="U18" s="29">
        <v>14</v>
      </c>
      <c r="V18" s="30">
        <v>6</v>
      </c>
      <c r="W18" s="30">
        <v>616</v>
      </c>
      <c r="X18" s="30">
        <v>3.6093999999999999</v>
      </c>
      <c r="Z18" s="29">
        <v>14</v>
      </c>
      <c r="AA18" s="30">
        <v>4</v>
      </c>
      <c r="AB18" s="30">
        <v>553</v>
      </c>
      <c r="AC18" s="30">
        <v>2.1602000000000001</v>
      </c>
      <c r="AE18" s="29">
        <v>14</v>
      </c>
      <c r="AF18" s="52">
        <v>4</v>
      </c>
      <c r="AG18" s="52">
        <v>553</v>
      </c>
      <c r="AH18" s="52">
        <v>2.1602000000000001</v>
      </c>
      <c r="AJ18" s="40">
        <v>15</v>
      </c>
      <c r="AK18" s="30" t="s">
        <v>32</v>
      </c>
      <c r="AL18" s="30">
        <v>948</v>
      </c>
      <c r="AM18" s="30">
        <v>5.5547000000000004</v>
      </c>
      <c r="BH18">
        <f t="shared" si="12"/>
        <v>0</v>
      </c>
      <c r="BI18" s="158">
        <f t="shared" si="13"/>
        <v>20.8</v>
      </c>
      <c r="BJ18" s="114" t="str">
        <f t="shared" si="14"/>
        <v>Format 14 - DL 0% : UL  64.% /(0)DL:(9)UL</v>
      </c>
      <c r="BK18" s="5">
        <v>14</v>
      </c>
      <c r="BL18" s="6" t="s">
        <v>7</v>
      </c>
      <c r="BM18" s="6" t="s">
        <v>7</v>
      </c>
      <c r="BN18" s="6" t="s">
        <v>7</v>
      </c>
      <c r="BO18" s="6" t="s">
        <v>7</v>
      </c>
      <c r="BP18" s="6" t="s">
        <v>7</v>
      </c>
      <c r="BQ18" s="6" t="s">
        <v>6</v>
      </c>
      <c r="BR18" s="6" t="s">
        <v>6</v>
      </c>
      <c r="BS18" s="6" t="s">
        <v>6</v>
      </c>
      <c r="BT18" s="6" t="s">
        <v>6</v>
      </c>
      <c r="BU18" s="6" t="s">
        <v>6</v>
      </c>
      <c r="BV18" s="6" t="s">
        <v>6</v>
      </c>
      <c r="BW18" s="6" t="s">
        <v>6</v>
      </c>
      <c r="BX18" s="6" t="s">
        <v>6</v>
      </c>
      <c r="BY18" s="18" t="s">
        <v>6</v>
      </c>
      <c r="BZ18" s="1">
        <f t="shared" si="1"/>
        <v>0</v>
      </c>
      <c r="CA18" s="1">
        <f t="shared" si="2"/>
        <v>9</v>
      </c>
      <c r="CB18" s="1">
        <f t="shared" si="3"/>
        <v>5</v>
      </c>
      <c r="CC18" s="141">
        <f t="shared" si="4"/>
        <v>0</v>
      </c>
      <c r="CD18" s="141">
        <f t="shared" si="5"/>
        <v>0.6428571428571429</v>
      </c>
      <c r="CE18" s="141">
        <f t="shared" si="6"/>
        <v>0.35714285714285715</v>
      </c>
      <c r="CF18" s="142">
        <f t="shared" si="8"/>
        <v>0</v>
      </c>
      <c r="CG18" s="142">
        <f t="shared" si="9"/>
        <v>64.285714285714292</v>
      </c>
      <c r="CH18" s="142">
        <f t="shared" si="10"/>
        <v>35.714285714285715</v>
      </c>
      <c r="CK18" s="96" t="str">
        <f t="shared" si="11"/>
        <v>7_30</v>
      </c>
      <c r="CL18" s="122">
        <v>7</v>
      </c>
      <c r="CM18" s="236" t="s">
        <v>74</v>
      </c>
      <c r="CN18" s="6">
        <v>30</v>
      </c>
      <c r="CO18" s="5"/>
      <c r="CP18" s="6">
        <v>10</v>
      </c>
      <c r="CQ18" s="6">
        <v>15</v>
      </c>
      <c r="CR18" s="6">
        <v>20</v>
      </c>
      <c r="CS18" s="6">
        <v>25</v>
      </c>
      <c r="CT18" s="6">
        <v>30</v>
      </c>
      <c r="CU18" s="6">
        <v>35</v>
      </c>
      <c r="CV18" s="6">
        <v>40</v>
      </c>
      <c r="CW18" s="6"/>
      <c r="CX18" s="6">
        <v>50</v>
      </c>
      <c r="CY18" s="6"/>
      <c r="CZ18" s="6"/>
      <c r="DA18" s="6"/>
      <c r="DB18" s="6"/>
      <c r="DC18" s="6"/>
      <c r="DD18" s="1"/>
      <c r="DE18" s="1"/>
    </row>
    <row r="19" spans="1:109" ht="15.75" thickBot="1">
      <c r="E19" s="55" t="s">
        <v>44</v>
      </c>
      <c r="M19" s="5" t="s">
        <v>349</v>
      </c>
      <c r="N19" s="6" t="s">
        <v>350</v>
      </c>
      <c r="O19" s="6" t="s">
        <v>351</v>
      </c>
      <c r="P19" s="6" t="s">
        <v>64</v>
      </c>
      <c r="Q19" s="96" t="str">
        <f t="shared" si="18"/>
        <v>n12: FDD: 729 MHz – 746 MHz</v>
      </c>
      <c r="R19" s="136">
        <v>12</v>
      </c>
      <c r="S19" s="137" t="str">
        <f t="shared" si="19"/>
        <v>FDD</v>
      </c>
      <c r="U19" s="29">
        <v>15</v>
      </c>
      <c r="V19" s="30">
        <v>6</v>
      </c>
      <c r="W19" s="30">
        <v>666</v>
      </c>
      <c r="X19" s="30">
        <v>3.9022999999999999</v>
      </c>
      <c r="Z19" s="29">
        <v>15</v>
      </c>
      <c r="AA19" s="30">
        <v>4</v>
      </c>
      <c r="AB19" s="30">
        <v>616</v>
      </c>
      <c r="AC19" s="30">
        <v>2.4062999999999999</v>
      </c>
      <c r="AE19" s="29">
        <v>15</v>
      </c>
      <c r="AF19" s="52">
        <v>4</v>
      </c>
      <c r="AG19" s="52">
        <v>616</v>
      </c>
      <c r="AH19" s="52">
        <v>2.4062999999999999</v>
      </c>
      <c r="BH19">
        <f t="shared" si="12"/>
        <v>0</v>
      </c>
      <c r="BI19" s="158">
        <f t="shared" si="13"/>
        <v>26.200000000000003</v>
      </c>
      <c r="BJ19" s="114" t="str">
        <f t="shared" si="14"/>
        <v>Format 15 - DL 0% : UL  57.% /(0)DL:(8)UL</v>
      </c>
      <c r="BK19" s="5">
        <v>15</v>
      </c>
      <c r="BL19" s="6" t="s">
        <v>7</v>
      </c>
      <c r="BM19" s="6" t="s">
        <v>7</v>
      </c>
      <c r="BN19" s="6" t="s">
        <v>7</v>
      </c>
      <c r="BO19" s="6" t="s">
        <v>7</v>
      </c>
      <c r="BP19" s="6" t="s">
        <v>7</v>
      </c>
      <c r="BQ19" s="6" t="s">
        <v>7</v>
      </c>
      <c r="BR19" s="6" t="s">
        <v>6</v>
      </c>
      <c r="BS19" s="6" t="s">
        <v>6</v>
      </c>
      <c r="BT19" s="6" t="s">
        <v>6</v>
      </c>
      <c r="BU19" s="6" t="s">
        <v>6</v>
      </c>
      <c r="BV19" s="6" t="s">
        <v>6</v>
      </c>
      <c r="BW19" s="6" t="s">
        <v>6</v>
      </c>
      <c r="BX19" s="6" t="s">
        <v>6</v>
      </c>
      <c r="BY19" s="18" t="s">
        <v>6</v>
      </c>
      <c r="BZ19" s="1">
        <f t="shared" si="1"/>
        <v>0</v>
      </c>
      <c r="CA19" s="1">
        <f t="shared" si="2"/>
        <v>8</v>
      </c>
      <c r="CB19" s="1">
        <f t="shared" si="3"/>
        <v>6</v>
      </c>
      <c r="CC19" s="141">
        <f t="shared" si="4"/>
        <v>0</v>
      </c>
      <c r="CD19" s="141">
        <f t="shared" si="5"/>
        <v>0.5714285714285714</v>
      </c>
      <c r="CE19" s="141">
        <f t="shared" si="6"/>
        <v>0.42857142857142855</v>
      </c>
      <c r="CF19" s="142">
        <f t="shared" si="8"/>
        <v>0</v>
      </c>
      <c r="CG19" s="142">
        <f t="shared" si="9"/>
        <v>57.142857142857139</v>
      </c>
      <c r="CH19" s="142">
        <f t="shared" si="10"/>
        <v>42.857142857142854</v>
      </c>
      <c r="CK19" s="96" t="str">
        <f t="shared" si="11"/>
        <v>7_60</v>
      </c>
      <c r="CL19" s="122">
        <v>7</v>
      </c>
      <c r="CM19" s="5"/>
      <c r="CN19" s="6">
        <v>60</v>
      </c>
      <c r="CO19" s="5"/>
      <c r="CP19" s="6">
        <v>10</v>
      </c>
      <c r="CQ19" s="6">
        <v>15</v>
      </c>
      <c r="CR19" s="6">
        <v>20</v>
      </c>
      <c r="CS19" s="6">
        <v>25</v>
      </c>
      <c r="CT19" s="6">
        <v>30</v>
      </c>
      <c r="CU19" s="6">
        <v>35</v>
      </c>
      <c r="CV19" s="6">
        <v>40</v>
      </c>
      <c r="CW19" s="6"/>
      <c r="CX19" s="6">
        <v>50</v>
      </c>
      <c r="CY19" s="6"/>
      <c r="CZ19" s="6"/>
      <c r="DA19" s="6"/>
      <c r="DB19" s="6"/>
      <c r="DC19" s="6"/>
      <c r="DD19" s="1"/>
      <c r="DE19" s="1"/>
    </row>
    <row r="20" spans="1:109" ht="15.75" thickBot="1">
      <c r="E20" s="3"/>
      <c r="F20" s="4"/>
      <c r="G20" s="4"/>
      <c r="H20" s="4"/>
      <c r="M20" s="5" t="s">
        <v>352</v>
      </c>
      <c r="N20" s="6" t="s">
        <v>353</v>
      </c>
      <c r="O20" s="6" t="s">
        <v>354</v>
      </c>
      <c r="P20" s="6" t="s">
        <v>64</v>
      </c>
      <c r="Q20" s="96" t="str">
        <f t="shared" si="18"/>
        <v>n13: FDD: 746 MHz – 756 MHz</v>
      </c>
      <c r="R20" s="136">
        <v>13</v>
      </c>
      <c r="S20" s="137" t="str">
        <f t="shared" si="19"/>
        <v>FDD</v>
      </c>
      <c r="U20" s="29">
        <v>16</v>
      </c>
      <c r="V20" s="30">
        <v>6</v>
      </c>
      <c r="W20" s="30">
        <v>719</v>
      </c>
      <c r="X20" s="30">
        <v>4.2129000000000003</v>
      </c>
      <c r="Z20" s="29">
        <v>16</v>
      </c>
      <c r="AA20" s="30">
        <v>4</v>
      </c>
      <c r="AB20" s="30">
        <v>658</v>
      </c>
      <c r="AC20" s="30">
        <v>2.5703</v>
      </c>
      <c r="AE20" s="29">
        <v>16</v>
      </c>
      <c r="AF20" s="52">
        <v>4</v>
      </c>
      <c r="AG20" s="52">
        <v>658</v>
      </c>
      <c r="AH20" s="52">
        <v>2.5703</v>
      </c>
      <c r="AJ20" s="69" t="s">
        <v>38</v>
      </c>
      <c r="BH20">
        <f t="shared" si="12"/>
        <v>0</v>
      </c>
      <c r="BI20" s="158">
        <f t="shared" si="13"/>
        <v>63.6</v>
      </c>
      <c r="BJ20" s="114" t="str">
        <f t="shared" si="14"/>
        <v>Format 16 - DL 7.1% : UL  0% /(1)DL:(0)UL</v>
      </c>
      <c r="BK20" s="5">
        <v>16</v>
      </c>
      <c r="BL20" s="6" t="s">
        <v>5</v>
      </c>
      <c r="BM20" s="6" t="s">
        <v>7</v>
      </c>
      <c r="BN20" s="6" t="s">
        <v>7</v>
      </c>
      <c r="BO20" s="6" t="s">
        <v>7</v>
      </c>
      <c r="BP20" s="6" t="s">
        <v>7</v>
      </c>
      <c r="BQ20" s="6" t="s">
        <v>7</v>
      </c>
      <c r="BR20" s="6" t="s">
        <v>7</v>
      </c>
      <c r="BS20" s="6" t="s">
        <v>7</v>
      </c>
      <c r="BT20" s="6" t="s">
        <v>7</v>
      </c>
      <c r="BU20" s="6" t="s">
        <v>7</v>
      </c>
      <c r="BV20" s="6" t="s">
        <v>7</v>
      </c>
      <c r="BW20" s="6" t="s">
        <v>7</v>
      </c>
      <c r="BX20" s="6" t="s">
        <v>7</v>
      </c>
      <c r="BY20" s="18" t="s">
        <v>7</v>
      </c>
      <c r="BZ20" s="1">
        <f t="shared" si="1"/>
        <v>1</v>
      </c>
      <c r="CA20" s="1">
        <f t="shared" si="2"/>
        <v>0</v>
      </c>
      <c r="CB20" s="1">
        <f t="shared" si="3"/>
        <v>13</v>
      </c>
      <c r="CC20" s="141">
        <f t="shared" si="4"/>
        <v>7.1428571428571425E-2</v>
      </c>
      <c r="CD20" s="141">
        <f t="shared" si="5"/>
        <v>0</v>
      </c>
      <c r="CE20" s="141">
        <f t="shared" si="6"/>
        <v>0.9285714285714286</v>
      </c>
      <c r="CF20" s="142">
        <f t="shared" si="8"/>
        <v>7.1428571428571423</v>
      </c>
      <c r="CG20" s="142">
        <f t="shared" si="9"/>
        <v>0</v>
      </c>
      <c r="CH20" s="142">
        <f t="shared" si="10"/>
        <v>92.857142857142861</v>
      </c>
      <c r="CK20" s="96" t="str">
        <f t="shared" si="11"/>
        <v>8_15</v>
      </c>
      <c r="CL20" s="122">
        <v>8</v>
      </c>
      <c r="CM20" s="236"/>
      <c r="CN20" s="6">
        <v>15</v>
      </c>
      <c r="CO20" s="5">
        <v>5</v>
      </c>
      <c r="CP20" s="6">
        <v>10</v>
      </c>
      <c r="CQ20" s="6">
        <v>15</v>
      </c>
      <c r="CR20" s="6">
        <v>20</v>
      </c>
      <c r="CS20" s="6"/>
      <c r="CT20" s="6"/>
      <c r="CU20" s="6">
        <v>35</v>
      </c>
      <c r="CV20" s="6"/>
      <c r="CW20" s="6"/>
      <c r="CX20" s="6"/>
      <c r="CY20" s="6"/>
      <c r="CZ20" s="6"/>
      <c r="DA20" s="6"/>
      <c r="DB20" s="6"/>
      <c r="DC20" s="6"/>
      <c r="DD20" s="1"/>
      <c r="DE20" s="1"/>
    </row>
    <row r="21" spans="1:109" ht="26.25" thickBot="1">
      <c r="B21" s="148" t="s">
        <v>154</v>
      </c>
      <c r="C21">
        <f>C2</f>
        <v>106</v>
      </c>
      <c r="E21" s="5">
        <v>2</v>
      </c>
      <c r="F21" s="6">
        <v>12</v>
      </c>
      <c r="G21" s="6">
        <v>40</v>
      </c>
      <c r="H21" s="6">
        <v>4</v>
      </c>
      <c r="M21" s="5" t="s">
        <v>355</v>
      </c>
      <c r="N21" s="6" t="s">
        <v>356</v>
      </c>
      <c r="O21" s="6" t="s">
        <v>357</v>
      </c>
      <c r="P21" s="6" t="s">
        <v>64</v>
      </c>
      <c r="Q21" s="96" t="str">
        <f t="shared" si="18"/>
        <v>n14: FDD: 758 MHz – 768 MHz</v>
      </c>
      <c r="R21" s="136">
        <v>14</v>
      </c>
      <c r="S21" s="137" t="str">
        <f t="shared" si="19"/>
        <v>FDD</v>
      </c>
      <c r="U21" s="29">
        <v>17</v>
      </c>
      <c r="V21" s="30">
        <v>6</v>
      </c>
      <c r="W21" s="30">
        <v>772</v>
      </c>
      <c r="X21" s="30">
        <v>4.5233999999999996</v>
      </c>
      <c r="Z21" s="29">
        <v>17</v>
      </c>
      <c r="AA21" s="30">
        <v>6</v>
      </c>
      <c r="AB21" s="30">
        <v>438</v>
      </c>
      <c r="AC21" s="30">
        <v>2.5663999999999998</v>
      </c>
      <c r="AE21" s="29">
        <v>17</v>
      </c>
      <c r="AF21" s="52">
        <v>6</v>
      </c>
      <c r="AG21" s="52">
        <v>466</v>
      </c>
      <c r="AH21" s="52">
        <v>2.7305000000000001</v>
      </c>
      <c r="AJ21" s="45" t="s">
        <v>26</v>
      </c>
      <c r="AK21" s="46" t="s">
        <v>27</v>
      </c>
      <c r="AL21" s="46" t="s">
        <v>28</v>
      </c>
      <c r="AM21" s="46" t="s">
        <v>20</v>
      </c>
      <c r="BC21">
        <f>0.5/14</f>
        <v>3.5714285714285712E-2</v>
      </c>
      <c r="BH21">
        <f t="shared" si="12"/>
        <v>0</v>
      </c>
      <c r="BI21" s="158">
        <f t="shared" si="13"/>
        <v>58.300000000000004</v>
      </c>
      <c r="BJ21" s="114" t="str">
        <f t="shared" si="14"/>
        <v>Format 17 - DL 14.% : UL  0% /(2)DL:(0)UL</v>
      </c>
      <c r="BK21" s="5">
        <v>17</v>
      </c>
      <c r="BL21" s="6" t="s">
        <v>5</v>
      </c>
      <c r="BM21" s="6" t="s">
        <v>5</v>
      </c>
      <c r="BN21" s="6" t="s">
        <v>7</v>
      </c>
      <c r="BO21" s="6" t="s">
        <v>7</v>
      </c>
      <c r="BP21" s="6" t="s">
        <v>7</v>
      </c>
      <c r="BQ21" s="6" t="s">
        <v>7</v>
      </c>
      <c r="BR21" s="6" t="s">
        <v>7</v>
      </c>
      <c r="BS21" s="6" t="s">
        <v>7</v>
      </c>
      <c r="BT21" s="6" t="s">
        <v>7</v>
      </c>
      <c r="BU21" s="6" t="s">
        <v>7</v>
      </c>
      <c r="BV21" s="6" t="s">
        <v>7</v>
      </c>
      <c r="BW21" s="6" t="s">
        <v>7</v>
      </c>
      <c r="BX21" s="6" t="s">
        <v>7</v>
      </c>
      <c r="BY21" s="18" t="s">
        <v>7</v>
      </c>
      <c r="BZ21" s="1">
        <f t="shared" si="1"/>
        <v>2</v>
      </c>
      <c r="CA21" s="1">
        <f t="shared" si="2"/>
        <v>0</v>
      </c>
      <c r="CB21" s="1">
        <f t="shared" si="3"/>
        <v>12</v>
      </c>
      <c r="CC21" s="141">
        <f t="shared" si="4"/>
        <v>0.14285714285714285</v>
      </c>
      <c r="CD21" s="141">
        <f t="shared" si="5"/>
        <v>0</v>
      </c>
      <c r="CE21" s="141">
        <f t="shared" si="6"/>
        <v>0.8571428571428571</v>
      </c>
      <c r="CF21" s="142">
        <f t="shared" si="8"/>
        <v>14.285714285714285</v>
      </c>
      <c r="CG21" s="142">
        <f t="shared" si="9"/>
        <v>0</v>
      </c>
      <c r="CH21" s="142">
        <f t="shared" si="10"/>
        <v>85.714285714285708</v>
      </c>
      <c r="CK21" s="96" t="str">
        <f t="shared" si="11"/>
        <v>8_30</v>
      </c>
      <c r="CL21" s="122">
        <v>8</v>
      </c>
      <c r="CM21" s="236" t="s">
        <v>77</v>
      </c>
      <c r="CN21" s="6">
        <v>30</v>
      </c>
      <c r="CO21" s="5"/>
      <c r="CP21" s="6">
        <v>10</v>
      </c>
      <c r="CQ21" s="6">
        <v>15</v>
      </c>
      <c r="CR21" s="6">
        <v>20</v>
      </c>
      <c r="CS21" s="6"/>
      <c r="CT21" s="6"/>
      <c r="CU21" s="6">
        <v>35</v>
      </c>
      <c r="CV21" s="6"/>
      <c r="CW21" s="6"/>
      <c r="CX21" s="6"/>
      <c r="CY21" s="6"/>
      <c r="CZ21" s="6"/>
      <c r="DA21" s="6"/>
      <c r="DB21" s="6"/>
      <c r="DC21" s="6"/>
      <c r="DD21" s="1"/>
      <c r="DE21" s="1"/>
    </row>
    <row r="22" spans="1:109" ht="16.5" thickTop="1" thickBot="1">
      <c r="B22" t="s">
        <v>259</v>
      </c>
      <c r="C22">
        <v>20</v>
      </c>
      <c r="M22" s="5" t="s">
        <v>358</v>
      </c>
      <c r="N22" s="6" t="s">
        <v>359</v>
      </c>
      <c r="O22" s="6" t="s">
        <v>360</v>
      </c>
      <c r="P22" s="6" t="s">
        <v>64</v>
      </c>
      <c r="Q22" s="96" t="str">
        <f t="shared" si="18"/>
        <v>n18: FDD: 860 MHz – 875 MHz</v>
      </c>
      <c r="R22" s="136">
        <v>18</v>
      </c>
      <c r="S22" s="137" t="str">
        <f t="shared" si="19"/>
        <v>FDD</v>
      </c>
      <c r="U22" s="29">
        <v>18</v>
      </c>
      <c r="V22" s="30">
        <v>6</v>
      </c>
      <c r="W22" s="30">
        <v>822</v>
      </c>
      <c r="X22" s="30">
        <v>4.8163999999999998</v>
      </c>
      <c r="Z22" s="29">
        <v>18</v>
      </c>
      <c r="AA22" s="30">
        <v>6</v>
      </c>
      <c r="AB22" s="30">
        <v>466</v>
      </c>
      <c r="AC22" s="30">
        <v>2.7305000000000001</v>
      </c>
      <c r="AE22" s="29">
        <v>18</v>
      </c>
      <c r="AF22" s="52">
        <v>6</v>
      </c>
      <c r="AG22" s="52">
        <v>517</v>
      </c>
      <c r="AH22" s="52">
        <v>3.0293000000000001</v>
      </c>
      <c r="AJ22" s="47">
        <v>0</v>
      </c>
      <c r="AK22" s="300" t="s">
        <v>29</v>
      </c>
      <c r="AL22" s="301"/>
      <c r="AM22" s="302"/>
      <c r="BC22">
        <f>BC21*4</f>
        <v>0.14285714285714285</v>
      </c>
      <c r="BH22">
        <f t="shared" si="12"/>
        <v>0</v>
      </c>
      <c r="BI22" s="158">
        <f t="shared" si="13"/>
        <v>52.9</v>
      </c>
      <c r="BJ22" s="114" t="str">
        <f t="shared" si="14"/>
        <v>Format 18 - DL 21.% : UL  0% /(3)DL:(0)UL</v>
      </c>
      <c r="BK22" s="5">
        <v>18</v>
      </c>
      <c r="BL22" s="6" t="s">
        <v>5</v>
      </c>
      <c r="BM22" s="6" t="s">
        <v>5</v>
      </c>
      <c r="BN22" s="6" t="s">
        <v>5</v>
      </c>
      <c r="BO22" s="6" t="s">
        <v>7</v>
      </c>
      <c r="BP22" s="6" t="s">
        <v>7</v>
      </c>
      <c r="BQ22" s="6" t="s">
        <v>7</v>
      </c>
      <c r="BR22" s="6" t="s">
        <v>7</v>
      </c>
      <c r="BS22" s="6" t="s">
        <v>7</v>
      </c>
      <c r="BT22" s="6" t="s">
        <v>7</v>
      </c>
      <c r="BU22" s="6" t="s">
        <v>7</v>
      </c>
      <c r="BV22" s="6" t="s">
        <v>7</v>
      </c>
      <c r="BW22" s="6" t="s">
        <v>7</v>
      </c>
      <c r="BX22" s="6" t="s">
        <v>7</v>
      </c>
      <c r="BY22" s="18" t="s">
        <v>7</v>
      </c>
      <c r="BZ22" s="1">
        <f t="shared" si="1"/>
        <v>3</v>
      </c>
      <c r="CA22" s="1">
        <f t="shared" si="2"/>
        <v>0</v>
      </c>
      <c r="CB22" s="1">
        <f t="shared" si="3"/>
        <v>11</v>
      </c>
      <c r="CC22" s="141">
        <f t="shared" si="4"/>
        <v>0.21428571428571427</v>
      </c>
      <c r="CD22" s="141">
        <f t="shared" si="5"/>
        <v>0</v>
      </c>
      <c r="CE22" s="141">
        <f t="shared" si="6"/>
        <v>0.7857142857142857</v>
      </c>
      <c r="CF22" s="142">
        <f t="shared" si="8"/>
        <v>21.428571428571427</v>
      </c>
      <c r="CG22" s="142">
        <f t="shared" si="9"/>
        <v>0</v>
      </c>
      <c r="CH22" s="142">
        <f t="shared" si="10"/>
        <v>78.571428571428569</v>
      </c>
      <c r="CK22" s="96" t="str">
        <f t="shared" si="11"/>
        <v>8_60</v>
      </c>
      <c r="CL22" s="122">
        <v>8</v>
      </c>
      <c r="CM22" s="5"/>
      <c r="CN22" s="6">
        <v>60</v>
      </c>
      <c r="CO22" s="5"/>
      <c r="CP22" s="6"/>
      <c r="CQ22" s="6"/>
      <c r="CR22" s="6"/>
      <c r="CS22" s="6"/>
      <c r="CT22" s="6"/>
      <c r="CU22" s="6"/>
      <c r="CV22" s="6"/>
      <c r="CW22" s="6"/>
      <c r="CX22" s="6"/>
      <c r="CY22" s="6"/>
      <c r="CZ22" s="6"/>
      <c r="DA22" s="6"/>
      <c r="DB22" s="6"/>
      <c r="DC22" s="6"/>
      <c r="DD22" s="1"/>
      <c r="DE22" s="1"/>
    </row>
    <row r="23" spans="1:109" ht="15.75" thickBot="1">
      <c r="B23" t="s">
        <v>260</v>
      </c>
      <c r="C23">
        <v>4</v>
      </c>
      <c r="E23" s="71"/>
      <c r="F23" s="68"/>
      <c r="M23" s="5" t="s">
        <v>80</v>
      </c>
      <c r="N23" s="6" t="s">
        <v>81</v>
      </c>
      <c r="O23" s="6" t="s">
        <v>82</v>
      </c>
      <c r="P23" s="6" t="s">
        <v>64</v>
      </c>
      <c r="Q23" s="96" t="str">
        <f t="shared" si="18"/>
        <v>n20: FDD: 791 MHz – 821 MHz</v>
      </c>
      <c r="R23" s="136">
        <v>20</v>
      </c>
      <c r="S23" s="137" t="str">
        <f t="shared" si="19"/>
        <v>FDD</v>
      </c>
      <c r="U23" s="29">
        <v>19</v>
      </c>
      <c r="V23" s="30">
        <v>6</v>
      </c>
      <c r="W23" s="30">
        <v>873</v>
      </c>
      <c r="X23" s="30">
        <v>5.1151999999999997</v>
      </c>
      <c r="Z23" s="29">
        <v>19</v>
      </c>
      <c r="AA23" s="30">
        <v>6</v>
      </c>
      <c r="AB23" s="30">
        <v>517</v>
      </c>
      <c r="AC23" s="30">
        <v>3.0293000000000001</v>
      </c>
      <c r="AE23" s="29">
        <v>19</v>
      </c>
      <c r="AF23" s="52">
        <v>6</v>
      </c>
      <c r="AG23" s="52">
        <v>567</v>
      </c>
      <c r="AH23" s="52">
        <v>3.3222999999999998</v>
      </c>
      <c r="AJ23" s="48">
        <v>1</v>
      </c>
      <c r="AK23" s="49" t="s">
        <v>34</v>
      </c>
      <c r="AL23" s="49">
        <v>78</v>
      </c>
      <c r="AM23" s="49">
        <v>0.15229999999999999</v>
      </c>
      <c r="BC23">
        <f>BD15*4*64/4096/480</f>
        <v>0.14270833333333333</v>
      </c>
      <c r="BH23">
        <f t="shared" si="12"/>
        <v>0</v>
      </c>
      <c r="BI23" s="158">
        <f t="shared" si="13"/>
        <v>58.300000000000004</v>
      </c>
      <c r="BJ23" s="114" t="str">
        <f t="shared" si="14"/>
        <v>Format 19 - DL 7.1% : UL  7.1% /(1)DL:(1)UL</v>
      </c>
      <c r="BK23" s="5">
        <v>19</v>
      </c>
      <c r="BL23" s="6" t="s">
        <v>5</v>
      </c>
      <c r="BM23" s="6" t="s">
        <v>7</v>
      </c>
      <c r="BN23" s="6" t="s">
        <v>7</v>
      </c>
      <c r="BO23" s="6" t="s">
        <v>7</v>
      </c>
      <c r="BP23" s="6" t="s">
        <v>7</v>
      </c>
      <c r="BQ23" s="6" t="s">
        <v>7</v>
      </c>
      <c r="BR23" s="6" t="s">
        <v>7</v>
      </c>
      <c r="BS23" s="6" t="s">
        <v>7</v>
      </c>
      <c r="BT23" s="6" t="s">
        <v>7</v>
      </c>
      <c r="BU23" s="6" t="s">
        <v>7</v>
      </c>
      <c r="BV23" s="6" t="s">
        <v>7</v>
      </c>
      <c r="BW23" s="6" t="s">
        <v>7</v>
      </c>
      <c r="BX23" s="6" t="s">
        <v>7</v>
      </c>
      <c r="BY23" s="18" t="s">
        <v>6</v>
      </c>
      <c r="BZ23" s="1">
        <f t="shared" si="1"/>
        <v>1</v>
      </c>
      <c r="CA23" s="1">
        <f t="shared" si="2"/>
        <v>1</v>
      </c>
      <c r="CB23" s="1">
        <f t="shared" si="3"/>
        <v>12</v>
      </c>
      <c r="CC23" s="141">
        <f t="shared" si="4"/>
        <v>7.1428571428571425E-2</v>
      </c>
      <c r="CD23" s="141">
        <f t="shared" si="5"/>
        <v>7.1428571428571425E-2</v>
      </c>
      <c r="CE23" s="141">
        <f t="shared" si="6"/>
        <v>0.8571428571428571</v>
      </c>
      <c r="CF23" s="142">
        <f t="shared" si="8"/>
        <v>7.1428571428571423</v>
      </c>
      <c r="CG23" s="142">
        <f t="shared" si="9"/>
        <v>7.1428571428571423</v>
      </c>
      <c r="CH23" s="142">
        <f t="shared" si="10"/>
        <v>85.714285714285708</v>
      </c>
      <c r="CK23" s="96" t="str">
        <f t="shared" si="11"/>
        <v>12_15</v>
      </c>
      <c r="CL23" s="122">
        <v>12</v>
      </c>
      <c r="CM23" s="236"/>
      <c r="CN23" s="6">
        <v>15</v>
      </c>
      <c r="CO23" s="5">
        <v>5</v>
      </c>
      <c r="CP23" s="6">
        <v>10</v>
      </c>
      <c r="CQ23" s="6">
        <v>15</v>
      </c>
      <c r="CR23" s="6"/>
      <c r="CS23" s="6"/>
      <c r="CT23" s="6"/>
      <c r="CU23" s="6"/>
      <c r="CV23" s="6"/>
      <c r="CW23" s="6"/>
      <c r="CX23" s="6"/>
      <c r="CY23" s="6"/>
      <c r="CZ23" s="6"/>
      <c r="DA23" s="6"/>
      <c r="DB23" s="6"/>
      <c r="DC23" s="6"/>
      <c r="DD23" s="1"/>
      <c r="DE23" s="1"/>
    </row>
    <row r="24" spans="1:109" ht="24.75" thickBot="1">
      <c r="B24" t="s">
        <v>261</v>
      </c>
      <c r="C24">
        <f>C23*C22</f>
        <v>80</v>
      </c>
      <c r="E24" s="70" t="s">
        <v>11</v>
      </c>
      <c r="M24" s="5" t="s">
        <v>409</v>
      </c>
      <c r="N24" s="6" t="s">
        <v>361</v>
      </c>
      <c r="O24" s="6" t="s">
        <v>362</v>
      </c>
      <c r="P24" s="6" t="s">
        <v>64</v>
      </c>
      <c r="Q24" s="96" t="str">
        <f t="shared" si="18"/>
        <v>n24: FDD: 1525 MHz – 1559 MHz</v>
      </c>
      <c r="R24" s="136">
        <v>247</v>
      </c>
      <c r="S24" s="137" t="str">
        <f t="shared" si="19"/>
        <v>FDD</v>
      </c>
      <c r="U24" s="29">
        <v>20</v>
      </c>
      <c r="V24" s="30">
        <v>8</v>
      </c>
      <c r="W24" s="30">
        <v>682.5</v>
      </c>
      <c r="X24" s="30">
        <v>5.3319999999999999</v>
      </c>
      <c r="Z24" s="29">
        <v>20</v>
      </c>
      <c r="AA24" s="30">
        <v>6</v>
      </c>
      <c r="AB24" s="30">
        <v>567</v>
      </c>
      <c r="AC24" s="30">
        <v>3.3222999999999998</v>
      </c>
      <c r="AE24" s="29">
        <v>20</v>
      </c>
      <c r="AF24" s="52">
        <v>6</v>
      </c>
      <c r="AG24" s="52">
        <v>616</v>
      </c>
      <c r="AH24" s="52">
        <v>3.6093999999999999</v>
      </c>
      <c r="AJ24" s="48">
        <v>2</v>
      </c>
      <c r="AK24" s="49" t="s">
        <v>34</v>
      </c>
      <c r="AL24" s="49">
        <v>193</v>
      </c>
      <c r="AM24" s="49">
        <v>0.377</v>
      </c>
      <c r="BH24">
        <f t="shared" si="12"/>
        <v>0</v>
      </c>
      <c r="BI24" s="158">
        <f t="shared" si="13"/>
        <v>52.9</v>
      </c>
      <c r="BJ24" s="114" t="str">
        <f t="shared" si="14"/>
        <v>Format 20 - DL 14.% : UL  7.1% /(2)DL:(1)UL</v>
      </c>
      <c r="BK24" s="5">
        <v>20</v>
      </c>
      <c r="BL24" s="6" t="s">
        <v>5</v>
      </c>
      <c r="BM24" s="6" t="s">
        <v>5</v>
      </c>
      <c r="BN24" s="6" t="s">
        <v>7</v>
      </c>
      <c r="BO24" s="6" t="s">
        <v>7</v>
      </c>
      <c r="BP24" s="6" t="s">
        <v>7</v>
      </c>
      <c r="BQ24" s="6" t="s">
        <v>7</v>
      </c>
      <c r="BR24" s="6" t="s">
        <v>7</v>
      </c>
      <c r="BS24" s="6" t="s">
        <v>7</v>
      </c>
      <c r="BT24" s="6" t="s">
        <v>7</v>
      </c>
      <c r="BU24" s="6" t="s">
        <v>7</v>
      </c>
      <c r="BV24" s="6" t="s">
        <v>7</v>
      </c>
      <c r="BW24" s="6" t="s">
        <v>7</v>
      </c>
      <c r="BX24" s="6" t="s">
        <v>7</v>
      </c>
      <c r="BY24" s="18" t="s">
        <v>6</v>
      </c>
      <c r="BZ24" s="1">
        <f t="shared" si="1"/>
        <v>2</v>
      </c>
      <c r="CA24" s="1">
        <f t="shared" si="2"/>
        <v>1</v>
      </c>
      <c r="CB24" s="1">
        <f t="shared" si="3"/>
        <v>11</v>
      </c>
      <c r="CC24" s="141">
        <f t="shared" si="4"/>
        <v>0.14285714285714285</v>
      </c>
      <c r="CD24" s="141">
        <f t="shared" si="5"/>
        <v>7.1428571428571425E-2</v>
      </c>
      <c r="CE24" s="141">
        <f t="shared" si="6"/>
        <v>0.7857142857142857</v>
      </c>
      <c r="CF24" s="142">
        <f t="shared" si="8"/>
        <v>14.285714285714285</v>
      </c>
      <c r="CG24" s="142">
        <f t="shared" si="9"/>
        <v>7.1428571428571423</v>
      </c>
      <c r="CH24" s="142">
        <f t="shared" si="10"/>
        <v>78.571428571428569</v>
      </c>
      <c r="CK24" s="96" t="str">
        <f t="shared" si="11"/>
        <v>12_30</v>
      </c>
      <c r="CL24" s="122">
        <v>12</v>
      </c>
      <c r="CM24" s="236" t="s">
        <v>349</v>
      </c>
      <c r="CN24" s="6">
        <v>30</v>
      </c>
      <c r="CO24" s="5"/>
      <c r="CP24" s="6">
        <v>10</v>
      </c>
      <c r="CQ24" s="6">
        <v>15</v>
      </c>
      <c r="CR24" s="6"/>
      <c r="CS24" s="6"/>
      <c r="CT24" s="6"/>
      <c r="CU24" s="6"/>
      <c r="CV24" s="6"/>
      <c r="CW24" s="6"/>
      <c r="CX24" s="6"/>
      <c r="CY24" s="6"/>
      <c r="CZ24" s="6"/>
      <c r="DA24" s="6"/>
      <c r="DB24" s="6"/>
      <c r="DC24" s="6"/>
      <c r="DD24" s="1"/>
      <c r="DE24" s="1"/>
    </row>
    <row r="25" spans="1:109" ht="24.75" thickBot="1">
      <c r="B25" t="s">
        <v>262</v>
      </c>
      <c r="C25" s="148">
        <f>C24/C21</f>
        <v>0.75471698113207553</v>
      </c>
      <c r="M25" s="5" t="s">
        <v>363</v>
      </c>
      <c r="N25" s="6" t="s">
        <v>364</v>
      </c>
      <c r="O25" s="6" t="s">
        <v>365</v>
      </c>
      <c r="P25" s="6" t="s">
        <v>64</v>
      </c>
      <c r="Q25" s="96" t="str">
        <f t="shared" si="18"/>
        <v>n25: FDD: 1930 MHz – 1995 MHz</v>
      </c>
      <c r="R25" s="136">
        <v>25</v>
      </c>
      <c r="S25" s="137" t="str">
        <f t="shared" si="19"/>
        <v>FDD</v>
      </c>
      <c r="U25" s="29">
        <v>21</v>
      </c>
      <c r="V25" s="30">
        <v>8</v>
      </c>
      <c r="W25" s="30">
        <v>711</v>
      </c>
      <c r="X25" s="30">
        <v>5.5547000000000004</v>
      </c>
      <c r="Z25" s="29">
        <v>21</v>
      </c>
      <c r="AA25" s="30">
        <v>6</v>
      </c>
      <c r="AB25" s="30">
        <v>616</v>
      </c>
      <c r="AC25" s="30">
        <v>3.6093999999999999</v>
      </c>
      <c r="AE25" s="29">
        <v>21</v>
      </c>
      <c r="AF25" s="52">
        <v>6</v>
      </c>
      <c r="AG25" s="52">
        <v>666</v>
      </c>
      <c r="AH25" s="52">
        <v>3.9022999999999999</v>
      </c>
      <c r="AJ25" s="48">
        <v>3</v>
      </c>
      <c r="AK25" s="49" t="s">
        <v>34</v>
      </c>
      <c r="AL25" s="49">
        <v>449</v>
      </c>
      <c r="AM25" s="49">
        <v>0.877</v>
      </c>
      <c r="BH25">
        <f t="shared" si="12"/>
        <v>0</v>
      </c>
      <c r="BI25" s="158">
        <f t="shared" si="13"/>
        <v>47.6</v>
      </c>
      <c r="BJ25" s="114" t="str">
        <f t="shared" si="14"/>
        <v>Format 21 - DL 21.% : UL  7.1% /(3)DL:(1)UL</v>
      </c>
      <c r="BK25" s="5">
        <v>21</v>
      </c>
      <c r="BL25" s="6" t="s">
        <v>5</v>
      </c>
      <c r="BM25" s="6" t="s">
        <v>5</v>
      </c>
      <c r="BN25" s="6" t="s">
        <v>5</v>
      </c>
      <c r="BO25" s="6" t="s">
        <v>7</v>
      </c>
      <c r="BP25" s="6" t="s">
        <v>7</v>
      </c>
      <c r="BQ25" s="6" t="s">
        <v>7</v>
      </c>
      <c r="BR25" s="6" t="s">
        <v>7</v>
      </c>
      <c r="BS25" s="6" t="s">
        <v>7</v>
      </c>
      <c r="BT25" s="6" t="s">
        <v>7</v>
      </c>
      <c r="BU25" s="6" t="s">
        <v>7</v>
      </c>
      <c r="BV25" s="6" t="s">
        <v>7</v>
      </c>
      <c r="BW25" s="6" t="s">
        <v>7</v>
      </c>
      <c r="BX25" s="6" t="s">
        <v>7</v>
      </c>
      <c r="BY25" s="18" t="s">
        <v>6</v>
      </c>
      <c r="BZ25" s="1">
        <f t="shared" si="1"/>
        <v>3</v>
      </c>
      <c r="CA25" s="1">
        <f t="shared" si="2"/>
        <v>1</v>
      </c>
      <c r="CB25" s="1">
        <f t="shared" si="3"/>
        <v>10</v>
      </c>
      <c r="CC25" s="141">
        <f t="shared" si="4"/>
        <v>0.21428571428571427</v>
      </c>
      <c r="CD25" s="141">
        <f t="shared" si="5"/>
        <v>7.1428571428571425E-2</v>
      </c>
      <c r="CE25" s="141">
        <f t="shared" si="6"/>
        <v>0.7142857142857143</v>
      </c>
      <c r="CF25" s="142">
        <f t="shared" si="8"/>
        <v>21.428571428571427</v>
      </c>
      <c r="CG25" s="142">
        <f t="shared" si="9"/>
        <v>7.1428571428571423</v>
      </c>
      <c r="CH25" s="142">
        <f t="shared" si="10"/>
        <v>71.428571428571431</v>
      </c>
      <c r="CK25" s="96" t="str">
        <f t="shared" si="11"/>
        <v>12_60</v>
      </c>
      <c r="CL25" s="122">
        <v>12</v>
      </c>
      <c r="CM25" s="5"/>
      <c r="CN25" s="6">
        <v>60</v>
      </c>
      <c r="CO25" s="5"/>
      <c r="CP25" s="6"/>
      <c r="CQ25" s="6"/>
      <c r="CR25" s="6"/>
      <c r="CS25" s="6"/>
      <c r="CT25" s="6"/>
      <c r="CU25" s="6"/>
      <c r="CV25" s="6"/>
      <c r="CW25" s="6"/>
      <c r="CX25" s="6"/>
      <c r="CY25" s="6"/>
      <c r="CZ25" s="6"/>
      <c r="DA25" s="6"/>
      <c r="DB25" s="6"/>
      <c r="DC25" s="6"/>
      <c r="DD25" s="1"/>
      <c r="DE25" s="1"/>
    </row>
    <row r="26" spans="1:109" ht="15.75" thickBot="1">
      <c r="B26" s="188">
        <f>VLOOKUP(numerologie_NR,$E$13:$K$17,7)</f>
        <v>3.7735849056603772E-2</v>
      </c>
      <c r="M26" s="5" t="s">
        <v>366</v>
      </c>
      <c r="N26" s="6" t="s">
        <v>367</v>
      </c>
      <c r="O26" s="6" t="s">
        <v>368</v>
      </c>
      <c r="P26" s="6" t="s">
        <v>64</v>
      </c>
      <c r="Q26" s="96" t="str">
        <f t="shared" si="18"/>
        <v>n26: FDD: 859 MHz – 894 MHz</v>
      </c>
      <c r="R26" s="136">
        <v>26</v>
      </c>
      <c r="S26" s="137" t="str">
        <f t="shared" si="19"/>
        <v>FDD</v>
      </c>
      <c r="U26" s="29">
        <v>22</v>
      </c>
      <c r="V26" s="30">
        <v>8</v>
      </c>
      <c r="W26" s="30">
        <v>754</v>
      </c>
      <c r="X26" s="30">
        <v>5.8906000000000001</v>
      </c>
      <c r="Z26" s="29">
        <v>22</v>
      </c>
      <c r="AA26" s="30">
        <v>6</v>
      </c>
      <c r="AB26" s="30">
        <v>666</v>
      </c>
      <c r="AC26" s="30">
        <v>3.9022999999999999</v>
      </c>
      <c r="AE26" s="29">
        <v>22</v>
      </c>
      <c r="AF26" s="52">
        <v>6</v>
      </c>
      <c r="AG26" s="52">
        <v>719</v>
      </c>
      <c r="AH26" s="52">
        <v>4.2129000000000003</v>
      </c>
      <c r="AJ26" s="48">
        <v>4</v>
      </c>
      <c r="AK26" s="49" t="s">
        <v>35</v>
      </c>
      <c r="AL26" s="49">
        <v>378</v>
      </c>
      <c r="AM26" s="49">
        <v>1.4765999999999999</v>
      </c>
      <c r="BH26">
        <f t="shared" si="12"/>
        <v>0</v>
      </c>
      <c r="BI26" s="158">
        <f t="shared" si="13"/>
        <v>52.9</v>
      </c>
      <c r="BJ26" s="114" t="str">
        <f t="shared" si="14"/>
        <v>Format 22 - DL 7.1% : UL  14.% /(1)DL:(2)UL</v>
      </c>
      <c r="BK26" s="5">
        <v>22</v>
      </c>
      <c r="BL26" s="6" t="s">
        <v>5</v>
      </c>
      <c r="BM26" s="6" t="s">
        <v>7</v>
      </c>
      <c r="BN26" s="6" t="s">
        <v>7</v>
      </c>
      <c r="BO26" s="6" t="s">
        <v>7</v>
      </c>
      <c r="BP26" s="6" t="s">
        <v>7</v>
      </c>
      <c r="BQ26" s="6" t="s">
        <v>7</v>
      </c>
      <c r="BR26" s="6" t="s">
        <v>7</v>
      </c>
      <c r="BS26" s="6" t="s">
        <v>7</v>
      </c>
      <c r="BT26" s="6" t="s">
        <v>7</v>
      </c>
      <c r="BU26" s="6" t="s">
        <v>7</v>
      </c>
      <c r="BV26" s="6" t="s">
        <v>7</v>
      </c>
      <c r="BW26" s="6" t="s">
        <v>7</v>
      </c>
      <c r="BX26" s="6" t="s">
        <v>6</v>
      </c>
      <c r="BY26" s="18" t="s">
        <v>6</v>
      </c>
      <c r="BZ26" s="1">
        <f t="shared" si="1"/>
        <v>1</v>
      </c>
      <c r="CA26" s="1">
        <f t="shared" si="2"/>
        <v>2</v>
      </c>
      <c r="CB26" s="1">
        <f t="shared" si="3"/>
        <v>11</v>
      </c>
      <c r="CC26" s="141">
        <f t="shared" si="4"/>
        <v>7.1428571428571425E-2</v>
      </c>
      <c r="CD26" s="141">
        <f t="shared" si="5"/>
        <v>0.14285714285714285</v>
      </c>
      <c r="CE26" s="141">
        <f t="shared" si="6"/>
        <v>0.7857142857142857</v>
      </c>
      <c r="CF26" s="142">
        <f t="shared" si="8"/>
        <v>7.1428571428571423</v>
      </c>
      <c r="CG26" s="142">
        <f t="shared" si="9"/>
        <v>14.285714285714285</v>
      </c>
      <c r="CH26" s="142">
        <f t="shared" si="10"/>
        <v>78.571428571428569</v>
      </c>
      <c r="CK26" s="96" t="str">
        <f t="shared" si="11"/>
        <v>13_15</v>
      </c>
      <c r="CL26" s="122">
        <v>13</v>
      </c>
      <c r="CM26" s="292" t="s">
        <v>352</v>
      </c>
      <c r="CN26" s="6">
        <v>15</v>
      </c>
      <c r="CO26" s="5">
        <v>5</v>
      </c>
      <c r="CP26" s="6">
        <v>10</v>
      </c>
      <c r="CQ26" s="6"/>
      <c r="CR26" s="6"/>
      <c r="CS26" s="6"/>
      <c r="CT26" s="6"/>
      <c r="CU26" s="6"/>
      <c r="CV26" s="6"/>
      <c r="CW26" s="6"/>
      <c r="CX26" s="6"/>
      <c r="CY26" s="6"/>
      <c r="CZ26" s="6"/>
      <c r="DA26" s="6"/>
      <c r="DB26" s="6"/>
      <c r="DC26" s="6"/>
      <c r="DD26" s="1"/>
      <c r="DE26" s="1"/>
    </row>
    <row r="27" spans="1:109" ht="15.75" thickBot="1">
      <c r="B27" s="148">
        <f>VLOOKUP(numerologie_NR,$E$13:$L$17,8)</f>
        <v>0.2</v>
      </c>
      <c r="M27" s="5" t="s">
        <v>83</v>
      </c>
      <c r="N27" s="6" t="s">
        <v>84</v>
      </c>
      <c r="O27" s="6" t="s">
        <v>85</v>
      </c>
      <c r="P27" s="6" t="s">
        <v>64</v>
      </c>
      <c r="Q27" s="96" t="str">
        <f t="shared" si="18"/>
        <v>n28: FDD: 758 MHz – 803 MHz</v>
      </c>
      <c r="R27" s="136">
        <v>28</v>
      </c>
      <c r="S27" s="137" t="str">
        <f t="shared" si="19"/>
        <v>FDD</v>
      </c>
      <c r="U27" s="29">
        <v>23</v>
      </c>
      <c r="V27" s="30">
        <v>8</v>
      </c>
      <c r="W27" s="30">
        <v>797</v>
      </c>
      <c r="X27" s="30">
        <v>6.2266000000000004</v>
      </c>
      <c r="Z27" s="29">
        <v>23</v>
      </c>
      <c r="AA27" s="30">
        <v>6</v>
      </c>
      <c r="AB27" s="30">
        <v>719</v>
      </c>
      <c r="AC27" s="30">
        <v>4.2129000000000003</v>
      </c>
      <c r="AE27" s="29">
        <v>23</v>
      </c>
      <c r="AF27" s="52">
        <v>6</v>
      </c>
      <c r="AG27" s="52">
        <v>772</v>
      </c>
      <c r="AH27" s="52">
        <v>4.5233999999999996</v>
      </c>
      <c r="AJ27" s="48">
        <v>5</v>
      </c>
      <c r="AK27" s="49" t="s">
        <v>35</v>
      </c>
      <c r="AL27" s="49">
        <v>490</v>
      </c>
      <c r="AM27" s="49">
        <v>1.9140999999999999</v>
      </c>
      <c r="BH27">
        <f t="shared" si="12"/>
        <v>0</v>
      </c>
      <c r="BI27" s="158">
        <f t="shared" si="13"/>
        <v>47.6</v>
      </c>
      <c r="BJ27" s="114" t="str">
        <f t="shared" si="14"/>
        <v>Format 23 - DL 14.% : UL  14.% /(2)DL:(2)UL</v>
      </c>
      <c r="BK27" s="5">
        <v>23</v>
      </c>
      <c r="BL27" s="6" t="s">
        <v>5</v>
      </c>
      <c r="BM27" s="6" t="s">
        <v>5</v>
      </c>
      <c r="BN27" s="6" t="s">
        <v>7</v>
      </c>
      <c r="BO27" s="6" t="s">
        <v>7</v>
      </c>
      <c r="BP27" s="6" t="s">
        <v>7</v>
      </c>
      <c r="BQ27" s="6" t="s">
        <v>7</v>
      </c>
      <c r="BR27" s="6" t="s">
        <v>7</v>
      </c>
      <c r="BS27" s="6" t="s">
        <v>7</v>
      </c>
      <c r="BT27" s="6" t="s">
        <v>7</v>
      </c>
      <c r="BU27" s="6" t="s">
        <v>7</v>
      </c>
      <c r="BV27" s="6" t="s">
        <v>7</v>
      </c>
      <c r="BW27" s="6" t="s">
        <v>7</v>
      </c>
      <c r="BX27" s="6" t="s">
        <v>6</v>
      </c>
      <c r="BY27" s="18" t="s">
        <v>6</v>
      </c>
      <c r="BZ27" s="1">
        <f t="shared" si="1"/>
        <v>2</v>
      </c>
      <c r="CA27" s="1">
        <f t="shared" si="2"/>
        <v>2</v>
      </c>
      <c r="CB27" s="1">
        <f t="shared" si="3"/>
        <v>10</v>
      </c>
      <c r="CC27" s="141">
        <f t="shared" si="4"/>
        <v>0.14285714285714285</v>
      </c>
      <c r="CD27" s="141">
        <f t="shared" si="5"/>
        <v>0.14285714285714285</v>
      </c>
      <c r="CE27" s="141">
        <f t="shared" si="6"/>
        <v>0.7142857142857143</v>
      </c>
      <c r="CF27" s="142">
        <f t="shared" si="8"/>
        <v>14.285714285714285</v>
      </c>
      <c r="CG27" s="142">
        <f t="shared" si="9"/>
        <v>14.285714285714285</v>
      </c>
      <c r="CH27" s="142">
        <f t="shared" si="10"/>
        <v>71.428571428571431</v>
      </c>
      <c r="CK27" s="96" t="str">
        <f t="shared" si="11"/>
        <v>13_30</v>
      </c>
      <c r="CL27" s="122">
        <v>13</v>
      </c>
      <c r="CM27" s="293"/>
      <c r="CN27" s="6">
        <v>30</v>
      </c>
      <c r="CO27" s="5"/>
      <c r="CP27" s="6">
        <v>10</v>
      </c>
      <c r="CQ27" s="6"/>
      <c r="CR27" s="6"/>
      <c r="CS27" s="6"/>
      <c r="CT27" s="6"/>
      <c r="CU27" s="6"/>
      <c r="CV27" s="6"/>
      <c r="CW27" s="6"/>
      <c r="CX27" s="6"/>
      <c r="CY27" s="6"/>
      <c r="CZ27" s="6"/>
      <c r="DA27" s="6"/>
      <c r="DB27" s="6"/>
      <c r="DC27" s="6"/>
      <c r="DD27" s="1"/>
      <c r="DE27" s="1"/>
    </row>
    <row r="28" spans="1:109" ht="15.75" thickBot="1">
      <c r="F28" s="131" t="s">
        <v>184</v>
      </c>
      <c r="M28" s="5" t="s">
        <v>369</v>
      </c>
      <c r="N28" s="6" t="s">
        <v>108</v>
      </c>
      <c r="O28" s="6" t="s">
        <v>370</v>
      </c>
      <c r="P28" s="6" t="s">
        <v>109</v>
      </c>
      <c r="Q28" s="96" t="str">
        <f t="shared" si="18"/>
        <v>n29: SDL: 717 MHz – 728 MHz</v>
      </c>
      <c r="R28" s="136">
        <v>29</v>
      </c>
      <c r="S28" s="137" t="str">
        <f t="shared" si="19"/>
        <v>SDL</v>
      </c>
      <c r="U28" s="29">
        <v>24</v>
      </c>
      <c r="V28" s="30">
        <v>8</v>
      </c>
      <c r="W28" s="30">
        <v>841</v>
      </c>
      <c r="X28" s="30">
        <v>6.5702999999999996</v>
      </c>
      <c r="Z28" s="29">
        <v>24</v>
      </c>
      <c r="AA28" s="30">
        <v>6</v>
      </c>
      <c r="AB28" s="30">
        <v>772</v>
      </c>
      <c r="AC28" s="30">
        <v>4.5233999999999996</v>
      </c>
      <c r="AE28" s="29">
        <v>24</v>
      </c>
      <c r="AF28" s="52">
        <v>6</v>
      </c>
      <c r="AG28" s="52">
        <v>822</v>
      </c>
      <c r="AH28" s="52">
        <v>4.8163999999999998</v>
      </c>
      <c r="AJ28" s="50">
        <v>6</v>
      </c>
      <c r="AK28" s="51" t="s">
        <v>35</v>
      </c>
      <c r="AL28" s="51">
        <v>616</v>
      </c>
      <c r="AM28" s="51">
        <v>2.4062999999999999</v>
      </c>
      <c r="BH28">
        <f t="shared" si="12"/>
        <v>0</v>
      </c>
      <c r="BI28" s="158">
        <f t="shared" si="13"/>
        <v>42.2</v>
      </c>
      <c r="BJ28" s="114" t="str">
        <f t="shared" si="14"/>
        <v>Format 24 - DL 21.% : UL  14.% /(3)DL:(2)UL</v>
      </c>
      <c r="BK28" s="5">
        <v>24</v>
      </c>
      <c r="BL28" s="6" t="s">
        <v>5</v>
      </c>
      <c r="BM28" s="6" t="s">
        <v>5</v>
      </c>
      <c r="BN28" s="6" t="s">
        <v>5</v>
      </c>
      <c r="BO28" s="6" t="s">
        <v>7</v>
      </c>
      <c r="BP28" s="6" t="s">
        <v>7</v>
      </c>
      <c r="BQ28" s="6" t="s">
        <v>7</v>
      </c>
      <c r="BR28" s="6" t="s">
        <v>7</v>
      </c>
      <c r="BS28" s="6" t="s">
        <v>7</v>
      </c>
      <c r="BT28" s="6" t="s">
        <v>7</v>
      </c>
      <c r="BU28" s="6" t="s">
        <v>7</v>
      </c>
      <c r="BV28" s="6" t="s">
        <v>7</v>
      </c>
      <c r="BW28" s="6" t="s">
        <v>7</v>
      </c>
      <c r="BX28" s="6" t="s">
        <v>6</v>
      </c>
      <c r="BY28" s="18" t="s">
        <v>6</v>
      </c>
      <c r="BZ28" s="1">
        <f t="shared" si="1"/>
        <v>3</v>
      </c>
      <c r="CA28" s="1">
        <f t="shared" si="2"/>
        <v>2</v>
      </c>
      <c r="CB28" s="1">
        <f t="shared" si="3"/>
        <v>9</v>
      </c>
      <c r="CC28" s="141">
        <f t="shared" si="4"/>
        <v>0.21428571428571427</v>
      </c>
      <c r="CD28" s="141">
        <f t="shared" si="5"/>
        <v>0.14285714285714285</v>
      </c>
      <c r="CE28" s="141">
        <f t="shared" si="6"/>
        <v>0.6428571428571429</v>
      </c>
      <c r="CF28" s="142">
        <f t="shared" si="8"/>
        <v>21.428571428571427</v>
      </c>
      <c r="CG28" s="142">
        <f t="shared" si="9"/>
        <v>14.285714285714285</v>
      </c>
      <c r="CH28" s="142">
        <f t="shared" si="10"/>
        <v>64.285714285714292</v>
      </c>
      <c r="CK28" s="96" t="str">
        <f t="shared" si="11"/>
        <v>13_60</v>
      </c>
      <c r="CL28" s="122">
        <v>13</v>
      </c>
      <c r="CM28" s="294"/>
      <c r="CN28" s="6">
        <v>60</v>
      </c>
      <c r="CO28" s="5"/>
      <c r="CP28" s="6"/>
      <c r="CQ28" s="6"/>
      <c r="CR28" s="6"/>
      <c r="CS28" s="6"/>
      <c r="CT28" s="6"/>
      <c r="CU28" s="6"/>
      <c r="CV28" s="6"/>
      <c r="CW28" s="6"/>
      <c r="CX28" s="6"/>
      <c r="CY28" s="6"/>
      <c r="CZ28" s="6"/>
      <c r="DA28" s="6"/>
      <c r="DB28" s="6"/>
      <c r="DC28" s="6"/>
      <c r="DD28" s="1"/>
      <c r="DE28" s="1"/>
    </row>
    <row r="29" spans="1:109" ht="24.75" thickBot="1">
      <c r="E29" s="130" t="s">
        <v>180</v>
      </c>
      <c r="H29" s="1" t="s">
        <v>48</v>
      </c>
      <c r="I29" s="1" t="s">
        <v>185</v>
      </c>
      <c r="J29" s="1">
        <v>0.14000000000000001</v>
      </c>
      <c r="K29" s="1"/>
      <c r="M29" s="5" t="s">
        <v>371</v>
      </c>
      <c r="N29" s="6" t="s">
        <v>372</v>
      </c>
      <c r="O29" s="6" t="s">
        <v>373</v>
      </c>
      <c r="P29" s="6" t="s">
        <v>64</v>
      </c>
      <c r="Q29" s="96" t="str">
        <f t="shared" si="18"/>
        <v>n30: FDD: 2350 MHz – 2360 MHz</v>
      </c>
      <c r="R29" s="136">
        <v>30</v>
      </c>
      <c r="S29" s="137" t="str">
        <f t="shared" si="19"/>
        <v>FDD</v>
      </c>
      <c r="U29" s="29">
        <v>25</v>
      </c>
      <c r="V29" s="30">
        <v>8</v>
      </c>
      <c r="W29" s="30">
        <v>885</v>
      </c>
      <c r="X29" s="30">
        <v>6.9141000000000004</v>
      </c>
      <c r="Z29" s="29">
        <v>25</v>
      </c>
      <c r="AA29" s="30">
        <v>6</v>
      </c>
      <c r="AB29" s="30">
        <v>822</v>
      </c>
      <c r="AC29" s="30">
        <v>4.8163999999999998</v>
      </c>
      <c r="AE29" s="29">
        <v>25</v>
      </c>
      <c r="AF29" s="52">
        <v>6</v>
      </c>
      <c r="AG29" s="52">
        <v>873</v>
      </c>
      <c r="AH29" s="52">
        <v>5.1151999999999997</v>
      </c>
      <c r="AJ29" s="48">
        <v>7</v>
      </c>
      <c r="AK29" s="49" t="s">
        <v>36</v>
      </c>
      <c r="AL29" s="49">
        <v>466</v>
      </c>
      <c r="AM29" s="49">
        <v>2.7305000000000001</v>
      </c>
      <c r="BH29">
        <f t="shared" si="12"/>
        <v>0</v>
      </c>
      <c r="BI29" s="158">
        <f t="shared" si="13"/>
        <v>47.6</v>
      </c>
      <c r="BJ29" s="114" t="str">
        <f t="shared" si="14"/>
        <v>Format 25 - DL 7.1% : UL  21.% /(1)DL:(3)UL</v>
      </c>
      <c r="BK29" s="5">
        <v>25</v>
      </c>
      <c r="BL29" s="6" t="s">
        <v>5</v>
      </c>
      <c r="BM29" s="6" t="s">
        <v>7</v>
      </c>
      <c r="BN29" s="6" t="s">
        <v>7</v>
      </c>
      <c r="BO29" s="6" t="s">
        <v>7</v>
      </c>
      <c r="BP29" s="6" t="s">
        <v>7</v>
      </c>
      <c r="BQ29" s="6" t="s">
        <v>7</v>
      </c>
      <c r="BR29" s="6" t="s">
        <v>7</v>
      </c>
      <c r="BS29" s="6" t="s">
        <v>7</v>
      </c>
      <c r="BT29" s="6" t="s">
        <v>7</v>
      </c>
      <c r="BU29" s="6" t="s">
        <v>7</v>
      </c>
      <c r="BV29" s="6" t="s">
        <v>7</v>
      </c>
      <c r="BW29" s="6" t="s">
        <v>6</v>
      </c>
      <c r="BX29" s="6" t="s">
        <v>6</v>
      </c>
      <c r="BY29" s="18" t="s">
        <v>6</v>
      </c>
      <c r="BZ29" s="1">
        <f t="shared" si="1"/>
        <v>1</v>
      </c>
      <c r="CA29" s="1">
        <f t="shared" si="2"/>
        <v>3</v>
      </c>
      <c r="CB29" s="1">
        <f t="shared" si="3"/>
        <v>10</v>
      </c>
      <c r="CC29" s="141">
        <f t="shared" si="4"/>
        <v>7.1428571428571425E-2</v>
      </c>
      <c r="CD29" s="141">
        <f t="shared" si="5"/>
        <v>0.21428571428571427</v>
      </c>
      <c r="CE29" s="141">
        <f t="shared" si="6"/>
        <v>0.7142857142857143</v>
      </c>
      <c r="CF29" s="142">
        <f t="shared" si="8"/>
        <v>7.1428571428571423</v>
      </c>
      <c r="CG29" s="142">
        <f t="shared" si="9"/>
        <v>21.428571428571427</v>
      </c>
      <c r="CH29" s="142">
        <f t="shared" si="10"/>
        <v>71.428571428571431</v>
      </c>
      <c r="CK29" s="96" t="str">
        <f t="shared" si="11"/>
        <v>14_15</v>
      </c>
      <c r="CL29" s="122">
        <v>14</v>
      </c>
      <c r="CM29" s="236"/>
      <c r="CN29" s="6">
        <v>15</v>
      </c>
      <c r="CO29" s="5">
        <v>5</v>
      </c>
      <c r="CP29" s="6">
        <v>10</v>
      </c>
      <c r="CQ29" s="6"/>
      <c r="CR29" s="6"/>
      <c r="CS29" s="6"/>
      <c r="CT29" s="6"/>
      <c r="CU29" s="6"/>
      <c r="CV29" s="6"/>
      <c r="CW29" s="6"/>
      <c r="CX29" s="6"/>
      <c r="CY29" s="6"/>
      <c r="CZ29" s="6"/>
      <c r="DA29" s="6"/>
      <c r="DB29" s="6"/>
      <c r="DC29" s="6"/>
      <c r="DD29" s="1"/>
      <c r="DE29" s="1"/>
    </row>
    <row r="30" spans="1:109" ht="24.75" thickBot="1">
      <c r="E30" s="130" t="s">
        <v>181</v>
      </c>
      <c r="H30" s="1" t="s">
        <v>50</v>
      </c>
      <c r="I30" s="1" t="s">
        <v>185</v>
      </c>
      <c r="J30" s="1">
        <v>0.18</v>
      </c>
      <c r="K30" s="1"/>
      <c r="M30" s="5" t="s">
        <v>374</v>
      </c>
      <c r="N30" s="6" t="s">
        <v>375</v>
      </c>
      <c r="O30" s="6" t="s">
        <v>375</v>
      </c>
      <c r="P30" s="6" t="s">
        <v>88</v>
      </c>
      <c r="Q30" s="96" t="str">
        <f t="shared" si="18"/>
        <v>n34: TDD: 2010 MHz – 2025 MHz</v>
      </c>
      <c r="R30" s="136">
        <v>34</v>
      </c>
      <c r="S30" s="137" t="str">
        <f t="shared" si="19"/>
        <v>TDD</v>
      </c>
      <c r="U30" s="29">
        <v>26</v>
      </c>
      <c r="V30" s="30">
        <v>8</v>
      </c>
      <c r="W30" s="30">
        <v>916.5</v>
      </c>
      <c r="X30" s="30">
        <v>7.1601999999999997</v>
      </c>
      <c r="Z30" s="29">
        <v>26</v>
      </c>
      <c r="AA30" s="30">
        <v>6</v>
      </c>
      <c r="AB30" s="30">
        <v>873</v>
      </c>
      <c r="AC30" s="30">
        <v>5.1151999999999997</v>
      </c>
      <c r="AE30" s="29">
        <v>26</v>
      </c>
      <c r="AF30" s="52">
        <v>6</v>
      </c>
      <c r="AG30" s="52">
        <v>910</v>
      </c>
      <c r="AH30" s="52">
        <v>5.3319999999999999</v>
      </c>
      <c r="AJ30" s="48">
        <v>8</v>
      </c>
      <c r="AK30" s="49" t="s">
        <v>36</v>
      </c>
      <c r="AL30" s="49">
        <v>567</v>
      </c>
      <c r="AM30" s="49">
        <v>3.3222999999999998</v>
      </c>
      <c r="BH30">
        <f t="shared" si="12"/>
        <v>0</v>
      </c>
      <c r="BI30" s="158">
        <f t="shared" si="13"/>
        <v>42.2</v>
      </c>
      <c r="BJ30" s="114" t="str">
        <f t="shared" si="14"/>
        <v>Format 26 - DL 14.% : UL  21.% /(2)DL:(3)UL</v>
      </c>
      <c r="BK30" s="5">
        <v>26</v>
      </c>
      <c r="BL30" s="6" t="s">
        <v>5</v>
      </c>
      <c r="BM30" s="6" t="s">
        <v>5</v>
      </c>
      <c r="BN30" s="6" t="s">
        <v>7</v>
      </c>
      <c r="BO30" s="6" t="s">
        <v>7</v>
      </c>
      <c r="BP30" s="6" t="s">
        <v>7</v>
      </c>
      <c r="BQ30" s="6" t="s">
        <v>7</v>
      </c>
      <c r="BR30" s="6" t="s">
        <v>7</v>
      </c>
      <c r="BS30" s="6" t="s">
        <v>7</v>
      </c>
      <c r="BT30" s="6" t="s">
        <v>7</v>
      </c>
      <c r="BU30" s="6" t="s">
        <v>7</v>
      </c>
      <c r="BV30" s="6" t="s">
        <v>7</v>
      </c>
      <c r="BW30" s="6" t="s">
        <v>6</v>
      </c>
      <c r="BX30" s="6" t="s">
        <v>6</v>
      </c>
      <c r="BY30" s="18" t="s">
        <v>6</v>
      </c>
      <c r="BZ30" s="1">
        <f t="shared" si="1"/>
        <v>2</v>
      </c>
      <c r="CA30" s="1">
        <f t="shared" si="2"/>
        <v>3</v>
      </c>
      <c r="CB30" s="1">
        <f t="shared" si="3"/>
        <v>9</v>
      </c>
      <c r="CC30" s="141">
        <f t="shared" si="4"/>
        <v>0.14285714285714285</v>
      </c>
      <c r="CD30" s="141">
        <f t="shared" si="5"/>
        <v>0.21428571428571427</v>
      </c>
      <c r="CE30" s="141">
        <f t="shared" si="6"/>
        <v>0.6428571428571429</v>
      </c>
      <c r="CF30" s="142">
        <f t="shared" si="8"/>
        <v>14.285714285714285</v>
      </c>
      <c r="CG30" s="142">
        <f t="shared" si="9"/>
        <v>21.428571428571427</v>
      </c>
      <c r="CH30" s="142">
        <f t="shared" si="10"/>
        <v>64.285714285714292</v>
      </c>
      <c r="CK30" s="96" t="str">
        <f t="shared" si="11"/>
        <v>14_30</v>
      </c>
      <c r="CL30" s="122">
        <v>14</v>
      </c>
      <c r="CM30" s="236" t="s">
        <v>355</v>
      </c>
      <c r="CN30" s="6">
        <v>30</v>
      </c>
      <c r="CO30" s="5"/>
      <c r="CP30" s="6">
        <v>10</v>
      </c>
      <c r="CQ30" s="6"/>
      <c r="CR30" s="6"/>
      <c r="CS30" s="6"/>
      <c r="CT30" s="6"/>
      <c r="CU30" s="6"/>
      <c r="CV30" s="6"/>
      <c r="CW30" s="6"/>
      <c r="CX30" s="6"/>
      <c r="CY30" s="6"/>
      <c r="CZ30" s="6"/>
      <c r="DA30" s="6"/>
      <c r="DB30" s="6"/>
      <c r="DC30" s="6"/>
      <c r="DD30" s="1"/>
      <c r="DE30" s="1"/>
    </row>
    <row r="31" spans="1:109" ht="24.75" thickBot="1">
      <c r="E31" s="130" t="s">
        <v>182</v>
      </c>
      <c r="H31" s="1" t="s">
        <v>48</v>
      </c>
      <c r="I31" s="1" t="s">
        <v>186</v>
      </c>
      <c r="J31" s="1">
        <v>0.08</v>
      </c>
      <c r="M31" s="5" t="s">
        <v>86</v>
      </c>
      <c r="N31" s="6" t="s">
        <v>87</v>
      </c>
      <c r="O31" s="6" t="s">
        <v>87</v>
      </c>
      <c r="P31" s="6" t="s">
        <v>88</v>
      </c>
      <c r="Q31" s="96" t="str">
        <f t="shared" si="18"/>
        <v>n38: TDD: 2570 MHz – 2620 MHz</v>
      </c>
      <c r="R31" s="136">
        <v>38</v>
      </c>
      <c r="S31" s="137" t="str">
        <f t="shared" si="19"/>
        <v>TDD</v>
      </c>
      <c r="U31" s="29">
        <v>27</v>
      </c>
      <c r="V31" s="30">
        <v>8</v>
      </c>
      <c r="W31" s="30">
        <v>948</v>
      </c>
      <c r="X31" s="30">
        <v>7.4062999999999999</v>
      </c>
      <c r="Z31" s="29">
        <v>27</v>
      </c>
      <c r="AA31" s="30">
        <v>6</v>
      </c>
      <c r="AB31" s="30">
        <v>910</v>
      </c>
      <c r="AC31" s="30">
        <v>5.3319999999999999</v>
      </c>
      <c r="AE31" s="29">
        <v>27</v>
      </c>
      <c r="AF31" s="52">
        <v>6</v>
      </c>
      <c r="AG31" s="52">
        <v>948</v>
      </c>
      <c r="AH31" s="52">
        <v>5.5547000000000004</v>
      </c>
      <c r="AJ31" s="50">
        <v>9</v>
      </c>
      <c r="AK31" s="51" t="s">
        <v>36</v>
      </c>
      <c r="AL31" s="51">
        <v>666</v>
      </c>
      <c r="AM31" s="51">
        <v>3.9022999999999999</v>
      </c>
      <c r="BH31">
        <f t="shared" si="12"/>
        <v>0</v>
      </c>
      <c r="BI31" s="158">
        <f t="shared" si="13"/>
        <v>36.9</v>
      </c>
      <c r="BJ31" s="114" t="str">
        <f t="shared" si="14"/>
        <v>Format 27 - DL 21.% : UL  21.% /(3)DL:(3)UL</v>
      </c>
      <c r="BK31" s="5">
        <v>27</v>
      </c>
      <c r="BL31" s="6" t="s">
        <v>5</v>
      </c>
      <c r="BM31" s="6" t="s">
        <v>5</v>
      </c>
      <c r="BN31" s="6" t="s">
        <v>5</v>
      </c>
      <c r="BO31" s="6" t="s">
        <v>7</v>
      </c>
      <c r="BP31" s="6" t="s">
        <v>7</v>
      </c>
      <c r="BQ31" s="6" t="s">
        <v>7</v>
      </c>
      <c r="BR31" s="6" t="s">
        <v>7</v>
      </c>
      <c r="BS31" s="6" t="s">
        <v>7</v>
      </c>
      <c r="BT31" s="6" t="s">
        <v>7</v>
      </c>
      <c r="BU31" s="6" t="s">
        <v>7</v>
      </c>
      <c r="BV31" s="6" t="s">
        <v>7</v>
      </c>
      <c r="BW31" s="6" t="s">
        <v>6</v>
      </c>
      <c r="BX31" s="6" t="s">
        <v>6</v>
      </c>
      <c r="BY31" s="18" t="s">
        <v>6</v>
      </c>
      <c r="BZ31" s="1">
        <f t="shared" si="1"/>
        <v>3</v>
      </c>
      <c r="CA31" s="1">
        <f t="shared" si="2"/>
        <v>3</v>
      </c>
      <c r="CB31" s="1">
        <f t="shared" si="3"/>
        <v>8</v>
      </c>
      <c r="CC31" s="141">
        <f t="shared" si="4"/>
        <v>0.21428571428571427</v>
      </c>
      <c r="CD31" s="141">
        <f t="shared" si="5"/>
        <v>0.21428571428571427</v>
      </c>
      <c r="CE31" s="141">
        <f t="shared" si="6"/>
        <v>0.5714285714285714</v>
      </c>
      <c r="CF31" s="142">
        <f t="shared" si="8"/>
        <v>21.428571428571427</v>
      </c>
      <c r="CG31" s="142">
        <f t="shared" si="9"/>
        <v>21.428571428571427</v>
      </c>
      <c r="CH31" s="142">
        <f t="shared" si="10"/>
        <v>57.142857142857139</v>
      </c>
      <c r="CK31" s="96" t="str">
        <f t="shared" si="11"/>
        <v>14_60</v>
      </c>
      <c r="CL31" s="122">
        <v>14</v>
      </c>
      <c r="CM31" s="5"/>
      <c r="CN31" s="6">
        <v>60</v>
      </c>
      <c r="CO31" s="5"/>
      <c r="CP31" s="6"/>
      <c r="CQ31" s="6"/>
      <c r="CR31" s="6"/>
      <c r="CS31" s="6"/>
      <c r="CT31" s="6"/>
      <c r="CU31" s="6"/>
      <c r="CV31" s="6"/>
      <c r="CW31" s="6"/>
      <c r="CX31" s="6"/>
      <c r="CY31" s="6"/>
      <c r="CZ31" s="6"/>
      <c r="DA31" s="6"/>
      <c r="DB31" s="6"/>
      <c r="DC31" s="6"/>
      <c r="DD31" s="1"/>
      <c r="DE31" s="1"/>
    </row>
    <row r="32" spans="1:109" ht="24.75" thickBot="1">
      <c r="E32" s="130" t="s">
        <v>183</v>
      </c>
      <c r="H32" s="1" t="s">
        <v>50</v>
      </c>
      <c r="I32" s="1" t="s">
        <v>186</v>
      </c>
      <c r="J32" s="1">
        <v>0.1</v>
      </c>
      <c r="M32" s="5" t="s">
        <v>376</v>
      </c>
      <c r="N32" s="6" t="s">
        <v>377</v>
      </c>
      <c r="O32" s="6" t="s">
        <v>377</v>
      </c>
      <c r="P32" s="6" t="s">
        <v>88</v>
      </c>
      <c r="Q32" s="96" t="str">
        <f t="shared" si="18"/>
        <v>n39: TDD: 1880 MHz – 1920 MHz</v>
      </c>
      <c r="R32" s="136">
        <v>39</v>
      </c>
      <c r="S32" s="137" t="str">
        <f t="shared" si="19"/>
        <v>TDD</v>
      </c>
      <c r="U32" s="29">
        <v>28</v>
      </c>
      <c r="V32" s="30">
        <v>2</v>
      </c>
      <c r="W32" s="296" t="s">
        <v>21</v>
      </c>
      <c r="X32" s="297"/>
      <c r="Z32" s="29">
        <v>28</v>
      </c>
      <c r="AA32" s="30">
        <v>6</v>
      </c>
      <c r="AB32" s="30">
        <v>948</v>
      </c>
      <c r="AC32" s="30">
        <v>5.5547000000000004</v>
      </c>
      <c r="AE32" s="29">
        <v>28</v>
      </c>
      <c r="AF32" s="30">
        <v>1</v>
      </c>
      <c r="AG32" s="296" t="s">
        <v>21</v>
      </c>
      <c r="AH32" s="297"/>
      <c r="AJ32" s="48">
        <v>10</v>
      </c>
      <c r="AK32" s="49" t="s">
        <v>36</v>
      </c>
      <c r="AL32" s="49">
        <v>772</v>
      </c>
      <c r="AM32" s="49">
        <v>4.5233999999999996</v>
      </c>
      <c r="BH32">
        <f t="shared" si="12"/>
        <v>0</v>
      </c>
      <c r="BI32" s="158">
        <f t="shared" si="13"/>
        <v>0</v>
      </c>
      <c r="BJ32" s="114" t="str">
        <f t="shared" si="14"/>
        <v>Format 28 - DL 85.% : UL  7.1% /(12)DL:(1)UL</v>
      </c>
      <c r="BK32" s="5">
        <v>28</v>
      </c>
      <c r="BL32" s="6" t="s">
        <v>5</v>
      </c>
      <c r="BM32" s="6" t="s">
        <v>5</v>
      </c>
      <c r="BN32" s="6" t="s">
        <v>5</v>
      </c>
      <c r="BO32" s="6" t="s">
        <v>5</v>
      </c>
      <c r="BP32" s="6" t="s">
        <v>5</v>
      </c>
      <c r="BQ32" s="6" t="s">
        <v>5</v>
      </c>
      <c r="BR32" s="6" t="s">
        <v>5</v>
      </c>
      <c r="BS32" s="6" t="s">
        <v>5</v>
      </c>
      <c r="BT32" s="6" t="s">
        <v>5</v>
      </c>
      <c r="BU32" s="6" t="s">
        <v>5</v>
      </c>
      <c r="BV32" s="6" t="s">
        <v>5</v>
      </c>
      <c r="BW32" s="6" t="s">
        <v>5</v>
      </c>
      <c r="BX32" s="6" t="s">
        <v>7</v>
      </c>
      <c r="BY32" s="18" t="s">
        <v>6</v>
      </c>
      <c r="BZ32" s="1">
        <f t="shared" si="1"/>
        <v>12</v>
      </c>
      <c r="CA32" s="1">
        <f t="shared" si="2"/>
        <v>1</v>
      </c>
      <c r="CB32" s="1">
        <f t="shared" si="3"/>
        <v>1</v>
      </c>
      <c r="CC32" s="141">
        <f t="shared" si="4"/>
        <v>0.8571428571428571</v>
      </c>
      <c r="CD32" s="141">
        <f t="shared" si="5"/>
        <v>7.1428571428571425E-2</v>
      </c>
      <c r="CE32" s="141">
        <f t="shared" si="6"/>
        <v>7.1428571428571425E-2</v>
      </c>
      <c r="CF32" s="142">
        <f t="shared" si="8"/>
        <v>85.714285714285708</v>
      </c>
      <c r="CG32" s="142">
        <f t="shared" si="9"/>
        <v>7.1428571428571423</v>
      </c>
      <c r="CH32" s="142">
        <f t="shared" si="10"/>
        <v>7.1428571428571423</v>
      </c>
      <c r="CK32" s="96" t="str">
        <f t="shared" si="11"/>
        <v>18_15</v>
      </c>
      <c r="CL32" s="122">
        <v>18</v>
      </c>
      <c r="CM32" s="236"/>
      <c r="CN32" s="6">
        <v>15</v>
      </c>
      <c r="CO32" s="5">
        <v>5</v>
      </c>
      <c r="CP32" s="6">
        <v>10</v>
      </c>
      <c r="CQ32" s="6">
        <v>15</v>
      </c>
      <c r="CR32" s="6"/>
      <c r="CS32" s="6"/>
      <c r="CT32" s="6"/>
      <c r="CU32" s="6"/>
      <c r="CV32" s="6"/>
      <c r="CW32" s="6"/>
      <c r="CX32" s="6"/>
      <c r="CY32" s="6"/>
      <c r="CZ32" s="6"/>
      <c r="DA32" s="6"/>
      <c r="DB32" s="6"/>
      <c r="DC32" s="6"/>
      <c r="DD32" s="1"/>
      <c r="DE32" s="1"/>
    </row>
    <row r="33" spans="2:109" ht="24.75" thickBot="1">
      <c r="M33" s="5" t="s">
        <v>378</v>
      </c>
      <c r="N33" s="6" t="s">
        <v>379</v>
      </c>
      <c r="O33" s="6" t="s">
        <v>379</v>
      </c>
      <c r="P33" s="6" t="s">
        <v>88</v>
      </c>
      <c r="Q33" s="96" t="str">
        <f t="shared" si="18"/>
        <v>n40: TDD: 2300 MHz – 2400 MHz</v>
      </c>
      <c r="R33" s="136">
        <v>40</v>
      </c>
      <c r="S33" s="137" t="str">
        <f t="shared" si="19"/>
        <v>TDD</v>
      </c>
      <c r="U33" s="29">
        <v>29</v>
      </c>
      <c r="V33" s="30">
        <v>4</v>
      </c>
      <c r="W33" s="296" t="s">
        <v>21</v>
      </c>
      <c r="X33" s="297"/>
      <c r="Z33" s="29">
        <v>29</v>
      </c>
      <c r="AA33" s="30">
        <v>2</v>
      </c>
      <c r="AB33" s="296" t="s">
        <v>21</v>
      </c>
      <c r="AC33" s="297"/>
      <c r="AE33" s="29">
        <v>29</v>
      </c>
      <c r="AF33" s="30">
        <v>2</v>
      </c>
      <c r="AG33" s="296" t="s">
        <v>21</v>
      </c>
      <c r="AH33" s="297"/>
      <c r="AJ33" s="48">
        <v>11</v>
      </c>
      <c r="AK33" s="49" t="s">
        <v>36</v>
      </c>
      <c r="AL33" s="49">
        <v>873</v>
      </c>
      <c r="AM33" s="49">
        <v>5.1151999999999997</v>
      </c>
      <c r="BH33">
        <f t="shared" si="12"/>
        <v>0</v>
      </c>
      <c r="BI33" s="158">
        <f t="shared" si="13"/>
        <v>4.8</v>
      </c>
      <c r="BJ33" s="114" t="str">
        <f t="shared" si="14"/>
        <v>Format 29 - DL 78.% : UL  7.1% /(11)DL:(1)UL</v>
      </c>
      <c r="BK33" s="5">
        <v>29</v>
      </c>
      <c r="BL33" s="6" t="s">
        <v>5</v>
      </c>
      <c r="BM33" s="6" t="s">
        <v>5</v>
      </c>
      <c r="BN33" s="6" t="s">
        <v>5</v>
      </c>
      <c r="BO33" s="6" t="s">
        <v>5</v>
      </c>
      <c r="BP33" s="6" t="s">
        <v>5</v>
      </c>
      <c r="BQ33" s="6" t="s">
        <v>5</v>
      </c>
      <c r="BR33" s="6" t="s">
        <v>5</v>
      </c>
      <c r="BS33" s="6" t="s">
        <v>5</v>
      </c>
      <c r="BT33" s="6" t="s">
        <v>5</v>
      </c>
      <c r="BU33" s="6" t="s">
        <v>5</v>
      </c>
      <c r="BV33" s="6" t="s">
        <v>5</v>
      </c>
      <c r="BW33" s="6" t="s">
        <v>7</v>
      </c>
      <c r="BX33" s="6" t="s">
        <v>7</v>
      </c>
      <c r="BY33" s="18" t="s">
        <v>6</v>
      </c>
      <c r="BZ33" s="1">
        <f t="shared" si="1"/>
        <v>11</v>
      </c>
      <c r="CA33" s="1">
        <f t="shared" si="2"/>
        <v>1</v>
      </c>
      <c r="CB33" s="1">
        <f t="shared" si="3"/>
        <v>2</v>
      </c>
      <c r="CC33" s="141">
        <f t="shared" si="4"/>
        <v>0.7857142857142857</v>
      </c>
      <c r="CD33" s="141">
        <f t="shared" si="5"/>
        <v>7.1428571428571425E-2</v>
      </c>
      <c r="CE33" s="141">
        <f t="shared" si="6"/>
        <v>0.14285714285714285</v>
      </c>
      <c r="CF33" s="142">
        <f t="shared" si="8"/>
        <v>78.571428571428569</v>
      </c>
      <c r="CG33" s="142">
        <f t="shared" si="9"/>
        <v>7.1428571428571423</v>
      </c>
      <c r="CH33" s="142">
        <f t="shared" si="10"/>
        <v>14.285714285714285</v>
      </c>
      <c r="CK33" s="96" t="str">
        <f t="shared" si="11"/>
        <v>18_30</v>
      </c>
      <c r="CL33" s="122">
        <v>18</v>
      </c>
      <c r="CM33" s="236" t="s">
        <v>358</v>
      </c>
      <c r="CN33" s="6">
        <v>30</v>
      </c>
      <c r="CO33" s="5"/>
      <c r="CP33" s="6">
        <v>10</v>
      </c>
      <c r="CQ33" s="6">
        <v>15</v>
      </c>
      <c r="CR33" s="6"/>
      <c r="CS33" s="6"/>
      <c r="CT33" s="6"/>
      <c r="CU33" s="6"/>
      <c r="CV33" s="6"/>
      <c r="CW33" s="6"/>
      <c r="CX33" s="6"/>
      <c r="CY33" s="6"/>
      <c r="CZ33" s="6"/>
      <c r="DA33" s="6"/>
      <c r="DB33" s="6"/>
      <c r="DC33" s="6"/>
      <c r="DD33" s="1"/>
      <c r="DE33" s="1"/>
    </row>
    <row r="34" spans="2:109" ht="24.75" thickBot="1">
      <c r="M34" s="5" t="s">
        <v>89</v>
      </c>
      <c r="N34" s="6" t="s">
        <v>90</v>
      </c>
      <c r="O34" s="6" t="s">
        <v>90</v>
      </c>
      <c r="P34" s="6" t="s">
        <v>88</v>
      </c>
      <c r="Q34" s="96" t="str">
        <f t="shared" si="18"/>
        <v>n41: TDD: 2496 MHz – 2690 MHz</v>
      </c>
      <c r="R34" s="136">
        <v>41</v>
      </c>
      <c r="S34" s="137" t="str">
        <f t="shared" si="19"/>
        <v>TDD</v>
      </c>
      <c r="U34" s="29">
        <v>30</v>
      </c>
      <c r="V34" s="30">
        <v>6</v>
      </c>
      <c r="W34" s="296" t="s">
        <v>21</v>
      </c>
      <c r="X34" s="297"/>
      <c r="Z34" s="29">
        <v>30</v>
      </c>
      <c r="AA34" s="30">
        <v>4</v>
      </c>
      <c r="AB34" s="296" t="s">
        <v>21</v>
      </c>
      <c r="AC34" s="297"/>
      <c r="AE34" s="29">
        <v>30</v>
      </c>
      <c r="AF34" s="30">
        <v>4</v>
      </c>
      <c r="AG34" s="296" t="s">
        <v>21</v>
      </c>
      <c r="AH34" s="297"/>
      <c r="AJ34" s="48">
        <v>12</v>
      </c>
      <c r="AK34" s="49" t="s">
        <v>37</v>
      </c>
      <c r="AL34" s="49">
        <v>711</v>
      </c>
      <c r="AM34" s="49">
        <v>5.5547000000000004</v>
      </c>
      <c r="BH34">
        <f t="shared" si="12"/>
        <v>0</v>
      </c>
      <c r="BI34" s="158">
        <f t="shared" si="13"/>
        <v>10.1</v>
      </c>
      <c r="BJ34" s="114" t="str">
        <f t="shared" si="14"/>
        <v>Format 30 - DL 71.% : UL  7.1% /(10)DL:(1)UL</v>
      </c>
      <c r="BK34" s="5">
        <v>30</v>
      </c>
      <c r="BL34" s="6" t="s">
        <v>5</v>
      </c>
      <c r="BM34" s="6" t="s">
        <v>5</v>
      </c>
      <c r="BN34" s="6" t="s">
        <v>5</v>
      </c>
      <c r="BO34" s="6" t="s">
        <v>5</v>
      </c>
      <c r="BP34" s="6" t="s">
        <v>5</v>
      </c>
      <c r="BQ34" s="6" t="s">
        <v>5</v>
      </c>
      <c r="BR34" s="6" t="s">
        <v>5</v>
      </c>
      <c r="BS34" s="6" t="s">
        <v>5</v>
      </c>
      <c r="BT34" s="6" t="s">
        <v>5</v>
      </c>
      <c r="BU34" s="6" t="s">
        <v>5</v>
      </c>
      <c r="BV34" s="6" t="s">
        <v>7</v>
      </c>
      <c r="BW34" s="6" t="s">
        <v>7</v>
      </c>
      <c r="BX34" s="6" t="s">
        <v>7</v>
      </c>
      <c r="BY34" s="18" t="s">
        <v>6</v>
      </c>
      <c r="BZ34" s="1">
        <f t="shared" si="1"/>
        <v>10</v>
      </c>
      <c r="CA34" s="1">
        <f t="shared" si="2"/>
        <v>1</v>
      </c>
      <c r="CB34" s="1">
        <f t="shared" si="3"/>
        <v>3</v>
      </c>
      <c r="CC34" s="141">
        <f t="shared" si="4"/>
        <v>0.7142857142857143</v>
      </c>
      <c r="CD34" s="141">
        <f t="shared" si="5"/>
        <v>7.1428571428571425E-2</v>
      </c>
      <c r="CE34" s="141">
        <f t="shared" si="6"/>
        <v>0.21428571428571427</v>
      </c>
      <c r="CF34" s="142">
        <f t="shared" si="8"/>
        <v>71.428571428571431</v>
      </c>
      <c r="CG34" s="142">
        <f t="shared" si="9"/>
        <v>7.1428571428571423</v>
      </c>
      <c r="CH34" s="142">
        <f t="shared" si="10"/>
        <v>21.428571428571427</v>
      </c>
      <c r="CK34" s="96" t="str">
        <f t="shared" si="11"/>
        <v>18_60</v>
      </c>
      <c r="CL34" s="122">
        <v>18</v>
      </c>
      <c r="CM34" s="5"/>
      <c r="CN34" s="6">
        <v>60</v>
      </c>
      <c r="CO34" s="5"/>
      <c r="CP34" s="6"/>
      <c r="CQ34" s="6"/>
      <c r="CR34" s="6"/>
      <c r="CS34" s="6"/>
      <c r="CT34" s="6"/>
      <c r="CU34" s="6"/>
      <c r="CV34" s="6"/>
      <c r="CW34" s="6"/>
      <c r="CX34" s="6"/>
      <c r="CY34" s="6"/>
      <c r="CZ34" s="6"/>
      <c r="DA34" s="6"/>
      <c r="DB34" s="6"/>
      <c r="DC34" s="6"/>
      <c r="DD34" s="1"/>
      <c r="DE34" s="1"/>
    </row>
    <row r="35" spans="2:109" ht="24.75" thickBot="1">
      <c r="M35" s="5" t="s">
        <v>380</v>
      </c>
      <c r="N35" s="6" t="s">
        <v>381</v>
      </c>
      <c r="O35" s="6" t="s">
        <v>382</v>
      </c>
      <c r="P35" s="6" t="s">
        <v>88</v>
      </c>
      <c r="Q35" s="96" t="str">
        <f t="shared" si="18"/>
        <v>n46: TDD: 5150 MHz – 5925 MHz</v>
      </c>
      <c r="R35" s="136">
        <v>46</v>
      </c>
      <c r="S35" s="137" t="str">
        <f t="shared" si="19"/>
        <v>TDD</v>
      </c>
      <c r="U35" s="29">
        <v>31</v>
      </c>
      <c r="V35" s="30">
        <v>8</v>
      </c>
      <c r="W35" s="296" t="s">
        <v>21</v>
      </c>
      <c r="X35" s="297"/>
      <c r="Z35" s="29">
        <v>31</v>
      </c>
      <c r="AA35" s="30">
        <v>6</v>
      </c>
      <c r="AB35" s="296" t="s">
        <v>21</v>
      </c>
      <c r="AC35" s="297"/>
      <c r="AE35" s="29">
        <v>31</v>
      </c>
      <c r="AF35" s="30">
        <v>6</v>
      </c>
      <c r="AG35" s="296" t="s">
        <v>21</v>
      </c>
      <c r="AH35" s="297"/>
      <c r="AJ35" s="48">
        <v>13</v>
      </c>
      <c r="AK35" s="49" t="s">
        <v>37</v>
      </c>
      <c r="AL35" s="49">
        <v>797</v>
      </c>
      <c r="AM35" s="49">
        <v>6.2266000000000004</v>
      </c>
      <c r="BH35">
        <f t="shared" si="12"/>
        <v>0</v>
      </c>
      <c r="BI35" s="158">
        <f t="shared" si="13"/>
        <v>0</v>
      </c>
      <c r="BJ35" s="114" t="str">
        <f t="shared" si="14"/>
        <v>Format 31 - DL 78.% : UL  14.% /(11)DL:(2)UL</v>
      </c>
      <c r="BK35" s="5">
        <v>31</v>
      </c>
      <c r="BL35" s="6" t="s">
        <v>5</v>
      </c>
      <c r="BM35" s="6" t="s">
        <v>5</v>
      </c>
      <c r="BN35" s="6" t="s">
        <v>5</v>
      </c>
      <c r="BO35" s="6" t="s">
        <v>5</v>
      </c>
      <c r="BP35" s="6" t="s">
        <v>5</v>
      </c>
      <c r="BQ35" s="6" t="s">
        <v>5</v>
      </c>
      <c r="BR35" s="6" t="s">
        <v>5</v>
      </c>
      <c r="BS35" s="6" t="s">
        <v>5</v>
      </c>
      <c r="BT35" s="6" t="s">
        <v>5</v>
      </c>
      <c r="BU35" s="6" t="s">
        <v>5</v>
      </c>
      <c r="BV35" s="6" t="s">
        <v>5</v>
      </c>
      <c r="BW35" s="6" t="s">
        <v>7</v>
      </c>
      <c r="BX35" s="6" t="s">
        <v>6</v>
      </c>
      <c r="BY35" s="18" t="s">
        <v>6</v>
      </c>
      <c r="BZ35" s="1">
        <f t="shared" si="1"/>
        <v>11</v>
      </c>
      <c r="CA35" s="1">
        <f t="shared" si="2"/>
        <v>2</v>
      </c>
      <c r="CB35" s="1">
        <f t="shared" si="3"/>
        <v>1</v>
      </c>
      <c r="CC35" s="141">
        <f t="shared" si="4"/>
        <v>0.7857142857142857</v>
      </c>
      <c r="CD35" s="141">
        <f t="shared" si="5"/>
        <v>0.14285714285714285</v>
      </c>
      <c r="CE35" s="141">
        <f t="shared" si="6"/>
        <v>7.1428571428571425E-2</v>
      </c>
      <c r="CF35" s="142">
        <f t="shared" si="8"/>
        <v>78.571428571428569</v>
      </c>
      <c r="CG35" s="142">
        <f t="shared" si="9"/>
        <v>14.285714285714285</v>
      </c>
      <c r="CH35" s="142">
        <f t="shared" si="10"/>
        <v>7.1428571428571423</v>
      </c>
      <c r="CK35" s="96" t="str">
        <f t="shared" si="11"/>
        <v>20_15</v>
      </c>
      <c r="CL35" s="122">
        <v>20</v>
      </c>
      <c r="CM35" s="236"/>
      <c r="CN35" s="6">
        <v>15</v>
      </c>
      <c r="CO35" s="5">
        <v>5</v>
      </c>
      <c r="CP35" s="6">
        <v>10</v>
      </c>
      <c r="CQ35" s="6">
        <v>15</v>
      </c>
      <c r="CR35" s="6">
        <v>20</v>
      </c>
      <c r="CS35" s="6"/>
      <c r="CT35" s="6"/>
      <c r="CU35" s="6"/>
      <c r="CV35" s="6"/>
      <c r="CW35" s="6"/>
      <c r="CX35" s="6"/>
      <c r="CY35" s="6"/>
      <c r="CZ35" s="6"/>
      <c r="DA35" s="6"/>
      <c r="DB35" s="6"/>
      <c r="DC35" s="6"/>
      <c r="DD35" s="1"/>
      <c r="DE35" s="1"/>
    </row>
    <row r="36" spans="2:109" ht="24.75" thickBot="1">
      <c r="B36" s="145">
        <v>38.305999999999997</v>
      </c>
      <c r="M36" s="5" t="s">
        <v>383</v>
      </c>
      <c r="N36" s="6" t="s">
        <v>384</v>
      </c>
      <c r="O36" s="6" t="s">
        <v>384</v>
      </c>
      <c r="P36" s="6" t="s">
        <v>88</v>
      </c>
      <c r="Q36" s="96" t="str">
        <f t="shared" si="18"/>
        <v>n48: TDD: 3550 MHz – 3700 MHz</v>
      </c>
      <c r="R36" s="136">
        <v>48</v>
      </c>
      <c r="S36" s="137" t="str">
        <f t="shared" si="19"/>
        <v>TDD</v>
      </c>
      <c r="AJ36" s="48">
        <v>14</v>
      </c>
      <c r="AK36" s="49" t="s">
        <v>37</v>
      </c>
      <c r="AL36" s="49">
        <v>885</v>
      </c>
      <c r="AM36" s="49">
        <v>6.9141000000000004</v>
      </c>
      <c r="BH36">
        <f t="shared" si="12"/>
        <v>0</v>
      </c>
      <c r="BI36" s="158">
        <f t="shared" si="13"/>
        <v>4.8</v>
      </c>
      <c r="BJ36" s="114" t="str">
        <f t="shared" si="14"/>
        <v>Format 32 - DL 71.% : UL  14.% /(10)DL:(2)UL</v>
      </c>
      <c r="BK36" s="5">
        <v>32</v>
      </c>
      <c r="BL36" s="6" t="s">
        <v>5</v>
      </c>
      <c r="BM36" s="6" t="s">
        <v>5</v>
      </c>
      <c r="BN36" s="6" t="s">
        <v>5</v>
      </c>
      <c r="BO36" s="6" t="s">
        <v>5</v>
      </c>
      <c r="BP36" s="6" t="s">
        <v>5</v>
      </c>
      <c r="BQ36" s="6" t="s">
        <v>5</v>
      </c>
      <c r="BR36" s="6" t="s">
        <v>5</v>
      </c>
      <c r="BS36" s="6" t="s">
        <v>5</v>
      </c>
      <c r="BT36" s="6" t="s">
        <v>5</v>
      </c>
      <c r="BU36" s="6" t="s">
        <v>5</v>
      </c>
      <c r="BV36" s="6" t="s">
        <v>7</v>
      </c>
      <c r="BW36" s="6" t="s">
        <v>7</v>
      </c>
      <c r="BX36" s="6" t="s">
        <v>6</v>
      </c>
      <c r="BY36" s="18" t="s">
        <v>6</v>
      </c>
      <c r="BZ36" s="1">
        <f t="shared" ref="BZ36:BZ60" si="20">COUNTIF(BL36:BY36,"D")</f>
        <v>10</v>
      </c>
      <c r="CA36" s="1">
        <f t="shared" ref="CA36:CA60" si="21">COUNTIF(BL36:BY36,"U")</f>
        <v>2</v>
      </c>
      <c r="CB36" s="1">
        <f t="shared" ref="CB36:CB60" si="22">COUNTIF(BL36:BY36,"X")</f>
        <v>2</v>
      </c>
      <c r="CC36" s="141">
        <f t="shared" ref="CC36:CC60" si="23">BZ36/14</f>
        <v>0.7142857142857143</v>
      </c>
      <c r="CD36" s="141">
        <f t="shared" ref="CD36:CD60" si="24">CA36/14</f>
        <v>0.14285714285714285</v>
      </c>
      <c r="CE36" s="141">
        <f t="shared" ref="CE36:CE60" si="25">CB36/14</f>
        <v>0.14285714285714285</v>
      </c>
      <c r="CF36" s="142">
        <f t="shared" si="8"/>
        <v>71.428571428571431</v>
      </c>
      <c r="CG36" s="142">
        <f t="shared" si="9"/>
        <v>14.285714285714285</v>
      </c>
      <c r="CH36" s="142">
        <f t="shared" si="10"/>
        <v>14.285714285714285</v>
      </c>
      <c r="CK36" s="96" t="str">
        <f t="shared" si="11"/>
        <v>20_30</v>
      </c>
      <c r="CL36" s="122">
        <v>20</v>
      </c>
      <c r="CM36" s="236" t="s">
        <v>80</v>
      </c>
      <c r="CN36" s="6">
        <v>30</v>
      </c>
      <c r="CO36" s="5"/>
      <c r="CP36" s="6">
        <v>10</v>
      </c>
      <c r="CQ36" s="6">
        <v>15</v>
      </c>
      <c r="CR36" s="6">
        <v>20</v>
      </c>
      <c r="CS36" s="6"/>
      <c r="CT36" s="6"/>
      <c r="CU36" s="6"/>
      <c r="CV36" s="6"/>
      <c r="CW36" s="6"/>
      <c r="CX36" s="6"/>
      <c r="CY36" s="6"/>
      <c r="CZ36" s="6"/>
      <c r="DA36" s="6"/>
      <c r="DB36" s="6"/>
      <c r="DC36" s="6"/>
      <c r="DD36" s="1"/>
      <c r="DE36" s="1"/>
    </row>
    <row r="37" spans="2:109" ht="24.75" thickBot="1">
      <c r="M37" s="5" t="s">
        <v>91</v>
      </c>
      <c r="N37" s="6" t="s">
        <v>92</v>
      </c>
      <c r="O37" s="6" t="s">
        <v>92</v>
      </c>
      <c r="P37" s="6" t="s">
        <v>88</v>
      </c>
      <c r="Q37" s="96" t="str">
        <f t="shared" si="18"/>
        <v>n50: TDD: 1432 MHz – 1517 MHz</v>
      </c>
      <c r="R37" s="136">
        <v>50</v>
      </c>
      <c r="S37" s="137" t="str">
        <f t="shared" si="19"/>
        <v>TDD</v>
      </c>
      <c r="AJ37" s="48">
        <v>15</v>
      </c>
      <c r="AK37" s="49" t="s">
        <v>37</v>
      </c>
      <c r="AL37" s="49">
        <v>948</v>
      </c>
      <c r="AM37" s="49">
        <v>7.4062999999999999</v>
      </c>
      <c r="BH37">
        <f t="shared" si="12"/>
        <v>0</v>
      </c>
      <c r="BI37" s="158">
        <f t="shared" si="13"/>
        <v>10.1</v>
      </c>
      <c r="BJ37" s="114" t="str">
        <f t="shared" si="14"/>
        <v>Format 33 - DL 64.% : UL  14.% /(9)DL:(2)UL</v>
      </c>
      <c r="BK37" s="5">
        <v>33</v>
      </c>
      <c r="BL37" s="6" t="s">
        <v>5</v>
      </c>
      <c r="BM37" s="6" t="s">
        <v>5</v>
      </c>
      <c r="BN37" s="6" t="s">
        <v>5</v>
      </c>
      <c r="BO37" s="6" t="s">
        <v>5</v>
      </c>
      <c r="BP37" s="6" t="s">
        <v>5</v>
      </c>
      <c r="BQ37" s="6" t="s">
        <v>5</v>
      </c>
      <c r="BR37" s="6" t="s">
        <v>5</v>
      </c>
      <c r="BS37" s="6" t="s">
        <v>5</v>
      </c>
      <c r="BT37" s="6" t="s">
        <v>5</v>
      </c>
      <c r="BU37" s="6" t="s">
        <v>7</v>
      </c>
      <c r="BV37" s="6" t="s">
        <v>7</v>
      </c>
      <c r="BW37" s="6" t="s">
        <v>7</v>
      </c>
      <c r="BX37" s="6" t="s">
        <v>6</v>
      </c>
      <c r="BY37" s="18" t="s">
        <v>6</v>
      </c>
      <c r="BZ37" s="1">
        <f t="shared" si="20"/>
        <v>9</v>
      </c>
      <c r="CA37" s="1">
        <f t="shared" si="21"/>
        <v>2</v>
      </c>
      <c r="CB37" s="1">
        <f t="shared" si="22"/>
        <v>3</v>
      </c>
      <c r="CC37" s="141">
        <f t="shared" si="23"/>
        <v>0.6428571428571429</v>
      </c>
      <c r="CD37" s="141">
        <f t="shared" si="24"/>
        <v>0.14285714285714285</v>
      </c>
      <c r="CE37" s="141">
        <f t="shared" si="25"/>
        <v>0.21428571428571427</v>
      </c>
      <c r="CF37" s="142">
        <f t="shared" si="8"/>
        <v>64.285714285714292</v>
      </c>
      <c r="CG37" s="142">
        <f t="shared" si="9"/>
        <v>14.285714285714285</v>
      </c>
      <c r="CH37" s="142">
        <f t="shared" si="10"/>
        <v>21.428571428571427</v>
      </c>
      <c r="CK37" s="96" t="str">
        <f t="shared" si="11"/>
        <v>20_60</v>
      </c>
      <c r="CL37" s="122">
        <v>20</v>
      </c>
      <c r="CM37" s="5"/>
      <c r="CN37" s="6">
        <v>60</v>
      </c>
      <c r="CO37" s="5"/>
      <c r="CP37" s="6"/>
      <c r="CQ37" s="6"/>
      <c r="CR37" s="6"/>
      <c r="CS37" s="6"/>
      <c r="CT37" s="6"/>
      <c r="CU37" s="6"/>
      <c r="CV37" s="6"/>
      <c r="CW37" s="6"/>
      <c r="CX37" s="6"/>
      <c r="CY37" s="6"/>
      <c r="CZ37" s="6"/>
      <c r="DA37" s="6"/>
      <c r="DB37" s="6"/>
      <c r="DC37" s="6"/>
      <c r="DD37" s="1"/>
      <c r="DE37" s="1"/>
    </row>
    <row r="38" spans="2:109" ht="24.75" thickBot="1">
      <c r="M38" s="5" t="s">
        <v>93</v>
      </c>
      <c r="N38" s="6" t="s">
        <v>94</v>
      </c>
      <c r="O38" s="6" t="s">
        <v>94</v>
      </c>
      <c r="P38" s="6" t="s">
        <v>88</v>
      </c>
      <c r="Q38" s="96" t="str">
        <f t="shared" si="18"/>
        <v>n51: TDD: 1427 MHz – 1432 MHz</v>
      </c>
      <c r="R38" s="136">
        <v>51</v>
      </c>
      <c r="S38" s="137" t="str">
        <f t="shared" si="19"/>
        <v>TDD</v>
      </c>
      <c r="BH38">
        <f t="shared" si="12"/>
        <v>0</v>
      </c>
      <c r="BI38" s="158">
        <f t="shared" si="13"/>
        <v>0</v>
      </c>
      <c r="BJ38" s="114" t="str">
        <f t="shared" si="14"/>
        <v>Format 34 - DL 7.1% : UL  85.% /(1)DL:(12)UL</v>
      </c>
      <c r="BK38" s="5">
        <v>34</v>
      </c>
      <c r="BL38" s="6" t="s">
        <v>5</v>
      </c>
      <c r="BM38" s="6" t="s">
        <v>7</v>
      </c>
      <c r="BN38" s="6" t="s">
        <v>6</v>
      </c>
      <c r="BO38" s="6" t="s">
        <v>6</v>
      </c>
      <c r="BP38" s="6" t="s">
        <v>6</v>
      </c>
      <c r="BQ38" s="6" t="s">
        <v>6</v>
      </c>
      <c r="BR38" s="6" t="s">
        <v>6</v>
      </c>
      <c r="BS38" s="6" t="s">
        <v>6</v>
      </c>
      <c r="BT38" s="6" t="s">
        <v>6</v>
      </c>
      <c r="BU38" s="6" t="s">
        <v>6</v>
      </c>
      <c r="BV38" s="6" t="s">
        <v>6</v>
      </c>
      <c r="BW38" s="6" t="s">
        <v>6</v>
      </c>
      <c r="BX38" s="6" t="s">
        <v>6</v>
      </c>
      <c r="BY38" s="18" t="s">
        <v>6</v>
      </c>
      <c r="BZ38" s="1">
        <f t="shared" si="20"/>
        <v>1</v>
      </c>
      <c r="CA38" s="1">
        <f t="shared" si="21"/>
        <v>12</v>
      </c>
      <c r="CB38" s="1">
        <f t="shared" si="22"/>
        <v>1</v>
      </c>
      <c r="CC38" s="141">
        <f t="shared" si="23"/>
        <v>7.1428571428571425E-2</v>
      </c>
      <c r="CD38" s="141">
        <f t="shared" si="24"/>
        <v>0.8571428571428571</v>
      </c>
      <c r="CE38" s="141">
        <f t="shared" si="25"/>
        <v>7.1428571428571425E-2</v>
      </c>
      <c r="CF38" s="142">
        <f t="shared" si="8"/>
        <v>7.1428571428571423</v>
      </c>
      <c r="CG38" s="142">
        <f t="shared" si="9"/>
        <v>85.714285714285708</v>
      </c>
      <c r="CH38" s="142">
        <f t="shared" si="10"/>
        <v>7.1428571428571423</v>
      </c>
      <c r="CK38" s="96" t="str">
        <f t="shared" si="11"/>
        <v>24_15</v>
      </c>
      <c r="CL38" s="122">
        <v>24</v>
      </c>
      <c r="CM38" s="236"/>
      <c r="CN38" s="6">
        <v>15</v>
      </c>
      <c r="CO38" s="5">
        <v>5</v>
      </c>
      <c r="CP38" s="6">
        <v>10</v>
      </c>
      <c r="CQ38" s="6"/>
      <c r="CR38" s="6"/>
      <c r="CS38" s="6"/>
      <c r="CT38" s="6"/>
      <c r="CU38" s="6"/>
      <c r="CV38" s="6"/>
      <c r="CW38" s="6"/>
      <c r="CX38" s="6"/>
      <c r="CY38" s="6"/>
      <c r="CZ38" s="6"/>
      <c r="DA38" s="6"/>
      <c r="DB38" s="6"/>
      <c r="DC38" s="6"/>
      <c r="DD38" s="1"/>
      <c r="DE38" s="1"/>
    </row>
    <row r="39" spans="2:109" ht="24.75" thickBot="1">
      <c r="M39" s="5" t="s">
        <v>385</v>
      </c>
      <c r="N39" s="6" t="s">
        <v>386</v>
      </c>
      <c r="O39" s="6" t="s">
        <v>386</v>
      </c>
      <c r="P39" s="6" t="s">
        <v>88</v>
      </c>
      <c r="Q39" s="96" t="str">
        <f t="shared" si="18"/>
        <v>n53: TDD: 2483.5 MHz – 2495 MHz</v>
      </c>
      <c r="R39" s="136">
        <v>53</v>
      </c>
      <c r="S39" s="137" t="str">
        <f t="shared" si="19"/>
        <v>TDD</v>
      </c>
      <c r="BH39">
        <f t="shared" si="12"/>
        <v>0</v>
      </c>
      <c r="BI39" s="158">
        <f t="shared" si="13"/>
        <v>0</v>
      </c>
      <c r="BJ39" s="114" t="str">
        <f t="shared" si="14"/>
        <v>Format 35 - DL 14.% : UL  78.% /(2)DL:(11)UL</v>
      </c>
      <c r="BK39" s="5">
        <v>35</v>
      </c>
      <c r="BL39" s="6" t="s">
        <v>5</v>
      </c>
      <c r="BM39" s="6" t="s">
        <v>5</v>
      </c>
      <c r="BN39" s="6" t="s">
        <v>7</v>
      </c>
      <c r="BO39" s="6" t="s">
        <v>6</v>
      </c>
      <c r="BP39" s="6" t="s">
        <v>6</v>
      </c>
      <c r="BQ39" s="6" t="s">
        <v>6</v>
      </c>
      <c r="BR39" s="6" t="s">
        <v>6</v>
      </c>
      <c r="BS39" s="6" t="s">
        <v>6</v>
      </c>
      <c r="BT39" s="6" t="s">
        <v>6</v>
      </c>
      <c r="BU39" s="6" t="s">
        <v>6</v>
      </c>
      <c r="BV39" s="6" t="s">
        <v>6</v>
      </c>
      <c r="BW39" s="6" t="s">
        <v>6</v>
      </c>
      <c r="BX39" s="6" t="s">
        <v>6</v>
      </c>
      <c r="BY39" s="18" t="s">
        <v>6</v>
      </c>
      <c r="BZ39" s="1">
        <f t="shared" si="20"/>
        <v>2</v>
      </c>
      <c r="CA39" s="1">
        <f t="shared" si="21"/>
        <v>11</v>
      </c>
      <c r="CB39" s="1">
        <f t="shared" si="22"/>
        <v>1</v>
      </c>
      <c r="CC39" s="141">
        <f t="shared" si="23"/>
        <v>0.14285714285714285</v>
      </c>
      <c r="CD39" s="141">
        <f t="shared" si="24"/>
        <v>0.7857142857142857</v>
      </c>
      <c r="CE39" s="141">
        <f t="shared" si="25"/>
        <v>7.1428571428571425E-2</v>
      </c>
      <c r="CF39" s="142">
        <f t="shared" si="8"/>
        <v>14.285714285714285</v>
      </c>
      <c r="CG39" s="142">
        <f t="shared" si="9"/>
        <v>78.571428571428569</v>
      </c>
      <c r="CH39" s="142">
        <f t="shared" si="10"/>
        <v>7.1428571428571423</v>
      </c>
      <c r="CK39" s="96" t="str">
        <f t="shared" si="11"/>
        <v>24_15</v>
      </c>
      <c r="CL39" s="122">
        <v>24</v>
      </c>
      <c r="CM39" s="236" t="s">
        <v>409</v>
      </c>
      <c r="CN39" s="6">
        <v>15</v>
      </c>
      <c r="CO39" s="5"/>
      <c r="CP39" s="6">
        <v>10</v>
      </c>
      <c r="CQ39" s="6"/>
      <c r="CR39" s="6"/>
      <c r="CS39" s="6"/>
      <c r="CT39" s="6"/>
      <c r="CU39" s="6"/>
      <c r="CV39" s="6"/>
      <c r="CW39" s="6"/>
      <c r="CX39" s="6"/>
      <c r="CY39" s="6"/>
      <c r="CZ39" s="6"/>
      <c r="DA39" s="6"/>
      <c r="DB39" s="6"/>
      <c r="DC39" s="6"/>
      <c r="DD39" s="1"/>
      <c r="DE39" s="1"/>
    </row>
    <row r="40" spans="2:109" ht="24.75" thickBot="1">
      <c r="M40" s="5" t="s">
        <v>387</v>
      </c>
      <c r="N40" s="6" t="s">
        <v>388</v>
      </c>
      <c r="O40" s="6" t="s">
        <v>97</v>
      </c>
      <c r="P40" s="6" t="s">
        <v>64</v>
      </c>
      <c r="Q40" s="96" t="str">
        <f t="shared" si="18"/>
        <v>n65: FDD: 2110 MHz – 2200 MHz</v>
      </c>
      <c r="R40" s="136">
        <v>65</v>
      </c>
      <c r="S40" s="137" t="str">
        <f t="shared" si="19"/>
        <v>FDD</v>
      </c>
      <c r="BH40">
        <f t="shared" si="12"/>
        <v>0</v>
      </c>
      <c r="BI40" s="158">
        <f t="shared" si="13"/>
        <v>0</v>
      </c>
      <c r="BJ40" s="114" t="str">
        <f t="shared" si="14"/>
        <v>Format 36 - DL 21.% : UL  71.% /(3)DL:(10)UL</v>
      </c>
      <c r="BK40" s="5">
        <v>36</v>
      </c>
      <c r="BL40" s="6" t="s">
        <v>5</v>
      </c>
      <c r="BM40" s="6" t="s">
        <v>5</v>
      </c>
      <c r="BN40" s="6" t="s">
        <v>5</v>
      </c>
      <c r="BO40" s="6" t="s">
        <v>7</v>
      </c>
      <c r="BP40" s="6" t="s">
        <v>6</v>
      </c>
      <c r="BQ40" s="6" t="s">
        <v>6</v>
      </c>
      <c r="BR40" s="6" t="s">
        <v>6</v>
      </c>
      <c r="BS40" s="6" t="s">
        <v>6</v>
      </c>
      <c r="BT40" s="6" t="s">
        <v>6</v>
      </c>
      <c r="BU40" s="6" t="s">
        <v>6</v>
      </c>
      <c r="BV40" s="6" t="s">
        <v>6</v>
      </c>
      <c r="BW40" s="6" t="s">
        <v>6</v>
      </c>
      <c r="BX40" s="6" t="s">
        <v>6</v>
      </c>
      <c r="BY40" s="18" t="s">
        <v>6</v>
      </c>
      <c r="BZ40" s="1">
        <f t="shared" si="20"/>
        <v>3</v>
      </c>
      <c r="CA40" s="1">
        <f t="shared" si="21"/>
        <v>10</v>
      </c>
      <c r="CB40" s="1">
        <f t="shared" si="22"/>
        <v>1</v>
      </c>
      <c r="CC40" s="141">
        <f t="shared" si="23"/>
        <v>0.21428571428571427</v>
      </c>
      <c r="CD40" s="141">
        <f t="shared" si="24"/>
        <v>0.7142857142857143</v>
      </c>
      <c r="CE40" s="141">
        <f t="shared" si="25"/>
        <v>7.1428571428571425E-2</v>
      </c>
      <c r="CF40" s="142">
        <f t="shared" si="8"/>
        <v>21.428571428571427</v>
      </c>
      <c r="CG40" s="142">
        <f t="shared" si="9"/>
        <v>71.428571428571431</v>
      </c>
      <c r="CH40" s="142">
        <f t="shared" si="10"/>
        <v>7.1428571428571423</v>
      </c>
      <c r="CK40" s="96" t="str">
        <f t="shared" si="11"/>
        <v>24_30</v>
      </c>
      <c r="CL40" s="122">
        <v>24</v>
      </c>
      <c r="CM40" s="5"/>
      <c r="CN40" s="6">
        <v>30</v>
      </c>
      <c r="CO40" s="5"/>
      <c r="CP40" s="6">
        <v>10</v>
      </c>
      <c r="CQ40" s="6"/>
      <c r="CR40" s="6"/>
      <c r="CS40" s="6"/>
      <c r="CT40" s="6"/>
      <c r="CU40" s="6"/>
      <c r="CV40" s="6"/>
      <c r="CW40" s="6"/>
      <c r="CX40" s="6"/>
      <c r="CY40" s="6"/>
      <c r="CZ40" s="6"/>
      <c r="DA40" s="6"/>
      <c r="DB40" s="6"/>
      <c r="DC40" s="6"/>
      <c r="DD40" s="1"/>
      <c r="DE40" s="1"/>
    </row>
    <row r="41" spans="2:109" ht="24.75" thickBot="1">
      <c r="M41" s="5" t="s">
        <v>95</v>
      </c>
      <c r="N41" s="6" t="s">
        <v>96</v>
      </c>
      <c r="O41" s="6" t="s">
        <v>97</v>
      </c>
      <c r="P41" s="6" t="s">
        <v>64</v>
      </c>
      <c r="Q41" s="96" t="str">
        <f t="shared" si="18"/>
        <v>n66: FDD: 2110 MHz – 2200 MHz</v>
      </c>
      <c r="R41" s="136">
        <v>66</v>
      </c>
      <c r="S41" s="137" t="str">
        <f t="shared" si="19"/>
        <v>FDD</v>
      </c>
      <c r="BH41">
        <f t="shared" si="12"/>
        <v>0</v>
      </c>
      <c r="BI41" s="158">
        <f t="shared" si="13"/>
        <v>4.8</v>
      </c>
      <c r="BJ41" s="114" t="str">
        <f t="shared" si="14"/>
        <v>Format 37 - DL 7.1% : UL  78.% /(1)DL:(11)UL</v>
      </c>
      <c r="BK41" s="5">
        <v>37</v>
      </c>
      <c r="BL41" s="6" t="s">
        <v>5</v>
      </c>
      <c r="BM41" s="6" t="s">
        <v>7</v>
      </c>
      <c r="BN41" s="6" t="s">
        <v>7</v>
      </c>
      <c r="BO41" s="6" t="s">
        <v>6</v>
      </c>
      <c r="BP41" s="6" t="s">
        <v>6</v>
      </c>
      <c r="BQ41" s="6" t="s">
        <v>6</v>
      </c>
      <c r="BR41" s="6" t="s">
        <v>6</v>
      </c>
      <c r="BS41" s="6" t="s">
        <v>6</v>
      </c>
      <c r="BT41" s="6" t="s">
        <v>6</v>
      </c>
      <c r="BU41" s="6" t="s">
        <v>6</v>
      </c>
      <c r="BV41" s="6" t="s">
        <v>6</v>
      </c>
      <c r="BW41" s="6" t="s">
        <v>6</v>
      </c>
      <c r="BX41" s="6" t="s">
        <v>6</v>
      </c>
      <c r="BY41" s="18" t="s">
        <v>6</v>
      </c>
      <c r="BZ41" s="1">
        <f t="shared" si="20"/>
        <v>1</v>
      </c>
      <c r="CA41" s="1">
        <f t="shared" si="21"/>
        <v>11</v>
      </c>
      <c r="CB41" s="1">
        <f t="shared" si="22"/>
        <v>2</v>
      </c>
      <c r="CC41" s="141">
        <f t="shared" si="23"/>
        <v>7.1428571428571425E-2</v>
      </c>
      <c r="CD41" s="141">
        <f t="shared" si="24"/>
        <v>0.7857142857142857</v>
      </c>
      <c r="CE41" s="141">
        <f t="shared" si="25"/>
        <v>0.14285714285714285</v>
      </c>
      <c r="CF41" s="142">
        <f t="shared" si="8"/>
        <v>7.1428571428571423</v>
      </c>
      <c r="CG41" s="142">
        <f t="shared" si="9"/>
        <v>78.571428571428569</v>
      </c>
      <c r="CH41" s="142">
        <f t="shared" si="10"/>
        <v>14.285714285714285</v>
      </c>
      <c r="CK41" s="96" t="str">
        <f t="shared" si="11"/>
        <v>25_60</v>
      </c>
      <c r="CL41" s="122">
        <v>25</v>
      </c>
      <c r="CM41" s="236"/>
      <c r="CN41" s="6">
        <v>60</v>
      </c>
      <c r="CO41" s="5">
        <v>5</v>
      </c>
      <c r="CP41" s="6">
        <v>10</v>
      </c>
      <c r="CQ41" s="6">
        <v>15</v>
      </c>
      <c r="CR41" s="6">
        <v>20</v>
      </c>
      <c r="CS41" s="6">
        <v>25</v>
      </c>
      <c r="CT41" s="6">
        <v>30</v>
      </c>
      <c r="CU41" s="6">
        <v>35</v>
      </c>
      <c r="CV41" s="6">
        <v>40</v>
      </c>
      <c r="CW41" s="6">
        <v>45</v>
      </c>
      <c r="CX41" s="6"/>
      <c r="CY41" s="6"/>
      <c r="CZ41" s="6"/>
      <c r="DA41" s="6"/>
      <c r="DB41" s="6"/>
      <c r="DC41" s="6"/>
      <c r="DD41" s="1"/>
      <c r="DE41" s="1"/>
    </row>
    <row r="42" spans="2:109" ht="24" customHeight="1" thickBot="1">
      <c r="M42" s="5" t="s">
        <v>98</v>
      </c>
      <c r="N42" s="6" t="s">
        <v>99</v>
      </c>
      <c r="O42" s="6" t="s">
        <v>100</v>
      </c>
      <c r="P42" s="6" t="s">
        <v>64</v>
      </c>
      <c r="Q42" s="96" t="str">
        <f t="shared" ref="Q42:Q47" si="26">CONCATENATE(M42,": ",P42,": ",O42)</f>
        <v>n70: FDD: 1995 MHz – 2020 MHz</v>
      </c>
      <c r="R42" s="136">
        <v>70</v>
      </c>
      <c r="S42" s="137" t="str">
        <f t="shared" ref="S42:S47" si="27">P42</f>
        <v>FDD</v>
      </c>
      <c r="BH42">
        <f t="shared" si="12"/>
        <v>0</v>
      </c>
      <c r="BI42" s="158">
        <f t="shared" si="13"/>
        <v>4.8</v>
      </c>
      <c r="BJ42" s="114" t="str">
        <f t="shared" si="14"/>
        <v>Format 38 - DL 14.% : UL  71.% /(2)DL:(10)UL</v>
      </c>
      <c r="BK42" s="5">
        <v>38</v>
      </c>
      <c r="BL42" s="6" t="s">
        <v>5</v>
      </c>
      <c r="BM42" s="6" t="s">
        <v>5</v>
      </c>
      <c r="BN42" s="6" t="s">
        <v>7</v>
      </c>
      <c r="BO42" s="6" t="s">
        <v>7</v>
      </c>
      <c r="BP42" s="6" t="s">
        <v>6</v>
      </c>
      <c r="BQ42" s="6" t="s">
        <v>6</v>
      </c>
      <c r="BR42" s="6" t="s">
        <v>6</v>
      </c>
      <c r="BS42" s="6" t="s">
        <v>6</v>
      </c>
      <c r="BT42" s="6" t="s">
        <v>6</v>
      </c>
      <c r="BU42" s="6" t="s">
        <v>6</v>
      </c>
      <c r="BV42" s="6" t="s">
        <v>6</v>
      </c>
      <c r="BW42" s="6" t="s">
        <v>6</v>
      </c>
      <c r="BX42" s="6" t="s">
        <v>6</v>
      </c>
      <c r="BY42" s="18" t="s">
        <v>6</v>
      </c>
      <c r="BZ42" s="1">
        <f t="shared" si="20"/>
        <v>2</v>
      </c>
      <c r="CA42" s="1">
        <f t="shared" si="21"/>
        <v>10</v>
      </c>
      <c r="CB42" s="1">
        <f t="shared" si="22"/>
        <v>2</v>
      </c>
      <c r="CC42" s="141">
        <f t="shared" si="23"/>
        <v>0.14285714285714285</v>
      </c>
      <c r="CD42" s="141">
        <f t="shared" si="24"/>
        <v>0.7142857142857143</v>
      </c>
      <c r="CE42" s="141">
        <f t="shared" si="25"/>
        <v>0.14285714285714285</v>
      </c>
      <c r="CF42" s="142">
        <f t="shared" si="8"/>
        <v>14.285714285714285</v>
      </c>
      <c r="CG42" s="142">
        <f t="shared" si="9"/>
        <v>71.428571428571431</v>
      </c>
      <c r="CH42" s="142">
        <f t="shared" si="10"/>
        <v>14.285714285714285</v>
      </c>
      <c r="CK42" s="96" t="str">
        <f t="shared" si="11"/>
        <v>25_30</v>
      </c>
      <c r="CL42" s="122">
        <v>25</v>
      </c>
      <c r="CM42" s="236" t="s">
        <v>363</v>
      </c>
      <c r="CN42" s="6">
        <v>30</v>
      </c>
      <c r="CO42" s="5"/>
      <c r="CP42" s="6">
        <v>10</v>
      </c>
      <c r="CQ42" s="6">
        <v>15</v>
      </c>
      <c r="CR42" s="6">
        <v>20</v>
      </c>
      <c r="CS42" s="6">
        <v>25</v>
      </c>
      <c r="CT42" s="6">
        <v>30</v>
      </c>
      <c r="CU42" s="6">
        <v>35</v>
      </c>
      <c r="CV42" s="6">
        <v>40</v>
      </c>
      <c r="CW42" s="6">
        <v>45</v>
      </c>
      <c r="CX42" s="6"/>
      <c r="CY42" s="6"/>
      <c r="CZ42" s="6"/>
      <c r="DA42" s="6"/>
      <c r="DB42" s="6"/>
      <c r="DC42" s="6"/>
      <c r="DD42" s="1"/>
      <c r="DE42" s="1"/>
    </row>
    <row r="43" spans="2:109" ht="15.75" thickBot="1">
      <c r="M43" s="5" t="s">
        <v>101</v>
      </c>
      <c r="N43" s="6" t="s">
        <v>102</v>
      </c>
      <c r="O43" s="6" t="s">
        <v>103</v>
      </c>
      <c r="P43" s="6" t="s">
        <v>64</v>
      </c>
      <c r="Q43" s="96" t="str">
        <f t="shared" si="26"/>
        <v>n71: FDD: 617 MHz – 652 MHz</v>
      </c>
      <c r="R43" s="136">
        <v>71</v>
      </c>
      <c r="S43" s="137" t="str">
        <f t="shared" si="27"/>
        <v>FDD</v>
      </c>
      <c r="BH43">
        <f t="shared" si="12"/>
        <v>0</v>
      </c>
      <c r="BI43" s="158">
        <f t="shared" si="13"/>
        <v>4.8</v>
      </c>
      <c r="BJ43" s="114" t="str">
        <f t="shared" si="14"/>
        <v>Format 39 - DL 21.% : UL  64.% /(3)DL:(9)UL</v>
      </c>
      <c r="BK43" s="5">
        <v>39</v>
      </c>
      <c r="BL43" s="6" t="s">
        <v>5</v>
      </c>
      <c r="BM43" s="6" t="s">
        <v>5</v>
      </c>
      <c r="BN43" s="6" t="s">
        <v>5</v>
      </c>
      <c r="BO43" s="6" t="s">
        <v>7</v>
      </c>
      <c r="BP43" s="6" t="s">
        <v>7</v>
      </c>
      <c r="BQ43" s="6" t="s">
        <v>6</v>
      </c>
      <c r="BR43" s="6" t="s">
        <v>6</v>
      </c>
      <c r="BS43" s="6" t="s">
        <v>6</v>
      </c>
      <c r="BT43" s="6" t="s">
        <v>6</v>
      </c>
      <c r="BU43" s="6" t="s">
        <v>6</v>
      </c>
      <c r="BV43" s="6" t="s">
        <v>6</v>
      </c>
      <c r="BW43" s="6" t="s">
        <v>6</v>
      </c>
      <c r="BX43" s="6" t="s">
        <v>6</v>
      </c>
      <c r="BY43" s="18" t="s">
        <v>6</v>
      </c>
      <c r="BZ43" s="1">
        <f t="shared" si="20"/>
        <v>3</v>
      </c>
      <c r="CA43" s="1">
        <f t="shared" si="21"/>
        <v>9</v>
      </c>
      <c r="CB43" s="1">
        <f t="shared" si="22"/>
        <v>2</v>
      </c>
      <c r="CC43" s="141">
        <f t="shared" si="23"/>
        <v>0.21428571428571427</v>
      </c>
      <c r="CD43" s="141">
        <f t="shared" si="24"/>
        <v>0.6428571428571429</v>
      </c>
      <c r="CE43" s="141">
        <f t="shared" si="25"/>
        <v>0.14285714285714285</v>
      </c>
      <c r="CF43" s="142">
        <f t="shared" si="8"/>
        <v>21.428571428571427</v>
      </c>
      <c r="CG43" s="142">
        <f t="shared" si="9"/>
        <v>64.285714285714292</v>
      </c>
      <c r="CH43" s="142">
        <f t="shared" si="10"/>
        <v>14.285714285714285</v>
      </c>
      <c r="CK43" s="96" t="str">
        <f t="shared" si="11"/>
        <v>25_60</v>
      </c>
      <c r="CL43" s="122">
        <v>25</v>
      </c>
      <c r="CM43" s="5"/>
      <c r="CN43" s="6">
        <v>60</v>
      </c>
      <c r="CO43" s="5"/>
      <c r="CP43" s="6">
        <v>10</v>
      </c>
      <c r="CQ43" s="6">
        <v>15</v>
      </c>
      <c r="CR43" s="6">
        <v>20</v>
      </c>
      <c r="CS43" s="6">
        <v>25</v>
      </c>
      <c r="CT43" s="6">
        <v>30</v>
      </c>
      <c r="CU43" s="6">
        <v>35</v>
      </c>
      <c r="CV43" s="6">
        <v>40</v>
      </c>
      <c r="CW43" s="6">
        <v>45</v>
      </c>
      <c r="CX43" s="6"/>
      <c r="CY43" s="6"/>
      <c r="CZ43" s="6"/>
      <c r="DA43" s="6"/>
      <c r="DB43" s="6"/>
      <c r="DC43" s="6"/>
      <c r="DD43" s="1"/>
      <c r="DE43" s="1"/>
    </row>
    <row r="44" spans="2:109" ht="24.75" thickBot="1">
      <c r="M44" s="5" t="s">
        <v>104</v>
      </c>
      <c r="N44" s="6" t="s">
        <v>105</v>
      </c>
      <c r="O44" s="6" t="s">
        <v>106</v>
      </c>
      <c r="P44" s="6" t="s">
        <v>64</v>
      </c>
      <c r="Q44" s="96" t="str">
        <f t="shared" si="26"/>
        <v>n74: FDD: 1475 MHz – 1518 MHz</v>
      </c>
      <c r="R44" s="136">
        <v>74</v>
      </c>
      <c r="S44" s="137" t="str">
        <f t="shared" si="27"/>
        <v>FDD</v>
      </c>
      <c r="BH44">
        <f t="shared" si="12"/>
        <v>0</v>
      </c>
      <c r="BI44" s="158">
        <f t="shared" si="13"/>
        <v>10.1</v>
      </c>
      <c r="BJ44" s="114" t="str">
        <f t="shared" si="14"/>
        <v>Format 40 - DL 7.1% : UL  71.% /(1)DL:(10)UL</v>
      </c>
      <c r="BK44" s="5">
        <v>40</v>
      </c>
      <c r="BL44" s="6" t="s">
        <v>5</v>
      </c>
      <c r="BM44" s="6" t="s">
        <v>7</v>
      </c>
      <c r="BN44" s="6" t="s">
        <v>7</v>
      </c>
      <c r="BO44" s="6" t="s">
        <v>7</v>
      </c>
      <c r="BP44" s="6" t="s">
        <v>6</v>
      </c>
      <c r="BQ44" s="6" t="s">
        <v>6</v>
      </c>
      <c r="BR44" s="6" t="s">
        <v>6</v>
      </c>
      <c r="BS44" s="6" t="s">
        <v>6</v>
      </c>
      <c r="BT44" s="6" t="s">
        <v>6</v>
      </c>
      <c r="BU44" s="6" t="s">
        <v>6</v>
      </c>
      <c r="BV44" s="6" t="s">
        <v>6</v>
      </c>
      <c r="BW44" s="6" t="s">
        <v>6</v>
      </c>
      <c r="BX44" s="6" t="s">
        <v>6</v>
      </c>
      <c r="BY44" s="18" t="s">
        <v>6</v>
      </c>
      <c r="BZ44" s="1">
        <f t="shared" si="20"/>
        <v>1</v>
      </c>
      <c r="CA44" s="1">
        <f t="shared" si="21"/>
        <v>10</v>
      </c>
      <c r="CB44" s="1">
        <f t="shared" si="22"/>
        <v>3</v>
      </c>
      <c r="CC44" s="141">
        <f t="shared" si="23"/>
        <v>7.1428571428571425E-2</v>
      </c>
      <c r="CD44" s="141">
        <f t="shared" si="24"/>
        <v>0.7142857142857143</v>
      </c>
      <c r="CE44" s="141">
        <f t="shared" si="25"/>
        <v>0.21428571428571427</v>
      </c>
      <c r="CF44" s="142">
        <f t="shared" si="8"/>
        <v>7.1428571428571423</v>
      </c>
      <c r="CG44" s="142">
        <f t="shared" si="9"/>
        <v>71.428571428571431</v>
      </c>
      <c r="CH44" s="142">
        <f t="shared" si="10"/>
        <v>21.428571428571427</v>
      </c>
      <c r="CK44" s="96" t="str">
        <f t="shared" si="11"/>
        <v>26_15</v>
      </c>
      <c r="CL44" s="122">
        <v>26</v>
      </c>
      <c r="CM44" s="236" t="s">
        <v>366</v>
      </c>
      <c r="CN44" s="6">
        <v>15</v>
      </c>
      <c r="CO44" s="5">
        <v>5</v>
      </c>
      <c r="CP44" s="6">
        <v>10</v>
      </c>
      <c r="CQ44" s="6">
        <v>15</v>
      </c>
      <c r="CR44" s="6">
        <v>20</v>
      </c>
      <c r="CS44" s="6">
        <v>257</v>
      </c>
      <c r="CT44" s="6">
        <v>307</v>
      </c>
      <c r="CU44" s="6"/>
      <c r="CV44" s="6"/>
      <c r="CW44" s="6"/>
      <c r="CX44" s="6"/>
      <c r="CY44" s="6"/>
      <c r="CZ44" s="6"/>
      <c r="DA44" s="6"/>
      <c r="DB44" s="6"/>
      <c r="DC44" s="6"/>
      <c r="DD44" s="1"/>
      <c r="DE44" s="1"/>
    </row>
    <row r="45" spans="2:109" ht="24.75" thickBot="1">
      <c r="M45" s="5" t="s">
        <v>111</v>
      </c>
      <c r="N45" s="6" t="s">
        <v>112</v>
      </c>
      <c r="O45" s="6" t="s">
        <v>112</v>
      </c>
      <c r="P45" s="6" t="s">
        <v>88</v>
      </c>
      <c r="Q45" s="96" t="str">
        <f t="shared" si="26"/>
        <v>n77: TDD: 3300 MHz – 4200 MHz</v>
      </c>
      <c r="R45" s="136">
        <v>77</v>
      </c>
      <c r="S45" s="137" t="str">
        <f t="shared" si="27"/>
        <v>TDD</v>
      </c>
      <c r="BH45">
        <f t="shared" si="12"/>
        <v>0</v>
      </c>
      <c r="BI45" s="158">
        <f t="shared" si="13"/>
        <v>10.1</v>
      </c>
      <c r="BJ45" s="114" t="str">
        <f t="shared" si="14"/>
        <v>Format 41 - DL 14.% : UL  64.% /(2)DL:(9)UL</v>
      </c>
      <c r="BK45" s="5">
        <v>41</v>
      </c>
      <c r="BL45" s="6" t="s">
        <v>5</v>
      </c>
      <c r="BM45" s="6" t="s">
        <v>5</v>
      </c>
      <c r="BN45" s="6" t="s">
        <v>7</v>
      </c>
      <c r="BO45" s="6" t="s">
        <v>7</v>
      </c>
      <c r="BP45" s="6" t="s">
        <v>7</v>
      </c>
      <c r="BQ45" s="6" t="s">
        <v>6</v>
      </c>
      <c r="BR45" s="6" t="s">
        <v>6</v>
      </c>
      <c r="BS45" s="6" t="s">
        <v>6</v>
      </c>
      <c r="BT45" s="6" t="s">
        <v>6</v>
      </c>
      <c r="BU45" s="6" t="s">
        <v>6</v>
      </c>
      <c r="BV45" s="6" t="s">
        <v>6</v>
      </c>
      <c r="BW45" s="6" t="s">
        <v>6</v>
      </c>
      <c r="BX45" s="6" t="s">
        <v>6</v>
      </c>
      <c r="BY45" s="18" t="s">
        <v>6</v>
      </c>
      <c r="BZ45" s="1">
        <f t="shared" si="20"/>
        <v>2</v>
      </c>
      <c r="CA45" s="1">
        <f t="shared" si="21"/>
        <v>9</v>
      </c>
      <c r="CB45" s="1">
        <f t="shared" si="22"/>
        <v>3</v>
      </c>
      <c r="CC45" s="141">
        <f t="shared" si="23"/>
        <v>0.14285714285714285</v>
      </c>
      <c r="CD45" s="141">
        <f t="shared" si="24"/>
        <v>0.6428571428571429</v>
      </c>
      <c r="CE45" s="141">
        <f t="shared" si="25"/>
        <v>0.21428571428571427</v>
      </c>
      <c r="CF45" s="142">
        <f t="shared" si="8"/>
        <v>14.285714285714285</v>
      </c>
      <c r="CG45" s="142">
        <f t="shared" si="9"/>
        <v>64.285714285714292</v>
      </c>
      <c r="CH45" s="142">
        <f t="shared" si="10"/>
        <v>21.428571428571427</v>
      </c>
      <c r="CK45" s="96" t="str">
        <f t="shared" si="11"/>
        <v>26_30</v>
      </c>
      <c r="CL45" s="122">
        <v>26</v>
      </c>
      <c r="CM45" s="5"/>
      <c r="CN45" s="6">
        <v>30</v>
      </c>
      <c r="CO45" s="5"/>
      <c r="CP45" s="6">
        <v>10</v>
      </c>
      <c r="CQ45" s="6">
        <v>15</v>
      </c>
      <c r="CR45" s="6">
        <v>20</v>
      </c>
      <c r="CS45" s="6">
        <v>257</v>
      </c>
      <c r="CT45" s="6">
        <v>307</v>
      </c>
      <c r="CU45" s="6"/>
      <c r="CV45" s="6"/>
      <c r="CW45" s="6"/>
      <c r="CX45" s="6"/>
      <c r="CY45" s="6"/>
      <c r="CZ45" s="6"/>
      <c r="DA45" s="6"/>
      <c r="DB45" s="6"/>
      <c r="DC45" s="6"/>
      <c r="DD45" s="1"/>
      <c r="DE45" s="1"/>
    </row>
    <row r="46" spans="2:109" ht="24.75" thickBot="1">
      <c r="C46" s="132"/>
      <c r="D46" s="132"/>
      <c r="E46" s="132"/>
      <c r="F46" s="219">
        <f>inputs!C28</f>
        <v>80</v>
      </c>
      <c r="M46" s="5" t="s">
        <v>113</v>
      </c>
      <c r="N46" s="6" t="s">
        <v>114</v>
      </c>
      <c r="O46" s="6" t="s">
        <v>114</v>
      </c>
      <c r="P46" s="6" t="s">
        <v>88</v>
      </c>
      <c r="Q46" s="96" t="str">
        <f t="shared" si="26"/>
        <v>n78: TDD: 3300 MHz – 3800 MHz</v>
      </c>
      <c r="R46" s="136">
        <v>78</v>
      </c>
      <c r="S46" s="137" t="str">
        <f t="shared" si="27"/>
        <v>TDD</v>
      </c>
      <c r="BH46">
        <f t="shared" si="12"/>
        <v>0</v>
      </c>
      <c r="BI46" s="158">
        <f t="shared" si="13"/>
        <v>10.1</v>
      </c>
      <c r="BJ46" s="114" t="str">
        <f t="shared" si="14"/>
        <v>Format 42 - DL 21.% : UL  57.% /(3)DL:(8)UL</v>
      </c>
      <c r="BK46" s="5">
        <v>42</v>
      </c>
      <c r="BL46" s="6" t="s">
        <v>5</v>
      </c>
      <c r="BM46" s="6" t="s">
        <v>5</v>
      </c>
      <c r="BN46" s="6" t="s">
        <v>5</v>
      </c>
      <c r="BO46" s="6" t="s">
        <v>7</v>
      </c>
      <c r="BP46" s="6" t="s">
        <v>7</v>
      </c>
      <c r="BQ46" s="6" t="s">
        <v>7</v>
      </c>
      <c r="BR46" s="6" t="s">
        <v>6</v>
      </c>
      <c r="BS46" s="6" t="s">
        <v>6</v>
      </c>
      <c r="BT46" s="6" t="s">
        <v>6</v>
      </c>
      <c r="BU46" s="6" t="s">
        <v>6</v>
      </c>
      <c r="BV46" s="6" t="s">
        <v>6</v>
      </c>
      <c r="BW46" s="6" t="s">
        <v>6</v>
      </c>
      <c r="BX46" s="6" t="s">
        <v>6</v>
      </c>
      <c r="BY46" s="18" t="s">
        <v>6</v>
      </c>
      <c r="BZ46" s="1">
        <f t="shared" si="20"/>
        <v>3</v>
      </c>
      <c r="CA46" s="1">
        <f t="shared" si="21"/>
        <v>8</v>
      </c>
      <c r="CB46" s="1">
        <f t="shared" si="22"/>
        <v>3</v>
      </c>
      <c r="CC46" s="141">
        <f t="shared" si="23"/>
        <v>0.21428571428571427</v>
      </c>
      <c r="CD46" s="141">
        <f t="shared" si="24"/>
        <v>0.5714285714285714</v>
      </c>
      <c r="CE46" s="141">
        <f t="shared" si="25"/>
        <v>0.21428571428571427</v>
      </c>
      <c r="CF46" s="142">
        <f t="shared" si="8"/>
        <v>21.428571428571427</v>
      </c>
      <c r="CG46" s="142">
        <f t="shared" si="9"/>
        <v>57.142857142857139</v>
      </c>
      <c r="CH46" s="142">
        <f t="shared" si="10"/>
        <v>21.428571428571427</v>
      </c>
      <c r="CK46" s="96" t="str">
        <f t="shared" si="11"/>
        <v>28_15</v>
      </c>
      <c r="CL46" s="122">
        <v>28</v>
      </c>
      <c r="CM46" s="236"/>
      <c r="CN46" s="6">
        <v>15</v>
      </c>
      <c r="CO46" s="5">
        <v>5</v>
      </c>
      <c r="CP46" s="6">
        <v>10</v>
      </c>
      <c r="CQ46" s="6">
        <v>15</v>
      </c>
      <c r="CR46" s="6">
        <v>20</v>
      </c>
      <c r="CS46" s="6">
        <v>25</v>
      </c>
      <c r="CT46" s="6">
        <v>30</v>
      </c>
      <c r="CU46" s="6"/>
      <c r="CV46" s="6">
        <v>40</v>
      </c>
      <c r="CW46" s="6"/>
      <c r="CX46" s="6"/>
      <c r="CY46" s="6"/>
      <c r="CZ46" s="6"/>
      <c r="DA46" s="6"/>
      <c r="DB46" s="6"/>
      <c r="DC46" s="6"/>
      <c r="DD46" s="1"/>
      <c r="DE46" s="1"/>
    </row>
    <row r="47" spans="2:109" ht="24.75" thickBot="1">
      <c r="C47" s="132" t="s">
        <v>281</v>
      </c>
      <c r="D47" s="132"/>
      <c r="E47" s="132"/>
      <c r="F47" s="219">
        <f>inputs!C23</f>
        <v>1</v>
      </c>
      <c r="M47" s="5" t="s">
        <v>115</v>
      </c>
      <c r="N47" s="6" t="s">
        <v>116</v>
      </c>
      <c r="O47" s="6" t="s">
        <v>116</v>
      </c>
      <c r="P47" s="6" t="s">
        <v>88</v>
      </c>
      <c r="Q47" s="96" t="str">
        <f t="shared" si="26"/>
        <v>n79: TDD: 4400 MHz – 5000 MHz</v>
      </c>
      <c r="R47" s="136">
        <v>79</v>
      </c>
      <c r="S47" s="137" t="str">
        <f t="shared" si="27"/>
        <v>TDD</v>
      </c>
      <c r="BH47">
        <f t="shared" si="12"/>
        <v>0</v>
      </c>
      <c r="BI47" s="158">
        <f t="shared" si="13"/>
        <v>15.5</v>
      </c>
      <c r="BJ47" s="114" t="str">
        <f t="shared" si="14"/>
        <v>Format 43 - DL 64.% : UL  7.1% /(9)DL:(1)UL</v>
      </c>
      <c r="BK47" s="5">
        <v>43</v>
      </c>
      <c r="BL47" s="6" t="s">
        <v>5</v>
      </c>
      <c r="BM47" s="6" t="s">
        <v>5</v>
      </c>
      <c r="BN47" s="6" t="s">
        <v>5</v>
      </c>
      <c r="BO47" s="6" t="s">
        <v>5</v>
      </c>
      <c r="BP47" s="6" t="s">
        <v>5</v>
      </c>
      <c r="BQ47" s="6" t="s">
        <v>5</v>
      </c>
      <c r="BR47" s="6" t="s">
        <v>5</v>
      </c>
      <c r="BS47" s="6" t="s">
        <v>5</v>
      </c>
      <c r="BT47" s="6" t="s">
        <v>5</v>
      </c>
      <c r="BU47" s="6" t="s">
        <v>7</v>
      </c>
      <c r="BV47" s="6" t="s">
        <v>7</v>
      </c>
      <c r="BW47" s="6" t="s">
        <v>7</v>
      </c>
      <c r="BX47" s="6" t="s">
        <v>7</v>
      </c>
      <c r="BY47" s="18" t="s">
        <v>6</v>
      </c>
      <c r="BZ47" s="1">
        <f t="shared" si="20"/>
        <v>9</v>
      </c>
      <c r="CA47" s="1">
        <f t="shared" si="21"/>
        <v>1</v>
      </c>
      <c r="CB47" s="1">
        <f t="shared" si="22"/>
        <v>4</v>
      </c>
      <c r="CC47" s="141">
        <f t="shared" si="23"/>
        <v>0.6428571428571429</v>
      </c>
      <c r="CD47" s="141">
        <f t="shared" si="24"/>
        <v>7.1428571428571425E-2</v>
      </c>
      <c r="CE47" s="141">
        <f t="shared" si="25"/>
        <v>0.2857142857142857</v>
      </c>
      <c r="CF47" s="142">
        <f t="shared" si="8"/>
        <v>64.285714285714292</v>
      </c>
      <c r="CG47" s="142">
        <f t="shared" si="9"/>
        <v>7.1428571428571423</v>
      </c>
      <c r="CH47" s="142">
        <f t="shared" si="10"/>
        <v>28.571428571428569</v>
      </c>
      <c r="CK47" s="96" t="str">
        <f t="shared" si="11"/>
        <v>28_30</v>
      </c>
      <c r="CL47" s="122">
        <v>28</v>
      </c>
      <c r="CM47" s="236" t="s">
        <v>83</v>
      </c>
      <c r="CN47" s="6">
        <v>30</v>
      </c>
      <c r="CO47" s="5"/>
      <c r="CP47" s="6">
        <v>10</v>
      </c>
      <c r="CQ47" s="6">
        <v>15</v>
      </c>
      <c r="CR47" s="6">
        <v>20</v>
      </c>
      <c r="CS47" s="6">
        <v>25</v>
      </c>
      <c r="CT47" s="6">
        <v>30</v>
      </c>
      <c r="CU47" s="6"/>
      <c r="CV47" s="6">
        <v>40</v>
      </c>
      <c r="CW47" s="6"/>
      <c r="CX47" s="6"/>
      <c r="CY47" s="6"/>
      <c r="CZ47" s="6"/>
      <c r="DA47" s="6"/>
      <c r="DB47" s="6"/>
      <c r="DC47" s="6"/>
      <c r="DD47" s="1"/>
      <c r="DE47" s="1"/>
    </row>
    <row r="48" spans="2:109" ht="15.75" thickBot="1">
      <c r="C48" s="132" t="s">
        <v>282</v>
      </c>
      <c r="D48" s="132"/>
      <c r="E48" s="132"/>
      <c r="F48" s="219">
        <f>inputs!C25</f>
        <v>36</v>
      </c>
      <c r="M48" s="5" t="s">
        <v>391</v>
      </c>
      <c r="N48" s="6" t="s">
        <v>392</v>
      </c>
      <c r="O48" s="6" t="s">
        <v>393</v>
      </c>
      <c r="P48" s="6" t="s">
        <v>64</v>
      </c>
      <c r="Q48" s="96" t="str">
        <f t="shared" ref="Q48:Q54" si="28">CONCATENATE(M48,": ",P48,": ",O48)</f>
        <v>n85: FDD: 728 MHz – 746 MHz</v>
      </c>
      <c r="R48" s="136">
        <v>85</v>
      </c>
      <c r="S48" s="137" t="str">
        <f t="shared" ref="S48:S54" si="29">P48</f>
        <v>FDD</v>
      </c>
      <c r="BH48">
        <f t="shared" si="12"/>
        <v>0</v>
      </c>
      <c r="BI48" s="158">
        <f t="shared" si="13"/>
        <v>26.200000000000003</v>
      </c>
      <c r="BJ48" s="114" t="str">
        <f t="shared" si="14"/>
        <v>Format 44 - DL 42.% : UL  14.% /(6)DL:(2)UL</v>
      </c>
      <c r="BK48" s="5">
        <v>44</v>
      </c>
      <c r="BL48" s="6" t="s">
        <v>5</v>
      </c>
      <c r="BM48" s="6" t="s">
        <v>5</v>
      </c>
      <c r="BN48" s="6" t="s">
        <v>5</v>
      </c>
      <c r="BO48" s="6" t="s">
        <v>5</v>
      </c>
      <c r="BP48" s="6" t="s">
        <v>5</v>
      </c>
      <c r="BQ48" s="6" t="s">
        <v>5</v>
      </c>
      <c r="BR48" s="6" t="s">
        <v>7</v>
      </c>
      <c r="BS48" s="6" t="s">
        <v>7</v>
      </c>
      <c r="BT48" s="6" t="s">
        <v>7</v>
      </c>
      <c r="BU48" s="6" t="s">
        <v>7</v>
      </c>
      <c r="BV48" s="6" t="s">
        <v>7</v>
      </c>
      <c r="BW48" s="6" t="s">
        <v>7</v>
      </c>
      <c r="BX48" s="6" t="s">
        <v>6</v>
      </c>
      <c r="BY48" s="18" t="s">
        <v>6</v>
      </c>
      <c r="BZ48" s="1">
        <f t="shared" si="20"/>
        <v>6</v>
      </c>
      <c r="CA48" s="1">
        <f t="shared" si="21"/>
        <v>2</v>
      </c>
      <c r="CB48" s="1">
        <f t="shared" si="22"/>
        <v>6</v>
      </c>
      <c r="CC48" s="141">
        <f t="shared" si="23"/>
        <v>0.42857142857142855</v>
      </c>
      <c r="CD48" s="141">
        <f t="shared" si="24"/>
        <v>0.14285714285714285</v>
      </c>
      <c r="CE48" s="141">
        <f t="shared" si="25"/>
        <v>0.42857142857142855</v>
      </c>
      <c r="CF48" s="142">
        <f t="shared" si="8"/>
        <v>42.857142857142854</v>
      </c>
      <c r="CG48" s="142">
        <f t="shared" si="9"/>
        <v>14.285714285714285</v>
      </c>
      <c r="CH48" s="142">
        <f t="shared" si="10"/>
        <v>42.857142857142854</v>
      </c>
      <c r="CK48" s="96" t="str">
        <f t="shared" si="11"/>
        <v>28_60</v>
      </c>
      <c r="CL48" s="122">
        <v>28</v>
      </c>
      <c r="CM48" s="5"/>
      <c r="CN48" s="6">
        <v>60</v>
      </c>
      <c r="CO48" s="5"/>
      <c r="CP48" s="6"/>
      <c r="CQ48" s="6"/>
      <c r="CR48" s="6"/>
      <c r="CS48" s="6"/>
      <c r="CT48" s="6"/>
      <c r="CU48" s="6"/>
      <c r="CV48" s="6"/>
      <c r="CW48" s="6"/>
      <c r="CX48" s="6"/>
      <c r="CY48" s="6"/>
      <c r="CZ48" s="6"/>
      <c r="DA48" s="6"/>
      <c r="DB48" s="6"/>
      <c r="DC48" s="6"/>
      <c r="DD48" s="1"/>
      <c r="DE48" s="1"/>
    </row>
    <row r="49" spans="3:109" ht="24.75" thickBot="1">
      <c r="C49" s="132" t="s">
        <v>283</v>
      </c>
      <c r="D49" s="132">
        <f>E49/(2^(numerologie_NR)*10^3)*1</f>
        <v>3.7499999999999999E-2</v>
      </c>
      <c r="E49" s="132">
        <f>(CSI_RS_slots+IF(Measurement_Gap="NO",0,13)) *(2^(numerologie_NR)*1000)/CSI_RS_periodicity</f>
        <v>75</v>
      </c>
      <c r="F49" s="132"/>
      <c r="M49" s="5" t="s">
        <v>396</v>
      </c>
      <c r="N49" s="6" t="s">
        <v>90</v>
      </c>
      <c r="O49" s="6" t="s">
        <v>90</v>
      </c>
      <c r="P49" s="6" t="s">
        <v>88</v>
      </c>
      <c r="Q49" s="96" t="str">
        <f t="shared" si="28"/>
        <v>n90: TDD: 2496 MHz – 2690 MHz</v>
      </c>
      <c r="R49" s="136">
        <v>90</v>
      </c>
      <c r="S49" s="137" t="str">
        <f t="shared" si="29"/>
        <v>TDD</v>
      </c>
      <c r="BH49">
        <f t="shared" si="12"/>
        <v>0</v>
      </c>
      <c r="BI49" s="158">
        <f t="shared" si="13"/>
        <v>4.8</v>
      </c>
      <c r="BJ49" s="114" t="str">
        <f t="shared" si="14"/>
        <v>Format 45 - DL 42.% : UL  42.% /(6)DL:(6)UL</v>
      </c>
      <c r="BK49" s="5">
        <v>45</v>
      </c>
      <c r="BL49" s="6" t="s">
        <v>5</v>
      </c>
      <c r="BM49" s="6" t="s">
        <v>5</v>
      </c>
      <c r="BN49" s="6" t="s">
        <v>5</v>
      </c>
      <c r="BO49" s="6" t="s">
        <v>5</v>
      </c>
      <c r="BP49" s="6" t="s">
        <v>5</v>
      </c>
      <c r="BQ49" s="6" t="s">
        <v>5</v>
      </c>
      <c r="BR49" s="6" t="s">
        <v>7</v>
      </c>
      <c r="BS49" s="6" t="s">
        <v>7</v>
      </c>
      <c r="BT49" s="6" t="s">
        <v>6</v>
      </c>
      <c r="BU49" s="6" t="s">
        <v>6</v>
      </c>
      <c r="BV49" s="6" t="s">
        <v>6</v>
      </c>
      <c r="BW49" s="6" t="s">
        <v>6</v>
      </c>
      <c r="BX49" s="6" t="s">
        <v>6</v>
      </c>
      <c r="BY49" s="18" t="s">
        <v>6</v>
      </c>
      <c r="BZ49" s="1">
        <f t="shared" si="20"/>
        <v>6</v>
      </c>
      <c r="CA49" s="1">
        <f t="shared" si="21"/>
        <v>6</v>
      </c>
      <c r="CB49" s="1">
        <f t="shared" si="22"/>
        <v>2</v>
      </c>
      <c r="CC49" s="141">
        <f t="shared" si="23"/>
        <v>0.42857142857142855</v>
      </c>
      <c r="CD49" s="141">
        <f t="shared" si="24"/>
        <v>0.42857142857142855</v>
      </c>
      <c r="CE49" s="141">
        <f t="shared" si="25"/>
        <v>0.14285714285714285</v>
      </c>
      <c r="CF49" s="142">
        <f t="shared" si="8"/>
        <v>42.857142857142854</v>
      </c>
      <c r="CG49" s="142">
        <f t="shared" si="9"/>
        <v>42.857142857142854</v>
      </c>
      <c r="CH49" s="142">
        <f t="shared" si="10"/>
        <v>14.285714285714285</v>
      </c>
      <c r="CK49" s="96" t="str">
        <f t="shared" si="11"/>
        <v>29_15</v>
      </c>
      <c r="CL49" s="122">
        <v>29</v>
      </c>
      <c r="CM49" s="236"/>
      <c r="CN49" s="6">
        <v>15</v>
      </c>
      <c r="CO49" s="5">
        <v>5</v>
      </c>
      <c r="CP49" s="6">
        <v>10</v>
      </c>
      <c r="CQ49" s="6"/>
      <c r="CR49" s="6"/>
      <c r="CS49" s="6"/>
      <c r="CT49" s="6"/>
      <c r="CU49" s="6"/>
      <c r="CV49" s="6"/>
      <c r="CW49" s="6"/>
      <c r="CX49" s="6"/>
      <c r="CY49" s="6"/>
      <c r="CZ49" s="6"/>
      <c r="DA49" s="6"/>
      <c r="DB49" s="6"/>
      <c r="DC49" s="6"/>
      <c r="DD49" s="1"/>
      <c r="DE49" s="1"/>
    </row>
    <row r="50" spans="3:109" ht="24.75" thickBot="1">
      <c r="C50" t="s">
        <v>302</v>
      </c>
      <c r="F50" s="159">
        <f>inputs!C24</f>
        <v>2</v>
      </c>
      <c r="M50" s="5" t="s">
        <v>397</v>
      </c>
      <c r="N50" s="6" t="s">
        <v>81</v>
      </c>
      <c r="O50" s="6" t="s">
        <v>94</v>
      </c>
      <c r="P50" s="6" t="s">
        <v>64</v>
      </c>
      <c r="Q50" s="96" t="str">
        <f t="shared" si="28"/>
        <v>n91: FDD: 1427 MHz – 1432 MHz</v>
      </c>
      <c r="R50" s="136">
        <v>91</v>
      </c>
      <c r="S50" s="137" t="str">
        <f t="shared" si="29"/>
        <v>FDD</v>
      </c>
      <c r="BH50">
        <f t="shared" si="12"/>
        <v>0</v>
      </c>
      <c r="BI50" s="158">
        <f t="shared" si="13"/>
        <v>4.8</v>
      </c>
      <c r="BJ50" s="114" t="str">
        <f t="shared" si="14"/>
        <v>Format 46 - DL 71.% : UL  14.% /(10)DL:(2)UL</v>
      </c>
      <c r="BK50" s="5">
        <v>46</v>
      </c>
      <c r="BL50" s="6" t="s">
        <v>5</v>
      </c>
      <c r="BM50" s="6" t="s">
        <v>5</v>
      </c>
      <c r="BN50" s="6" t="s">
        <v>5</v>
      </c>
      <c r="BO50" s="6" t="s">
        <v>5</v>
      </c>
      <c r="BP50" s="6" t="s">
        <v>5</v>
      </c>
      <c r="BQ50" s="6" t="s">
        <v>7</v>
      </c>
      <c r="BR50" s="6" t="s">
        <v>6</v>
      </c>
      <c r="BS50" s="6" t="s">
        <v>5</v>
      </c>
      <c r="BT50" s="6" t="s">
        <v>5</v>
      </c>
      <c r="BU50" s="6" t="s">
        <v>5</v>
      </c>
      <c r="BV50" s="6" t="s">
        <v>5</v>
      </c>
      <c r="BW50" s="6" t="s">
        <v>5</v>
      </c>
      <c r="BX50" s="6" t="s">
        <v>7</v>
      </c>
      <c r="BY50" s="18" t="s">
        <v>6</v>
      </c>
      <c r="BZ50" s="1">
        <f t="shared" si="20"/>
        <v>10</v>
      </c>
      <c r="CA50" s="1">
        <f t="shared" si="21"/>
        <v>2</v>
      </c>
      <c r="CB50" s="1">
        <f t="shared" si="22"/>
        <v>2</v>
      </c>
      <c r="CC50" s="141">
        <f t="shared" si="23"/>
        <v>0.7142857142857143</v>
      </c>
      <c r="CD50" s="141">
        <f t="shared" si="24"/>
        <v>0.14285714285714285</v>
      </c>
      <c r="CE50" s="141">
        <f t="shared" si="25"/>
        <v>0.14285714285714285</v>
      </c>
      <c r="CF50" s="142">
        <f t="shared" si="8"/>
        <v>71.428571428571431</v>
      </c>
      <c r="CG50" s="142">
        <f t="shared" si="9"/>
        <v>14.285714285714285</v>
      </c>
      <c r="CH50" s="142">
        <f t="shared" si="10"/>
        <v>14.285714285714285</v>
      </c>
      <c r="CK50" s="96" t="str">
        <f t="shared" si="11"/>
        <v>29_30</v>
      </c>
      <c r="CL50" s="122">
        <v>29</v>
      </c>
      <c r="CM50" s="236" t="s">
        <v>369</v>
      </c>
      <c r="CN50" s="6">
        <v>30</v>
      </c>
      <c r="CO50" s="5"/>
      <c r="CP50" s="6">
        <v>10</v>
      </c>
      <c r="CQ50" s="6"/>
      <c r="CR50" s="6"/>
      <c r="CS50" s="6"/>
      <c r="CT50" s="6"/>
      <c r="CU50" s="6"/>
      <c r="CV50" s="6"/>
      <c r="CW50" s="6"/>
      <c r="CX50" s="6"/>
      <c r="CY50" s="6"/>
      <c r="CZ50" s="6"/>
      <c r="DA50" s="6"/>
      <c r="DB50" s="6"/>
      <c r="DC50" s="6"/>
      <c r="DD50" s="1"/>
      <c r="DE50" s="1"/>
    </row>
    <row r="51" spans="3:109" ht="24.75" thickBot="1">
      <c r="C51" s="123" t="s">
        <v>320</v>
      </c>
      <c r="F51" s="220">
        <f>inputs!C27</f>
        <v>36</v>
      </c>
      <c r="M51" s="5" t="s">
        <v>398</v>
      </c>
      <c r="N51" s="6" t="s">
        <v>81</v>
      </c>
      <c r="O51" s="6" t="s">
        <v>92</v>
      </c>
      <c r="P51" s="6" t="s">
        <v>64</v>
      </c>
      <c r="Q51" s="96" t="str">
        <f t="shared" si="28"/>
        <v>n92: FDD: 1432 MHz – 1517 MHz</v>
      </c>
      <c r="R51" s="136">
        <v>92</v>
      </c>
      <c r="S51" s="137" t="str">
        <f t="shared" si="29"/>
        <v>FDD</v>
      </c>
      <c r="BH51">
        <f t="shared" si="12"/>
        <v>0</v>
      </c>
      <c r="BI51" s="158">
        <f t="shared" si="13"/>
        <v>4.8</v>
      </c>
      <c r="BJ51" s="114" t="str">
        <f t="shared" si="14"/>
        <v>Format 47 - DL 28.% : UL  57.% /(4)DL:(8)UL</v>
      </c>
      <c r="BK51" s="5">
        <v>47</v>
      </c>
      <c r="BL51" s="6" t="s">
        <v>5</v>
      </c>
      <c r="BM51" s="6" t="s">
        <v>5</v>
      </c>
      <c r="BN51" s="6" t="s">
        <v>7</v>
      </c>
      <c r="BO51" s="6" t="s">
        <v>6</v>
      </c>
      <c r="BP51" s="6" t="s">
        <v>6</v>
      </c>
      <c r="BQ51" s="6" t="s">
        <v>6</v>
      </c>
      <c r="BR51" s="6" t="s">
        <v>6</v>
      </c>
      <c r="BS51" s="6" t="s">
        <v>5</v>
      </c>
      <c r="BT51" s="6" t="s">
        <v>5</v>
      </c>
      <c r="BU51" s="6" t="s">
        <v>7</v>
      </c>
      <c r="BV51" s="6" t="s">
        <v>6</v>
      </c>
      <c r="BW51" s="6" t="s">
        <v>6</v>
      </c>
      <c r="BX51" s="6" t="s">
        <v>6</v>
      </c>
      <c r="BY51" s="18" t="s">
        <v>6</v>
      </c>
      <c r="BZ51" s="1">
        <f t="shared" si="20"/>
        <v>4</v>
      </c>
      <c r="CA51" s="1">
        <f t="shared" si="21"/>
        <v>8</v>
      </c>
      <c r="CB51" s="1">
        <f t="shared" si="22"/>
        <v>2</v>
      </c>
      <c r="CC51" s="141">
        <f t="shared" si="23"/>
        <v>0.2857142857142857</v>
      </c>
      <c r="CD51" s="141">
        <f t="shared" si="24"/>
        <v>0.5714285714285714</v>
      </c>
      <c r="CE51" s="141">
        <f t="shared" si="25"/>
        <v>0.14285714285714285</v>
      </c>
      <c r="CF51" s="142">
        <f t="shared" si="8"/>
        <v>28.571428571428569</v>
      </c>
      <c r="CG51" s="142">
        <f t="shared" si="9"/>
        <v>57.142857142857139</v>
      </c>
      <c r="CH51" s="142">
        <f t="shared" si="10"/>
        <v>14.285714285714285</v>
      </c>
      <c r="CK51" s="96" t="str">
        <f t="shared" si="11"/>
        <v>29_60</v>
      </c>
      <c r="CL51" s="122">
        <v>29</v>
      </c>
      <c r="CM51" s="5"/>
      <c r="CN51" s="6">
        <v>60</v>
      </c>
      <c r="CO51" s="5"/>
      <c r="CP51" s="6"/>
      <c r="CQ51" s="6"/>
      <c r="CR51" s="6"/>
      <c r="CS51" s="6"/>
      <c r="CT51" s="6"/>
      <c r="CU51" s="6"/>
      <c r="CV51" s="6"/>
      <c r="CW51" s="6"/>
      <c r="CX51" s="6"/>
      <c r="CY51" s="6"/>
      <c r="CZ51" s="6"/>
      <c r="DA51" s="6"/>
      <c r="DB51" s="6"/>
      <c r="DC51" s="6"/>
      <c r="DD51" s="1"/>
      <c r="DE51" s="1"/>
    </row>
    <row r="52" spans="3:109" ht="24.75" thickBot="1">
      <c r="C52" s="182" t="s">
        <v>324</v>
      </c>
      <c r="D52" s="182">
        <v>0</v>
      </c>
      <c r="E52" s="182">
        <f>1-D52</f>
        <v>1</v>
      </c>
      <c r="M52" s="5" t="s">
        <v>399</v>
      </c>
      <c r="N52" s="6" t="s">
        <v>78</v>
      </c>
      <c r="O52" s="6" t="s">
        <v>94</v>
      </c>
      <c r="P52" s="6" t="s">
        <v>64</v>
      </c>
      <c r="Q52" s="96" t="str">
        <f t="shared" si="28"/>
        <v>n93: FDD: 1427 MHz – 1432 MHz</v>
      </c>
      <c r="R52" s="136">
        <v>93</v>
      </c>
      <c r="S52" s="137" t="str">
        <f t="shared" si="29"/>
        <v>FDD</v>
      </c>
      <c r="BH52">
        <f t="shared" si="12"/>
        <v>0</v>
      </c>
      <c r="BI52" s="158">
        <f t="shared" si="13"/>
        <v>4.8</v>
      </c>
      <c r="BJ52" s="114" t="str">
        <f t="shared" si="14"/>
        <v>Format 48 - DL 14.% : UL  71.% /(2)DL:(10)UL</v>
      </c>
      <c r="BK52" s="5">
        <v>48</v>
      </c>
      <c r="BL52" s="6" t="s">
        <v>5</v>
      </c>
      <c r="BM52" s="6" t="s">
        <v>7</v>
      </c>
      <c r="BN52" s="6" t="s">
        <v>6</v>
      </c>
      <c r="BO52" s="6" t="s">
        <v>6</v>
      </c>
      <c r="BP52" s="6" t="s">
        <v>6</v>
      </c>
      <c r="BQ52" s="6" t="s">
        <v>6</v>
      </c>
      <c r="BR52" s="6" t="s">
        <v>6</v>
      </c>
      <c r="BS52" s="6" t="s">
        <v>5</v>
      </c>
      <c r="BT52" s="6" t="s">
        <v>7</v>
      </c>
      <c r="BU52" s="6" t="s">
        <v>6</v>
      </c>
      <c r="BV52" s="6" t="s">
        <v>6</v>
      </c>
      <c r="BW52" s="6" t="s">
        <v>6</v>
      </c>
      <c r="BX52" s="6" t="s">
        <v>6</v>
      </c>
      <c r="BY52" s="18" t="s">
        <v>6</v>
      </c>
      <c r="BZ52" s="1">
        <f t="shared" si="20"/>
        <v>2</v>
      </c>
      <c r="CA52" s="1">
        <f t="shared" si="21"/>
        <v>10</v>
      </c>
      <c r="CB52" s="1">
        <f t="shared" si="22"/>
        <v>2</v>
      </c>
      <c r="CC52" s="141">
        <f t="shared" si="23"/>
        <v>0.14285714285714285</v>
      </c>
      <c r="CD52" s="141">
        <f t="shared" si="24"/>
        <v>0.7142857142857143</v>
      </c>
      <c r="CE52" s="141">
        <f t="shared" si="25"/>
        <v>0.14285714285714285</v>
      </c>
      <c r="CF52" s="142">
        <f t="shared" si="8"/>
        <v>14.285714285714285</v>
      </c>
      <c r="CG52" s="142">
        <f t="shared" si="9"/>
        <v>71.428571428571431</v>
      </c>
      <c r="CH52" s="142">
        <f t="shared" si="10"/>
        <v>14.285714285714285</v>
      </c>
      <c r="CK52" s="96" t="str">
        <f t="shared" si="11"/>
        <v>30_15</v>
      </c>
      <c r="CL52" s="122">
        <v>30</v>
      </c>
      <c r="CM52" s="236"/>
      <c r="CN52" s="6">
        <v>15</v>
      </c>
      <c r="CO52" s="5">
        <v>5</v>
      </c>
      <c r="CP52" s="6">
        <v>10</v>
      </c>
      <c r="CQ52" s="6"/>
      <c r="CR52" s="6"/>
      <c r="CS52" s="6"/>
      <c r="CT52" s="6"/>
      <c r="CU52" s="6"/>
      <c r="CV52" s="6"/>
      <c r="CW52" s="6"/>
      <c r="CX52" s="6"/>
      <c r="CY52" s="6"/>
      <c r="CZ52" s="6"/>
      <c r="DA52" s="6"/>
      <c r="DB52" s="6"/>
      <c r="DC52" s="6"/>
      <c r="DD52" s="1"/>
      <c r="DE52" s="1"/>
    </row>
    <row r="53" spans="3:109" ht="24.75" thickBot="1">
      <c r="C53" s="132" t="s">
        <v>439</v>
      </c>
      <c r="D53" s="132">
        <f>E53/(2^(numerologie_NR)*10^3)*1</f>
        <v>0</v>
      </c>
      <c r="E53" s="132">
        <f>IF(Measurement_Gap="NO",0,(4) *(2^(numerologie_NR)*1000)/CSI_RS_periodicity)</f>
        <v>0</v>
      </c>
      <c r="M53" s="5" t="s">
        <v>400</v>
      </c>
      <c r="N53" s="6" t="s">
        <v>78</v>
      </c>
      <c r="O53" s="6" t="s">
        <v>92</v>
      </c>
      <c r="P53" s="6" t="s">
        <v>64</v>
      </c>
      <c r="Q53" s="96" t="str">
        <f t="shared" si="28"/>
        <v>n94: FDD: 1432 MHz – 1517 MHz</v>
      </c>
      <c r="R53" s="136">
        <v>94</v>
      </c>
      <c r="S53" s="137" t="str">
        <f t="shared" si="29"/>
        <v>FDD</v>
      </c>
      <c r="BH53">
        <f t="shared" si="12"/>
        <v>0</v>
      </c>
      <c r="BI53" s="158">
        <f t="shared" si="13"/>
        <v>15.5</v>
      </c>
      <c r="BJ53" s="114" t="str">
        <f t="shared" si="14"/>
        <v>Format 49 - DL 57.% : UL  14.% /(8)DL:(2)UL</v>
      </c>
      <c r="BK53" s="5">
        <v>49</v>
      </c>
      <c r="BL53" s="6" t="s">
        <v>5</v>
      </c>
      <c r="BM53" s="6" t="s">
        <v>5</v>
      </c>
      <c r="BN53" s="6" t="s">
        <v>5</v>
      </c>
      <c r="BO53" s="6" t="s">
        <v>5</v>
      </c>
      <c r="BP53" s="6" t="s">
        <v>7</v>
      </c>
      <c r="BQ53" s="6" t="s">
        <v>7</v>
      </c>
      <c r="BR53" s="6" t="s">
        <v>6</v>
      </c>
      <c r="BS53" s="6" t="s">
        <v>5</v>
      </c>
      <c r="BT53" s="6" t="s">
        <v>5</v>
      </c>
      <c r="BU53" s="6" t="s">
        <v>5</v>
      </c>
      <c r="BV53" s="6" t="s">
        <v>5</v>
      </c>
      <c r="BW53" s="6" t="s">
        <v>7</v>
      </c>
      <c r="BX53" s="6" t="s">
        <v>7</v>
      </c>
      <c r="BY53" s="18" t="s">
        <v>6</v>
      </c>
      <c r="BZ53" s="1">
        <f t="shared" si="20"/>
        <v>8</v>
      </c>
      <c r="CA53" s="1">
        <f t="shared" si="21"/>
        <v>2</v>
      </c>
      <c r="CB53" s="1">
        <f t="shared" si="22"/>
        <v>4</v>
      </c>
      <c r="CC53" s="141">
        <f t="shared" si="23"/>
        <v>0.5714285714285714</v>
      </c>
      <c r="CD53" s="141">
        <f t="shared" si="24"/>
        <v>0.14285714285714285</v>
      </c>
      <c r="CE53" s="141">
        <f t="shared" si="25"/>
        <v>0.2857142857142857</v>
      </c>
      <c r="CF53" s="142">
        <f t="shared" si="8"/>
        <v>57.142857142857139</v>
      </c>
      <c r="CG53" s="142">
        <f t="shared" si="9"/>
        <v>14.285714285714285</v>
      </c>
      <c r="CH53" s="142">
        <f t="shared" si="10"/>
        <v>28.571428571428569</v>
      </c>
      <c r="CK53" s="96" t="str">
        <f t="shared" si="11"/>
        <v>30_30</v>
      </c>
      <c r="CL53" s="122">
        <v>30</v>
      </c>
      <c r="CM53" s="236" t="s">
        <v>371</v>
      </c>
      <c r="CN53" s="6">
        <v>30</v>
      </c>
      <c r="CO53" s="5"/>
      <c r="CP53" s="6">
        <v>10</v>
      </c>
      <c r="CQ53" s="6"/>
      <c r="CR53" s="6"/>
      <c r="CS53" s="6"/>
      <c r="CT53" s="6"/>
      <c r="CU53" s="6"/>
      <c r="CV53" s="6"/>
      <c r="CW53" s="6"/>
      <c r="CX53" s="6"/>
      <c r="CY53" s="6"/>
      <c r="CZ53" s="6"/>
      <c r="DA53" s="6"/>
      <c r="DB53" s="6"/>
      <c r="DC53" s="6"/>
      <c r="DD53" s="1"/>
      <c r="DE53" s="1"/>
    </row>
    <row r="54" spans="3:109" ht="24.75" thickBot="1">
      <c r="M54" s="5" t="s">
        <v>411</v>
      </c>
      <c r="N54" s="6" t="s">
        <v>401</v>
      </c>
      <c r="O54" s="6" t="s">
        <v>401</v>
      </c>
      <c r="P54" s="6" t="s">
        <v>88</v>
      </c>
      <c r="Q54" s="96" t="str">
        <f t="shared" si="28"/>
        <v>n96: TDD: 5925 MHz – 7125 MHz</v>
      </c>
      <c r="R54" s="136">
        <v>964</v>
      </c>
      <c r="S54" s="137" t="str">
        <f t="shared" si="29"/>
        <v>TDD</v>
      </c>
      <c r="BH54">
        <f t="shared" si="12"/>
        <v>0</v>
      </c>
      <c r="BI54" s="158">
        <f t="shared" si="13"/>
        <v>15.5</v>
      </c>
      <c r="BJ54" s="114" t="str">
        <f t="shared" si="14"/>
        <v>Format 50 - DL 28.% : UL  42.% /(4)DL:(6)UL</v>
      </c>
      <c r="BK54" s="5">
        <v>50</v>
      </c>
      <c r="BL54" s="6" t="s">
        <v>5</v>
      </c>
      <c r="BM54" s="6" t="s">
        <v>5</v>
      </c>
      <c r="BN54" s="6" t="s">
        <v>7</v>
      </c>
      <c r="BO54" s="6" t="s">
        <v>7</v>
      </c>
      <c r="BP54" s="6" t="s">
        <v>6</v>
      </c>
      <c r="BQ54" s="6" t="s">
        <v>6</v>
      </c>
      <c r="BR54" s="6" t="s">
        <v>6</v>
      </c>
      <c r="BS54" s="6" t="s">
        <v>5</v>
      </c>
      <c r="BT54" s="6" t="s">
        <v>5</v>
      </c>
      <c r="BU54" s="6" t="s">
        <v>7</v>
      </c>
      <c r="BV54" s="6" t="s">
        <v>7</v>
      </c>
      <c r="BW54" s="6" t="s">
        <v>6</v>
      </c>
      <c r="BX54" s="6" t="s">
        <v>6</v>
      </c>
      <c r="BY54" s="18" t="s">
        <v>6</v>
      </c>
      <c r="BZ54" s="1">
        <f t="shared" si="20"/>
        <v>4</v>
      </c>
      <c r="CA54" s="1">
        <f t="shared" si="21"/>
        <v>6</v>
      </c>
      <c r="CB54" s="1">
        <f t="shared" si="22"/>
        <v>4</v>
      </c>
      <c r="CC54" s="141">
        <f t="shared" si="23"/>
        <v>0.2857142857142857</v>
      </c>
      <c r="CD54" s="141">
        <f t="shared" si="24"/>
        <v>0.42857142857142855</v>
      </c>
      <c r="CE54" s="141">
        <f t="shared" si="25"/>
        <v>0.2857142857142857</v>
      </c>
      <c r="CF54" s="142">
        <f t="shared" si="8"/>
        <v>28.571428571428569</v>
      </c>
      <c r="CG54" s="142">
        <f t="shared" si="9"/>
        <v>42.857142857142854</v>
      </c>
      <c r="CH54" s="142">
        <f t="shared" si="10"/>
        <v>28.571428571428569</v>
      </c>
      <c r="CK54" s="96" t="str">
        <f t="shared" si="11"/>
        <v>30_60</v>
      </c>
      <c r="CL54" s="122">
        <v>30</v>
      </c>
      <c r="CM54" s="5"/>
      <c r="CN54" s="6">
        <v>60</v>
      </c>
      <c r="CO54" s="5"/>
      <c r="CP54" s="6"/>
      <c r="CQ54" s="6"/>
      <c r="CR54" s="6"/>
      <c r="CS54" s="6"/>
      <c r="CT54" s="6"/>
      <c r="CU54" s="6"/>
      <c r="CV54" s="6"/>
      <c r="CW54" s="6"/>
      <c r="CX54" s="6"/>
      <c r="CY54" s="6"/>
      <c r="CZ54" s="6"/>
      <c r="DA54" s="6"/>
      <c r="DB54" s="6"/>
      <c r="DC54" s="6"/>
      <c r="DD54" s="1"/>
      <c r="DE54" s="1"/>
    </row>
    <row r="55" spans="3:109" ht="24.75" thickBot="1">
      <c r="J55" t="s">
        <v>422</v>
      </c>
      <c r="M55" s="5" t="s">
        <v>107</v>
      </c>
      <c r="N55" s="6" t="s">
        <v>108</v>
      </c>
      <c r="O55" s="6" t="s">
        <v>92</v>
      </c>
      <c r="P55" s="6" t="s">
        <v>109</v>
      </c>
      <c r="Q55" s="96" t="str">
        <f>CONCATENATE(M55,": ",P55,": ",O55)</f>
        <v>n75: SDL: 1432 MHz – 1517 MHz</v>
      </c>
      <c r="R55" s="136">
        <v>75</v>
      </c>
      <c r="S55" s="137" t="str">
        <f t="shared" ref="S55:S68" si="30">P55</f>
        <v>SDL</v>
      </c>
      <c r="BH55">
        <f t="shared" si="12"/>
        <v>0</v>
      </c>
      <c r="BI55" s="158">
        <f t="shared" si="13"/>
        <v>15.5</v>
      </c>
      <c r="BJ55" s="114" t="str">
        <f t="shared" si="14"/>
        <v>Format 51 - DL 14.% : UL  57.% /(2)DL:(8)UL</v>
      </c>
      <c r="BK55" s="5">
        <v>51</v>
      </c>
      <c r="BL55" s="6" t="s">
        <v>5</v>
      </c>
      <c r="BM55" s="6" t="s">
        <v>7</v>
      </c>
      <c r="BN55" s="6" t="s">
        <v>7</v>
      </c>
      <c r="BO55" s="6" t="s">
        <v>6</v>
      </c>
      <c r="BP55" s="6" t="s">
        <v>6</v>
      </c>
      <c r="BQ55" s="6" t="s">
        <v>6</v>
      </c>
      <c r="BR55" s="6" t="s">
        <v>6</v>
      </c>
      <c r="BS55" s="6" t="s">
        <v>5</v>
      </c>
      <c r="BT55" s="6" t="s">
        <v>7</v>
      </c>
      <c r="BU55" s="6" t="s">
        <v>7</v>
      </c>
      <c r="BV55" s="6" t="s">
        <v>6</v>
      </c>
      <c r="BW55" s="6" t="s">
        <v>6</v>
      </c>
      <c r="BX55" s="6" t="s">
        <v>6</v>
      </c>
      <c r="BY55" s="18" t="s">
        <v>6</v>
      </c>
      <c r="BZ55" s="1">
        <f t="shared" si="20"/>
        <v>2</v>
      </c>
      <c r="CA55" s="1">
        <f t="shared" si="21"/>
        <v>8</v>
      </c>
      <c r="CB55" s="1">
        <f t="shared" si="22"/>
        <v>4</v>
      </c>
      <c r="CC55" s="141">
        <f t="shared" si="23"/>
        <v>0.14285714285714285</v>
      </c>
      <c r="CD55" s="141">
        <f t="shared" si="24"/>
        <v>0.5714285714285714</v>
      </c>
      <c r="CE55" s="141">
        <f t="shared" si="25"/>
        <v>0.2857142857142857</v>
      </c>
      <c r="CF55" s="142">
        <f t="shared" si="8"/>
        <v>14.285714285714285</v>
      </c>
      <c r="CG55" s="142">
        <f t="shared" si="9"/>
        <v>57.142857142857139</v>
      </c>
      <c r="CH55" s="142">
        <f t="shared" si="10"/>
        <v>28.571428571428569</v>
      </c>
      <c r="CK55" s="96" t="str">
        <f t="shared" si="11"/>
        <v>34_15</v>
      </c>
      <c r="CL55" s="122">
        <v>34</v>
      </c>
      <c r="CM55" s="236"/>
      <c r="CN55" s="6">
        <v>15</v>
      </c>
      <c r="CO55" s="5">
        <v>5</v>
      </c>
      <c r="CP55" s="6">
        <v>10</v>
      </c>
      <c r="CQ55" s="6">
        <v>15</v>
      </c>
      <c r="CR55" s="6"/>
      <c r="CS55" s="6"/>
      <c r="CT55" s="6"/>
      <c r="CU55" s="6"/>
      <c r="CV55" s="6"/>
      <c r="CW55" s="6"/>
      <c r="CX55" s="6"/>
      <c r="CY55" s="6"/>
      <c r="CZ55" s="6"/>
      <c r="DA55" s="6"/>
      <c r="DB55" s="6"/>
      <c r="DC55" s="6"/>
      <c r="DD55" s="1"/>
      <c r="DE55" s="1"/>
    </row>
    <row r="56" spans="3:109" ht="24.75" thickBot="1">
      <c r="C56" s="222"/>
      <c r="D56" s="223" t="s">
        <v>332</v>
      </c>
      <c r="E56" s="223" t="s">
        <v>333</v>
      </c>
      <c r="F56" s="223" t="s">
        <v>334</v>
      </c>
      <c r="M56" s="5" t="s">
        <v>110</v>
      </c>
      <c r="N56" s="6" t="s">
        <v>108</v>
      </c>
      <c r="O56" s="6" t="s">
        <v>94</v>
      </c>
      <c r="P56" s="6" t="s">
        <v>109</v>
      </c>
      <c r="Q56" s="96" t="str">
        <f>CONCATENATE(M56,": ",P56,": ",O56)</f>
        <v>n76: SDL: 1427 MHz – 1432 MHz</v>
      </c>
      <c r="R56" s="136">
        <v>76</v>
      </c>
      <c r="S56" s="137" t="str">
        <f t="shared" si="30"/>
        <v>SDL</v>
      </c>
      <c r="BH56">
        <f t="shared" si="12"/>
        <v>0</v>
      </c>
      <c r="BI56" s="158">
        <f t="shared" si="13"/>
        <v>47.6</v>
      </c>
      <c r="BJ56" s="114" t="str">
        <f t="shared" si="14"/>
        <v>Format 52 - DL 14.% : UL  14.% /(2)DL:(2)UL</v>
      </c>
      <c r="BK56" s="5">
        <v>52</v>
      </c>
      <c r="BL56" s="6" t="s">
        <v>5</v>
      </c>
      <c r="BM56" s="6" t="s">
        <v>7</v>
      </c>
      <c r="BN56" s="6" t="s">
        <v>7</v>
      </c>
      <c r="BO56" s="6" t="s">
        <v>7</v>
      </c>
      <c r="BP56" s="6" t="s">
        <v>7</v>
      </c>
      <c r="BQ56" s="6" t="s">
        <v>7</v>
      </c>
      <c r="BR56" s="6" t="s">
        <v>6</v>
      </c>
      <c r="BS56" s="6" t="s">
        <v>5</v>
      </c>
      <c r="BT56" s="6" t="s">
        <v>7</v>
      </c>
      <c r="BU56" s="6" t="s">
        <v>7</v>
      </c>
      <c r="BV56" s="6" t="s">
        <v>7</v>
      </c>
      <c r="BW56" s="6" t="s">
        <v>7</v>
      </c>
      <c r="BX56" s="6" t="s">
        <v>7</v>
      </c>
      <c r="BY56" s="18" t="s">
        <v>6</v>
      </c>
      <c r="BZ56" s="1">
        <f t="shared" si="20"/>
        <v>2</v>
      </c>
      <c r="CA56" s="1">
        <f t="shared" si="21"/>
        <v>2</v>
      </c>
      <c r="CB56" s="1">
        <f t="shared" si="22"/>
        <v>10</v>
      </c>
      <c r="CC56" s="141">
        <f t="shared" si="23"/>
        <v>0.14285714285714285</v>
      </c>
      <c r="CD56" s="141">
        <f t="shared" si="24"/>
        <v>0.14285714285714285</v>
      </c>
      <c r="CE56" s="141">
        <f t="shared" si="25"/>
        <v>0.7142857142857143</v>
      </c>
      <c r="CF56" s="142">
        <f t="shared" si="8"/>
        <v>14.285714285714285</v>
      </c>
      <c r="CG56" s="142">
        <f t="shared" si="9"/>
        <v>14.285714285714285</v>
      </c>
      <c r="CH56" s="142">
        <f t="shared" si="10"/>
        <v>71.428571428571431</v>
      </c>
      <c r="CK56" s="96" t="str">
        <f t="shared" si="11"/>
        <v>34_30</v>
      </c>
      <c r="CL56" s="122">
        <v>34</v>
      </c>
      <c r="CM56" s="236" t="s">
        <v>374</v>
      </c>
      <c r="CN56" s="6">
        <v>30</v>
      </c>
      <c r="CO56" s="5"/>
      <c r="CP56" s="6">
        <v>10</v>
      </c>
      <c r="CQ56" s="6">
        <v>15</v>
      </c>
      <c r="CR56" s="6"/>
      <c r="CS56" s="6"/>
      <c r="CT56" s="6"/>
      <c r="CU56" s="6"/>
      <c r="CV56" s="6"/>
      <c r="CW56" s="6"/>
      <c r="CX56" s="6"/>
      <c r="CY56" s="6"/>
      <c r="CZ56" s="6"/>
      <c r="DA56" s="6"/>
      <c r="DB56" s="6"/>
      <c r="DC56" s="6"/>
      <c r="DD56" s="1"/>
      <c r="DE56" s="1"/>
    </row>
    <row r="57" spans="3:109" ht="16.5" thickBot="1">
      <c r="C57" s="224" t="s">
        <v>335</v>
      </c>
      <c r="D57" s="225" t="s">
        <v>336</v>
      </c>
      <c r="E57" s="226" t="s">
        <v>337</v>
      </c>
      <c r="F57" s="226" t="s">
        <v>338</v>
      </c>
      <c r="M57" s="5" t="s">
        <v>389</v>
      </c>
      <c r="N57" s="6" t="s">
        <v>108</v>
      </c>
      <c r="O57" s="6" t="s">
        <v>390</v>
      </c>
      <c r="P57" s="6" t="s">
        <v>109</v>
      </c>
      <c r="Q57" s="96" t="str">
        <f>CONCATENATE(M57,": ",P57,": ",O57)</f>
        <v>n67: SDL: 738 MHz – 758 MHz</v>
      </c>
      <c r="R57" s="136">
        <v>67</v>
      </c>
      <c r="S57" s="137" t="str">
        <f t="shared" si="30"/>
        <v>SDL</v>
      </c>
      <c r="BH57">
        <f t="shared" si="12"/>
        <v>0</v>
      </c>
      <c r="BI57" s="158">
        <f t="shared" si="13"/>
        <v>36.9</v>
      </c>
      <c r="BJ57" s="114" t="str">
        <f t="shared" si="14"/>
        <v>Format 53 - DL 28.% : UL  14.% /(4)DL:(2)UL</v>
      </c>
      <c r="BK57" s="5">
        <v>53</v>
      </c>
      <c r="BL57" s="6" t="s">
        <v>5</v>
      </c>
      <c r="BM57" s="6" t="s">
        <v>5</v>
      </c>
      <c r="BN57" s="6" t="s">
        <v>7</v>
      </c>
      <c r="BO57" s="6" t="s">
        <v>7</v>
      </c>
      <c r="BP57" s="6" t="s">
        <v>7</v>
      </c>
      <c r="BQ57" s="6" t="s">
        <v>7</v>
      </c>
      <c r="BR57" s="6" t="s">
        <v>6</v>
      </c>
      <c r="BS57" s="6" t="s">
        <v>5</v>
      </c>
      <c r="BT57" s="6" t="s">
        <v>5</v>
      </c>
      <c r="BU57" s="6" t="s">
        <v>7</v>
      </c>
      <c r="BV57" s="6" t="s">
        <v>7</v>
      </c>
      <c r="BW57" s="6" t="s">
        <v>7</v>
      </c>
      <c r="BX57" s="6" t="s">
        <v>7</v>
      </c>
      <c r="BY57" s="18" t="s">
        <v>6</v>
      </c>
      <c r="BZ57" s="1">
        <f t="shared" si="20"/>
        <v>4</v>
      </c>
      <c r="CA57" s="1">
        <f t="shared" si="21"/>
        <v>2</v>
      </c>
      <c r="CB57" s="1">
        <f t="shared" si="22"/>
        <v>8</v>
      </c>
      <c r="CC57" s="141">
        <f t="shared" si="23"/>
        <v>0.2857142857142857</v>
      </c>
      <c r="CD57" s="141">
        <f t="shared" si="24"/>
        <v>0.14285714285714285</v>
      </c>
      <c r="CE57" s="141">
        <f t="shared" si="25"/>
        <v>0.5714285714285714</v>
      </c>
      <c r="CF57" s="142">
        <f t="shared" si="8"/>
        <v>28.571428571428569</v>
      </c>
      <c r="CG57" s="142">
        <f t="shared" si="9"/>
        <v>14.285714285714285</v>
      </c>
      <c r="CH57" s="142">
        <f t="shared" si="10"/>
        <v>57.142857142857139</v>
      </c>
      <c r="CK57" s="96" t="str">
        <f t="shared" si="11"/>
        <v>34_60</v>
      </c>
      <c r="CL57" s="122">
        <v>34</v>
      </c>
      <c r="CM57" s="5"/>
      <c r="CN57" s="6">
        <v>60</v>
      </c>
      <c r="CO57" s="5"/>
      <c r="CP57" s="6">
        <v>10</v>
      </c>
      <c r="CQ57" s="6">
        <v>15</v>
      </c>
      <c r="CR57" s="6"/>
      <c r="CS57" s="6"/>
      <c r="CT57" s="6"/>
      <c r="CU57" s="6"/>
      <c r="CV57" s="6"/>
      <c r="CW57" s="6"/>
      <c r="CX57" s="6"/>
      <c r="CY57" s="6"/>
      <c r="CZ57" s="6"/>
      <c r="DA57" s="6"/>
      <c r="DB57" s="6"/>
      <c r="DC57" s="6"/>
      <c r="DD57" s="1"/>
      <c r="DE57" s="1"/>
    </row>
    <row r="58" spans="3:109" ht="16.5" thickBot="1">
      <c r="C58" s="224" t="s">
        <v>339</v>
      </c>
      <c r="D58" s="225" t="s">
        <v>336</v>
      </c>
      <c r="E58" s="226" t="s">
        <v>337</v>
      </c>
      <c r="F58" s="226" t="s">
        <v>338</v>
      </c>
      <c r="M58" s="5" t="s">
        <v>119</v>
      </c>
      <c r="N58" s="6" t="s">
        <v>69</v>
      </c>
      <c r="O58" s="6" t="s">
        <v>108</v>
      </c>
      <c r="P58" s="6" t="s">
        <v>118</v>
      </c>
      <c r="Q58" s="96" t="str">
        <f t="shared" ref="Q58:Q68" si="31">CONCATENATE(M57,": ",P58,": ",O58)</f>
        <v>n67: SUL : N/A</v>
      </c>
      <c r="R58" s="136">
        <v>80</v>
      </c>
      <c r="S58" s="137" t="str">
        <f t="shared" si="30"/>
        <v xml:space="preserve">SUL </v>
      </c>
      <c r="BH58">
        <f t="shared" si="12"/>
        <v>0</v>
      </c>
      <c r="BI58" s="158">
        <f t="shared" si="13"/>
        <v>31.5</v>
      </c>
      <c r="BJ58" s="114" t="str">
        <f t="shared" si="14"/>
        <v>Format 54 - DL 50% : UL  0% /(7)DL:(0)UL</v>
      </c>
      <c r="BK58" s="5">
        <v>54</v>
      </c>
      <c r="BL58" s="6" t="s">
        <v>7</v>
      </c>
      <c r="BM58" s="6" t="s">
        <v>7</v>
      </c>
      <c r="BN58" s="6" t="s">
        <v>7</v>
      </c>
      <c r="BO58" s="6" t="s">
        <v>7</v>
      </c>
      <c r="BP58" s="6" t="s">
        <v>7</v>
      </c>
      <c r="BQ58" s="6" t="s">
        <v>7</v>
      </c>
      <c r="BR58" s="6" t="s">
        <v>7</v>
      </c>
      <c r="BS58" s="6" t="s">
        <v>5</v>
      </c>
      <c r="BT58" s="6" t="s">
        <v>5</v>
      </c>
      <c r="BU58" s="6" t="s">
        <v>5</v>
      </c>
      <c r="BV58" s="6" t="s">
        <v>5</v>
      </c>
      <c r="BW58" s="6" t="s">
        <v>5</v>
      </c>
      <c r="BX58" s="6" t="s">
        <v>5</v>
      </c>
      <c r="BY58" s="18" t="s">
        <v>5</v>
      </c>
      <c r="BZ58" s="1">
        <f t="shared" si="20"/>
        <v>7</v>
      </c>
      <c r="CA58" s="1">
        <f t="shared" si="21"/>
        <v>0</v>
      </c>
      <c r="CB58" s="1">
        <f t="shared" si="22"/>
        <v>7</v>
      </c>
      <c r="CC58" s="141">
        <f t="shared" si="23"/>
        <v>0.5</v>
      </c>
      <c r="CD58" s="141">
        <f t="shared" si="24"/>
        <v>0</v>
      </c>
      <c r="CE58" s="141">
        <f t="shared" si="25"/>
        <v>0.5</v>
      </c>
      <c r="CF58" s="142">
        <f t="shared" si="8"/>
        <v>50</v>
      </c>
      <c r="CG58" s="142">
        <f t="shared" si="9"/>
        <v>0</v>
      </c>
      <c r="CH58" s="142">
        <f t="shared" si="10"/>
        <v>50</v>
      </c>
      <c r="CK58" s="96" t="str">
        <f t="shared" si="11"/>
        <v>38_15</v>
      </c>
      <c r="CL58" s="122">
        <v>38</v>
      </c>
      <c r="CM58" s="236"/>
      <c r="CN58" s="6">
        <v>15</v>
      </c>
      <c r="CO58" s="5">
        <v>5</v>
      </c>
      <c r="CP58" s="6">
        <v>10</v>
      </c>
      <c r="CQ58" s="6">
        <v>15</v>
      </c>
      <c r="CR58" s="6">
        <v>20</v>
      </c>
      <c r="CS58" s="6">
        <v>25</v>
      </c>
      <c r="CT58" s="6">
        <v>30</v>
      </c>
      <c r="CU58" s="6"/>
      <c r="CV58" s="6">
        <v>40</v>
      </c>
      <c r="CW58" s="6"/>
      <c r="CX58" s="6"/>
      <c r="CY58" s="6"/>
      <c r="CZ58" s="6"/>
      <c r="DA58" s="6"/>
      <c r="DB58" s="6"/>
      <c r="DC58" s="6"/>
      <c r="DD58" s="1"/>
      <c r="DE58" s="1"/>
    </row>
    <row r="59" spans="3:109" ht="16.5" thickBot="1">
      <c r="C59" s="224" t="s">
        <v>340</v>
      </c>
      <c r="D59" s="227">
        <v>36</v>
      </c>
      <c r="E59" s="227">
        <v>36</v>
      </c>
      <c r="F59" s="227">
        <v>36</v>
      </c>
      <c r="M59" s="5" t="s">
        <v>120</v>
      </c>
      <c r="N59" s="6" t="s">
        <v>78</v>
      </c>
      <c r="O59" s="6" t="s">
        <v>108</v>
      </c>
      <c r="P59" s="6" t="s">
        <v>118</v>
      </c>
      <c r="Q59" s="96" t="str">
        <f t="shared" si="31"/>
        <v>n81: SUL : N/A</v>
      </c>
      <c r="R59" s="136">
        <v>81</v>
      </c>
      <c r="S59" s="137" t="str">
        <f t="shared" si="30"/>
        <v xml:space="preserve">SUL </v>
      </c>
      <c r="BH59">
        <f t="shared" si="12"/>
        <v>0</v>
      </c>
      <c r="BI59" s="158">
        <f t="shared" si="13"/>
        <v>10.1</v>
      </c>
      <c r="BJ59" s="114" t="str">
        <f t="shared" si="14"/>
        <v>Format 55 - DL 57.% : UL  21.% /(8)DL:(3)UL</v>
      </c>
      <c r="BK59" s="5">
        <v>55</v>
      </c>
      <c r="BL59" s="6" t="s">
        <v>5</v>
      </c>
      <c r="BM59" s="6" t="s">
        <v>5</v>
      </c>
      <c r="BN59" s="6" t="s">
        <v>7</v>
      </c>
      <c r="BO59" s="6" t="s">
        <v>7</v>
      </c>
      <c r="BP59" s="6" t="s">
        <v>7</v>
      </c>
      <c r="BQ59" s="6" t="s">
        <v>6</v>
      </c>
      <c r="BR59" s="6" t="s">
        <v>6</v>
      </c>
      <c r="BS59" s="6" t="s">
        <v>6</v>
      </c>
      <c r="BT59" s="6" t="s">
        <v>5</v>
      </c>
      <c r="BU59" s="6" t="s">
        <v>5</v>
      </c>
      <c r="BV59" s="6" t="s">
        <v>5</v>
      </c>
      <c r="BW59" s="6" t="s">
        <v>5</v>
      </c>
      <c r="BX59" s="6" t="s">
        <v>5</v>
      </c>
      <c r="BY59" s="18" t="s">
        <v>5</v>
      </c>
      <c r="BZ59" s="1">
        <f t="shared" si="20"/>
        <v>8</v>
      </c>
      <c r="CA59" s="1">
        <f t="shared" si="21"/>
        <v>3</v>
      </c>
      <c r="CB59" s="1">
        <f t="shared" si="22"/>
        <v>3</v>
      </c>
      <c r="CC59" s="141">
        <f t="shared" si="23"/>
        <v>0.5714285714285714</v>
      </c>
      <c r="CD59" s="141">
        <f t="shared" si="24"/>
        <v>0.21428571428571427</v>
      </c>
      <c r="CE59" s="141">
        <f t="shared" si="25"/>
        <v>0.21428571428571427</v>
      </c>
      <c r="CF59" s="142">
        <f t="shared" si="8"/>
        <v>57.142857142857139</v>
      </c>
      <c r="CG59" s="142">
        <f t="shared" si="9"/>
        <v>21.428571428571427</v>
      </c>
      <c r="CH59" s="142">
        <f t="shared" si="10"/>
        <v>21.428571428571427</v>
      </c>
      <c r="CK59" s="96" t="str">
        <f t="shared" si="11"/>
        <v>38_30</v>
      </c>
      <c r="CL59" s="122">
        <v>38</v>
      </c>
      <c r="CM59" s="236" t="s">
        <v>86</v>
      </c>
      <c r="CN59" s="6">
        <v>30</v>
      </c>
      <c r="CO59" s="5"/>
      <c r="CP59" s="6">
        <v>10</v>
      </c>
      <c r="CQ59" s="6">
        <v>15</v>
      </c>
      <c r="CR59" s="6">
        <v>20</v>
      </c>
      <c r="CS59" s="6">
        <v>25</v>
      </c>
      <c r="CT59" s="6">
        <v>30</v>
      </c>
      <c r="CU59" s="6"/>
      <c r="CV59" s="6">
        <v>40</v>
      </c>
      <c r="CW59" s="6"/>
      <c r="CX59" s="6"/>
      <c r="CY59" s="6"/>
      <c r="CZ59" s="6"/>
      <c r="DA59" s="6"/>
      <c r="DB59" s="6"/>
      <c r="DC59" s="6"/>
      <c r="DD59" s="1"/>
      <c r="DE59" s="1"/>
    </row>
    <row r="60" spans="3:109" ht="16.5" thickBot="1">
      <c r="C60" s="224" t="s">
        <v>341</v>
      </c>
      <c r="D60" s="227">
        <v>36</v>
      </c>
      <c r="E60" s="227">
        <v>36</v>
      </c>
      <c r="F60" s="227">
        <v>36</v>
      </c>
      <c r="M60" s="5" t="s">
        <v>121</v>
      </c>
      <c r="N60" s="6" t="s">
        <v>81</v>
      </c>
      <c r="O60" s="6" t="s">
        <v>108</v>
      </c>
      <c r="P60" s="6" t="s">
        <v>118</v>
      </c>
      <c r="Q60" s="96" t="str">
        <f t="shared" si="31"/>
        <v>n82: SUL : N/A</v>
      </c>
      <c r="R60" s="136">
        <v>82</v>
      </c>
      <c r="S60" s="137" t="str">
        <f t="shared" si="30"/>
        <v xml:space="preserve">SUL </v>
      </c>
      <c r="BI60" s="158"/>
      <c r="BK60" s="5" t="s">
        <v>8</v>
      </c>
      <c r="BL60" s="305" t="s">
        <v>9</v>
      </c>
      <c r="BM60" s="306"/>
      <c r="BN60" s="306"/>
      <c r="BO60" s="306"/>
      <c r="BP60" s="306"/>
      <c r="BQ60" s="306"/>
      <c r="BR60" s="306"/>
      <c r="BS60" s="306"/>
      <c r="BT60" s="306"/>
      <c r="BU60" s="306"/>
      <c r="BV60" s="306"/>
      <c r="BW60" s="306"/>
      <c r="BX60" s="306"/>
      <c r="BY60" s="306"/>
      <c r="BZ60" s="1">
        <f t="shared" si="20"/>
        <v>0</v>
      </c>
      <c r="CA60" s="1">
        <f t="shared" si="21"/>
        <v>0</v>
      </c>
      <c r="CB60" s="1">
        <f t="shared" si="22"/>
        <v>0</v>
      </c>
      <c r="CC60" s="141">
        <f t="shared" si="23"/>
        <v>0</v>
      </c>
      <c r="CD60" s="141">
        <f t="shared" si="24"/>
        <v>0</v>
      </c>
      <c r="CE60" s="141">
        <f t="shared" si="25"/>
        <v>0</v>
      </c>
      <c r="CF60" s="142">
        <f t="shared" si="8"/>
        <v>0</v>
      </c>
      <c r="CG60" s="142">
        <f t="shared" si="9"/>
        <v>0</v>
      </c>
      <c r="CH60" s="142">
        <f t="shared" si="10"/>
        <v>0</v>
      </c>
      <c r="CK60" s="96" t="str">
        <f t="shared" si="11"/>
        <v>38_60</v>
      </c>
      <c r="CL60" s="122">
        <v>38</v>
      </c>
      <c r="CM60" s="5"/>
      <c r="CN60" s="6">
        <v>60</v>
      </c>
      <c r="CO60" s="5"/>
      <c r="CP60" s="6">
        <v>10</v>
      </c>
      <c r="CQ60" s="6">
        <v>15</v>
      </c>
      <c r="CR60" s="6">
        <v>20</v>
      </c>
      <c r="CS60" s="6">
        <v>25</v>
      </c>
      <c r="CT60" s="6">
        <v>30</v>
      </c>
      <c r="CU60" s="6"/>
      <c r="CV60" s="6">
        <v>40</v>
      </c>
      <c r="CW60" s="6"/>
      <c r="CX60" s="6"/>
      <c r="CY60" s="6"/>
      <c r="CZ60" s="6"/>
      <c r="DA60" s="6"/>
      <c r="DB60" s="6"/>
      <c r="DC60" s="6"/>
      <c r="DD60" s="1"/>
      <c r="DE60" s="1"/>
    </row>
    <row r="61" spans="3:109" ht="15.75" thickBot="1">
      <c r="M61" s="5" t="s">
        <v>123</v>
      </c>
      <c r="N61" s="6" t="s">
        <v>84</v>
      </c>
      <c r="O61" s="6" t="s">
        <v>108</v>
      </c>
      <c r="P61" s="6" t="s">
        <v>122</v>
      </c>
      <c r="Q61" s="96" t="str">
        <f t="shared" si="31"/>
        <v>n83: SUL: N/A</v>
      </c>
      <c r="R61" s="136">
        <v>83</v>
      </c>
      <c r="S61" s="137" t="str">
        <f t="shared" si="30"/>
        <v>SUL</v>
      </c>
      <c r="CK61" s="96" t="str">
        <f t="shared" si="11"/>
        <v>39_15</v>
      </c>
      <c r="CL61" s="122">
        <v>39</v>
      </c>
      <c r="CM61" s="236"/>
      <c r="CN61" s="6">
        <v>15</v>
      </c>
      <c r="CO61" s="5">
        <v>5</v>
      </c>
      <c r="CP61" s="6">
        <v>10</v>
      </c>
      <c r="CQ61" s="6">
        <v>15</v>
      </c>
      <c r="CR61" s="6">
        <v>20</v>
      </c>
      <c r="CS61" s="6">
        <v>25</v>
      </c>
      <c r="CT61" s="6">
        <v>30</v>
      </c>
      <c r="CU61" s="6"/>
      <c r="CV61" s="6">
        <v>40</v>
      </c>
      <c r="CW61" s="6"/>
      <c r="CX61" s="6"/>
      <c r="CY61" s="6"/>
      <c r="CZ61" s="6"/>
      <c r="DA61" s="6"/>
      <c r="DB61" s="6"/>
      <c r="DC61" s="6"/>
      <c r="DD61" s="1"/>
      <c r="DE61" s="1"/>
    </row>
    <row r="62" spans="3:109" ht="15.75" thickBot="1">
      <c r="M62" s="5" t="s">
        <v>394</v>
      </c>
      <c r="N62" s="6" t="s">
        <v>62</v>
      </c>
      <c r="O62" s="6" t="s">
        <v>108</v>
      </c>
      <c r="P62" s="6" t="s">
        <v>122</v>
      </c>
      <c r="Q62" s="96" t="str">
        <f t="shared" si="31"/>
        <v>n84: SUL: N/A</v>
      </c>
      <c r="R62" s="136">
        <v>84</v>
      </c>
      <c r="S62" s="137" t="str">
        <f t="shared" si="30"/>
        <v>SUL</v>
      </c>
      <c r="BL62" s="295" t="s">
        <v>4</v>
      </c>
      <c r="BM62" s="290"/>
      <c r="BN62" s="290"/>
      <c r="BO62" s="290"/>
      <c r="BP62" s="290"/>
      <c r="BQ62" s="290"/>
      <c r="BR62" s="290"/>
      <c r="BS62" s="290"/>
      <c r="BT62" s="290"/>
      <c r="BU62" s="290"/>
      <c r="BV62" s="290"/>
      <c r="BW62" s="290"/>
      <c r="BX62" s="290"/>
      <c r="BY62" s="291"/>
      <c r="CK62" s="96" t="str">
        <f t="shared" si="11"/>
        <v>39_30</v>
      </c>
      <c r="CL62" s="122">
        <v>39</v>
      </c>
      <c r="CM62" s="236" t="s">
        <v>376</v>
      </c>
      <c r="CN62" s="6">
        <v>30</v>
      </c>
      <c r="CO62" s="5"/>
      <c r="CP62" s="6">
        <v>10</v>
      </c>
      <c r="CQ62" s="6">
        <v>15</v>
      </c>
      <c r="CR62" s="6">
        <v>20</v>
      </c>
      <c r="CS62" s="6">
        <v>25</v>
      </c>
      <c r="CT62" s="6">
        <v>30</v>
      </c>
      <c r="CU62" s="6"/>
      <c r="CV62" s="6">
        <v>40</v>
      </c>
      <c r="CW62" s="6"/>
      <c r="CX62" s="6"/>
      <c r="CY62" s="6"/>
      <c r="CZ62" s="6"/>
      <c r="DA62" s="6"/>
      <c r="DB62" s="6"/>
      <c r="DC62" s="6"/>
      <c r="DD62" s="1"/>
      <c r="DE62" s="1"/>
    </row>
    <row r="63" spans="3:109" ht="15.75" thickBot="1">
      <c r="C63" s="228" t="s">
        <v>342</v>
      </c>
      <c r="M63" s="5" t="s">
        <v>395</v>
      </c>
      <c r="N63" s="6" t="s">
        <v>96</v>
      </c>
      <c r="O63" s="6" t="s">
        <v>108</v>
      </c>
      <c r="P63" s="6" t="s">
        <v>122</v>
      </c>
      <c r="Q63" s="96" t="str">
        <f t="shared" si="31"/>
        <v>n86: SUL: N/A</v>
      </c>
      <c r="R63" s="136">
        <v>86</v>
      </c>
      <c r="S63" s="137" t="str">
        <f t="shared" si="30"/>
        <v>SUL</v>
      </c>
      <c r="BL63" s="17">
        <v>0</v>
      </c>
      <c r="BM63" s="17">
        <v>1</v>
      </c>
      <c r="BN63" s="17">
        <v>2</v>
      </c>
      <c r="BO63" s="17">
        <v>3</v>
      </c>
      <c r="BP63" s="17">
        <v>4</v>
      </c>
      <c r="BQ63" s="17">
        <v>5</v>
      </c>
      <c r="BR63" s="17">
        <v>6</v>
      </c>
      <c r="BS63" s="17">
        <v>7</v>
      </c>
      <c r="BT63" s="17">
        <v>8</v>
      </c>
      <c r="BU63" s="17">
        <v>9</v>
      </c>
      <c r="BV63" s="17">
        <v>10</v>
      </c>
      <c r="BW63" s="17">
        <v>11</v>
      </c>
      <c r="BX63" s="17">
        <v>12</v>
      </c>
      <c r="BY63" s="19">
        <v>13</v>
      </c>
      <c r="CC63" s="161"/>
      <c r="CK63" s="96" t="str">
        <f t="shared" si="11"/>
        <v>39_60</v>
      </c>
      <c r="CL63" s="122">
        <v>39</v>
      </c>
      <c r="CM63" s="5"/>
      <c r="CN63" s="6">
        <v>60</v>
      </c>
      <c r="CO63" s="5"/>
      <c r="CP63" s="6">
        <v>10</v>
      </c>
      <c r="CQ63" s="6">
        <v>15</v>
      </c>
      <c r="CR63" s="6">
        <v>20</v>
      </c>
      <c r="CS63" s="6">
        <v>25</v>
      </c>
      <c r="CT63" s="6">
        <v>30</v>
      </c>
      <c r="CU63" s="6"/>
      <c r="CV63" s="6">
        <v>40</v>
      </c>
      <c r="CW63" s="6"/>
      <c r="CX63" s="6"/>
      <c r="CY63" s="6"/>
      <c r="CZ63" s="6"/>
      <c r="DA63" s="6"/>
      <c r="DB63" s="6"/>
      <c r="DC63" s="6"/>
      <c r="DD63" s="1"/>
      <c r="DE63" s="1"/>
    </row>
    <row r="64" spans="3:109" ht="15.75" thickBot="1">
      <c r="C64" s="228" t="s">
        <v>343</v>
      </c>
      <c r="M64" s="5" t="s">
        <v>410</v>
      </c>
      <c r="N64" s="6" t="s">
        <v>72</v>
      </c>
      <c r="O64" s="6" t="s">
        <v>108</v>
      </c>
      <c r="P64" s="6" t="s">
        <v>122</v>
      </c>
      <c r="Q64" s="96" t="str">
        <f t="shared" si="31"/>
        <v>n89: SUL: N/A</v>
      </c>
      <c r="R64" s="136">
        <v>89</v>
      </c>
      <c r="S64" s="137" t="str">
        <f t="shared" si="30"/>
        <v>SUL</v>
      </c>
      <c r="BL64" t="str">
        <f>VLOOKUP(Format_input_NR,$BJ$4:$BY$59,3,0)</f>
        <v>X</v>
      </c>
      <c r="BM64" t="str">
        <f>VLOOKUP(Format_input_NR,$BJ$4:$BY$59,4,0)</f>
        <v>X</v>
      </c>
      <c r="BN64" t="str">
        <f>VLOOKUP(Format_input_NR,$BJ$4:$BY$59,5,0)</f>
        <v>X</v>
      </c>
      <c r="BO64" t="str">
        <f>VLOOKUP(Format_input_NR,$BJ$4:$BY$59,6,0)</f>
        <v>X</v>
      </c>
      <c r="BP64" t="str">
        <f>VLOOKUP(Format_input_NR,$BJ$4:$BY$59,7,0)</f>
        <v>X</v>
      </c>
      <c r="BQ64" t="str">
        <f>VLOOKUP(Format_input_NR,$BJ$4:$BY$59,8,0)</f>
        <v>X</v>
      </c>
      <c r="BR64" t="str">
        <f>VLOOKUP(Format_input_NR,$BJ$4:$BY$59,9,0)</f>
        <v>X</v>
      </c>
      <c r="BS64" t="str">
        <f>VLOOKUP(Format_input_NR,$BJ$4:$BY$59,10,0)</f>
        <v>X</v>
      </c>
      <c r="BT64" t="str">
        <f>VLOOKUP(Format_input_NR,$BJ$4:$BY$59,11,0)</f>
        <v>X</v>
      </c>
      <c r="BU64" t="str">
        <f>VLOOKUP(Format_input_NR,$BJ$4:$BY$59,12,0)</f>
        <v>X</v>
      </c>
      <c r="BV64" t="str">
        <f>VLOOKUP(Format_input_NR,$BJ$4:$BY$59,13,0)</f>
        <v>X</v>
      </c>
      <c r="BW64" t="str">
        <f>VLOOKUP(Format_input_NR,$BJ$4:$BY$59,14,0)</f>
        <v>X</v>
      </c>
      <c r="BX64" t="str">
        <f>VLOOKUP(Format_input_NR,$BJ$4:$BY$59,15,0)</f>
        <v>X</v>
      </c>
      <c r="BY64" t="str">
        <f>VLOOKUP(Format_input_NR,$BJ$4:$BY$59,16,0)</f>
        <v>X</v>
      </c>
      <c r="CC64" s="162">
        <v>160</v>
      </c>
      <c r="CK64" s="96" t="str">
        <f t="shared" si="11"/>
        <v>40_15</v>
      </c>
      <c r="CL64" s="122">
        <v>40</v>
      </c>
      <c r="CM64" s="236"/>
      <c r="CN64" s="6">
        <v>15</v>
      </c>
      <c r="CO64" s="5">
        <v>5</v>
      </c>
      <c r="CP64" s="6">
        <v>10</v>
      </c>
      <c r="CQ64" s="6">
        <v>15</v>
      </c>
      <c r="CR64" s="6">
        <v>20</v>
      </c>
      <c r="CS64" s="6">
        <v>25</v>
      </c>
      <c r="CT64" s="6">
        <v>30</v>
      </c>
      <c r="CU64" s="6"/>
      <c r="CV64" s="6">
        <v>40</v>
      </c>
      <c r="CW64" s="6"/>
      <c r="CX64" s="6">
        <v>50</v>
      </c>
      <c r="CY64" s="6"/>
      <c r="CZ64" s="6"/>
      <c r="DA64" s="6"/>
      <c r="DB64" s="6"/>
      <c r="DC64" s="6"/>
      <c r="DD64" s="1"/>
      <c r="DE64" s="1"/>
    </row>
    <row r="65" spans="3:109" ht="15.75" thickBot="1">
      <c r="C65" s="228" t="s">
        <v>344</v>
      </c>
      <c r="M65" s="5" t="s">
        <v>412</v>
      </c>
      <c r="N65" s="6" t="s">
        <v>375</v>
      </c>
      <c r="O65" s="6" t="s">
        <v>108</v>
      </c>
      <c r="P65" s="6" t="s">
        <v>118</v>
      </c>
      <c r="Q65" s="96" t="str">
        <f t="shared" si="31"/>
        <v>n95: SUL : N/A</v>
      </c>
      <c r="R65" s="136">
        <v>951</v>
      </c>
      <c r="S65" s="137" t="str">
        <f t="shared" si="30"/>
        <v xml:space="preserve">SUL </v>
      </c>
      <c r="BL65">
        <f>IF(BL64="X",1,0)</f>
        <v>1</v>
      </c>
      <c r="BM65">
        <f t="shared" ref="BM65:BY65" si="32">IF(BM64="X",1,0)</f>
        <v>1</v>
      </c>
      <c r="BN65">
        <f t="shared" si="32"/>
        <v>1</v>
      </c>
      <c r="BO65">
        <f t="shared" si="32"/>
        <v>1</v>
      </c>
      <c r="BP65">
        <f t="shared" si="32"/>
        <v>1</v>
      </c>
      <c r="BQ65">
        <f t="shared" si="32"/>
        <v>1</v>
      </c>
      <c r="BR65">
        <f t="shared" si="32"/>
        <v>1</v>
      </c>
      <c r="BS65">
        <f t="shared" si="32"/>
        <v>1</v>
      </c>
      <c r="BT65">
        <f t="shared" si="32"/>
        <v>1</v>
      </c>
      <c r="BU65">
        <f t="shared" si="32"/>
        <v>1</v>
      </c>
      <c r="BV65">
        <f t="shared" si="32"/>
        <v>1</v>
      </c>
      <c r="BW65">
        <f t="shared" si="32"/>
        <v>1</v>
      </c>
      <c r="BX65">
        <f t="shared" si="32"/>
        <v>1</v>
      </c>
      <c r="BY65">
        <f t="shared" si="32"/>
        <v>1</v>
      </c>
      <c r="BZ65">
        <f>SUM(BL65:BY65)</f>
        <v>14</v>
      </c>
      <c r="CC65" s="162">
        <f>2048*2^(numerologie_NR)</f>
        <v>4096</v>
      </c>
      <c r="CK65" s="96" t="str">
        <f t="shared" si="11"/>
        <v>40_30</v>
      </c>
      <c r="CL65" s="122">
        <v>40</v>
      </c>
      <c r="CM65" s="236" t="s">
        <v>378</v>
      </c>
      <c r="CN65" s="6">
        <v>30</v>
      </c>
      <c r="CO65" s="5"/>
      <c r="CP65" s="6">
        <v>10</v>
      </c>
      <c r="CQ65" s="6">
        <v>15</v>
      </c>
      <c r="CR65" s="6">
        <v>20</v>
      </c>
      <c r="CS65" s="6">
        <v>25</v>
      </c>
      <c r="CT65" s="6">
        <v>30</v>
      </c>
      <c r="CU65" s="6"/>
      <c r="CV65" s="6">
        <v>40</v>
      </c>
      <c r="CW65" s="6"/>
      <c r="CX65" s="6">
        <v>50</v>
      </c>
      <c r="CY65" s="6">
        <v>60</v>
      </c>
      <c r="CZ65" s="6">
        <v>70</v>
      </c>
      <c r="DA65" s="6">
        <v>80</v>
      </c>
      <c r="DB65" s="6">
        <v>90</v>
      </c>
      <c r="DC65" s="6">
        <v>100</v>
      </c>
      <c r="DD65" s="1"/>
      <c r="DE65" s="1"/>
    </row>
    <row r="66" spans="3:109" ht="15.75" thickBot="1">
      <c r="C66" s="228" t="s">
        <v>345</v>
      </c>
      <c r="M66" s="5" t="s">
        <v>413</v>
      </c>
      <c r="N66" s="6" t="s">
        <v>379</v>
      </c>
      <c r="O66" s="6" t="s">
        <v>108</v>
      </c>
      <c r="P66" s="6" t="s">
        <v>118</v>
      </c>
      <c r="Q66" s="96" t="str">
        <f t="shared" si="31"/>
        <v>n97: SUL : N/A</v>
      </c>
      <c r="R66" s="136">
        <v>975</v>
      </c>
      <c r="S66" s="137" t="str">
        <f t="shared" si="30"/>
        <v xml:space="preserve">SUL </v>
      </c>
      <c r="CC66" s="162">
        <f>CC65+CC64</f>
        <v>4256</v>
      </c>
      <c r="CK66" s="96" t="str">
        <f t="shared" si="11"/>
        <v>40_60</v>
      </c>
      <c r="CL66" s="122">
        <v>40</v>
      </c>
      <c r="CM66" s="5"/>
      <c r="CN66" s="6">
        <v>60</v>
      </c>
      <c r="CO66" s="229"/>
      <c r="CP66" s="230">
        <v>10</v>
      </c>
      <c r="CQ66" s="230">
        <v>15</v>
      </c>
      <c r="CR66" s="230">
        <v>20</v>
      </c>
      <c r="CS66" s="230">
        <v>25</v>
      </c>
      <c r="CT66" s="230">
        <v>30</v>
      </c>
      <c r="CU66" s="230"/>
      <c r="CV66" s="230">
        <v>40</v>
      </c>
      <c r="CW66" s="230"/>
      <c r="CX66" s="230">
        <v>50</v>
      </c>
      <c r="CY66" s="230">
        <v>60</v>
      </c>
      <c r="CZ66" s="230">
        <v>70</v>
      </c>
      <c r="DA66" s="230">
        <v>80</v>
      </c>
      <c r="DB66" s="230">
        <v>90</v>
      </c>
      <c r="DC66" s="230">
        <v>100</v>
      </c>
      <c r="DD66" s="1"/>
      <c r="DE66" s="1"/>
    </row>
    <row r="67" spans="3:109" ht="15.75" thickBot="1">
      <c r="C67" s="228" t="s">
        <v>346</v>
      </c>
      <c r="M67" s="5" t="s">
        <v>414</v>
      </c>
      <c r="N67" s="6" t="s">
        <v>377</v>
      </c>
      <c r="O67" s="6" t="s">
        <v>108</v>
      </c>
      <c r="P67" s="6" t="s">
        <v>118</v>
      </c>
      <c r="Q67" s="96" t="str">
        <f t="shared" si="31"/>
        <v>n98: SUL : N/A</v>
      </c>
      <c r="R67" s="136">
        <v>985</v>
      </c>
      <c r="S67" s="137" t="str">
        <f t="shared" si="30"/>
        <v xml:space="preserve">SUL </v>
      </c>
      <c r="CC67" s="162">
        <f>CC66*$BD$12*10^6</f>
        <v>138.54166666666666</v>
      </c>
      <c r="CK67" s="96" t="str">
        <f t="shared" si="11"/>
        <v>41_15</v>
      </c>
      <c r="CL67" s="122">
        <v>41</v>
      </c>
      <c r="CM67" s="236"/>
      <c r="CN67" s="229">
        <v>15</v>
      </c>
      <c r="CO67" s="5"/>
      <c r="CP67" s="6">
        <v>10</v>
      </c>
      <c r="CQ67" s="6">
        <v>15</v>
      </c>
      <c r="CR67" s="6">
        <v>20</v>
      </c>
      <c r="CS67" s="6">
        <v>25</v>
      </c>
      <c r="CT67" s="6">
        <v>30</v>
      </c>
      <c r="CU67" s="6">
        <v>35</v>
      </c>
      <c r="CV67" s="6">
        <v>40</v>
      </c>
      <c r="CW67" s="6">
        <v>45</v>
      </c>
      <c r="CX67" s="6">
        <v>50</v>
      </c>
      <c r="CY67" s="6"/>
      <c r="CZ67" s="6"/>
      <c r="DA67" s="6"/>
      <c r="DB67" s="6"/>
      <c r="DC67" s="6"/>
      <c r="DD67" s="1"/>
      <c r="DE67" s="1"/>
    </row>
    <row r="68" spans="3:109" ht="15.75" thickBot="1">
      <c r="C68" s="228" t="s">
        <v>347</v>
      </c>
      <c r="N68" s="6" t="s">
        <v>402</v>
      </c>
      <c r="O68" s="6" t="s">
        <v>108</v>
      </c>
      <c r="P68" s="6" t="s">
        <v>122</v>
      </c>
      <c r="Q68" s="96" t="str">
        <f t="shared" si="31"/>
        <v>n99: SUL: N/A</v>
      </c>
      <c r="R68" s="136">
        <v>996</v>
      </c>
      <c r="S68" s="137" t="str">
        <f t="shared" si="30"/>
        <v>SUL</v>
      </c>
      <c r="CC68" s="162">
        <f>$BZ$65</f>
        <v>14</v>
      </c>
      <c r="CK68" s="96" t="str">
        <f t="shared" si="11"/>
        <v>41_30</v>
      </c>
      <c r="CL68" s="122">
        <v>41</v>
      </c>
      <c r="CM68" s="236" t="s">
        <v>89</v>
      </c>
      <c r="CN68" s="5">
        <v>30</v>
      </c>
      <c r="CO68" s="5"/>
      <c r="CP68" s="6">
        <v>10</v>
      </c>
      <c r="CQ68" s="6">
        <v>15</v>
      </c>
      <c r="CR68" s="6">
        <v>20</v>
      </c>
      <c r="CS68" s="6">
        <v>25</v>
      </c>
      <c r="CT68" s="6">
        <v>30</v>
      </c>
      <c r="CU68" s="6">
        <v>35</v>
      </c>
      <c r="CV68" s="6">
        <v>40</v>
      </c>
      <c r="CW68" s="6">
        <v>45</v>
      </c>
      <c r="CX68" s="6">
        <v>50</v>
      </c>
      <c r="CY68" s="6">
        <v>60</v>
      </c>
      <c r="CZ68" s="6">
        <v>70</v>
      </c>
      <c r="DA68" s="6">
        <v>80</v>
      </c>
      <c r="DB68" s="6">
        <v>90</v>
      </c>
      <c r="DC68" s="6">
        <v>100</v>
      </c>
      <c r="DD68" s="1"/>
      <c r="DE68" s="1"/>
    </row>
    <row r="69" spans="3:109" ht="15.75" thickBot="1">
      <c r="C69" s="228" t="s">
        <v>348</v>
      </c>
      <c r="CC69" s="162">
        <f>CC67*CC68</f>
        <v>1939.5833333333333</v>
      </c>
      <c r="CK69" s="96" t="str">
        <f t="shared" si="11"/>
        <v>41_60</v>
      </c>
      <c r="CL69" s="122">
        <v>41</v>
      </c>
      <c r="CM69" s="5"/>
      <c r="CN69" s="5">
        <v>60</v>
      </c>
      <c r="CO69" s="5"/>
      <c r="CP69" s="6">
        <v>10</v>
      </c>
      <c r="CQ69" s="6">
        <v>15</v>
      </c>
      <c r="CR69" s="6">
        <v>20</v>
      </c>
      <c r="CS69" s="6">
        <v>25</v>
      </c>
      <c r="CT69" s="6">
        <v>30</v>
      </c>
      <c r="CU69" s="6">
        <v>35</v>
      </c>
      <c r="CV69" s="6">
        <v>40</v>
      </c>
      <c r="CW69" s="6">
        <v>45</v>
      </c>
      <c r="CX69" s="6">
        <v>50</v>
      </c>
      <c r="CY69" s="6">
        <v>60</v>
      </c>
      <c r="CZ69" s="6">
        <v>70</v>
      </c>
      <c r="DA69" s="6">
        <v>80</v>
      </c>
      <c r="DB69" s="6">
        <v>90</v>
      </c>
      <c r="DC69" s="6">
        <v>100</v>
      </c>
      <c r="DD69" s="1"/>
      <c r="DE69" s="1"/>
    </row>
    <row r="70" spans="3:109" ht="15" customHeight="1" thickBot="1">
      <c r="CK70" s="96" t="str">
        <f t="shared" ref="CK70:CK133" si="33">CONCATENATE(CL70,"_",CN70)</f>
        <v>46_15</v>
      </c>
      <c r="CL70" s="122">
        <v>46</v>
      </c>
      <c r="CM70" s="237"/>
      <c r="CN70" s="5">
        <v>15</v>
      </c>
      <c r="CO70" s="5"/>
      <c r="CP70" s="6">
        <v>10</v>
      </c>
      <c r="CQ70" s="6"/>
      <c r="CR70" s="6">
        <v>20</v>
      </c>
      <c r="CS70" s="6"/>
      <c r="CT70" s="6"/>
      <c r="CU70" s="6"/>
      <c r="CV70" s="6">
        <v>40</v>
      </c>
      <c r="CW70" s="6"/>
      <c r="CX70" s="6"/>
      <c r="CY70" s="6"/>
      <c r="CZ70" s="6"/>
      <c r="DA70" s="6"/>
      <c r="DB70" s="6"/>
      <c r="DC70" s="6"/>
    </row>
    <row r="71" spans="3:109" ht="15.75" thickBot="1">
      <c r="C71" s="262" t="s">
        <v>455</v>
      </c>
      <c r="D71" s="262">
        <f>IF(Frequency_range_F_NR="FR1",IF(OR(SW_Limitation_input=19,SW_Limitation_input=19.5),VLOOKUP(packet_size,$C$78:$F$80,2,0), IF( AND(OR(SW_Limitation_input=20,SW_Limitation_input=20.5),BW_NR&gt;=40),VLOOKUP(packet_size,$C$78:$F$80,IF(BW_NR&lt;=40,3,4),0),70000000000000)),70000000000000)</f>
        <v>70000000000000</v>
      </c>
      <c r="CK71" s="96" t="str">
        <f t="shared" si="33"/>
        <v>46_30</v>
      </c>
      <c r="CL71" s="122">
        <v>46</v>
      </c>
      <c r="CM71" s="236" t="s">
        <v>380</v>
      </c>
      <c r="CN71" s="5">
        <v>30</v>
      </c>
      <c r="CO71" s="5"/>
      <c r="CP71" s="6">
        <v>10</v>
      </c>
      <c r="CQ71" s="6"/>
      <c r="CR71" s="6">
        <v>20</v>
      </c>
      <c r="CS71" s="6"/>
      <c r="CT71" s="6"/>
      <c r="CU71" s="6"/>
      <c r="CV71" s="6">
        <v>40</v>
      </c>
      <c r="CW71" s="6"/>
      <c r="CX71" s="6"/>
      <c r="CY71" s="6">
        <v>60</v>
      </c>
      <c r="CZ71" s="6"/>
      <c r="DA71" s="6">
        <v>80</v>
      </c>
      <c r="DB71" s="6"/>
      <c r="DC71" s="6"/>
    </row>
    <row r="72" spans="3:109" ht="15.75" thickBot="1">
      <c r="C72" t="s">
        <v>456</v>
      </c>
      <c r="D72" t="str">
        <f>SW_Limitation_input</f>
        <v>NO</v>
      </c>
      <c r="CK72" s="96" t="str">
        <f t="shared" si="33"/>
        <v>46_60</v>
      </c>
      <c r="CL72" s="122">
        <v>46</v>
      </c>
      <c r="CM72" s="5"/>
      <c r="CN72" s="5">
        <v>60</v>
      </c>
      <c r="CO72" s="5"/>
      <c r="CP72" s="6">
        <v>10</v>
      </c>
      <c r="CQ72" s="6"/>
      <c r="CR72" s="6">
        <v>20</v>
      </c>
      <c r="CS72" s="6"/>
      <c r="CT72" s="6"/>
      <c r="CU72" s="6"/>
      <c r="CV72" s="6">
        <v>40</v>
      </c>
      <c r="CW72" s="6"/>
      <c r="CX72" s="6"/>
      <c r="CY72" s="6">
        <v>60</v>
      </c>
      <c r="CZ72" s="6"/>
      <c r="DA72" s="6">
        <v>80</v>
      </c>
      <c r="DB72" s="6"/>
      <c r="DC72" s="6"/>
    </row>
    <row r="73" spans="3:109" ht="15.75" thickBot="1">
      <c r="C73" t="s">
        <v>457</v>
      </c>
      <c r="D73">
        <f>BW_NR</f>
        <v>40</v>
      </c>
      <c r="M73" s="32" t="s">
        <v>134</v>
      </c>
      <c r="N73" s="32"/>
      <c r="O73" s="32"/>
      <c r="Q73" s="97"/>
      <c r="R73" s="97"/>
      <c r="S73" s="137"/>
      <c r="CK73" s="96" t="str">
        <f t="shared" si="33"/>
        <v>48_15</v>
      </c>
      <c r="CL73" s="122">
        <v>48</v>
      </c>
      <c r="CM73" s="236"/>
      <c r="CN73" s="5">
        <v>15</v>
      </c>
      <c r="CO73" s="5">
        <v>5</v>
      </c>
      <c r="CP73" s="6">
        <v>10</v>
      </c>
      <c r="CQ73" s="6">
        <v>15</v>
      </c>
      <c r="CR73" s="6">
        <v>20</v>
      </c>
      <c r="CS73" s="6"/>
      <c r="CT73" s="6">
        <v>30</v>
      </c>
      <c r="CU73" s="6"/>
      <c r="CV73" s="6">
        <v>40</v>
      </c>
      <c r="CW73" s="6"/>
      <c r="CX73" s="6">
        <v>50</v>
      </c>
      <c r="CY73" s="6"/>
      <c r="CZ73" s="6"/>
      <c r="DA73" s="6"/>
      <c r="DB73" s="6"/>
      <c r="DC73" s="6"/>
    </row>
    <row r="74" spans="3:109" ht="24.75" thickBot="1">
      <c r="C74" t="s">
        <v>458</v>
      </c>
      <c r="D74" t="str">
        <f>Frequency_range_F_NR</f>
        <v>FR1</v>
      </c>
      <c r="M74" s="93" t="s">
        <v>53</v>
      </c>
      <c r="N74" s="57" t="s">
        <v>124</v>
      </c>
      <c r="O74" s="93" t="s">
        <v>60</v>
      </c>
      <c r="Q74" s="97"/>
      <c r="R74" s="97"/>
      <c r="S74" s="137"/>
      <c r="CK74" s="96" t="str">
        <f t="shared" si="33"/>
        <v>48_30</v>
      </c>
      <c r="CL74" s="122">
        <v>48</v>
      </c>
      <c r="CM74" s="236" t="s">
        <v>383</v>
      </c>
      <c r="CN74" s="5">
        <v>30</v>
      </c>
      <c r="CO74" s="5"/>
      <c r="CP74" s="6">
        <v>10</v>
      </c>
      <c r="CQ74" s="6">
        <v>15</v>
      </c>
      <c r="CR74" s="6">
        <v>20</v>
      </c>
      <c r="CS74" s="6"/>
      <c r="CT74" s="6">
        <v>30</v>
      </c>
      <c r="CU74" s="6"/>
      <c r="CV74" s="6">
        <v>40</v>
      </c>
      <c r="CW74" s="6"/>
      <c r="CX74" s="6">
        <v>50</v>
      </c>
      <c r="CY74" s="6">
        <v>60</v>
      </c>
      <c r="CZ74" s="6">
        <v>70</v>
      </c>
      <c r="DA74" s="6">
        <v>80</v>
      </c>
      <c r="DB74" s="6">
        <v>90</v>
      </c>
      <c r="DC74" s="6">
        <v>100</v>
      </c>
    </row>
    <row r="75" spans="3:109" ht="15.75" thickBot="1">
      <c r="C75" t="s">
        <v>460</v>
      </c>
      <c r="D75">
        <f>packet_size</f>
        <v>1350</v>
      </c>
      <c r="M75" s="94"/>
      <c r="N75" s="58" t="s">
        <v>125</v>
      </c>
      <c r="O75" s="94"/>
      <c r="Q75" s="97"/>
      <c r="R75" s="97"/>
      <c r="S75" s="137"/>
      <c r="CK75" s="96" t="str">
        <f t="shared" si="33"/>
        <v>48_60</v>
      </c>
      <c r="CL75" s="122">
        <v>48</v>
      </c>
      <c r="CM75" s="5"/>
      <c r="CN75" s="5">
        <v>60</v>
      </c>
      <c r="CO75" s="5"/>
      <c r="CP75" s="6">
        <v>10</v>
      </c>
      <c r="CQ75" s="6">
        <v>15</v>
      </c>
      <c r="CR75" s="6">
        <v>20</v>
      </c>
      <c r="CS75" s="6"/>
      <c r="CT75" s="6">
        <v>30</v>
      </c>
      <c r="CU75" s="6"/>
      <c r="CV75" s="6">
        <v>40</v>
      </c>
      <c r="CW75" s="6"/>
      <c r="CX75" s="6">
        <v>50</v>
      </c>
      <c r="CY75" s="6">
        <v>60</v>
      </c>
      <c r="CZ75" s="6">
        <v>70</v>
      </c>
      <c r="DA75" s="6">
        <v>80</v>
      </c>
      <c r="DB75" s="6">
        <v>90</v>
      </c>
      <c r="DC75" s="6">
        <v>100</v>
      </c>
    </row>
    <row r="76" spans="3:109" ht="15.75" thickBot="1">
      <c r="D76" s="1"/>
      <c r="E76" s="1">
        <v>40</v>
      </c>
      <c r="F76" s="1">
        <v>100</v>
      </c>
      <c r="M76" s="94"/>
      <c r="N76" s="58" t="s">
        <v>126</v>
      </c>
      <c r="O76" s="94"/>
      <c r="Q76" s="97"/>
      <c r="R76" s="97"/>
      <c r="S76" s="137"/>
      <c r="CK76" s="96" t="str">
        <f t="shared" si="33"/>
        <v>50_15</v>
      </c>
      <c r="CL76" s="122">
        <v>50</v>
      </c>
      <c r="CM76" s="236"/>
      <c r="CN76" s="5">
        <v>15</v>
      </c>
      <c r="CO76" s="5">
        <v>5</v>
      </c>
      <c r="CP76" s="6">
        <v>10</v>
      </c>
      <c r="CQ76" s="6">
        <v>15</v>
      </c>
      <c r="CR76" s="6">
        <v>20</v>
      </c>
      <c r="CS76" s="6"/>
      <c r="CT76" s="6">
        <v>30</v>
      </c>
      <c r="CU76" s="6"/>
      <c r="CV76" s="6">
        <v>40</v>
      </c>
      <c r="CW76" s="6"/>
      <c r="CX76" s="6">
        <v>50</v>
      </c>
      <c r="CY76" s="6"/>
      <c r="CZ76" s="6"/>
      <c r="DA76" s="6"/>
      <c r="DB76" s="6"/>
      <c r="DC76" s="6"/>
    </row>
    <row r="77" spans="3:109" ht="15.75" thickBot="1">
      <c r="D77" s="1">
        <v>19.5</v>
      </c>
      <c r="E77" s="1">
        <v>20</v>
      </c>
      <c r="F77" s="1">
        <v>20</v>
      </c>
      <c r="M77" s="94"/>
      <c r="N77" s="58" t="s">
        <v>56</v>
      </c>
      <c r="O77" s="94"/>
      <c r="Q77" s="97"/>
      <c r="R77" s="97"/>
      <c r="S77" s="137"/>
      <c r="CK77" s="96" t="str">
        <f t="shared" si="33"/>
        <v>50_30</v>
      </c>
      <c r="CL77" s="122">
        <v>50</v>
      </c>
      <c r="CM77" s="236" t="s">
        <v>91</v>
      </c>
      <c r="CN77" s="5">
        <v>30</v>
      </c>
      <c r="CO77" s="5"/>
      <c r="CP77" s="6">
        <v>10</v>
      </c>
      <c r="CQ77" s="6">
        <v>15</v>
      </c>
      <c r="CR77" s="6">
        <v>20</v>
      </c>
      <c r="CS77" s="6"/>
      <c r="CT77" s="6">
        <v>30</v>
      </c>
      <c r="CU77" s="6"/>
      <c r="CV77" s="6">
        <v>40</v>
      </c>
      <c r="CW77" s="6"/>
      <c r="CX77" s="6">
        <v>50</v>
      </c>
      <c r="CY77" s="6">
        <v>60</v>
      </c>
      <c r="CZ77" s="6"/>
      <c r="DA77" s="6">
        <v>80</v>
      </c>
      <c r="DB77" s="6"/>
      <c r="DC77" s="6"/>
    </row>
    <row r="78" spans="3:109" ht="15.75" thickBot="1">
      <c r="C78" s="266">
        <v>1300</v>
      </c>
      <c r="D78" s="266">
        <v>433</v>
      </c>
      <c r="E78" s="266">
        <v>650</v>
      </c>
      <c r="F78" s="266">
        <v>535</v>
      </c>
      <c r="M78" s="94"/>
      <c r="N78" s="58" t="s">
        <v>59</v>
      </c>
      <c r="O78" s="94"/>
      <c r="Q78" s="97"/>
      <c r="R78" s="97"/>
      <c r="S78" s="137"/>
      <c r="CK78" s="96" t="str">
        <f t="shared" si="33"/>
        <v>50_60</v>
      </c>
      <c r="CL78" s="122">
        <v>50</v>
      </c>
      <c r="CM78" s="5"/>
      <c r="CN78" s="5">
        <v>60</v>
      </c>
      <c r="CO78" s="5"/>
      <c r="CP78" s="6">
        <v>10</v>
      </c>
      <c r="CQ78" s="6">
        <v>15</v>
      </c>
      <c r="CR78" s="6">
        <v>20</v>
      </c>
      <c r="CS78" s="6"/>
      <c r="CT78" s="6">
        <v>30</v>
      </c>
      <c r="CU78" s="6"/>
      <c r="CV78" s="6">
        <v>40</v>
      </c>
      <c r="CW78" s="6"/>
      <c r="CX78" s="6">
        <v>50</v>
      </c>
      <c r="CY78" s="6">
        <v>60</v>
      </c>
      <c r="CZ78" s="6"/>
      <c r="DA78" s="6">
        <v>80</v>
      </c>
      <c r="DB78" s="6"/>
      <c r="DC78" s="6"/>
    </row>
    <row r="79" spans="3:109" ht="15.75" thickBot="1">
      <c r="C79" s="266">
        <v>1350</v>
      </c>
      <c r="D79" s="266">
        <v>450</v>
      </c>
      <c r="E79" s="266">
        <v>650</v>
      </c>
      <c r="F79" s="266">
        <v>550</v>
      </c>
      <c r="M79" s="229" t="s">
        <v>127</v>
      </c>
      <c r="N79" s="230" t="s">
        <v>128</v>
      </c>
      <c r="O79" s="230" t="s">
        <v>88</v>
      </c>
      <c r="P79" s="115"/>
      <c r="Q79" s="116" t="str">
        <f>CONCATENATE(M79,": ",O79,": ",N79)</f>
        <v>n257: TDD: 26500 MHz – 29500 MHz</v>
      </c>
      <c r="R79" s="138">
        <v>257</v>
      </c>
      <c r="S79" s="231" t="str">
        <f>O79</f>
        <v>TDD</v>
      </c>
      <c r="CK79" s="96" t="str">
        <f t="shared" si="33"/>
        <v>51_15</v>
      </c>
      <c r="CL79" s="122">
        <v>51</v>
      </c>
      <c r="CM79" s="236"/>
      <c r="CN79" s="5">
        <v>15</v>
      </c>
      <c r="CO79" s="5">
        <v>5</v>
      </c>
      <c r="CP79" s="6"/>
      <c r="CQ79" s="6"/>
      <c r="CR79" s="6"/>
      <c r="CS79" s="6"/>
      <c r="CT79" s="6"/>
      <c r="CU79" s="6"/>
      <c r="CV79" s="6"/>
      <c r="CW79" s="6"/>
      <c r="CX79" s="6"/>
      <c r="CY79" s="6"/>
      <c r="CZ79" s="6"/>
      <c r="DA79" s="6"/>
      <c r="DB79" s="6"/>
      <c r="DC79" s="6"/>
    </row>
    <row r="80" spans="3:109" ht="15.75" thickBot="1">
      <c r="C80" s="266">
        <v>1400</v>
      </c>
      <c r="D80" s="266">
        <v>500</v>
      </c>
      <c r="E80" s="266">
        <v>650</v>
      </c>
      <c r="F80" s="266">
        <v>600</v>
      </c>
      <c r="M80" s="5" t="s">
        <v>129</v>
      </c>
      <c r="N80" s="6" t="s">
        <v>130</v>
      </c>
      <c r="O80" s="6" t="s">
        <v>88</v>
      </c>
      <c r="P80" s="117"/>
      <c r="Q80" s="116" t="str">
        <f t="shared" ref="Q80:Q84" si="34">CONCATENATE(M80,": ",O80,": ",N80)</f>
        <v>n258: TDD: 24250 MHz – 27500 MHz</v>
      </c>
      <c r="R80" s="138">
        <v>258</v>
      </c>
      <c r="S80" s="232" t="str">
        <f t="shared" ref="S80:S84" si="35">O80</f>
        <v>TDD</v>
      </c>
      <c r="CK80" s="96" t="str">
        <f t="shared" si="33"/>
        <v>51_30</v>
      </c>
      <c r="CL80" s="122">
        <v>51</v>
      </c>
      <c r="CM80" s="236" t="s">
        <v>93</v>
      </c>
      <c r="CN80" s="5">
        <v>30</v>
      </c>
      <c r="CO80" s="5"/>
      <c r="CP80" s="6"/>
      <c r="CQ80" s="6"/>
      <c r="CR80" s="6"/>
      <c r="CS80" s="6"/>
      <c r="CT80" s="6"/>
      <c r="CU80" s="6"/>
      <c r="CV80" s="6"/>
      <c r="CW80" s="6"/>
      <c r="CX80" s="6"/>
      <c r="CY80" s="6"/>
      <c r="CZ80" s="6"/>
      <c r="DA80" s="6"/>
      <c r="DB80" s="6"/>
      <c r="DC80" s="6"/>
    </row>
    <row r="81" spans="3:107" ht="15.75" thickBot="1">
      <c r="M81" s="5" t="s">
        <v>403</v>
      </c>
      <c r="N81" s="6" t="s">
        <v>404</v>
      </c>
      <c r="O81" s="6" t="s">
        <v>88</v>
      </c>
      <c r="Q81" s="116" t="str">
        <f t="shared" si="34"/>
        <v>n259: TDD: 39500 MHz – 43500 MHz</v>
      </c>
      <c r="R81" s="138">
        <v>259</v>
      </c>
      <c r="S81" s="232" t="str">
        <f t="shared" si="35"/>
        <v>TDD</v>
      </c>
      <c r="CK81" s="96" t="str">
        <f t="shared" si="33"/>
        <v>51_60</v>
      </c>
      <c r="CL81" s="122">
        <v>51</v>
      </c>
      <c r="CM81" s="5"/>
      <c r="CN81" s="5">
        <v>60</v>
      </c>
      <c r="CO81" s="5"/>
      <c r="CP81" s="6"/>
      <c r="CQ81" s="6"/>
      <c r="CR81" s="6"/>
      <c r="CS81" s="6"/>
      <c r="CT81" s="6"/>
      <c r="CU81" s="6"/>
      <c r="CV81" s="6"/>
      <c r="CW81" s="6"/>
      <c r="CX81" s="6"/>
      <c r="CY81" s="6"/>
      <c r="CZ81" s="6"/>
      <c r="DA81" s="6"/>
      <c r="DB81" s="6"/>
      <c r="DC81" s="6"/>
    </row>
    <row r="82" spans="3:107" ht="15.75" thickBot="1">
      <c r="C82" s="1"/>
      <c r="D82" s="1"/>
      <c r="E82" s="1" t="s">
        <v>333</v>
      </c>
      <c r="F82" s="1" t="s">
        <v>465</v>
      </c>
      <c r="M82" s="5" t="s">
        <v>131</v>
      </c>
      <c r="N82" s="6" t="s">
        <v>132</v>
      </c>
      <c r="O82" s="6" t="s">
        <v>88</v>
      </c>
      <c r="Q82" s="116" t="str">
        <f t="shared" si="34"/>
        <v>n260: TDD: 37000 MHz – 40000 MHz</v>
      </c>
      <c r="R82" s="138">
        <v>260</v>
      </c>
      <c r="S82" s="232" t="str">
        <f t="shared" si="35"/>
        <v>TDD</v>
      </c>
      <c r="CK82" s="96" t="str">
        <f t="shared" si="33"/>
        <v>53_15</v>
      </c>
      <c r="CL82" s="122">
        <v>53</v>
      </c>
      <c r="CM82" s="236"/>
      <c r="CN82" s="5">
        <v>15</v>
      </c>
      <c r="CO82" s="5">
        <v>5</v>
      </c>
      <c r="CP82" s="6">
        <v>10</v>
      </c>
      <c r="CQ82" s="6"/>
      <c r="CR82" s="6"/>
      <c r="CS82" s="6"/>
      <c r="CT82" s="6"/>
      <c r="CU82" s="6"/>
      <c r="CV82" s="6"/>
      <c r="CW82" s="6"/>
      <c r="CX82" s="6"/>
      <c r="CY82" s="6"/>
      <c r="CZ82" s="6"/>
      <c r="DA82" s="6"/>
      <c r="DB82" s="6"/>
      <c r="DC82" s="6"/>
    </row>
    <row r="83" spans="3:107" ht="15.75" thickBot="1">
      <c r="C83" s="1" t="s">
        <v>459</v>
      </c>
      <c r="D83" s="1">
        <v>19.5</v>
      </c>
      <c r="E83" s="1">
        <v>20</v>
      </c>
      <c r="F83" s="1">
        <v>20</v>
      </c>
      <c r="M83" s="5" t="s">
        <v>405</v>
      </c>
      <c r="N83" s="6" t="s">
        <v>406</v>
      </c>
      <c r="O83" s="6" t="s">
        <v>88</v>
      </c>
      <c r="Q83" s="116" t="str">
        <f t="shared" si="34"/>
        <v>n261: TDD: 27500 MHz – 28350 MHz</v>
      </c>
      <c r="R83" s="138">
        <v>261</v>
      </c>
      <c r="S83" s="232" t="str">
        <f t="shared" si="35"/>
        <v>TDD</v>
      </c>
      <c r="CK83" s="96" t="str">
        <f t="shared" si="33"/>
        <v>53_30</v>
      </c>
      <c r="CL83" s="122">
        <v>53</v>
      </c>
      <c r="CM83" s="236" t="s">
        <v>385</v>
      </c>
      <c r="CN83" s="5">
        <v>30</v>
      </c>
      <c r="CO83" s="5"/>
      <c r="CP83" s="6">
        <v>10</v>
      </c>
      <c r="CQ83" s="6"/>
      <c r="CR83" s="6"/>
      <c r="CS83" s="6"/>
      <c r="CT83" s="6"/>
      <c r="CU83" s="6"/>
      <c r="CV83" s="6"/>
      <c r="CW83" s="6"/>
      <c r="CX83" s="6"/>
      <c r="CY83" s="6"/>
      <c r="CZ83" s="6"/>
      <c r="DA83" s="6"/>
      <c r="DB83" s="6"/>
      <c r="DC83" s="6"/>
    </row>
    <row r="84" spans="3:107" ht="15.75" thickBot="1">
      <c r="C84" s="1">
        <v>1300</v>
      </c>
      <c r="D84" s="1">
        <v>433</v>
      </c>
      <c r="E84" s="1">
        <v>650</v>
      </c>
      <c r="F84" s="1" t="s">
        <v>466</v>
      </c>
      <c r="M84" s="5" t="s">
        <v>407</v>
      </c>
      <c r="N84" s="6" t="s">
        <v>408</v>
      </c>
      <c r="O84" s="6" t="s">
        <v>88</v>
      </c>
      <c r="P84" s="233"/>
      <c r="Q84" s="234" t="str">
        <f t="shared" si="34"/>
        <v>n262: TDD: 47200 MHz – 48200 MHz</v>
      </c>
      <c r="R84" s="138">
        <v>262</v>
      </c>
      <c r="S84" s="235" t="str">
        <f t="shared" si="35"/>
        <v>TDD</v>
      </c>
      <c r="CK84" s="96" t="str">
        <f t="shared" si="33"/>
        <v>53_60</v>
      </c>
      <c r="CL84" s="122">
        <v>53</v>
      </c>
      <c r="CM84" s="5"/>
      <c r="CN84" s="5">
        <v>60</v>
      </c>
      <c r="CO84" s="5"/>
      <c r="CP84" s="6">
        <v>10</v>
      </c>
      <c r="CQ84" s="6"/>
      <c r="CR84" s="6"/>
      <c r="CS84" s="6"/>
      <c r="CT84" s="6"/>
      <c r="CU84" s="6"/>
      <c r="CV84" s="6"/>
      <c r="CW84" s="6"/>
      <c r="CX84" s="6"/>
      <c r="CY84" s="6"/>
      <c r="CZ84" s="6"/>
      <c r="DA84" s="6"/>
      <c r="DB84" s="6"/>
      <c r="DC84" s="6"/>
    </row>
    <row r="85" spans="3:107" ht="15.75" thickBot="1">
      <c r="C85" s="1">
        <v>1350</v>
      </c>
      <c r="D85" s="1">
        <v>450</v>
      </c>
      <c r="E85" s="1">
        <v>650</v>
      </c>
      <c r="F85" s="1" t="s">
        <v>467</v>
      </c>
      <c r="CK85" s="96" t="str">
        <f t="shared" si="33"/>
        <v>65_15</v>
      </c>
      <c r="CL85" s="122">
        <v>65</v>
      </c>
      <c r="CM85" s="236"/>
      <c r="CN85" s="5">
        <v>15</v>
      </c>
      <c r="CO85" s="5">
        <v>5</v>
      </c>
      <c r="CP85" s="6">
        <v>10</v>
      </c>
      <c r="CQ85" s="6">
        <v>15</v>
      </c>
      <c r="CR85" s="6">
        <v>20</v>
      </c>
      <c r="CS85" s="6"/>
      <c r="CT85" s="6"/>
      <c r="CU85" s="6"/>
      <c r="CV85" s="6"/>
      <c r="CW85" s="6"/>
      <c r="CX85" s="6">
        <v>50</v>
      </c>
      <c r="CY85" s="6"/>
      <c r="CZ85" s="6"/>
      <c r="DA85" s="6"/>
      <c r="DB85" s="6"/>
      <c r="DC85" s="6"/>
    </row>
    <row r="86" spans="3:107" ht="15.75" thickBot="1">
      <c r="C86" s="1">
        <v>1400</v>
      </c>
      <c r="D86" s="1">
        <v>500</v>
      </c>
      <c r="E86" s="1">
        <v>650</v>
      </c>
      <c r="F86" s="1" t="s">
        <v>468</v>
      </c>
      <c r="CK86" s="96" t="str">
        <f t="shared" si="33"/>
        <v>65_30</v>
      </c>
      <c r="CL86" s="122">
        <v>65</v>
      </c>
      <c r="CM86" s="236" t="s">
        <v>387</v>
      </c>
      <c r="CN86" s="5">
        <v>30</v>
      </c>
      <c r="CO86" s="5"/>
      <c r="CP86" s="6">
        <v>10</v>
      </c>
      <c r="CQ86" s="6">
        <v>15</v>
      </c>
      <c r="CR86" s="6">
        <v>20</v>
      </c>
      <c r="CS86" s="6"/>
      <c r="CT86" s="6"/>
      <c r="CU86" s="6"/>
      <c r="CV86" s="6"/>
      <c r="CW86" s="6"/>
      <c r="CX86" s="6">
        <v>50</v>
      </c>
      <c r="CY86" s="6"/>
      <c r="CZ86" s="6"/>
      <c r="DA86" s="6"/>
      <c r="DB86" s="6"/>
      <c r="DC86" s="6"/>
    </row>
    <row r="87" spans="3:107" ht="15.75" thickBot="1">
      <c r="CK87" s="96" t="str">
        <f t="shared" si="33"/>
        <v>65_60</v>
      </c>
      <c r="CL87" s="122">
        <v>65</v>
      </c>
      <c r="CM87" s="5"/>
      <c r="CN87" s="5">
        <v>60</v>
      </c>
      <c r="CO87" s="5"/>
      <c r="CP87" s="6">
        <v>10</v>
      </c>
      <c r="CQ87" s="6">
        <v>15</v>
      </c>
      <c r="CR87" s="6">
        <v>20</v>
      </c>
      <c r="CS87" s="6"/>
      <c r="CT87" s="6"/>
      <c r="CU87" s="6"/>
      <c r="CV87" s="6"/>
      <c r="CW87" s="6"/>
      <c r="CX87" s="6">
        <v>50</v>
      </c>
      <c r="CY87" s="6"/>
      <c r="CZ87" s="6"/>
      <c r="DA87" s="6"/>
      <c r="DB87" s="6"/>
      <c r="DC87" s="6"/>
    </row>
    <row r="88" spans="3:107" ht="15.75" thickBot="1">
      <c r="CK88" s="96" t="str">
        <f t="shared" si="33"/>
        <v>66_15</v>
      </c>
      <c r="CL88" s="122">
        <v>66</v>
      </c>
      <c r="CM88" s="236"/>
      <c r="CN88" s="5">
        <v>15</v>
      </c>
      <c r="CO88" s="5">
        <v>5</v>
      </c>
      <c r="CP88" s="6">
        <v>10</v>
      </c>
      <c r="CQ88" s="6">
        <v>15</v>
      </c>
      <c r="CR88" s="6">
        <v>20</v>
      </c>
      <c r="CS88" s="6">
        <v>25</v>
      </c>
      <c r="CT88" s="6">
        <v>30</v>
      </c>
      <c r="CU88" s="6">
        <v>35</v>
      </c>
      <c r="CV88" s="6">
        <v>40</v>
      </c>
      <c r="CW88" s="6">
        <v>45</v>
      </c>
      <c r="CX88" s="6"/>
      <c r="CY88" s="6"/>
      <c r="CZ88" s="6"/>
      <c r="DA88" s="6"/>
      <c r="DB88" s="6"/>
      <c r="DC88" s="6"/>
    </row>
    <row r="89" spans="3:107" ht="15.75" thickBot="1">
      <c r="CK89" s="96" t="str">
        <f t="shared" si="33"/>
        <v>66_30</v>
      </c>
      <c r="CL89" s="122">
        <v>66</v>
      </c>
      <c r="CM89" s="236" t="s">
        <v>95</v>
      </c>
      <c r="CN89" s="5">
        <v>30</v>
      </c>
      <c r="CO89" s="5"/>
      <c r="CP89" s="6">
        <v>10</v>
      </c>
      <c r="CQ89" s="6">
        <v>15</v>
      </c>
      <c r="CR89" s="6">
        <v>20</v>
      </c>
      <c r="CS89" s="6">
        <v>25</v>
      </c>
      <c r="CT89" s="6">
        <v>30</v>
      </c>
      <c r="CU89" s="6">
        <v>35</v>
      </c>
      <c r="CV89" s="6">
        <v>40</v>
      </c>
      <c r="CW89" s="6">
        <v>45</v>
      </c>
      <c r="CX89" s="6"/>
      <c r="CY89" s="6"/>
      <c r="CZ89" s="6"/>
      <c r="DA89" s="6"/>
      <c r="DB89" s="6"/>
      <c r="DC89" s="6"/>
    </row>
    <row r="90" spans="3:107" ht="15.75" thickBot="1">
      <c r="CK90" s="96" t="str">
        <f t="shared" si="33"/>
        <v>66_60</v>
      </c>
      <c r="CL90" s="122">
        <v>66</v>
      </c>
      <c r="CM90" s="5"/>
      <c r="CN90" s="5">
        <v>60</v>
      </c>
      <c r="CO90" s="5"/>
      <c r="CP90" s="6">
        <v>10</v>
      </c>
      <c r="CQ90" s="6">
        <v>15</v>
      </c>
      <c r="CR90" s="6">
        <v>20</v>
      </c>
      <c r="CS90" s="6">
        <v>25</v>
      </c>
      <c r="CT90" s="6">
        <v>30</v>
      </c>
      <c r="CU90" s="6">
        <v>35</v>
      </c>
      <c r="CV90" s="6">
        <v>40</v>
      </c>
      <c r="CW90" s="6">
        <v>45</v>
      </c>
      <c r="CX90" s="6"/>
      <c r="CY90" s="6"/>
      <c r="CZ90" s="6"/>
      <c r="DA90" s="6"/>
      <c r="DB90" s="6"/>
      <c r="DC90" s="6"/>
    </row>
    <row r="91" spans="3:107" ht="15.75" thickBot="1">
      <c r="CK91" s="96" t="str">
        <f t="shared" si="33"/>
        <v>67_15</v>
      </c>
      <c r="CL91" s="122">
        <v>67</v>
      </c>
      <c r="CM91" s="5"/>
      <c r="CN91" s="5">
        <v>15</v>
      </c>
      <c r="CO91" s="5">
        <v>5</v>
      </c>
      <c r="CP91" s="6">
        <v>10</v>
      </c>
      <c r="CQ91" s="6">
        <v>15</v>
      </c>
      <c r="CR91" s="6">
        <v>20</v>
      </c>
      <c r="CS91" s="6"/>
      <c r="CT91" s="6"/>
      <c r="CU91" s="6"/>
      <c r="CV91" s="6"/>
      <c r="CW91" s="6"/>
      <c r="CX91" s="6"/>
      <c r="CY91" s="6"/>
      <c r="CZ91" s="6"/>
      <c r="DA91" s="6"/>
      <c r="DB91" s="6"/>
      <c r="DC91" s="6"/>
    </row>
    <row r="92" spans="3:107" ht="15.75" thickBot="1">
      <c r="CK92" s="96" t="str">
        <f t="shared" si="33"/>
        <v>67_30</v>
      </c>
      <c r="CL92" s="122">
        <v>67</v>
      </c>
      <c r="CM92" s="5" t="s">
        <v>389</v>
      </c>
      <c r="CN92" s="5">
        <v>30</v>
      </c>
      <c r="CO92" s="5"/>
      <c r="CP92" s="6">
        <v>10</v>
      </c>
      <c r="CQ92" s="6">
        <v>15</v>
      </c>
      <c r="CR92" s="6">
        <v>20</v>
      </c>
      <c r="CS92" s="6"/>
      <c r="CT92" s="6"/>
      <c r="CU92" s="6"/>
      <c r="CV92" s="6"/>
      <c r="CW92" s="6"/>
      <c r="CX92" s="6"/>
      <c r="CY92" s="6"/>
      <c r="CZ92" s="6"/>
      <c r="DA92" s="6"/>
      <c r="DB92" s="6"/>
      <c r="DC92" s="6"/>
    </row>
    <row r="93" spans="3:107" ht="15.75" thickBot="1">
      <c r="CK93" s="96" t="str">
        <f t="shared" si="33"/>
        <v>67_60</v>
      </c>
      <c r="CL93" s="122">
        <v>67</v>
      </c>
      <c r="CM93" s="5"/>
      <c r="CN93" s="5">
        <v>60</v>
      </c>
      <c r="CO93" s="5"/>
      <c r="CP93" s="6"/>
      <c r="CQ93" s="6"/>
      <c r="CR93" s="6"/>
      <c r="CS93" s="6"/>
      <c r="CT93" s="6"/>
      <c r="CU93" s="6"/>
      <c r="CV93" s="6"/>
      <c r="CW93" s="6"/>
      <c r="CX93" s="6"/>
      <c r="CY93" s="6"/>
      <c r="CZ93" s="6"/>
      <c r="DA93" s="6"/>
      <c r="DB93" s="6"/>
      <c r="DC93" s="6"/>
    </row>
    <row r="94" spans="3:107" ht="15.75" thickBot="1">
      <c r="CK94" s="96" t="str">
        <f t="shared" si="33"/>
        <v>70_15</v>
      </c>
      <c r="CL94" s="122">
        <v>70</v>
      </c>
      <c r="CM94" s="236"/>
      <c r="CN94" s="5">
        <v>15</v>
      </c>
      <c r="CO94" s="5">
        <v>5</v>
      </c>
      <c r="CP94" s="6">
        <v>10</v>
      </c>
      <c r="CQ94" s="6">
        <v>15</v>
      </c>
      <c r="CR94" s="6">
        <v>20</v>
      </c>
      <c r="CS94" s="6">
        <v>25</v>
      </c>
      <c r="CT94" s="6"/>
      <c r="CU94" s="6"/>
      <c r="CV94" s="6"/>
      <c r="CW94" s="6"/>
      <c r="CX94" s="6"/>
      <c r="CY94" s="6"/>
      <c r="CZ94" s="6"/>
      <c r="DA94" s="6"/>
      <c r="DB94" s="6"/>
      <c r="DC94" s="6"/>
    </row>
    <row r="95" spans="3:107" ht="111" thickBot="1">
      <c r="G95" s="269" t="s">
        <v>190</v>
      </c>
      <c r="H95" s="269" t="s">
        <v>191</v>
      </c>
      <c r="I95" s="269" t="s">
        <v>453</v>
      </c>
      <c r="J95" s="270" t="s">
        <v>434</v>
      </c>
      <c r="L95" s="275" t="str">
        <f>VLOOKUP(inputs!C4,DATA!E96:I100,1,0)</f>
        <v>DL  80% : UL 20% ('60/20/20' DL/UL/F %)</v>
      </c>
      <c r="M95" s="247" t="str">
        <f>Product_Support</f>
        <v>VRAN</v>
      </c>
      <c r="CK95" s="96" t="str">
        <f t="shared" si="33"/>
        <v>70_30</v>
      </c>
      <c r="CL95" s="122">
        <v>70</v>
      </c>
      <c r="CM95" s="236" t="s">
        <v>98</v>
      </c>
      <c r="CN95" s="5">
        <v>30</v>
      </c>
      <c r="CO95" s="5"/>
      <c r="CP95" s="6">
        <v>10</v>
      </c>
      <c r="CQ95" s="6">
        <v>15</v>
      </c>
      <c r="CR95" s="6">
        <v>20</v>
      </c>
      <c r="CS95" s="6">
        <v>25</v>
      </c>
      <c r="CT95" s="6"/>
      <c r="CU95" s="6"/>
      <c r="CV95" s="6"/>
      <c r="CW95" s="6"/>
      <c r="CX95" s="6"/>
      <c r="CY95" s="6"/>
      <c r="CZ95" s="6"/>
      <c r="DA95" s="6"/>
      <c r="DB95" s="6"/>
      <c r="DC95" s="6"/>
    </row>
    <row r="96" spans="3:107" ht="17.25" thickBot="1">
      <c r="E96" s="267" t="s">
        <v>489</v>
      </c>
      <c r="F96" s="271" t="s">
        <v>471</v>
      </c>
      <c r="G96" s="268">
        <v>0.7</v>
      </c>
      <c r="H96" s="268">
        <v>0.2</v>
      </c>
      <c r="I96" s="268">
        <v>0.1</v>
      </c>
      <c r="J96" s="1" t="str">
        <f>IF(Product_Support="AIO-FSM","Format 6 - DL 71.% : UL  0% /(10)DL:(0)UL","Format 2 - DL 0% : UL  0% ")</f>
        <v xml:space="preserve">Format 2 - DL 0% : UL  0% </v>
      </c>
      <c r="K96" s="1"/>
      <c r="L96" s="274">
        <f>VLOOKUP(inputs!C4,DATA!E96:J100,3,0)</f>
        <v>0.6</v>
      </c>
      <c r="M96" s="272" t="s">
        <v>190</v>
      </c>
      <c r="N96" t="s">
        <v>475</v>
      </c>
      <c r="CK96" s="96" t="str">
        <f t="shared" si="33"/>
        <v>70_60</v>
      </c>
      <c r="CL96" s="122">
        <v>70</v>
      </c>
      <c r="CM96" s="5"/>
      <c r="CN96" s="5">
        <v>60</v>
      </c>
      <c r="CO96" s="5"/>
      <c r="CP96" s="6">
        <v>10</v>
      </c>
      <c r="CQ96" s="6">
        <v>15</v>
      </c>
      <c r="CR96" s="6">
        <v>20</v>
      </c>
      <c r="CS96" s="6">
        <v>25</v>
      </c>
      <c r="CT96" s="6"/>
      <c r="CU96" s="6"/>
      <c r="CV96" s="6"/>
      <c r="CW96" s="6"/>
      <c r="CX96" s="6"/>
      <c r="CY96" s="6"/>
      <c r="CZ96" s="6"/>
      <c r="DA96" s="6"/>
      <c r="DB96" s="6"/>
      <c r="DC96" s="6"/>
    </row>
    <row r="97" spans="4:107" ht="17.25" thickBot="1">
      <c r="E97" s="267" t="s">
        <v>490</v>
      </c>
      <c r="F97" s="271" t="s">
        <v>472</v>
      </c>
      <c r="G97" s="268">
        <v>0.4</v>
      </c>
      <c r="H97" s="268">
        <v>0.4</v>
      </c>
      <c r="I97" s="268">
        <v>0.2</v>
      </c>
      <c r="J97" s="1" t="str">
        <f>IF(Product_Support="AIO-FSM","Format 2 - DL 0% : UL  0% ","Format 2 - DL 0% : UL  0% ")</f>
        <v xml:space="preserve">Format 2 - DL 0% : UL  0% </v>
      </c>
      <c r="K97" s="1"/>
      <c r="L97" s="274">
        <f>VLOOKUP(inputs!C4,DATA!E96:J100,4,0)</f>
        <v>0.2</v>
      </c>
      <c r="M97" s="272" t="s">
        <v>191</v>
      </c>
      <c r="N97" t="s">
        <v>476</v>
      </c>
      <c r="CK97" s="96" t="str">
        <f t="shared" si="33"/>
        <v>71_15</v>
      </c>
      <c r="CL97" s="122">
        <v>71</v>
      </c>
      <c r="CM97" s="236"/>
      <c r="CN97" s="5">
        <v>15</v>
      </c>
      <c r="CO97" s="5">
        <v>5</v>
      </c>
      <c r="CP97" s="6">
        <v>10</v>
      </c>
      <c r="CQ97" s="6">
        <v>15</v>
      </c>
      <c r="CR97" s="6">
        <v>20</v>
      </c>
      <c r="CS97" s="6">
        <v>25</v>
      </c>
      <c r="CT97" s="6">
        <v>30</v>
      </c>
      <c r="CU97" s="6">
        <v>35</v>
      </c>
      <c r="CV97" s="6"/>
      <c r="CW97" s="6"/>
      <c r="CX97" s="6"/>
      <c r="CY97" s="6"/>
      <c r="CZ97" s="6"/>
      <c r="DA97" s="6"/>
      <c r="DB97" s="6"/>
      <c r="DC97" s="6"/>
    </row>
    <row r="98" spans="4:107" ht="17.25" thickBot="1">
      <c r="D98" t="s">
        <v>473</v>
      </c>
      <c r="E98" s="267" t="s">
        <v>491</v>
      </c>
      <c r="F98" s="271" t="s">
        <v>474</v>
      </c>
      <c r="G98" s="268">
        <v>0.3</v>
      </c>
      <c r="H98" s="268">
        <v>0.6</v>
      </c>
      <c r="I98" s="268">
        <v>0.1</v>
      </c>
      <c r="J98" s="1" t="str">
        <f>IF(Product_Support="AIO-FSM","Format 6 - DL 71.% : UL  0% /(10)DL:(0)UL","Format 2 - DL 0% : UL  0% ")</f>
        <v xml:space="preserve">Format 2 - DL 0% : UL  0% </v>
      </c>
      <c r="K98" s="1"/>
      <c r="L98" s="274">
        <f>VLOOKUP(inputs!C4,DATA!E96:J100,5,0)</f>
        <v>0.2</v>
      </c>
      <c r="M98" s="272" t="s">
        <v>453</v>
      </c>
      <c r="N98" t="s">
        <v>477</v>
      </c>
      <c r="CK98" s="96" t="str">
        <f t="shared" si="33"/>
        <v>71_30</v>
      </c>
      <c r="CL98" s="122">
        <v>71</v>
      </c>
      <c r="CM98" s="236" t="s">
        <v>101</v>
      </c>
      <c r="CN98" s="5">
        <v>30</v>
      </c>
      <c r="CO98" s="5"/>
      <c r="CP98" s="6">
        <v>10</v>
      </c>
      <c r="CQ98" s="6">
        <v>15</v>
      </c>
      <c r="CR98" s="6">
        <v>20</v>
      </c>
      <c r="CS98" s="6">
        <v>25</v>
      </c>
      <c r="CT98" s="6">
        <v>30</v>
      </c>
      <c r="CU98" s="6">
        <v>35</v>
      </c>
      <c r="CV98" s="6"/>
      <c r="CW98" s="6"/>
      <c r="CX98" s="6"/>
      <c r="CY98" s="6"/>
      <c r="CZ98" s="6"/>
      <c r="DA98" s="6"/>
      <c r="DB98" s="6"/>
      <c r="DC98" s="6"/>
    </row>
    <row r="99" spans="4:107" ht="63.75" thickBot="1">
      <c r="E99" s="267" t="s">
        <v>492</v>
      </c>
      <c r="F99" s="278" t="s">
        <v>488</v>
      </c>
      <c r="G99" s="277">
        <v>0.6</v>
      </c>
      <c r="H99" s="277">
        <v>0.2</v>
      </c>
      <c r="I99" s="277">
        <v>0.2</v>
      </c>
      <c r="J99" s="1" t="str">
        <f>IF(Product_Support="AIO-FSM","Format 6 - DL 71.% : UL  0% /(10)DL:(0)UL","Format 2 - DL 0% : UL  0% ")</f>
        <v xml:space="preserve">Format 2 - DL 0% : UL  0% </v>
      </c>
      <c r="L99" s="132" t="str">
        <f>VLOOKUP(inputs!C4,DATA!E96:J100,6,0)</f>
        <v xml:space="preserve">Format 2 - DL 0% : UL  0% </v>
      </c>
      <c r="M99" s="273" t="s">
        <v>434</v>
      </c>
      <c r="N99" t="s">
        <v>478</v>
      </c>
      <c r="CK99" s="96" t="str">
        <f t="shared" si="33"/>
        <v>71_60</v>
      </c>
      <c r="CL99" s="122">
        <v>71</v>
      </c>
      <c r="CM99" s="5"/>
      <c r="CN99" s="5">
        <v>60</v>
      </c>
      <c r="CO99" s="5"/>
      <c r="CP99" s="6"/>
      <c r="CQ99" s="6"/>
      <c r="CR99" s="6"/>
      <c r="CS99" s="6"/>
      <c r="CT99" s="6"/>
      <c r="CU99" s="6"/>
      <c r="CV99" s="6"/>
      <c r="CW99" s="6"/>
      <c r="CX99" s="6"/>
      <c r="CY99" s="6"/>
      <c r="CZ99" s="6"/>
      <c r="DA99" s="6"/>
      <c r="DB99" s="6"/>
      <c r="DC99" s="6"/>
    </row>
    <row r="100" spans="4:107" ht="15.75" thickBot="1">
      <c r="E100" s="267" t="s">
        <v>479</v>
      </c>
      <c r="F100" s="1"/>
      <c r="G100" s="268">
        <f>DL_splite_NR_manual</f>
        <v>0.7</v>
      </c>
      <c r="H100" s="268">
        <f>UL_splite_NR_manual</f>
        <v>0.2</v>
      </c>
      <c r="I100" s="268">
        <f>SSF_splite_NR_manual</f>
        <v>0.2</v>
      </c>
      <c r="J100" s="1" t="str">
        <f>Format_input_NR_manual</f>
        <v xml:space="preserve">Format 2 - DL 0% : UL  0% </v>
      </c>
      <c r="K100" s="1"/>
      <c r="CK100" s="96" t="str">
        <f t="shared" si="33"/>
        <v>74_15</v>
      </c>
      <c r="CL100" s="122">
        <v>74</v>
      </c>
      <c r="CM100" s="236"/>
      <c r="CN100" s="5">
        <v>15</v>
      </c>
      <c r="CO100" s="5">
        <v>5</v>
      </c>
      <c r="CP100" s="6">
        <v>10</v>
      </c>
      <c r="CQ100" s="6">
        <v>15</v>
      </c>
      <c r="CR100" s="6">
        <v>20</v>
      </c>
      <c r="CS100" s="6"/>
      <c r="CT100" s="6"/>
      <c r="CU100" s="6"/>
      <c r="CV100" s="6"/>
      <c r="CW100" s="6"/>
      <c r="CX100" s="6"/>
      <c r="CY100" s="6"/>
      <c r="CZ100" s="6"/>
      <c r="DA100" s="6"/>
      <c r="DB100" s="6"/>
      <c r="DC100" s="6"/>
    </row>
    <row r="101" spans="4:107" ht="15.75" thickBot="1">
      <c r="CK101" s="96" t="str">
        <f t="shared" si="33"/>
        <v>74_30</v>
      </c>
      <c r="CL101" s="122">
        <v>74</v>
      </c>
      <c r="CM101" s="236" t="s">
        <v>104</v>
      </c>
      <c r="CN101" s="5">
        <v>30</v>
      </c>
      <c r="CO101" s="5"/>
      <c r="CP101" s="6">
        <v>10</v>
      </c>
      <c r="CQ101" s="6">
        <v>15</v>
      </c>
      <c r="CR101" s="6">
        <v>20</v>
      </c>
      <c r="CS101" s="6"/>
      <c r="CT101" s="6"/>
      <c r="CU101" s="6"/>
      <c r="CV101" s="6"/>
      <c r="CW101" s="6"/>
      <c r="CX101" s="6"/>
      <c r="CY101" s="6"/>
      <c r="CZ101" s="6"/>
      <c r="DA101" s="6"/>
      <c r="DB101" s="6"/>
      <c r="DC101" s="6"/>
    </row>
    <row r="102" spans="4:107" ht="15.75" thickBot="1">
      <c r="CK102" s="96" t="str">
        <f t="shared" si="33"/>
        <v>74_60</v>
      </c>
      <c r="CL102" s="122">
        <v>74</v>
      </c>
      <c r="CM102" s="5"/>
      <c r="CN102" s="5">
        <v>60</v>
      </c>
      <c r="CO102" s="5"/>
      <c r="CP102" s="6">
        <v>10</v>
      </c>
      <c r="CQ102" s="6">
        <v>15</v>
      </c>
      <c r="CR102" s="6">
        <v>20</v>
      </c>
      <c r="CS102" s="6"/>
      <c r="CT102" s="6"/>
      <c r="CU102" s="6"/>
      <c r="CV102" s="6"/>
      <c r="CW102" s="6"/>
      <c r="CX102" s="6"/>
      <c r="CY102" s="6"/>
      <c r="CZ102" s="6"/>
      <c r="DA102" s="6"/>
      <c r="DB102" s="6"/>
      <c r="DC102" s="6"/>
    </row>
    <row r="103" spans="4:107" ht="15.75" thickBot="1">
      <c r="CK103" s="96" t="str">
        <f t="shared" si="33"/>
        <v>75_15</v>
      </c>
      <c r="CL103" s="122">
        <v>75</v>
      </c>
      <c r="CM103" s="236"/>
      <c r="CN103" s="5">
        <v>15</v>
      </c>
      <c r="CO103" s="5">
        <v>5</v>
      </c>
      <c r="CP103" s="6">
        <v>10</v>
      </c>
      <c r="CQ103" s="6">
        <v>15</v>
      </c>
      <c r="CR103" s="6">
        <v>20</v>
      </c>
      <c r="CS103" s="6">
        <v>25</v>
      </c>
      <c r="CT103" s="6">
        <v>30</v>
      </c>
      <c r="CU103" s="6"/>
      <c r="CV103" s="6">
        <v>40</v>
      </c>
      <c r="CW103" s="6"/>
      <c r="CX103" s="6">
        <v>50</v>
      </c>
      <c r="CY103" s="6"/>
      <c r="CZ103" s="6"/>
      <c r="DA103" s="6"/>
      <c r="DB103" s="6"/>
      <c r="DC103" s="6"/>
    </row>
    <row r="104" spans="4:107" ht="15.75" thickBot="1">
      <c r="CK104" s="96" t="str">
        <f t="shared" si="33"/>
        <v>75_30</v>
      </c>
      <c r="CL104" s="122">
        <v>75</v>
      </c>
      <c r="CM104" s="236" t="s">
        <v>107</v>
      </c>
      <c r="CN104" s="5">
        <v>30</v>
      </c>
      <c r="CO104" s="5"/>
      <c r="CP104" s="6">
        <v>10</v>
      </c>
      <c r="CQ104" s="6">
        <v>15</v>
      </c>
      <c r="CR104" s="6">
        <v>20</v>
      </c>
      <c r="CS104" s="6">
        <v>25</v>
      </c>
      <c r="CT104" s="6">
        <v>30</v>
      </c>
      <c r="CU104" s="6"/>
      <c r="CV104" s="6">
        <v>40</v>
      </c>
      <c r="CW104" s="6"/>
      <c r="CX104" s="6">
        <v>50</v>
      </c>
      <c r="CY104" s="6"/>
      <c r="CZ104" s="6"/>
      <c r="DA104" s="6"/>
      <c r="DB104" s="6"/>
      <c r="DC104" s="6"/>
    </row>
    <row r="105" spans="4:107" ht="15.75" thickBot="1">
      <c r="CK105" s="96" t="str">
        <f t="shared" si="33"/>
        <v>75_60</v>
      </c>
      <c r="CL105" s="122">
        <v>75</v>
      </c>
      <c r="CM105" s="5"/>
      <c r="CN105" s="5">
        <v>60</v>
      </c>
      <c r="CO105" s="5"/>
      <c r="CP105" s="6">
        <v>10</v>
      </c>
      <c r="CQ105" s="6">
        <v>15</v>
      </c>
      <c r="CR105" s="6">
        <v>20</v>
      </c>
      <c r="CS105" s="6">
        <v>25</v>
      </c>
      <c r="CT105" s="6">
        <v>30</v>
      </c>
      <c r="CU105" s="6"/>
      <c r="CV105" s="6">
        <v>40</v>
      </c>
      <c r="CW105" s="6"/>
      <c r="CX105" s="6">
        <v>50</v>
      </c>
      <c r="CY105" s="6"/>
      <c r="CZ105" s="6"/>
      <c r="DA105" s="6"/>
      <c r="DB105" s="6"/>
      <c r="DC105" s="6"/>
    </row>
    <row r="106" spans="4:107" ht="15.75" thickBot="1">
      <c r="CK106" s="96" t="str">
        <f t="shared" si="33"/>
        <v>76_15</v>
      </c>
      <c r="CL106" s="122">
        <v>76</v>
      </c>
      <c r="CM106" s="236"/>
      <c r="CN106" s="5">
        <v>15</v>
      </c>
      <c r="CO106" s="5">
        <v>5</v>
      </c>
      <c r="CP106" s="6"/>
      <c r="CQ106" s="6"/>
      <c r="CR106" s="6"/>
      <c r="CS106" s="6"/>
      <c r="CT106" s="6"/>
      <c r="CU106" s="6"/>
      <c r="CV106" s="6"/>
      <c r="CW106" s="6"/>
      <c r="CX106" s="6"/>
      <c r="CY106" s="6"/>
      <c r="CZ106" s="6"/>
      <c r="DA106" s="6"/>
      <c r="DB106" s="6"/>
      <c r="DC106" s="6"/>
    </row>
    <row r="107" spans="4:107" ht="15.75" thickBot="1">
      <c r="CK107" s="96" t="str">
        <f t="shared" si="33"/>
        <v>76_30</v>
      </c>
      <c r="CL107" s="122">
        <v>76</v>
      </c>
      <c r="CM107" s="236" t="s">
        <v>110</v>
      </c>
      <c r="CN107" s="5">
        <v>30</v>
      </c>
      <c r="CO107" s="5"/>
      <c r="CP107" s="6"/>
      <c r="CQ107" s="6"/>
      <c r="CR107" s="6"/>
      <c r="CS107" s="6"/>
      <c r="CT107" s="6"/>
      <c r="CU107" s="6"/>
      <c r="CV107" s="6"/>
      <c r="CW107" s="6"/>
      <c r="CX107" s="6"/>
      <c r="CY107" s="6"/>
      <c r="CZ107" s="6"/>
      <c r="DA107" s="6"/>
      <c r="DB107" s="6"/>
      <c r="DC107" s="6"/>
    </row>
    <row r="108" spans="4:107" ht="15.75" thickBot="1">
      <c r="CK108" s="96" t="str">
        <f t="shared" si="33"/>
        <v>76_60</v>
      </c>
      <c r="CL108" s="122">
        <v>76</v>
      </c>
      <c r="CM108" s="5"/>
      <c r="CN108" s="5">
        <v>60</v>
      </c>
      <c r="CO108" s="5"/>
      <c r="CP108" s="6"/>
      <c r="CQ108" s="6"/>
      <c r="CR108" s="6"/>
      <c r="CS108" s="6"/>
      <c r="CT108" s="6"/>
      <c r="CU108" s="6"/>
      <c r="CV108" s="6"/>
      <c r="CW108" s="6"/>
      <c r="CX108" s="6"/>
      <c r="CY108" s="6"/>
      <c r="CZ108" s="6"/>
      <c r="DA108" s="6"/>
      <c r="DB108" s="6"/>
      <c r="DC108" s="6"/>
    </row>
    <row r="109" spans="4:107" ht="15.75" thickBot="1">
      <c r="CK109" s="96" t="str">
        <f t="shared" si="33"/>
        <v>77_15</v>
      </c>
      <c r="CL109" s="122">
        <v>77</v>
      </c>
      <c r="CM109" s="236"/>
      <c r="CN109" s="5">
        <v>15</v>
      </c>
      <c r="CO109" s="5"/>
      <c r="CP109" s="6">
        <v>10</v>
      </c>
      <c r="CQ109" s="6">
        <v>15</v>
      </c>
      <c r="CR109" s="6">
        <v>20</v>
      </c>
      <c r="CS109" s="6">
        <v>25</v>
      </c>
      <c r="CT109" s="6">
        <v>30</v>
      </c>
      <c r="CU109" s="6"/>
      <c r="CV109" s="6">
        <v>40</v>
      </c>
      <c r="CW109" s="6"/>
      <c r="CX109" s="6">
        <v>50</v>
      </c>
      <c r="CY109" s="6"/>
      <c r="CZ109" s="6"/>
      <c r="DA109" s="6"/>
      <c r="DB109" s="6"/>
      <c r="DC109" s="6"/>
    </row>
    <row r="110" spans="4:107" ht="15.75" thickBot="1">
      <c r="CK110" s="96" t="str">
        <f t="shared" si="33"/>
        <v>77_30</v>
      </c>
      <c r="CL110" s="122">
        <v>77</v>
      </c>
      <c r="CM110" s="236" t="s">
        <v>111</v>
      </c>
      <c r="CN110" s="5">
        <v>30</v>
      </c>
      <c r="CO110" s="5"/>
      <c r="CP110" s="6">
        <v>10</v>
      </c>
      <c r="CQ110" s="6">
        <v>15</v>
      </c>
      <c r="CR110" s="6">
        <v>20</v>
      </c>
      <c r="CS110" s="6">
        <v>25</v>
      </c>
      <c r="CT110" s="6">
        <v>30</v>
      </c>
      <c r="CU110" s="6"/>
      <c r="CV110" s="6">
        <v>40</v>
      </c>
      <c r="CW110" s="6"/>
      <c r="CX110" s="6">
        <v>50</v>
      </c>
      <c r="CY110" s="6">
        <v>60</v>
      </c>
      <c r="CZ110" s="6">
        <v>70</v>
      </c>
      <c r="DA110" s="6">
        <v>80</v>
      </c>
      <c r="DB110" s="6">
        <v>90</v>
      </c>
      <c r="DC110" s="6">
        <v>100</v>
      </c>
    </row>
    <row r="111" spans="4:107" ht="15.75" thickBot="1">
      <c r="CK111" s="96" t="str">
        <f t="shared" si="33"/>
        <v>77_60</v>
      </c>
      <c r="CL111" s="122">
        <v>77</v>
      </c>
      <c r="CM111" s="5"/>
      <c r="CN111" s="5">
        <v>60</v>
      </c>
      <c r="CO111" s="5"/>
      <c r="CP111" s="6">
        <v>10</v>
      </c>
      <c r="CQ111" s="6">
        <v>15</v>
      </c>
      <c r="CR111" s="6">
        <v>20</v>
      </c>
      <c r="CS111" s="6">
        <v>25</v>
      </c>
      <c r="CT111" s="6">
        <v>30</v>
      </c>
      <c r="CU111" s="6"/>
      <c r="CV111" s="6">
        <v>40</v>
      </c>
      <c r="CW111" s="6"/>
      <c r="CX111" s="6">
        <v>50</v>
      </c>
      <c r="CY111" s="6">
        <v>60</v>
      </c>
      <c r="CZ111" s="6">
        <v>70</v>
      </c>
      <c r="DA111" s="6">
        <v>80</v>
      </c>
      <c r="DB111" s="6">
        <v>90</v>
      </c>
      <c r="DC111" s="6">
        <v>100</v>
      </c>
    </row>
    <row r="112" spans="4:107" ht="15.75" thickBot="1">
      <c r="CK112" s="96" t="str">
        <f t="shared" si="33"/>
        <v>78_15</v>
      </c>
      <c r="CL112" s="122">
        <v>78</v>
      </c>
      <c r="CM112" s="236"/>
      <c r="CN112" s="5">
        <v>15</v>
      </c>
      <c r="CO112" s="5"/>
      <c r="CP112" s="6">
        <v>10</v>
      </c>
      <c r="CQ112" s="6">
        <v>15</v>
      </c>
      <c r="CR112" s="6">
        <v>20</v>
      </c>
      <c r="CS112" s="6">
        <v>25</v>
      </c>
      <c r="CT112" s="6">
        <v>30</v>
      </c>
      <c r="CU112" s="6"/>
      <c r="CV112" s="6">
        <v>40</v>
      </c>
      <c r="CW112" s="6"/>
      <c r="CX112" s="6">
        <v>50</v>
      </c>
      <c r="CY112" s="6"/>
      <c r="CZ112" s="6"/>
      <c r="DA112" s="6"/>
      <c r="DB112" s="6"/>
      <c r="DC112" s="6"/>
    </row>
    <row r="113" spans="89:107" ht="15.75" thickBot="1">
      <c r="CK113" s="96" t="str">
        <f t="shared" si="33"/>
        <v>78_30</v>
      </c>
      <c r="CL113" s="122">
        <v>78</v>
      </c>
      <c r="CM113" s="236" t="s">
        <v>113</v>
      </c>
      <c r="CN113" s="5">
        <v>30</v>
      </c>
      <c r="CO113" s="5"/>
      <c r="CP113" s="6">
        <v>10</v>
      </c>
      <c r="CQ113" s="6">
        <v>15</v>
      </c>
      <c r="CR113" s="6">
        <v>20</v>
      </c>
      <c r="CS113" s="6">
        <v>25</v>
      </c>
      <c r="CT113" s="6">
        <v>30</v>
      </c>
      <c r="CU113" s="6"/>
      <c r="CV113" s="6">
        <v>40</v>
      </c>
      <c r="CW113" s="6"/>
      <c r="CX113" s="6">
        <v>50</v>
      </c>
      <c r="CY113" s="6">
        <v>60</v>
      </c>
      <c r="CZ113" s="6">
        <v>70</v>
      </c>
      <c r="DA113" s="6">
        <v>80</v>
      </c>
      <c r="DB113" s="6">
        <v>90</v>
      </c>
      <c r="DC113" s="6">
        <v>100</v>
      </c>
    </row>
    <row r="114" spans="89:107" ht="15.75" thickBot="1">
      <c r="CK114" s="96" t="str">
        <f t="shared" si="33"/>
        <v>78_60</v>
      </c>
      <c r="CL114" s="122">
        <v>78</v>
      </c>
      <c r="CM114" s="5"/>
      <c r="CN114" s="5">
        <v>60</v>
      </c>
      <c r="CO114" s="5"/>
      <c r="CP114" s="6">
        <v>10</v>
      </c>
      <c r="CQ114" s="6">
        <v>15</v>
      </c>
      <c r="CR114" s="6">
        <v>20</v>
      </c>
      <c r="CS114" s="6">
        <v>25</v>
      </c>
      <c r="CT114" s="6">
        <v>30</v>
      </c>
      <c r="CU114" s="6"/>
      <c r="CV114" s="6">
        <v>40</v>
      </c>
      <c r="CW114" s="6"/>
      <c r="CX114" s="6">
        <v>50</v>
      </c>
      <c r="CY114" s="6">
        <v>60</v>
      </c>
      <c r="CZ114" s="6">
        <v>70</v>
      </c>
      <c r="DA114" s="6">
        <v>80</v>
      </c>
      <c r="DB114" s="6">
        <v>90</v>
      </c>
      <c r="DC114" s="6">
        <v>100</v>
      </c>
    </row>
    <row r="115" spans="89:107" ht="15.75" thickBot="1">
      <c r="CK115" s="96" t="str">
        <f t="shared" si="33"/>
        <v>79_15</v>
      </c>
      <c r="CL115" s="122">
        <v>79</v>
      </c>
      <c r="CM115" s="236"/>
      <c r="CN115" s="5">
        <v>15</v>
      </c>
      <c r="CO115" s="5"/>
      <c r="CP115" s="6">
        <v>10</v>
      </c>
      <c r="CQ115" s="6"/>
      <c r="CR115" s="6">
        <v>20</v>
      </c>
      <c r="CS115" s="6"/>
      <c r="CT115" s="6">
        <v>30</v>
      </c>
      <c r="CU115" s="6"/>
      <c r="CV115" s="6">
        <v>40</v>
      </c>
      <c r="CW115" s="6"/>
      <c r="CX115" s="6">
        <v>50</v>
      </c>
      <c r="CY115" s="6"/>
      <c r="CZ115" s="6"/>
      <c r="DA115" s="6"/>
      <c r="DB115" s="6"/>
      <c r="DC115" s="6"/>
    </row>
    <row r="116" spans="89:107" ht="15.75" thickBot="1">
      <c r="CK116" s="96" t="str">
        <f t="shared" si="33"/>
        <v>79_30</v>
      </c>
      <c r="CL116" s="122">
        <v>79</v>
      </c>
      <c r="CM116" s="236" t="s">
        <v>115</v>
      </c>
      <c r="CN116" s="5">
        <v>30</v>
      </c>
      <c r="CO116" s="5"/>
      <c r="CP116" s="6">
        <v>10</v>
      </c>
      <c r="CQ116" s="6"/>
      <c r="CR116" s="6">
        <v>20</v>
      </c>
      <c r="CS116" s="6"/>
      <c r="CT116" s="6">
        <v>30</v>
      </c>
      <c r="CU116" s="6"/>
      <c r="CV116" s="6">
        <v>40</v>
      </c>
      <c r="CW116" s="6"/>
      <c r="CX116" s="6">
        <v>50</v>
      </c>
      <c r="CY116" s="6">
        <v>60</v>
      </c>
      <c r="CZ116" s="6">
        <v>70</v>
      </c>
      <c r="DA116" s="6">
        <v>80</v>
      </c>
      <c r="DB116" s="6">
        <v>90</v>
      </c>
      <c r="DC116" s="6">
        <v>100</v>
      </c>
    </row>
    <row r="117" spans="89:107" ht="15.75" thickBot="1">
      <c r="CK117" s="96" t="str">
        <f t="shared" si="33"/>
        <v>79_60</v>
      </c>
      <c r="CL117" s="122">
        <v>79</v>
      </c>
      <c r="CM117" s="5"/>
      <c r="CN117" s="5">
        <v>60</v>
      </c>
      <c r="CO117" s="5"/>
      <c r="CP117" s="6">
        <v>10</v>
      </c>
      <c r="CQ117" s="6"/>
      <c r="CR117" s="6">
        <v>20</v>
      </c>
      <c r="CS117" s="6"/>
      <c r="CT117" s="6">
        <v>30</v>
      </c>
      <c r="CU117" s="6"/>
      <c r="CV117" s="6">
        <v>40</v>
      </c>
      <c r="CW117" s="6"/>
      <c r="CX117" s="6">
        <v>50</v>
      </c>
      <c r="CY117" s="6">
        <v>60</v>
      </c>
      <c r="CZ117" s="6">
        <v>70</v>
      </c>
      <c r="DA117" s="6">
        <v>80</v>
      </c>
      <c r="DB117" s="6">
        <v>90</v>
      </c>
      <c r="DC117" s="6">
        <v>100</v>
      </c>
    </row>
    <row r="118" spans="89:107" ht="15.75" thickBot="1">
      <c r="CK118" s="96" t="str">
        <f t="shared" si="33"/>
        <v>80_15</v>
      </c>
      <c r="CL118" s="122">
        <v>80</v>
      </c>
      <c r="CM118" s="236"/>
      <c r="CN118" s="5">
        <v>15</v>
      </c>
      <c r="CO118" s="5">
        <v>5</v>
      </c>
      <c r="CP118" s="6">
        <v>10</v>
      </c>
      <c r="CQ118" s="6">
        <v>15</v>
      </c>
      <c r="CR118" s="6">
        <v>20</v>
      </c>
      <c r="CS118" s="6">
        <v>25</v>
      </c>
      <c r="CT118" s="6">
        <v>30</v>
      </c>
      <c r="CU118" s="6"/>
      <c r="CV118" s="6">
        <v>40</v>
      </c>
      <c r="CW118" s="6"/>
      <c r="CX118" s="6"/>
      <c r="CY118" s="6"/>
      <c r="CZ118" s="6"/>
      <c r="DA118" s="6"/>
      <c r="DB118" s="6"/>
      <c r="DC118" s="6"/>
    </row>
    <row r="119" spans="89:107" ht="15.75" thickBot="1">
      <c r="CK119" s="96" t="str">
        <f t="shared" si="33"/>
        <v>80_30</v>
      </c>
      <c r="CL119" s="122">
        <v>80</v>
      </c>
      <c r="CM119" s="236" t="s">
        <v>117</v>
      </c>
      <c r="CN119" s="5">
        <v>30</v>
      </c>
      <c r="CO119" s="5"/>
      <c r="CP119" s="6">
        <v>10</v>
      </c>
      <c r="CQ119" s="6">
        <v>15</v>
      </c>
      <c r="CR119" s="6">
        <v>20</v>
      </c>
      <c r="CS119" s="6">
        <v>25</v>
      </c>
      <c r="CT119" s="6">
        <v>30</v>
      </c>
      <c r="CU119" s="6"/>
      <c r="CV119" s="6">
        <v>40</v>
      </c>
      <c r="CW119" s="6"/>
      <c r="CX119" s="6"/>
      <c r="CY119" s="6"/>
      <c r="CZ119" s="6"/>
      <c r="DA119" s="6"/>
      <c r="DB119" s="6"/>
      <c r="DC119" s="6"/>
    </row>
    <row r="120" spans="89:107" ht="15.75" thickBot="1">
      <c r="CK120" s="96" t="str">
        <f t="shared" si="33"/>
        <v>80_60</v>
      </c>
      <c r="CL120" s="122">
        <v>80</v>
      </c>
      <c r="CM120" s="5"/>
      <c r="CN120" s="5">
        <v>60</v>
      </c>
      <c r="CO120" s="5"/>
      <c r="CP120" s="6">
        <v>10</v>
      </c>
      <c r="CQ120" s="6">
        <v>15</v>
      </c>
      <c r="CR120" s="6">
        <v>20</v>
      </c>
      <c r="CS120" s="6">
        <v>25</v>
      </c>
      <c r="CT120" s="6">
        <v>30</v>
      </c>
      <c r="CU120" s="6"/>
      <c r="CV120" s="6">
        <v>40</v>
      </c>
      <c r="CW120" s="6"/>
      <c r="CX120" s="6"/>
      <c r="CY120" s="6"/>
      <c r="CZ120" s="6"/>
      <c r="DA120" s="6"/>
      <c r="DB120" s="6"/>
      <c r="DC120" s="6"/>
    </row>
    <row r="121" spans="89:107" ht="15.75" thickBot="1">
      <c r="CK121" s="96" t="str">
        <f t="shared" si="33"/>
        <v>81_15</v>
      </c>
      <c r="CL121" s="122">
        <v>81</v>
      </c>
      <c r="CM121" s="236"/>
      <c r="CN121" s="5">
        <v>15</v>
      </c>
      <c r="CO121" s="5">
        <v>5</v>
      </c>
      <c r="CP121" s="6">
        <v>10</v>
      </c>
      <c r="CQ121" s="6">
        <v>15</v>
      </c>
      <c r="CR121" s="6">
        <v>20</v>
      </c>
      <c r="CS121" s="6"/>
      <c r="CT121" s="6"/>
      <c r="CU121" s="6"/>
      <c r="CV121" s="6"/>
      <c r="CW121" s="6"/>
      <c r="CX121" s="6"/>
      <c r="CY121" s="6"/>
      <c r="CZ121" s="6"/>
      <c r="DA121" s="6"/>
      <c r="DB121" s="6"/>
      <c r="DC121" s="6"/>
    </row>
    <row r="122" spans="89:107" ht="15.75" thickBot="1">
      <c r="CK122" s="96" t="str">
        <f t="shared" si="33"/>
        <v>81_30</v>
      </c>
      <c r="CL122" s="122">
        <v>81</v>
      </c>
      <c r="CM122" s="236" t="s">
        <v>119</v>
      </c>
      <c r="CN122" s="5">
        <v>30</v>
      </c>
      <c r="CO122" s="5"/>
      <c r="CP122" s="6">
        <v>10</v>
      </c>
      <c r="CQ122" s="6">
        <v>15</v>
      </c>
      <c r="CR122" s="6">
        <v>20</v>
      </c>
      <c r="CS122" s="6"/>
      <c r="CT122" s="6"/>
      <c r="CU122" s="6"/>
      <c r="CV122" s="6"/>
      <c r="CW122" s="6"/>
      <c r="CX122" s="6"/>
      <c r="CY122" s="6"/>
      <c r="CZ122" s="6"/>
      <c r="DA122" s="6"/>
      <c r="DB122" s="6"/>
      <c r="DC122" s="6"/>
    </row>
    <row r="123" spans="89:107" ht="15.75" thickBot="1">
      <c r="CK123" s="96" t="str">
        <f t="shared" si="33"/>
        <v>81_60</v>
      </c>
      <c r="CL123" s="122">
        <v>81</v>
      </c>
      <c r="CM123" s="5"/>
      <c r="CN123" s="5">
        <v>60</v>
      </c>
      <c r="CO123" s="5"/>
      <c r="CP123" s="6"/>
      <c r="CQ123" s="6"/>
      <c r="CR123" s="6"/>
      <c r="CS123" s="6"/>
      <c r="CT123" s="6"/>
      <c r="CU123" s="6"/>
      <c r="CV123" s="6"/>
      <c r="CW123" s="6"/>
      <c r="CX123" s="6"/>
      <c r="CY123" s="6"/>
      <c r="CZ123" s="6"/>
      <c r="DA123" s="6"/>
      <c r="DB123" s="6"/>
      <c r="DC123" s="6"/>
    </row>
    <row r="124" spans="89:107" ht="15.75" thickBot="1">
      <c r="CK124" s="96" t="str">
        <f t="shared" si="33"/>
        <v>82_15</v>
      </c>
      <c r="CL124" s="122">
        <v>82</v>
      </c>
      <c r="CM124" s="236"/>
      <c r="CN124" s="5">
        <v>15</v>
      </c>
      <c r="CO124" s="5">
        <v>5</v>
      </c>
      <c r="CP124" s="6">
        <v>10</v>
      </c>
      <c r="CQ124" s="6">
        <v>15</v>
      </c>
      <c r="CR124" s="6">
        <v>20</v>
      </c>
      <c r="CS124" s="6"/>
      <c r="CT124" s="6"/>
      <c r="CU124" s="6"/>
      <c r="CV124" s="6"/>
      <c r="CW124" s="6"/>
      <c r="CX124" s="6"/>
      <c r="CY124" s="6"/>
      <c r="CZ124" s="6"/>
      <c r="DA124" s="6"/>
      <c r="DB124" s="6"/>
      <c r="DC124" s="6"/>
    </row>
    <row r="125" spans="89:107" ht="15.75" thickBot="1">
      <c r="CK125" s="96" t="str">
        <f t="shared" si="33"/>
        <v>82_30</v>
      </c>
      <c r="CL125" s="122">
        <v>82</v>
      </c>
      <c r="CM125" s="236" t="s">
        <v>120</v>
      </c>
      <c r="CN125" s="5">
        <v>30</v>
      </c>
      <c r="CO125" s="5"/>
      <c r="CP125" s="6">
        <v>10</v>
      </c>
      <c r="CQ125" s="6">
        <v>15</v>
      </c>
      <c r="CR125" s="6">
        <v>20</v>
      </c>
      <c r="CS125" s="6"/>
      <c r="CT125" s="6"/>
      <c r="CU125" s="6"/>
      <c r="CV125" s="6"/>
      <c r="CW125" s="6"/>
      <c r="CX125" s="6"/>
      <c r="CY125" s="6"/>
      <c r="CZ125" s="6"/>
      <c r="DA125" s="6"/>
      <c r="DB125" s="6"/>
      <c r="DC125" s="6"/>
    </row>
    <row r="126" spans="89:107" ht="15.75" thickBot="1">
      <c r="CK126" s="96" t="str">
        <f t="shared" si="33"/>
        <v>82_60</v>
      </c>
      <c r="CL126" s="122">
        <v>82</v>
      </c>
      <c r="CM126" s="5"/>
      <c r="CN126" s="5">
        <v>60</v>
      </c>
      <c r="CO126" s="5"/>
      <c r="CP126" s="6"/>
      <c r="CQ126" s="6"/>
      <c r="CR126" s="6"/>
      <c r="CS126" s="6"/>
      <c r="CT126" s="6"/>
      <c r="CU126" s="6"/>
      <c r="CV126" s="6"/>
      <c r="CW126" s="6"/>
      <c r="CX126" s="6"/>
      <c r="CY126" s="6"/>
      <c r="CZ126" s="6"/>
      <c r="DA126" s="6"/>
      <c r="DB126" s="6"/>
      <c r="DC126" s="6"/>
    </row>
    <row r="127" spans="89:107" ht="15.75" thickBot="1">
      <c r="CK127" s="96" t="str">
        <f t="shared" si="33"/>
        <v>83_15</v>
      </c>
      <c r="CL127" s="122">
        <v>83</v>
      </c>
      <c r="CM127" s="236"/>
      <c r="CN127" s="6">
        <v>15</v>
      </c>
      <c r="CO127" s="5">
        <v>5</v>
      </c>
      <c r="CP127" s="6">
        <v>10</v>
      </c>
      <c r="CQ127" s="6">
        <v>15</v>
      </c>
      <c r="CR127" s="6">
        <v>20</v>
      </c>
      <c r="CS127" s="6">
        <v>25</v>
      </c>
      <c r="CT127" s="6">
        <v>30</v>
      </c>
      <c r="CU127" s="6"/>
      <c r="CV127" s="6">
        <v>40</v>
      </c>
      <c r="CW127" s="6"/>
      <c r="CX127" s="6"/>
      <c r="CY127" s="6"/>
      <c r="CZ127" s="6"/>
      <c r="DA127" s="6"/>
      <c r="DB127" s="6"/>
      <c r="DC127" s="6"/>
    </row>
    <row r="128" spans="89:107" ht="15.75" thickBot="1">
      <c r="CK128" s="96" t="str">
        <f t="shared" si="33"/>
        <v>83_30</v>
      </c>
      <c r="CL128" s="122">
        <v>83</v>
      </c>
      <c r="CM128" s="236" t="s">
        <v>121</v>
      </c>
      <c r="CN128" s="6">
        <v>30</v>
      </c>
      <c r="CO128" s="5"/>
      <c r="CP128" s="6">
        <v>10</v>
      </c>
      <c r="CQ128" s="6">
        <v>15</v>
      </c>
      <c r="CR128" s="6">
        <v>20</v>
      </c>
      <c r="CS128" s="6">
        <v>25</v>
      </c>
      <c r="CT128" s="6">
        <v>30</v>
      </c>
      <c r="CU128" s="6"/>
      <c r="CV128" s="6">
        <v>40</v>
      </c>
      <c r="CW128" s="6"/>
      <c r="CX128" s="6"/>
      <c r="CY128" s="6"/>
      <c r="CZ128" s="6"/>
      <c r="DA128" s="6"/>
      <c r="DB128" s="6"/>
      <c r="DC128" s="6"/>
    </row>
    <row r="129" spans="89:107" ht="15.75" thickBot="1">
      <c r="CK129" s="96" t="str">
        <f t="shared" si="33"/>
        <v>83_60</v>
      </c>
      <c r="CL129" s="122">
        <v>83</v>
      </c>
      <c r="CM129" s="5"/>
      <c r="CN129" s="6">
        <v>60</v>
      </c>
      <c r="CO129" s="6"/>
      <c r="CP129" s="6"/>
      <c r="CQ129" s="6"/>
      <c r="CR129" s="6"/>
      <c r="CS129" s="6"/>
      <c r="CT129" s="6"/>
      <c r="CU129" s="6"/>
      <c r="CV129" s="6"/>
      <c r="CW129" s="6"/>
      <c r="CX129" s="6"/>
      <c r="CY129" s="6"/>
      <c r="CZ129" s="6"/>
      <c r="DA129" s="6"/>
      <c r="DB129" s="6"/>
      <c r="DC129" s="6"/>
    </row>
    <row r="130" spans="89:107" ht="15.75" thickBot="1">
      <c r="CK130" s="96" t="str">
        <f t="shared" si="33"/>
        <v>84_15</v>
      </c>
      <c r="CL130" s="122">
        <v>84</v>
      </c>
      <c r="CM130" s="236"/>
      <c r="CN130" s="6">
        <v>15</v>
      </c>
      <c r="CO130" s="6">
        <v>5</v>
      </c>
      <c r="CP130" s="6">
        <v>10</v>
      </c>
      <c r="CQ130" s="6">
        <v>15</v>
      </c>
      <c r="CR130" s="6">
        <v>20</v>
      </c>
      <c r="CS130" s="6">
        <v>25</v>
      </c>
      <c r="CT130" s="6">
        <v>30</v>
      </c>
      <c r="CU130" s="6"/>
      <c r="CV130" s="6">
        <v>40</v>
      </c>
      <c r="CW130" s="6"/>
      <c r="CX130" s="6">
        <v>50</v>
      </c>
      <c r="CY130" s="6"/>
      <c r="CZ130" s="6"/>
      <c r="DA130" s="6"/>
      <c r="DB130" s="6"/>
      <c r="DC130" s="6"/>
    </row>
    <row r="131" spans="89:107" ht="15.75" thickBot="1">
      <c r="CK131" s="96" t="str">
        <f t="shared" si="33"/>
        <v>84_30</v>
      </c>
      <c r="CL131" s="122">
        <v>84</v>
      </c>
      <c r="CM131" s="236" t="s">
        <v>123</v>
      </c>
      <c r="CN131" s="6">
        <v>30</v>
      </c>
      <c r="CO131" s="6"/>
      <c r="CP131" s="6">
        <v>10</v>
      </c>
      <c r="CQ131" s="6">
        <v>15</v>
      </c>
      <c r="CR131" s="6">
        <v>20</v>
      </c>
      <c r="CS131" s="6">
        <v>25</v>
      </c>
      <c r="CT131" s="6">
        <v>30</v>
      </c>
      <c r="CU131" s="6"/>
      <c r="CV131" s="6">
        <v>40</v>
      </c>
      <c r="CW131" s="6"/>
      <c r="CX131" s="6">
        <v>50</v>
      </c>
      <c r="CY131" s="6"/>
      <c r="CZ131" s="6"/>
      <c r="DA131" s="6"/>
      <c r="DB131" s="6"/>
      <c r="DC131" s="6"/>
    </row>
    <row r="132" spans="89:107" ht="15" customHeight="1" thickBot="1">
      <c r="CK132" s="96" t="str">
        <f t="shared" si="33"/>
        <v>84_60</v>
      </c>
      <c r="CL132" s="122">
        <v>84</v>
      </c>
      <c r="CM132" s="5"/>
      <c r="CN132" s="6">
        <v>60</v>
      </c>
      <c r="CO132" s="6"/>
      <c r="CP132" s="6">
        <v>10</v>
      </c>
      <c r="CQ132" s="6">
        <v>15</v>
      </c>
      <c r="CR132" s="6">
        <v>20</v>
      </c>
      <c r="CS132" s="6">
        <v>25</v>
      </c>
      <c r="CT132" s="6">
        <v>30</v>
      </c>
      <c r="CU132" s="6"/>
      <c r="CV132" s="6">
        <v>40</v>
      </c>
      <c r="CW132" s="6"/>
      <c r="CX132" s="6">
        <v>50</v>
      </c>
      <c r="CY132" s="6"/>
      <c r="CZ132" s="6"/>
      <c r="DA132" s="6"/>
      <c r="DB132" s="6"/>
      <c r="DC132" s="6"/>
    </row>
    <row r="133" spans="89:107" ht="15.75" thickBot="1">
      <c r="CK133" s="96" t="str">
        <f t="shared" si="33"/>
        <v>85_15</v>
      </c>
      <c r="CL133" s="122">
        <v>85</v>
      </c>
      <c r="CM133" s="5"/>
      <c r="CN133" s="6">
        <v>15</v>
      </c>
      <c r="CO133" s="6">
        <v>5</v>
      </c>
      <c r="CP133" s="6">
        <v>10</v>
      </c>
      <c r="CQ133" s="6">
        <v>15</v>
      </c>
      <c r="CR133" s="6"/>
      <c r="CS133" s="6"/>
      <c r="CT133" s="6"/>
      <c r="CU133" s="6"/>
      <c r="CV133" s="6"/>
      <c r="CW133" s="6"/>
      <c r="CX133" s="6"/>
      <c r="CY133" s="6"/>
      <c r="CZ133" s="6"/>
      <c r="DA133" s="6"/>
      <c r="DB133" s="6"/>
      <c r="DC133" s="6"/>
    </row>
    <row r="134" spans="89:107" ht="15.75" thickBot="1">
      <c r="CK134" s="96" t="str">
        <f t="shared" ref="CK134:CK171" si="36">CONCATENATE(CL134,"_",CN134)</f>
        <v>85_30</v>
      </c>
      <c r="CL134" s="122">
        <v>85</v>
      </c>
      <c r="CM134" s="5" t="s">
        <v>391</v>
      </c>
      <c r="CN134" s="6">
        <v>30</v>
      </c>
      <c r="CO134" s="6"/>
      <c r="CP134" s="6">
        <v>10</v>
      </c>
      <c r="CQ134" s="6">
        <v>15</v>
      </c>
      <c r="CR134" s="6"/>
      <c r="CS134" s="6"/>
      <c r="CT134" s="6"/>
      <c r="CU134" s="6"/>
      <c r="CV134" s="6"/>
      <c r="CW134" s="6"/>
      <c r="CX134" s="6"/>
      <c r="CY134" s="6"/>
      <c r="CZ134" s="6"/>
      <c r="DA134" s="6"/>
      <c r="DB134" s="6"/>
      <c r="DC134" s="6"/>
    </row>
    <row r="135" spans="89:107" ht="15.75" thickBot="1">
      <c r="CK135" s="96" t="str">
        <f t="shared" si="36"/>
        <v>85_60</v>
      </c>
      <c r="CL135" s="122">
        <v>85</v>
      </c>
      <c r="CM135" s="5"/>
      <c r="CN135" s="6">
        <v>60</v>
      </c>
      <c r="CO135" s="6"/>
      <c r="CP135" s="6"/>
      <c r="CQ135" s="6"/>
      <c r="CR135" s="6"/>
      <c r="CS135" s="6"/>
      <c r="CT135" s="6"/>
      <c r="CU135" s="6"/>
      <c r="CV135" s="6"/>
      <c r="CW135" s="6"/>
      <c r="CX135" s="6"/>
      <c r="CY135" s="6"/>
      <c r="CZ135" s="6"/>
      <c r="DA135" s="6"/>
      <c r="DB135" s="6"/>
      <c r="DC135" s="6"/>
    </row>
    <row r="136" spans="89:107" ht="15.75" thickBot="1">
      <c r="CK136" s="96" t="str">
        <f t="shared" si="36"/>
        <v>86_15</v>
      </c>
      <c r="CL136" s="122">
        <v>86</v>
      </c>
      <c r="CM136" s="236"/>
      <c r="CN136" s="6">
        <v>15</v>
      </c>
      <c r="CO136" s="6">
        <v>5</v>
      </c>
      <c r="CP136" s="6">
        <v>10</v>
      </c>
      <c r="CQ136" s="6">
        <v>15</v>
      </c>
      <c r="CR136" s="6">
        <v>20</v>
      </c>
      <c r="CS136" s="6"/>
      <c r="CT136" s="6"/>
      <c r="CU136" s="6"/>
      <c r="CV136" s="6">
        <v>40</v>
      </c>
      <c r="CW136" s="6"/>
      <c r="CX136" s="6"/>
      <c r="CY136" s="6"/>
      <c r="CZ136" s="6"/>
      <c r="DA136" s="6"/>
      <c r="DB136" s="6"/>
      <c r="DC136" s="6"/>
    </row>
    <row r="137" spans="89:107" ht="15.75" thickBot="1">
      <c r="CK137" s="96" t="str">
        <f t="shared" si="36"/>
        <v>86_30</v>
      </c>
      <c r="CL137" s="122">
        <v>86</v>
      </c>
      <c r="CM137" s="236" t="s">
        <v>394</v>
      </c>
      <c r="CN137" s="6">
        <v>30</v>
      </c>
      <c r="CO137" s="6"/>
      <c r="CP137" s="6">
        <v>10</v>
      </c>
      <c r="CQ137" s="6">
        <v>15</v>
      </c>
      <c r="CR137" s="6">
        <v>20</v>
      </c>
      <c r="CS137" s="6"/>
      <c r="CT137" s="6"/>
      <c r="CU137" s="6"/>
      <c r="CV137" s="6">
        <v>40</v>
      </c>
      <c r="CW137" s="6"/>
      <c r="CX137" s="6"/>
      <c r="CY137" s="6"/>
      <c r="CZ137" s="6"/>
      <c r="DA137" s="6"/>
      <c r="DB137" s="6"/>
      <c r="DC137" s="6"/>
    </row>
    <row r="138" spans="89:107" ht="15.75" thickBot="1">
      <c r="CK138" s="96" t="str">
        <f t="shared" si="36"/>
        <v>86_60</v>
      </c>
      <c r="CL138" s="122">
        <v>86</v>
      </c>
      <c r="CM138" s="5"/>
      <c r="CN138" s="6">
        <v>60</v>
      </c>
      <c r="CO138" s="6"/>
      <c r="CP138" s="6">
        <v>10</v>
      </c>
      <c r="CQ138" s="6">
        <v>15</v>
      </c>
      <c r="CR138" s="6">
        <v>20</v>
      </c>
      <c r="CS138" s="6"/>
      <c r="CT138" s="6"/>
      <c r="CU138" s="6"/>
      <c r="CV138" s="6">
        <v>40</v>
      </c>
      <c r="CW138" s="6"/>
      <c r="CX138" s="6"/>
      <c r="CY138" s="6"/>
      <c r="CZ138" s="6"/>
      <c r="DA138" s="6"/>
      <c r="DB138" s="6"/>
      <c r="DC138" s="6"/>
    </row>
    <row r="139" spans="89:107" ht="15.75" thickBot="1">
      <c r="CK139" s="96" t="str">
        <f t="shared" si="36"/>
        <v>89_15</v>
      </c>
      <c r="CL139" s="122">
        <v>89</v>
      </c>
      <c r="CM139" s="236"/>
      <c r="CN139" s="6">
        <v>15</v>
      </c>
      <c r="CO139" s="6">
        <v>5</v>
      </c>
      <c r="CP139" s="6">
        <v>10</v>
      </c>
      <c r="CQ139" s="6">
        <v>15</v>
      </c>
      <c r="CR139" s="6">
        <v>20</v>
      </c>
      <c r="CS139" s="6"/>
      <c r="CT139" s="6"/>
      <c r="CU139" s="6"/>
      <c r="CV139" s="6"/>
      <c r="CW139" s="6"/>
      <c r="CX139" s="6"/>
      <c r="CY139" s="6"/>
      <c r="CZ139" s="6"/>
      <c r="DA139" s="6"/>
      <c r="DB139" s="6"/>
      <c r="DC139" s="6"/>
    </row>
    <row r="140" spans="89:107" ht="15.75" thickBot="1">
      <c r="CK140" s="96" t="str">
        <f t="shared" si="36"/>
        <v>89_30</v>
      </c>
      <c r="CL140" s="122">
        <v>89</v>
      </c>
      <c r="CM140" s="236" t="s">
        <v>395</v>
      </c>
      <c r="CN140" s="6">
        <v>30</v>
      </c>
      <c r="CO140" s="6"/>
      <c r="CP140" s="6">
        <v>10</v>
      </c>
      <c r="CQ140" s="6">
        <v>15</v>
      </c>
      <c r="CR140" s="6">
        <v>20</v>
      </c>
      <c r="CS140" s="6"/>
      <c r="CT140" s="6"/>
      <c r="CU140" s="6"/>
      <c r="CV140" s="6"/>
      <c r="CW140" s="6"/>
      <c r="CX140" s="6"/>
      <c r="CY140" s="6"/>
      <c r="CZ140" s="6"/>
      <c r="DA140" s="6"/>
      <c r="DB140" s="6"/>
      <c r="DC140" s="6"/>
    </row>
    <row r="141" spans="89:107" ht="15.75" thickBot="1">
      <c r="CK141" s="96" t="str">
        <f t="shared" si="36"/>
        <v>89_60</v>
      </c>
      <c r="CL141" s="122">
        <v>89</v>
      </c>
      <c r="CM141" s="5"/>
      <c r="CN141" s="6">
        <v>60</v>
      </c>
      <c r="CO141" s="6"/>
      <c r="CP141" s="6"/>
      <c r="CQ141" s="6"/>
      <c r="CR141" s="6"/>
      <c r="CS141" s="6"/>
      <c r="CT141" s="6"/>
      <c r="CU141" s="6"/>
      <c r="CV141" s="6"/>
      <c r="CW141" s="6"/>
      <c r="CX141" s="6"/>
      <c r="CY141" s="6"/>
      <c r="CZ141" s="6"/>
      <c r="DA141" s="6"/>
      <c r="DB141" s="6"/>
      <c r="DC141" s="6"/>
    </row>
    <row r="142" spans="89:107" ht="15.75" thickBot="1">
      <c r="CK142" s="96" t="str">
        <f t="shared" si="36"/>
        <v>90_15</v>
      </c>
      <c r="CL142" s="122">
        <v>90</v>
      </c>
      <c r="CM142" s="236"/>
      <c r="CN142" s="6">
        <v>15</v>
      </c>
      <c r="CO142" s="6">
        <v>5</v>
      </c>
      <c r="CP142" s="6">
        <v>10</v>
      </c>
      <c r="CQ142" s="6">
        <v>15</v>
      </c>
      <c r="CR142" s="6">
        <v>20</v>
      </c>
      <c r="CS142" s="6">
        <v>25</v>
      </c>
      <c r="CT142" s="6">
        <v>30</v>
      </c>
      <c r="CU142" s="6">
        <v>35</v>
      </c>
      <c r="CV142" s="6">
        <v>40</v>
      </c>
      <c r="CW142" s="6">
        <v>45</v>
      </c>
      <c r="CX142" s="6">
        <v>50</v>
      </c>
      <c r="CY142" s="6"/>
      <c r="CZ142" s="6"/>
      <c r="DA142" s="6"/>
      <c r="DB142" s="6"/>
      <c r="DC142" s="6"/>
    </row>
    <row r="143" spans="89:107" ht="15.75" thickBot="1">
      <c r="CK143" s="96" t="str">
        <f t="shared" si="36"/>
        <v>90_30</v>
      </c>
      <c r="CL143" s="122">
        <v>90</v>
      </c>
      <c r="CM143" s="236" t="s">
        <v>396</v>
      </c>
      <c r="CN143" s="6">
        <v>30</v>
      </c>
      <c r="CO143" s="6"/>
      <c r="CP143" s="6">
        <v>10</v>
      </c>
      <c r="CQ143" s="6">
        <v>15</v>
      </c>
      <c r="CR143" s="6">
        <v>20</v>
      </c>
      <c r="CS143" s="6">
        <v>25</v>
      </c>
      <c r="CT143" s="6">
        <v>30</v>
      </c>
      <c r="CU143" s="6">
        <v>35</v>
      </c>
      <c r="CV143" s="6">
        <v>40</v>
      </c>
      <c r="CW143" s="6">
        <v>45</v>
      </c>
      <c r="CX143" s="6">
        <v>50</v>
      </c>
      <c r="CY143" s="6">
        <v>60</v>
      </c>
      <c r="CZ143" s="6">
        <v>70</v>
      </c>
      <c r="DA143" s="6">
        <v>80</v>
      </c>
      <c r="DB143" s="6">
        <v>90</v>
      </c>
      <c r="DC143" s="6">
        <v>100</v>
      </c>
    </row>
    <row r="144" spans="89:107" ht="15.75" thickBot="1">
      <c r="CK144" s="96" t="str">
        <f t="shared" si="36"/>
        <v>90_60</v>
      </c>
      <c r="CL144" s="122">
        <v>90</v>
      </c>
      <c r="CM144" s="5"/>
      <c r="CN144" s="6">
        <v>60</v>
      </c>
      <c r="CO144" s="6"/>
      <c r="CP144" s="6">
        <v>10</v>
      </c>
      <c r="CQ144" s="6">
        <v>15</v>
      </c>
      <c r="CR144" s="6">
        <v>20</v>
      </c>
      <c r="CS144" s="6">
        <v>25</v>
      </c>
      <c r="CT144" s="6">
        <v>30</v>
      </c>
      <c r="CU144" s="6">
        <v>35</v>
      </c>
      <c r="CV144" s="6">
        <v>40</v>
      </c>
      <c r="CW144" s="6">
        <v>45</v>
      </c>
      <c r="CX144" s="6">
        <v>50</v>
      </c>
      <c r="CY144" s="6">
        <v>60</v>
      </c>
      <c r="CZ144" s="6">
        <v>70</v>
      </c>
      <c r="DA144" s="6">
        <v>80</v>
      </c>
      <c r="DB144" s="6">
        <v>90</v>
      </c>
      <c r="DC144" s="6">
        <v>100</v>
      </c>
    </row>
    <row r="145" spans="89:107" ht="15.75" thickBot="1">
      <c r="CK145" s="96" t="str">
        <f t="shared" si="36"/>
        <v>91_15</v>
      </c>
      <c r="CL145" s="122">
        <v>91</v>
      </c>
      <c r="CM145" s="236"/>
      <c r="CN145" s="6">
        <v>15</v>
      </c>
      <c r="CO145" s="6">
        <v>5</v>
      </c>
      <c r="CP145" s="6">
        <v>103</v>
      </c>
      <c r="CQ145" s="6"/>
      <c r="CR145" s="6"/>
      <c r="CS145" s="6"/>
      <c r="CT145" s="6"/>
      <c r="CU145" s="6"/>
      <c r="CV145" s="6"/>
      <c r="CW145" s="6"/>
      <c r="CX145" s="6"/>
      <c r="CY145" s="6"/>
      <c r="CZ145" s="6"/>
      <c r="DA145" s="6"/>
      <c r="DB145" s="6"/>
      <c r="DC145" s="6"/>
    </row>
    <row r="146" spans="89:107" ht="15.75" thickBot="1">
      <c r="CK146" s="96" t="str">
        <f t="shared" si="36"/>
        <v>91_30</v>
      </c>
      <c r="CL146" s="122">
        <v>91</v>
      </c>
      <c r="CM146" s="236" t="s">
        <v>397</v>
      </c>
      <c r="CN146" s="6">
        <v>30</v>
      </c>
      <c r="CO146" s="6"/>
      <c r="CP146" s="6"/>
      <c r="CQ146" s="6"/>
      <c r="CR146" s="6"/>
      <c r="CS146" s="6"/>
      <c r="CT146" s="6"/>
      <c r="CU146" s="6"/>
      <c r="CV146" s="6"/>
      <c r="CW146" s="6"/>
      <c r="CX146" s="6"/>
      <c r="CY146" s="6"/>
      <c r="CZ146" s="6"/>
      <c r="DA146" s="6"/>
      <c r="DB146" s="6"/>
      <c r="DC146" s="6"/>
    </row>
    <row r="147" spans="89:107" ht="15.75" thickBot="1">
      <c r="CK147" s="96" t="str">
        <f t="shared" si="36"/>
        <v>91_60</v>
      </c>
      <c r="CL147" s="122">
        <v>91</v>
      </c>
      <c r="CM147" s="5"/>
      <c r="CN147" s="6">
        <v>60</v>
      </c>
      <c r="CO147" s="6"/>
      <c r="CP147" s="6"/>
      <c r="CQ147" s="6"/>
      <c r="CR147" s="6"/>
      <c r="CS147" s="6"/>
      <c r="CT147" s="6"/>
      <c r="CU147" s="6"/>
      <c r="CV147" s="6"/>
      <c r="CW147" s="6"/>
      <c r="CX147" s="6"/>
      <c r="CY147" s="6"/>
      <c r="CZ147" s="6"/>
      <c r="DA147" s="6"/>
      <c r="DB147" s="6"/>
      <c r="DC147" s="6"/>
    </row>
    <row r="148" spans="89:107" ht="15.75" thickBot="1">
      <c r="CK148" s="96" t="str">
        <f t="shared" si="36"/>
        <v>92_15</v>
      </c>
      <c r="CL148" s="122">
        <v>92</v>
      </c>
      <c r="CM148" s="236"/>
      <c r="CN148" s="6">
        <v>15</v>
      </c>
      <c r="CO148" s="6">
        <v>5</v>
      </c>
      <c r="CP148" s="6">
        <v>10</v>
      </c>
      <c r="CQ148" s="6">
        <v>15</v>
      </c>
      <c r="CR148" s="6">
        <v>20</v>
      </c>
      <c r="CS148" s="6"/>
      <c r="CT148" s="6"/>
      <c r="CU148" s="6"/>
      <c r="CV148" s="6"/>
      <c r="CW148" s="6"/>
      <c r="CX148" s="6"/>
      <c r="CY148" s="6"/>
      <c r="CZ148" s="6"/>
      <c r="DA148" s="6"/>
      <c r="DB148" s="6"/>
      <c r="DC148" s="6"/>
    </row>
    <row r="149" spans="89:107" ht="15.75" thickBot="1">
      <c r="CK149" s="96" t="str">
        <f t="shared" si="36"/>
        <v>92_30</v>
      </c>
      <c r="CL149" s="122">
        <v>92</v>
      </c>
      <c r="CM149" s="236" t="s">
        <v>398</v>
      </c>
      <c r="CN149" s="6">
        <v>30</v>
      </c>
      <c r="CO149" s="6"/>
      <c r="CP149" s="6">
        <v>10</v>
      </c>
      <c r="CQ149" s="6">
        <v>15</v>
      </c>
      <c r="CR149" s="6">
        <v>20</v>
      </c>
      <c r="CS149" s="6"/>
      <c r="CT149" s="6"/>
      <c r="CU149" s="6"/>
      <c r="CV149" s="6"/>
      <c r="CW149" s="6"/>
      <c r="CX149" s="6"/>
      <c r="CY149" s="6"/>
      <c r="CZ149" s="6"/>
      <c r="DA149" s="6"/>
      <c r="DB149" s="6"/>
      <c r="DC149" s="6"/>
    </row>
    <row r="150" spans="89:107" ht="15.75" thickBot="1">
      <c r="CK150" s="96" t="str">
        <f t="shared" si="36"/>
        <v>92_60</v>
      </c>
      <c r="CL150" s="122">
        <v>92</v>
      </c>
      <c r="CM150" s="5"/>
      <c r="CN150" s="6">
        <v>60</v>
      </c>
      <c r="CO150" s="6"/>
      <c r="CP150" s="6"/>
      <c r="CQ150" s="6"/>
      <c r="CR150" s="6"/>
      <c r="CS150" s="6"/>
      <c r="CT150" s="6"/>
      <c r="CU150" s="6"/>
      <c r="CV150" s="6"/>
      <c r="CW150" s="6"/>
      <c r="CX150" s="6"/>
      <c r="CY150" s="6"/>
      <c r="CZ150" s="6"/>
      <c r="DA150" s="6"/>
      <c r="DB150" s="6"/>
      <c r="DC150" s="6"/>
    </row>
    <row r="151" spans="89:107" ht="15.75" thickBot="1">
      <c r="CK151" s="96" t="str">
        <f t="shared" si="36"/>
        <v>93_15</v>
      </c>
      <c r="CL151" s="122">
        <v>93</v>
      </c>
      <c r="CM151" s="236"/>
      <c r="CN151" s="6">
        <v>15</v>
      </c>
      <c r="CO151" s="6">
        <v>5</v>
      </c>
      <c r="CP151" s="6">
        <v>103</v>
      </c>
      <c r="CQ151" s="6"/>
      <c r="CR151" s="6"/>
      <c r="CS151" s="6"/>
      <c r="CT151" s="6"/>
      <c r="CU151" s="6"/>
      <c r="CV151" s="6"/>
      <c r="CW151" s="6"/>
      <c r="CX151" s="6"/>
      <c r="CY151" s="6"/>
      <c r="CZ151" s="6"/>
      <c r="DA151" s="6"/>
      <c r="DB151" s="6"/>
      <c r="DC151" s="6"/>
    </row>
    <row r="152" spans="89:107" ht="15.75" thickBot="1">
      <c r="CK152" s="96" t="str">
        <f t="shared" si="36"/>
        <v>93_30</v>
      </c>
      <c r="CL152" s="122">
        <v>93</v>
      </c>
      <c r="CM152" s="236" t="s">
        <v>399</v>
      </c>
      <c r="CN152" s="6">
        <v>30</v>
      </c>
      <c r="CO152" s="6"/>
      <c r="CP152" s="6"/>
      <c r="CQ152" s="6"/>
      <c r="CR152" s="6"/>
      <c r="CS152" s="6"/>
      <c r="CT152" s="6"/>
      <c r="CU152" s="6"/>
      <c r="CV152" s="6"/>
      <c r="CW152" s="6"/>
      <c r="CX152" s="6"/>
      <c r="CY152" s="6"/>
      <c r="CZ152" s="6"/>
      <c r="DA152" s="6"/>
      <c r="DB152" s="6"/>
      <c r="DC152" s="6"/>
    </row>
    <row r="153" spans="89:107" ht="15.75" thickBot="1">
      <c r="CK153" s="96" t="str">
        <f t="shared" si="36"/>
        <v>93_60</v>
      </c>
      <c r="CL153" s="122">
        <v>93</v>
      </c>
      <c r="CM153" s="5"/>
      <c r="CN153" s="6">
        <v>60</v>
      </c>
      <c r="CO153" s="6"/>
      <c r="CP153" s="6"/>
      <c r="CQ153" s="6"/>
      <c r="CR153" s="6"/>
      <c r="CS153" s="6"/>
      <c r="CT153" s="6"/>
      <c r="CU153" s="6"/>
      <c r="CV153" s="6"/>
      <c r="CW153" s="6"/>
      <c r="CX153" s="6"/>
      <c r="CY153" s="6"/>
      <c r="CZ153" s="6"/>
      <c r="DA153" s="6"/>
      <c r="DB153" s="6"/>
      <c r="DC153" s="6"/>
    </row>
    <row r="154" spans="89:107" ht="15.75" thickBot="1">
      <c r="CK154" s="96" t="str">
        <f t="shared" si="36"/>
        <v>94_15</v>
      </c>
      <c r="CL154" s="122">
        <v>94</v>
      </c>
      <c r="CM154" s="236"/>
      <c r="CN154" s="6">
        <v>15</v>
      </c>
      <c r="CO154" s="6">
        <v>5</v>
      </c>
      <c r="CP154" s="6">
        <v>10</v>
      </c>
      <c r="CQ154" s="6">
        <v>15</v>
      </c>
      <c r="CR154" s="6">
        <v>20</v>
      </c>
      <c r="CS154" s="6"/>
      <c r="CT154" s="6"/>
      <c r="CU154" s="6"/>
      <c r="CV154" s="6"/>
      <c r="CW154" s="6"/>
      <c r="CX154" s="6"/>
      <c r="CY154" s="6"/>
      <c r="CZ154" s="6"/>
      <c r="DA154" s="6"/>
      <c r="DB154" s="6"/>
      <c r="DC154" s="6"/>
    </row>
    <row r="155" spans="89:107" ht="15.75" thickBot="1">
      <c r="CK155" s="96" t="str">
        <f t="shared" si="36"/>
        <v>94_30</v>
      </c>
      <c r="CL155" s="122">
        <v>94</v>
      </c>
      <c r="CM155" s="236" t="s">
        <v>400</v>
      </c>
      <c r="CN155" s="6">
        <v>30</v>
      </c>
      <c r="CO155" s="6"/>
      <c r="CP155" s="6">
        <v>10</v>
      </c>
      <c r="CQ155" s="6">
        <v>15</v>
      </c>
      <c r="CR155" s="6">
        <v>20</v>
      </c>
      <c r="CS155" s="6"/>
      <c r="CT155" s="6"/>
      <c r="CU155" s="6"/>
      <c r="CV155" s="6"/>
      <c r="CW155" s="6"/>
      <c r="CX155" s="6"/>
      <c r="CY155" s="6"/>
      <c r="CZ155" s="6"/>
      <c r="DA155" s="6"/>
      <c r="DB155" s="6"/>
      <c r="DC155" s="6"/>
    </row>
    <row r="156" spans="89:107" ht="15.75" thickBot="1">
      <c r="CK156" s="96" t="str">
        <f t="shared" si="36"/>
        <v>94_60</v>
      </c>
      <c r="CL156" s="122">
        <v>94</v>
      </c>
      <c r="CM156" s="5"/>
      <c r="CN156" s="6">
        <v>60</v>
      </c>
      <c r="CO156" s="6"/>
      <c r="CP156" s="6"/>
      <c r="CQ156" s="6"/>
      <c r="CR156" s="6"/>
      <c r="CS156" s="6"/>
      <c r="CT156" s="6"/>
      <c r="CU156" s="6"/>
      <c r="CV156" s="6"/>
      <c r="CW156" s="6"/>
      <c r="CX156" s="6"/>
      <c r="CY156" s="6"/>
      <c r="CZ156" s="6"/>
      <c r="DA156" s="6"/>
      <c r="DB156" s="6"/>
      <c r="DC156" s="6"/>
    </row>
    <row r="157" spans="89:107" ht="15.75" thickBot="1">
      <c r="CK157" s="96" t="str">
        <f t="shared" si="36"/>
        <v>95_15</v>
      </c>
      <c r="CL157" s="122">
        <v>95</v>
      </c>
      <c r="CM157" s="236"/>
      <c r="CN157" s="6">
        <v>15</v>
      </c>
      <c r="CO157" s="6">
        <v>5</v>
      </c>
      <c r="CP157" s="6">
        <v>10</v>
      </c>
      <c r="CQ157" s="6">
        <v>15</v>
      </c>
      <c r="CR157" s="6"/>
      <c r="CS157" s="6"/>
      <c r="CT157" s="6"/>
      <c r="CU157" s="6"/>
      <c r="CV157" s="6"/>
      <c r="CW157" s="6"/>
      <c r="CX157" s="6"/>
      <c r="CY157" s="6"/>
      <c r="CZ157" s="6"/>
      <c r="DA157" s="6"/>
      <c r="DB157" s="6"/>
      <c r="DC157" s="6"/>
    </row>
    <row r="158" spans="89:107" ht="15.75" thickBot="1">
      <c r="CK158" s="96" t="str">
        <f t="shared" si="36"/>
        <v>95_30</v>
      </c>
      <c r="CL158" s="122">
        <v>95</v>
      </c>
      <c r="CM158" s="236" t="s">
        <v>410</v>
      </c>
      <c r="CN158" s="6">
        <v>30</v>
      </c>
      <c r="CO158" s="6"/>
      <c r="CP158" s="6">
        <v>10</v>
      </c>
      <c r="CQ158" s="6">
        <v>15</v>
      </c>
      <c r="CR158" s="6"/>
      <c r="CS158" s="6"/>
      <c r="CT158" s="6"/>
      <c r="CU158" s="6"/>
      <c r="CV158" s="6"/>
      <c r="CW158" s="6"/>
      <c r="CX158" s="6"/>
      <c r="CY158" s="6"/>
      <c r="CZ158" s="6"/>
      <c r="DA158" s="6"/>
      <c r="DB158" s="6"/>
      <c r="DC158" s="6"/>
    </row>
    <row r="159" spans="89:107" ht="15.75" thickBot="1">
      <c r="CK159" s="96" t="str">
        <f t="shared" si="36"/>
        <v>95_60</v>
      </c>
      <c r="CL159" s="122">
        <v>95</v>
      </c>
      <c r="CM159" s="5"/>
      <c r="CN159" s="6">
        <v>60</v>
      </c>
      <c r="CO159" s="6"/>
      <c r="CP159" s="6">
        <v>10</v>
      </c>
      <c r="CQ159" s="6">
        <v>15</v>
      </c>
      <c r="CR159" s="6"/>
      <c r="CS159" s="6"/>
      <c r="CT159" s="6"/>
      <c r="CU159" s="6"/>
      <c r="CV159" s="6"/>
      <c r="CW159" s="6"/>
      <c r="CX159" s="6"/>
      <c r="CY159" s="6"/>
      <c r="CZ159" s="6"/>
      <c r="DA159" s="6"/>
      <c r="DB159" s="6"/>
      <c r="DC159" s="6"/>
    </row>
    <row r="160" spans="89:107" ht="15.75" thickBot="1">
      <c r="CK160" s="96" t="str">
        <f t="shared" si="36"/>
        <v>96_15</v>
      </c>
      <c r="CL160" s="122">
        <v>96</v>
      </c>
      <c r="CM160" s="236"/>
      <c r="CN160" s="6">
        <v>15</v>
      </c>
      <c r="CO160" s="6"/>
      <c r="CP160" s="6"/>
      <c r="CQ160" s="6"/>
      <c r="CR160" s="6">
        <v>20</v>
      </c>
      <c r="CS160" s="6"/>
      <c r="CT160" s="6"/>
      <c r="CU160" s="6"/>
      <c r="CV160" s="6">
        <v>40</v>
      </c>
      <c r="CW160" s="6"/>
      <c r="CX160" s="6"/>
      <c r="CY160" s="6"/>
      <c r="CZ160" s="6"/>
      <c r="DA160" s="6"/>
      <c r="DB160" s="6"/>
      <c r="DC160" s="6"/>
    </row>
    <row r="161" spans="89:109" ht="15.75" thickBot="1">
      <c r="CK161" s="96" t="str">
        <f t="shared" si="36"/>
        <v>96_30</v>
      </c>
      <c r="CL161" s="122">
        <v>96</v>
      </c>
      <c r="CM161" s="236" t="s">
        <v>411</v>
      </c>
      <c r="CN161" s="6">
        <v>30</v>
      </c>
      <c r="CO161" s="6"/>
      <c r="CP161" s="6"/>
      <c r="CQ161" s="6"/>
      <c r="CR161" s="6">
        <v>20</v>
      </c>
      <c r="CS161" s="6"/>
      <c r="CT161" s="6"/>
      <c r="CU161" s="6"/>
      <c r="CV161" s="6">
        <v>40</v>
      </c>
      <c r="CW161" s="6"/>
      <c r="CX161" s="6"/>
      <c r="CY161" s="6">
        <v>60</v>
      </c>
      <c r="CZ161" s="6"/>
      <c r="DA161" s="6">
        <v>80</v>
      </c>
      <c r="DB161" s="6"/>
      <c r="DC161" s="6"/>
    </row>
    <row r="162" spans="89:109" ht="15.75" thickBot="1">
      <c r="CK162" s="96" t="str">
        <f t="shared" si="36"/>
        <v>96_60</v>
      </c>
      <c r="CL162" s="122">
        <v>96</v>
      </c>
      <c r="CM162" s="5"/>
      <c r="CN162" s="6">
        <v>60</v>
      </c>
      <c r="CO162" s="6"/>
      <c r="CP162" s="6"/>
      <c r="CQ162" s="6"/>
      <c r="CR162" s="6">
        <v>20</v>
      </c>
      <c r="CS162" s="6"/>
      <c r="CT162" s="6"/>
      <c r="CU162" s="6"/>
      <c r="CV162" s="6">
        <v>40</v>
      </c>
      <c r="CW162" s="6"/>
      <c r="CX162" s="6"/>
      <c r="CY162" s="6">
        <v>60</v>
      </c>
      <c r="CZ162" s="6"/>
      <c r="DA162" s="6">
        <v>80</v>
      </c>
      <c r="DB162" s="6"/>
      <c r="DC162" s="6"/>
    </row>
    <row r="163" spans="89:109" ht="15.75" thickBot="1">
      <c r="CK163" s="96" t="str">
        <f t="shared" si="36"/>
        <v>97_15</v>
      </c>
      <c r="CL163" s="122">
        <v>97</v>
      </c>
      <c r="CM163" s="292" t="s">
        <v>412</v>
      </c>
      <c r="CN163" s="6">
        <v>15</v>
      </c>
      <c r="CO163" s="6">
        <v>5</v>
      </c>
      <c r="CP163" s="6">
        <v>10</v>
      </c>
      <c r="CQ163" s="6">
        <v>15</v>
      </c>
      <c r="CR163" s="6">
        <v>20</v>
      </c>
      <c r="CS163" s="6">
        <v>25</v>
      </c>
      <c r="CT163" s="6">
        <v>30</v>
      </c>
      <c r="CU163" s="6"/>
      <c r="CV163" s="6">
        <v>40</v>
      </c>
      <c r="CW163" s="6"/>
      <c r="CX163" s="6">
        <v>50</v>
      </c>
      <c r="CY163" s="6"/>
      <c r="CZ163" s="6"/>
      <c r="DA163" s="6"/>
      <c r="DB163" s="6"/>
      <c r="DC163" s="6"/>
    </row>
    <row r="164" spans="89:109" ht="15.75" thickBot="1">
      <c r="CK164" s="96" t="str">
        <f t="shared" si="36"/>
        <v>97_30</v>
      </c>
      <c r="CL164" s="122">
        <v>97</v>
      </c>
      <c r="CM164" s="293"/>
      <c r="CN164" s="6">
        <v>30</v>
      </c>
      <c r="CO164" s="6"/>
      <c r="CP164" s="6">
        <v>10</v>
      </c>
      <c r="CQ164" s="6">
        <v>15</v>
      </c>
      <c r="CR164" s="6">
        <v>20</v>
      </c>
      <c r="CS164" s="6">
        <v>25</v>
      </c>
      <c r="CT164" s="6">
        <v>30</v>
      </c>
      <c r="CU164" s="6"/>
      <c r="CV164" s="6">
        <v>40</v>
      </c>
      <c r="CW164" s="6"/>
      <c r="CX164" s="6">
        <v>50</v>
      </c>
      <c r="CY164" s="6">
        <v>60</v>
      </c>
      <c r="CZ164" s="6">
        <v>70</v>
      </c>
      <c r="DA164" s="6">
        <v>80</v>
      </c>
      <c r="DB164" s="6">
        <v>90</v>
      </c>
      <c r="DC164" s="6">
        <v>100</v>
      </c>
    </row>
    <row r="165" spans="89:109" ht="15.75" thickBot="1">
      <c r="CK165" s="96" t="str">
        <f t="shared" si="36"/>
        <v>97_60</v>
      </c>
      <c r="CL165" s="122">
        <v>97</v>
      </c>
      <c r="CM165" s="294"/>
      <c r="CN165" s="6">
        <v>60</v>
      </c>
      <c r="CO165" s="6"/>
      <c r="CP165" s="6">
        <v>10</v>
      </c>
      <c r="CQ165" s="6">
        <v>15</v>
      </c>
      <c r="CR165" s="6">
        <v>20</v>
      </c>
      <c r="CS165" s="6">
        <v>25</v>
      </c>
      <c r="CT165" s="6">
        <v>30</v>
      </c>
      <c r="CU165" s="6"/>
      <c r="CV165" s="6">
        <v>40</v>
      </c>
      <c r="CW165" s="6"/>
      <c r="CX165" s="6">
        <v>50</v>
      </c>
      <c r="CY165" s="6">
        <v>60</v>
      </c>
      <c r="CZ165" s="6">
        <v>70</v>
      </c>
      <c r="DA165" s="6">
        <v>80</v>
      </c>
      <c r="DB165" s="6">
        <v>90</v>
      </c>
      <c r="DC165" s="6">
        <v>100</v>
      </c>
    </row>
    <row r="166" spans="89:109" ht="15.75" thickBot="1">
      <c r="CK166" s="96" t="str">
        <f t="shared" si="36"/>
        <v>98_15</v>
      </c>
      <c r="CL166" s="122">
        <v>98</v>
      </c>
      <c r="CM166" s="292" t="s">
        <v>413</v>
      </c>
      <c r="CN166" s="6">
        <v>15</v>
      </c>
      <c r="CO166" s="6">
        <v>5</v>
      </c>
      <c r="CP166" s="6">
        <v>10</v>
      </c>
      <c r="CQ166" s="6">
        <v>15</v>
      </c>
      <c r="CR166" s="6">
        <v>20</v>
      </c>
      <c r="CS166" s="6">
        <v>25</v>
      </c>
      <c r="CT166" s="6">
        <v>30</v>
      </c>
      <c r="CU166" s="6"/>
      <c r="CV166" s="6">
        <v>40</v>
      </c>
      <c r="CW166" s="6"/>
      <c r="CX166" s="6"/>
      <c r="CY166" s="6"/>
      <c r="CZ166" s="6"/>
      <c r="DA166" s="6"/>
      <c r="DB166" s="6"/>
      <c r="DC166" s="6"/>
    </row>
    <row r="167" spans="89:109" ht="15.75" thickBot="1">
      <c r="CK167" s="96" t="str">
        <f t="shared" si="36"/>
        <v>98_30</v>
      </c>
      <c r="CL167" s="122">
        <v>98</v>
      </c>
      <c r="CM167" s="293"/>
      <c r="CN167" s="6">
        <v>30</v>
      </c>
      <c r="CO167" s="6"/>
      <c r="CP167" s="6">
        <v>10</v>
      </c>
      <c r="CQ167" s="6">
        <v>15</v>
      </c>
      <c r="CR167" s="6">
        <v>20</v>
      </c>
      <c r="CS167" s="6">
        <v>25</v>
      </c>
      <c r="CT167" s="6">
        <v>30</v>
      </c>
      <c r="CU167" s="6"/>
      <c r="CV167" s="6">
        <v>40</v>
      </c>
      <c r="CW167" s="6"/>
      <c r="CX167" s="6"/>
      <c r="CY167" s="6"/>
      <c r="CZ167" s="6"/>
      <c r="DA167" s="6"/>
      <c r="DB167" s="6"/>
      <c r="DC167" s="6"/>
    </row>
    <row r="168" spans="89:109" ht="15.75" thickBot="1">
      <c r="CK168" s="96" t="str">
        <f t="shared" si="36"/>
        <v>98_60</v>
      </c>
      <c r="CL168" s="122">
        <v>98</v>
      </c>
      <c r="CM168" s="294"/>
      <c r="CN168" s="6">
        <v>60</v>
      </c>
      <c r="CO168" s="6"/>
      <c r="CP168" s="6">
        <v>10</v>
      </c>
      <c r="CQ168" s="6">
        <v>15</v>
      </c>
      <c r="CR168" s="6">
        <v>20</v>
      </c>
      <c r="CS168" s="6">
        <v>25</v>
      </c>
      <c r="CT168" s="6">
        <v>30</v>
      </c>
      <c r="CU168" s="6"/>
      <c r="CV168" s="6">
        <v>40</v>
      </c>
      <c r="CW168" s="6"/>
      <c r="CX168" s="6"/>
      <c r="CY168" s="6"/>
      <c r="CZ168" s="6"/>
      <c r="DA168" s="6"/>
      <c r="DB168" s="6"/>
      <c r="DC168" s="6"/>
    </row>
    <row r="169" spans="89:109" ht="15.75" thickBot="1">
      <c r="CK169" s="96" t="str">
        <f t="shared" si="36"/>
        <v>99_15</v>
      </c>
      <c r="CL169" s="122">
        <v>99</v>
      </c>
      <c r="CM169" s="292" t="s">
        <v>414</v>
      </c>
      <c r="CN169" s="6">
        <v>15</v>
      </c>
      <c r="CO169" s="6">
        <v>5</v>
      </c>
      <c r="CP169" s="6">
        <v>10</v>
      </c>
      <c r="CQ169" s="6"/>
      <c r="CR169" s="6"/>
      <c r="CS169" s="6"/>
      <c r="CT169" s="6"/>
      <c r="CU169" s="6"/>
      <c r="CV169" s="6"/>
      <c r="CW169" s="6"/>
      <c r="CX169" s="6"/>
      <c r="CY169" s="6"/>
      <c r="CZ169" s="6"/>
      <c r="DA169" s="6"/>
      <c r="DB169" s="6"/>
      <c r="DC169" s="6"/>
    </row>
    <row r="170" spans="89:109" ht="15.75" thickBot="1">
      <c r="CK170" s="96" t="str">
        <f t="shared" si="36"/>
        <v>99_30</v>
      </c>
      <c r="CL170" s="122">
        <v>99</v>
      </c>
      <c r="CM170" s="293"/>
      <c r="CN170" s="6">
        <v>30</v>
      </c>
      <c r="CO170" s="6"/>
      <c r="CP170" s="6">
        <v>10</v>
      </c>
      <c r="CQ170" s="6"/>
      <c r="CR170" s="6"/>
      <c r="CS170" s="6"/>
      <c r="CT170" s="6"/>
      <c r="CU170" s="6"/>
      <c r="CV170" s="6"/>
      <c r="CW170" s="6"/>
      <c r="CX170" s="6"/>
      <c r="CY170" s="6"/>
      <c r="CZ170" s="6"/>
      <c r="DA170" s="6"/>
      <c r="DB170" s="6"/>
      <c r="DC170" s="6"/>
    </row>
    <row r="171" spans="89:109" ht="15.75" thickBot="1">
      <c r="CK171" s="96" t="str">
        <f t="shared" si="36"/>
        <v>99_60</v>
      </c>
      <c r="CL171" s="122">
        <v>99</v>
      </c>
      <c r="CM171" s="294"/>
      <c r="CN171" s="6">
        <v>60</v>
      </c>
      <c r="CO171" s="6"/>
      <c r="CP171" s="6">
        <v>10</v>
      </c>
      <c r="CQ171" s="6"/>
      <c r="CR171" s="6"/>
      <c r="CS171" s="6"/>
      <c r="CT171" s="6"/>
      <c r="CU171" s="6"/>
      <c r="CV171" s="6"/>
      <c r="CW171" s="6"/>
      <c r="CX171" s="6"/>
      <c r="CY171" s="6"/>
      <c r="CZ171" s="6"/>
      <c r="DA171" s="6"/>
      <c r="DB171" s="6"/>
      <c r="DC171" s="6"/>
    </row>
    <row r="174" spans="89:109" ht="15.75" thickBot="1"/>
    <row r="175" spans="89:109" ht="15.75" thickBot="1">
      <c r="CK175" s="96"/>
      <c r="CL175" s="96"/>
      <c r="CM175" s="289" t="s">
        <v>141</v>
      </c>
      <c r="CN175" s="290"/>
      <c r="CO175" s="290"/>
      <c r="CP175" s="290"/>
      <c r="CQ175" s="290"/>
      <c r="CR175" s="291"/>
    </row>
    <row r="176" spans="89:109">
      <c r="CK176" s="96"/>
      <c r="CL176" s="96"/>
      <c r="CM176" s="120" t="s">
        <v>142</v>
      </c>
      <c r="CN176" s="128" t="s">
        <v>143</v>
      </c>
      <c r="CO176" s="129"/>
      <c r="CP176" s="129"/>
      <c r="CQ176" s="129"/>
      <c r="CR176" s="129"/>
      <c r="CS176" s="129"/>
      <c r="CT176" s="129"/>
      <c r="CU176" s="129"/>
      <c r="CV176" s="129"/>
      <c r="CW176" s="129"/>
      <c r="CX176" s="120">
        <v>50</v>
      </c>
      <c r="CY176" s="129"/>
      <c r="CZ176" s="129"/>
      <c r="DA176" s="129"/>
      <c r="DB176" s="129"/>
      <c r="DC176" s="118">
        <v>100</v>
      </c>
      <c r="DD176" s="118">
        <v>200</v>
      </c>
      <c r="DE176" s="118">
        <v>400</v>
      </c>
    </row>
    <row r="177" spans="89:109" ht="15.75" thickBot="1">
      <c r="CK177" s="96"/>
      <c r="CL177" s="96"/>
      <c r="CM177" s="121"/>
      <c r="CN177" s="19" t="s">
        <v>144</v>
      </c>
      <c r="CO177" s="129"/>
      <c r="CP177" s="129"/>
      <c r="CQ177" s="129"/>
      <c r="CR177" s="129"/>
      <c r="CS177" s="129"/>
      <c r="CT177" s="129"/>
      <c r="CU177" s="129"/>
      <c r="CV177" s="129"/>
      <c r="CW177" s="129"/>
      <c r="CX177" s="121"/>
      <c r="CY177" s="129"/>
      <c r="CZ177" s="129"/>
      <c r="DA177" s="129"/>
      <c r="DB177" s="129"/>
      <c r="DC177" s="119"/>
      <c r="DD177" s="119"/>
      <c r="DE177" s="119"/>
    </row>
    <row r="178" spans="89:109" ht="15.75" thickBot="1">
      <c r="CK178" s="96" t="str">
        <f t="shared" ref="CK178:CK183" si="37">CONCATENATE(CL178,"_",CN178)</f>
        <v>257_60</v>
      </c>
      <c r="CL178" s="122">
        <v>257</v>
      </c>
      <c r="CM178" s="237" t="s">
        <v>127</v>
      </c>
      <c r="CN178" s="230">
        <v>60</v>
      </c>
      <c r="CO178" s="129"/>
      <c r="CP178" s="129"/>
      <c r="CQ178" s="129"/>
      <c r="CR178" s="129"/>
      <c r="CS178" s="129"/>
      <c r="CT178" s="129"/>
      <c r="CU178" s="129"/>
      <c r="CV178" s="129"/>
      <c r="CW178" s="129"/>
      <c r="CX178" s="6" t="s">
        <v>145</v>
      </c>
      <c r="CY178" s="129"/>
      <c r="CZ178" s="129"/>
      <c r="DA178" s="129"/>
      <c r="DB178" s="129"/>
      <c r="DC178" s="6" t="s">
        <v>145</v>
      </c>
      <c r="DD178" s="6" t="s">
        <v>145</v>
      </c>
      <c r="DE178" s="6"/>
    </row>
    <row r="179" spans="89:109" ht="15.75" thickBot="1">
      <c r="CK179" s="96" t="str">
        <f t="shared" si="37"/>
        <v>257_120</v>
      </c>
      <c r="CL179" s="122">
        <v>257</v>
      </c>
      <c r="CM179" s="5"/>
      <c r="CN179" s="6">
        <v>120</v>
      </c>
      <c r="CO179" s="129"/>
      <c r="CP179" s="129"/>
      <c r="CQ179" s="129"/>
      <c r="CR179" s="129"/>
      <c r="CS179" s="129"/>
      <c r="CT179" s="129"/>
      <c r="CU179" s="129"/>
      <c r="CV179" s="129"/>
      <c r="CW179" s="129"/>
      <c r="CX179" s="6" t="s">
        <v>145</v>
      </c>
      <c r="CY179" s="129"/>
      <c r="CZ179" s="129"/>
      <c r="DA179" s="129"/>
      <c r="DB179" s="129"/>
      <c r="DC179" s="6" t="s">
        <v>145</v>
      </c>
      <c r="DD179" s="6" t="s">
        <v>145</v>
      </c>
      <c r="DE179" s="6" t="s">
        <v>145</v>
      </c>
    </row>
    <row r="180" spans="89:109" ht="15.75" thickBot="1">
      <c r="CK180" s="96" t="str">
        <f t="shared" si="37"/>
        <v>258_60</v>
      </c>
      <c r="CL180" s="122">
        <v>258</v>
      </c>
      <c r="CM180" s="236" t="s">
        <v>129</v>
      </c>
      <c r="CN180" s="6">
        <v>60</v>
      </c>
      <c r="CO180" s="129"/>
      <c r="CP180" s="129"/>
      <c r="CQ180" s="129"/>
      <c r="CR180" s="129"/>
      <c r="CS180" s="129"/>
      <c r="CT180" s="129"/>
      <c r="CU180" s="129"/>
      <c r="CV180" s="129"/>
      <c r="CW180" s="129"/>
      <c r="CX180" s="6" t="s">
        <v>145</v>
      </c>
      <c r="CY180" s="129"/>
      <c r="CZ180" s="129"/>
      <c r="DA180" s="129"/>
      <c r="DB180" s="129"/>
      <c r="DC180" s="6" t="s">
        <v>145</v>
      </c>
      <c r="DD180" s="6" t="s">
        <v>145</v>
      </c>
      <c r="DE180" s="6"/>
    </row>
    <row r="181" spans="89:109" ht="15.75" thickBot="1">
      <c r="CK181" s="96" t="str">
        <f t="shared" si="37"/>
        <v>258_120</v>
      </c>
      <c r="CL181" s="122">
        <v>258</v>
      </c>
      <c r="CM181" s="5"/>
      <c r="CN181" s="6">
        <v>120</v>
      </c>
      <c r="CO181" s="129"/>
      <c r="CP181" s="129"/>
      <c r="CQ181" s="129"/>
      <c r="CR181" s="129"/>
      <c r="CS181" s="129"/>
      <c r="CT181" s="129"/>
      <c r="CU181" s="129"/>
      <c r="CV181" s="129"/>
      <c r="CW181" s="129"/>
      <c r="CX181" s="6" t="s">
        <v>145</v>
      </c>
      <c r="CY181" s="129"/>
      <c r="CZ181" s="129"/>
      <c r="DA181" s="129"/>
      <c r="DB181" s="129"/>
      <c r="DC181" s="6" t="s">
        <v>145</v>
      </c>
      <c r="DD181" s="6" t="s">
        <v>145</v>
      </c>
      <c r="DE181" s="6" t="s">
        <v>145</v>
      </c>
    </row>
    <row r="182" spans="89:109" ht="15.75" thickBot="1">
      <c r="CK182" s="96" t="str">
        <f t="shared" si="37"/>
        <v>259_60</v>
      </c>
      <c r="CL182" s="122">
        <v>259</v>
      </c>
      <c r="CM182" s="236" t="s">
        <v>403</v>
      </c>
      <c r="CN182" s="6">
        <v>60</v>
      </c>
      <c r="CO182" s="129"/>
      <c r="CP182" s="129"/>
      <c r="CQ182" s="129"/>
      <c r="CR182" s="129"/>
      <c r="CS182" s="129"/>
      <c r="CT182" s="129"/>
      <c r="CU182" s="129"/>
      <c r="CV182" s="129"/>
      <c r="CW182" s="129"/>
      <c r="CX182" s="6" t="s">
        <v>145</v>
      </c>
      <c r="CY182" s="129"/>
      <c r="CZ182" s="129"/>
      <c r="DA182" s="129"/>
      <c r="DB182" s="129"/>
      <c r="DC182" s="6" t="s">
        <v>145</v>
      </c>
      <c r="DD182" s="6" t="s">
        <v>145</v>
      </c>
      <c r="DE182" s="6"/>
    </row>
    <row r="183" spans="89:109" ht="15.75" thickBot="1">
      <c r="CK183" s="96" t="str">
        <f t="shared" si="37"/>
        <v>259_120</v>
      </c>
      <c r="CL183" s="122">
        <v>259</v>
      </c>
      <c r="CM183" s="5"/>
      <c r="CN183" s="6">
        <v>120</v>
      </c>
      <c r="CO183" s="129"/>
      <c r="CP183" s="129"/>
      <c r="CQ183" s="129"/>
      <c r="CR183" s="129"/>
      <c r="CS183" s="129"/>
      <c r="CT183" s="129"/>
      <c r="CU183" s="129"/>
      <c r="CV183" s="129"/>
      <c r="CW183" s="129"/>
      <c r="CX183" s="6" t="s">
        <v>145</v>
      </c>
      <c r="CY183" s="129"/>
      <c r="CZ183" s="129"/>
      <c r="DA183" s="129"/>
      <c r="DB183" s="129"/>
      <c r="DC183" s="6" t="s">
        <v>145</v>
      </c>
      <c r="DD183" s="6" t="s">
        <v>145</v>
      </c>
      <c r="DE183" s="6" t="s">
        <v>145</v>
      </c>
    </row>
    <row r="184" spans="89:109" ht="15.75" thickBot="1">
      <c r="CK184" s="96" t="str">
        <f t="shared" ref="CK184:CK189" si="38">CONCATENATE(CL184,"_",CN184)</f>
        <v>260_60</v>
      </c>
      <c r="CL184" s="122">
        <v>260</v>
      </c>
      <c r="CM184" s="236" t="s">
        <v>131</v>
      </c>
      <c r="CN184" s="6">
        <v>60</v>
      </c>
      <c r="CO184" s="129"/>
      <c r="CP184" s="129"/>
      <c r="CQ184" s="129"/>
      <c r="CR184" s="129"/>
      <c r="CS184" s="129"/>
      <c r="CT184" s="129"/>
      <c r="CU184" s="129"/>
      <c r="CV184" s="129"/>
      <c r="CW184" s="129"/>
      <c r="CX184" s="6" t="s">
        <v>145</v>
      </c>
      <c r="CY184" s="129"/>
      <c r="CZ184" s="129"/>
      <c r="DA184" s="129"/>
      <c r="DB184" s="129"/>
      <c r="DC184" s="6" t="s">
        <v>145</v>
      </c>
      <c r="DD184" s="6" t="s">
        <v>145</v>
      </c>
      <c r="DE184" s="6"/>
    </row>
    <row r="185" spans="89:109" ht="15.75" thickBot="1">
      <c r="CK185" s="96" t="str">
        <f t="shared" si="38"/>
        <v>260_120</v>
      </c>
      <c r="CL185" s="122">
        <v>260</v>
      </c>
      <c r="CM185" s="5"/>
      <c r="CN185" s="6">
        <v>120</v>
      </c>
      <c r="CO185" s="129"/>
      <c r="CP185" s="129"/>
      <c r="CQ185" s="129"/>
      <c r="CR185" s="129"/>
      <c r="CS185" s="129"/>
      <c r="CT185" s="129"/>
      <c r="CU185" s="129"/>
      <c r="CV185" s="129"/>
      <c r="CW185" s="129"/>
      <c r="CX185" s="6" t="s">
        <v>145</v>
      </c>
      <c r="CY185" s="129"/>
      <c r="CZ185" s="129"/>
      <c r="DA185" s="129"/>
      <c r="DB185" s="129"/>
      <c r="DC185" s="6" t="s">
        <v>145</v>
      </c>
      <c r="DD185" s="6" t="s">
        <v>145</v>
      </c>
      <c r="DE185" s="6" t="s">
        <v>145</v>
      </c>
    </row>
    <row r="186" spans="89:109" ht="15.75" thickBot="1">
      <c r="CK186" s="96" t="str">
        <f t="shared" si="38"/>
        <v>261_60</v>
      </c>
      <c r="CL186" s="122">
        <v>261</v>
      </c>
      <c r="CM186" s="236" t="s">
        <v>405</v>
      </c>
      <c r="CN186" s="6">
        <v>60</v>
      </c>
      <c r="CO186" s="129"/>
      <c r="CP186" s="129"/>
      <c r="CQ186" s="129"/>
      <c r="CR186" s="129"/>
      <c r="CS186" s="129"/>
      <c r="CT186" s="129"/>
      <c r="CU186" s="129"/>
      <c r="CV186" s="129"/>
      <c r="CW186" s="129"/>
      <c r="CX186" s="6" t="s">
        <v>145</v>
      </c>
      <c r="CY186" s="129"/>
      <c r="CZ186" s="129"/>
      <c r="DA186" s="129"/>
      <c r="DB186" s="129"/>
      <c r="DC186" s="6" t="s">
        <v>145</v>
      </c>
      <c r="DD186" s="6" t="s">
        <v>145</v>
      </c>
      <c r="DE186" s="6"/>
    </row>
    <row r="187" spans="89:109" ht="15.75" thickBot="1">
      <c r="CK187" s="96" t="str">
        <f t="shared" si="38"/>
        <v>261_120</v>
      </c>
      <c r="CL187" s="122">
        <v>261</v>
      </c>
      <c r="CM187" s="5"/>
      <c r="CN187" s="6">
        <v>120</v>
      </c>
      <c r="CO187" s="129"/>
      <c r="CP187" s="129"/>
      <c r="CQ187" s="129"/>
      <c r="CR187" s="129"/>
      <c r="CS187" s="129"/>
      <c r="CT187" s="129"/>
      <c r="CU187" s="129"/>
      <c r="CV187" s="129"/>
      <c r="CW187" s="129"/>
      <c r="CX187" s="6" t="s">
        <v>145</v>
      </c>
      <c r="CY187" s="129"/>
      <c r="CZ187" s="129"/>
      <c r="DA187" s="129"/>
      <c r="DB187" s="129"/>
      <c r="DC187" s="6" t="s">
        <v>145</v>
      </c>
      <c r="DD187" s="6" t="s">
        <v>145</v>
      </c>
      <c r="DE187" s="6" t="s">
        <v>145</v>
      </c>
    </row>
    <row r="188" spans="89:109" ht="15.75" thickBot="1">
      <c r="CK188" s="96" t="str">
        <f t="shared" si="38"/>
        <v>262_60</v>
      </c>
      <c r="CL188" s="122">
        <v>262</v>
      </c>
      <c r="CM188" s="236" t="s">
        <v>407</v>
      </c>
      <c r="CN188" s="6">
        <v>60</v>
      </c>
      <c r="CO188" s="129"/>
      <c r="CP188" s="129"/>
      <c r="CQ188" s="129"/>
      <c r="CR188" s="129"/>
      <c r="CS188" s="129"/>
      <c r="CT188" s="129"/>
      <c r="CU188" s="129"/>
      <c r="CV188" s="129"/>
      <c r="CW188" s="129"/>
      <c r="CX188" s="6" t="s">
        <v>145</v>
      </c>
      <c r="CY188" s="129"/>
      <c r="CZ188" s="129"/>
      <c r="DA188" s="129"/>
      <c r="DB188" s="129"/>
      <c r="DC188" s="6" t="s">
        <v>145</v>
      </c>
      <c r="DD188" s="6" t="s">
        <v>145</v>
      </c>
      <c r="DE188" s="6"/>
    </row>
    <row r="189" spans="89:109" ht="15.75" thickBot="1">
      <c r="CK189" s="96" t="str">
        <f t="shared" si="38"/>
        <v>262_120</v>
      </c>
      <c r="CL189" s="122">
        <v>262</v>
      </c>
      <c r="CM189" s="5"/>
      <c r="CN189" s="6">
        <v>120</v>
      </c>
      <c r="CO189" s="129"/>
      <c r="CP189" s="129"/>
      <c r="CQ189" s="129"/>
      <c r="CR189" s="129"/>
      <c r="CS189" s="129"/>
      <c r="CT189" s="129"/>
      <c r="CU189" s="129"/>
      <c r="CV189" s="129"/>
      <c r="CW189" s="129"/>
      <c r="CX189" s="6" t="s">
        <v>145</v>
      </c>
      <c r="CY189" s="129"/>
      <c r="CZ189" s="129"/>
      <c r="DA189" s="129"/>
      <c r="DB189" s="129"/>
      <c r="DC189" s="6" t="s">
        <v>145</v>
      </c>
      <c r="DD189" s="6" t="s">
        <v>145</v>
      </c>
      <c r="DE189" s="6" t="s">
        <v>145</v>
      </c>
    </row>
    <row r="195" spans="89:90">
      <c r="CK195" s="123" t="str">
        <f>CONCATENATE(Frequency_n_NR,"_",SCS_NR)</f>
        <v>48_30</v>
      </c>
      <c r="CL195" s="123">
        <f>VLOOKUP(CK195,  $CK$3:$DE$189,4+MATCH(BW_NR,$CO$3:$DE$3,0),0)</f>
        <v>40</v>
      </c>
    </row>
    <row r="196" spans="89:90">
      <c r="CK196" t="s">
        <v>177</v>
      </c>
      <c r="CL196">
        <f>IF(CL195=0,1,0)</f>
        <v>0</v>
      </c>
    </row>
  </sheetData>
  <mergeCells count="33">
    <mergeCell ref="O1:P1"/>
    <mergeCell ref="M10:M12"/>
    <mergeCell ref="BL60:BY60"/>
    <mergeCell ref="CC2:CE2"/>
    <mergeCell ref="P10:P12"/>
    <mergeCell ref="M9:P9"/>
    <mergeCell ref="W35:X35"/>
    <mergeCell ref="AB33:AC33"/>
    <mergeCell ref="AB34:AC34"/>
    <mergeCell ref="W32:X32"/>
    <mergeCell ref="W33:X33"/>
    <mergeCell ref="BK2:BK3"/>
    <mergeCell ref="BL2:BY2"/>
    <mergeCell ref="AP2:AP4"/>
    <mergeCell ref="AK3:AM3"/>
    <mergeCell ref="W34:X34"/>
    <mergeCell ref="AB35:AC35"/>
    <mergeCell ref="AO11:AO12"/>
    <mergeCell ref="AG34:AH34"/>
    <mergeCell ref="AG35:AH35"/>
    <mergeCell ref="AG32:AH32"/>
    <mergeCell ref="AG33:AH33"/>
    <mergeCell ref="AK22:AM22"/>
    <mergeCell ref="AX9:AY9"/>
    <mergeCell ref="CM1:CT1"/>
    <mergeCell ref="CM2:DC2"/>
    <mergeCell ref="CM3:CM4"/>
    <mergeCell ref="CM175:CR175"/>
    <mergeCell ref="CM26:CM28"/>
    <mergeCell ref="CM163:CM165"/>
    <mergeCell ref="CM166:CM168"/>
    <mergeCell ref="CM169:CM171"/>
    <mergeCell ref="BL62:BY62"/>
  </mergeCells>
  <pageMargins left="0.7" right="0.7" top="0.75" bottom="0.75" header="0.3" footer="0.3"/>
  <pageSetup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B1:U94"/>
  <sheetViews>
    <sheetView workbookViewId="0">
      <selection activeCell="O5" sqref="O5"/>
    </sheetView>
  </sheetViews>
  <sheetFormatPr defaultRowHeight="15"/>
  <cols>
    <col min="5" max="5" width="12.7109375" bestFit="1" customWidth="1"/>
    <col min="6" max="6" width="11.7109375" bestFit="1" customWidth="1"/>
    <col min="7" max="7" width="12.7109375" bestFit="1" customWidth="1"/>
    <col min="8" max="8" width="16.85546875" bestFit="1" customWidth="1"/>
    <col min="11" max="11" width="17.85546875" bestFit="1" customWidth="1"/>
    <col min="13" max="13" width="10.42578125" bestFit="1" customWidth="1"/>
    <col min="20" max="20" width="12.7109375" bestFit="1" customWidth="1"/>
  </cols>
  <sheetData>
    <row r="1" spans="2:15" ht="15.75" thickBot="1">
      <c r="E1" t="s">
        <v>270</v>
      </c>
      <c r="F1" t="s">
        <v>271</v>
      </c>
    </row>
    <row r="2" spans="2:15" ht="15.75" thickBot="1">
      <c r="C2" s="3"/>
      <c r="D2" s="4"/>
      <c r="E2" s="4"/>
      <c r="F2" s="193"/>
      <c r="G2" s="1" t="s">
        <v>269</v>
      </c>
      <c r="H2" s="1" t="s">
        <v>272</v>
      </c>
      <c r="K2" s="1" t="s">
        <v>154</v>
      </c>
      <c r="L2" s="197">
        <v>273</v>
      </c>
    </row>
    <row r="3" spans="2:15" ht="15.75" thickBot="1">
      <c r="B3">
        <v>15</v>
      </c>
      <c r="C3" s="5">
        <v>0</v>
      </c>
      <c r="D3" s="6">
        <v>14</v>
      </c>
      <c r="E3" s="6">
        <f>2^(C3)*10</f>
        <v>10</v>
      </c>
      <c r="F3" s="18">
        <v>1</v>
      </c>
      <c r="G3" s="1">
        <f>F3*20</f>
        <v>20</v>
      </c>
      <c r="H3" s="1">
        <f>Total_DL_split_NR*G3</f>
        <v>12</v>
      </c>
      <c r="K3" s="1" t="s">
        <v>277</v>
      </c>
      <c r="L3" s="197">
        <v>2</v>
      </c>
      <c r="O3" s="187"/>
    </row>
    <row r="4" spans="2:15" ht="15.75" thickBot="1">
      <c r="B4">
        <v>30</v>
      </c>
      <c r="C4" s="5">
        <v>1</v>
      </c>
      <c r="D4" s="6">
        <v>14</v>
      </c>
      <c r="E4" s="6">
        <f>2^(C4)*10</f>
        <v>20</v>
      </c>
      <c r="F4" s="18">
        <v>2</v>
      </c>
      <c r="G4" s="1">
        <f t="shared" ref="G4:G7" si="0">F4*20</f>
        <v>40</v>
      </c>
      <c r="H4" s="1">
        <f>Total_DL_split_NR*G4</f>
        <v>24</v>
      </c>
      <c r="K4" s="1" t="s">
        <v>273</v>
      </c>
      <c r="L4" s="197">
        <v>120</v>
      </c>
    </row>
    <row r="5" spans="2:15" ht="15.75" thickBot="1">
      <c r="B5">
        <v>60</v>
      </c>
      <c r="C5" s="5">
        <v>2</v>
      </c>
      <c r="D5" s="6">
        <v>14</v>
      </c>
      <c r="E5" s="6">
        <f>2^(C5)*10</f>
        <v>40</v>
      </c>
      <c r="F5" s="18">
        <v>4</v>
      </c>
      <c r="G5" s="1">
        <f t="shared" si="0"/>
        <v>80</v>
      </c>
      <c r="H5" s="1">
        <f>Total_DL_split_NR*G5</f>
        <v>48</v>
      </c>
      <c r="K5" s="1" t="s">
        <v>259</v>
      </c>
      <c r="L5" s="198">
        <v>20</v>
      </c>
    </row>
    <row r="6" spans="2:15" ht="15.75" thickBot="1">
      <c r="B6">
        <v>120</v>
      </c>
      <c r="C6" s="5">
        <v>3</v>
      </c>
      <c r="D6" s="6">
        <v>14</v>
      </c>
      <c r="E6" s="6">
        <f>2^(C6)*10</f>
        <v>80</v>
      </c>
      <c r="F6" s="18">
        <v>8</v>
      </c>
      <c r="G6" s="1">
        <f t="shared" si="0"/>
        <v>160</v>
      </c>
      <c r="H6" s="1">
        <f>Total_DL_split_NR*G6</f>
        <v>96</v>
      </c>
      <c r="K6" s="1" t="s">
        <v>261</v>
      </c>
      <c r="L6" s="198">
        <f>L3*L5</f>
        <v>40</v>
      </c>
    </row>
    <row r="7" spans="2:15" ht="15.75" thickBot="1">
      <c r="B7">
        <v>240</v>
      </c>
      <c r="C7" s="5">
        <v>4</v>
      </c>
      <c r="D7" s="6">
        <v>14</v>
      </c>
      <c r="E7" s="6">
        <f>2^(C7)*10</f>
        <v>160</v>
      </c>
      <c r="F7" s="18">
        <v>16</v>
      </c>
      <c r="G7" s="1">
        <f t="shared" si="0"/>
        <v>320</v>
      </c>
      <c r="H7" s="1">
        <f>Total_DL_split_NR*G7</f>
        <v>192</v>
      </c>
      <c r="K7" s="1" t="s">
        <v>274</v>
      </c>
      <c r="L7" s="199">
        <f>VLOOKUP(L4,$B$3:$H$7,7,0)*L2</f>
        <v>26208</v>
      </c>
    </row>
    <row r="8" spans="2:15">
      <c r="K8" s="1" t="s">
        <v>265</v>
      </c>
      <c r="L8" s="1">
        <v>64</v>
      </c>
    </row>
    <row r="9" spans="2:15">
      <c r="K9" s="1" t="s">
        <v>275</v>
      </c>
      <c r="L9" s="1">
        <f>ROUNDUP(L8/2,0)</f>
        <v>32</v>
      </c>
    </row>
    <row r="10" spans="2:15">
      <c r="K10" s="1" t="s">
        <v>276</v>
      </c>
      <c r="L10" s="1">
        <f>L9*L3*IF(SCS_NR&lt;120,20,L2)</f>
        <v>1280</v>
      </c>
    </row>
    <row r="11" spans="2:15">
      <c r="K11" s="1" t="s">
        <v>262</v>
      </c>
      <c r="L11" s="200">
        <f>L10/L7</f>
        <v>4.884004884004884E-2</v>
      </c>
    </row>
    <row r="20" spans="11:21">
      <c r="K20" t="s">
        <v>268</v>
      </c>
      <c r="L20" t="s">
        <v>268</v>
      </c>
      <c r="M20" t="s">
        <v>268</v>
      </c>
      <c r="N20" t="s">
        <v>268</v>
      </c>
      <c r="O20" t="s">
        <v>268</v>
      </c>
      <c r="P20" t="s">
        <v>268</v>
      </c>
      <c r="Q20" t="s">
        <v>268</v>
      </c>
      <c r="R20" t="s">
        <v>268</v>
      </c>
      <c r="S20" t="s">
        <v>268</v>
      </c>
    </row>
    <row r="31" spans="11:21" ht="15.75" thickBot="1">
      <c r="R31">
        <v>15</v>
      </c>
      <c r="S31">
        <v>30</v>
      </c>
      <c r="T31">
        <v>60</v>
      </c>
      <c r="U31">
        <v>120</v>
      </c>
    </row>
    <row r="32" spans="11:21">
      <c r="Q32" s="194">
        <v>2</v>
      </c>
      <c r="U32">
        <f>ROUNDUP(Q32/2,0)</f>
        <v>1</v>
      </c>
    </row>
    <row r="33" spans="17:21">
      <c r="Q33" s="195">
        <v>3</v>
      </c>
      <c r="U33">
        <f t="shared" ref="U33:U46" si="1">ROUNDUP(Q33/2,0)</f>
        <v>2</v>
      </c>
    </row>
    <row r="34" spans="17:21">
      <c r="Q34" s="195">
        <v>4</v>
      </c>
      <c r="U34">
        <f t="shared" si="1"/>
        <v>2</v>
      </c>
    </row>
    <row r="35" spans="17:21">
      <c r="Q35" s="195">
        <v>5</v>
      </c>
      <c r="U35">
        <f t="shared" si="1"/>
        <v>3</v>
      </c>
    </row>
    <row r="36" spans="17:21">
      <c r="Q36" s="195">
        <v>6</v>
      </c>
      <c r="U36">
        <f t="shared" si="1"/>
        <v>3</v>
      </c>
    </row>
    <row r="37" spans="17:21">
      <c r="Q37" s="195">
        <v>7</v>
      </c>
      <c r="U37">
        <f t="shared" si="1"/>
        <v>4</v>
      </c>
    </row>
    <row r="38" spans="17:21">
      <c r="Q38" s="195">
        <v>8</v>
      </c>
      <c r="U38">
        <f t="shared" si="1"/>
        <v>4</v>
      </c>
    </row>
    <row r="39" spans="17:21">
      <c r="Q39" s="195">
        <v>9</v>
      </c>
      <c r="U39">
        <f t="shared" si="1"/>
        <v>5</v>
      </c>
    </row>
    <row r="40" spans="17:21">
      <c r="Q40" s="195">
        <v>10</v>
      </c>
      <c r="U40">
        <f t="shared" si="1"/>
        <v>5</v>
      </c>
    </row>
    <row r="41" spans="17:21">
      <c r="Q41" s="195">
        <v>11</v>
      </c>
      <c r="U41">
        <f t="shared" si="1"/>
        <v>6</v>
      </c>
    </row>
    <row r="42" spans="17:21">
      <c r="Q42" s="195">
        <v>12</v>
      </c>
      <c r="U42">
        <f t="shared" si="1"/>
        <v>6</v>
      </c>
    </row>
    <row r="43" spans="17:21">
      <c r="Q43" s="195">
        <v>13</v>
      </c>
      <c r="U43">
        <f t="shared" si="1"/>
        <v>7</v>
      </c>
    </row>
    <row r="44" spans="17:21">
      <c r="Q44" s="195">
        <v>14</v>
      </c>
      <c r="U44">
        <f t="shared" si="1"/>
        <v>7</v>
      </c>
    </row>
    <row r="45" spans="17:21">
      <c r="Q45" s="195">
        <v>15</v>
      </c>
      <c r="U45">
        <f t="shared" si="1"/>
        <v>8</v>
      </c>
    </row>
    <row r="46" spans="17:21" ht="15.75" thickBot="1">
      <c r="Q46" s="196">
        <v>16</v>
      </c>
      <c r="U46">
        <f t="shared" si="1"/>
        <v>8</v>
      </c>
    </row>
    <row r="47" spans="17:21">
      <c r="Q47" s="194">
        <v>17</v>
      </c>
      <c r="U47">
        <f>ROUNDUP(Q47/2,0)+2</f>
        <v>11</v>
      </c>
    </row>
    <row r="48" spans="17:21">
      <c r="Q48" s="195">
        <v>18</v>
      </c>
      <c r="U48">
        <f t="shared" ref="U48:U60" si="2">ROUNDUP(Q48/2,0)+2</f>
        <v>11</v>
      </c>
    </row>
    <row r="49" spans="17:21">
      <c r="Q49" s="195">
        <v>19</v>
      </c>
      <c r="U49">
        <f t="shared" si="2"/>
        <v>12</v>
      </c>
    </row>
    <row r="50" spans="17:21">
      <c r="Q50" s="195">
        <v>20</v>
      </c>
      <c r="U50">
        <f t="shared" si="2"/>
        <v>12</v>
      </c>
    </row>
    <row r="51" spans="17:21">
      <c r="Q51" s="195">
        <v>21</v>
      </c>
      <c r="U51">
        <f t="shared" si="2"/>
        <v>13</v>
      </c>
    </row>
    <row r="52" spans="17:21">
      <c r="Q52" s="195">
        <v>22</v>
      </c>
      <c r="U52">
        <f t="shared" si="2"/>
        <v>13</v>
      </c>
    </row>
    <row r="53" spans="17:21">
      <c r="Q53" s="195">
        <v>23</v>
      </c>
      <c r="U53">
        <f t="shared" si="2"/>
        <v>14</v>
      </c>
    </row>
    <row r="54" spans="17:21">
      <c r="Q54" s="195">
        <v>24</v>
      </c>
      <c r="U54">
        <f t="shared" si="2"/>
        <v>14</v>
      </c>
    </row>
    <row r="55" spans="17:21">
      <c r="Q55" s="195">
        <v>25</v>
      </c>
      <c r="U55">
        <f t="shared" si="2"/>
        <v>15</v>
      </c>
    </row>
    <row r="56" spans="17:21">
      <c r="Q56" s="195">
        <v>26</v>
      </c>
      <c r="U56">
        <f t="shared" si="2"/>
        <v>15</v>
      </c>
    </row>
    <row r="57" spans="17:21">
      <c r="Q57" s="195">
        <v>27</v>
      </c>
      <c r="U57">
        <f t="shared" si="2"/>
        <v>16</v>
      </c>
    </row>
    <row r="58" spans="17:21">
      <c r="Q58" s="195">
        <v>28</v>
      </c>
      <c r="U58">
        <f t="shared" si="2"/>
        <v>16</v>
      </c>
    </row>
    <row r="59" spans="17:21">
      <c r="Q59" s="195">
        <v>29</v>
      </c>
      <c r="U59">
        <f t="shared" si="2"/>
        <v>17</v>
      </c>
    </row>
    <row r="60" spans="17:21">
      <c r="Q60" s="195">
        <v>30</v>
      </c>
      <c r="U60">
        <f t="shared" si="2"/>
        <v>17</v>
      </c>
    </row>
    <row r="61" spans="17:21">
      <c r="Q61" s="195">
        <v>31</v>
      </c>
      <c r="U61">
        <f>ROUNDUP(Q61/2,0)+2</f>
        <v>18</v>
      </c>
    </row>
    <row r="62" spans="17:21" ht="15.75" thickBot="1">
      <c r="Q62" s="196">
        <v>32</v>
      </c>
      <c r="U62">
        <f>ROUNDUP(Q62/2,0)+2</f>
        <v>18</v>
      </c>
    </row>
    <row r="63" spans="17:21">
      <c r="Q63" s="194">
        <v>33</v>
      </c>
      <c r="U63">
        <f>ROUNDUP(Q63/2,0)+4</f>
        <v>21</v>
      </c>
    </row>
    <row r="64" spans="17:21">
      <c r="Q64" s="195">
        <v>34</v>
      </c>
      <c r="U64">
        <f t="shared" ref="U64:U78" si="3">ROUNDUP(Q64/2,0)+4</f>
        <v>21</v>
      </c>
    </row>
    <row r="65" spans="17:21">
      <c r="Q65" s="195">
        <v>35</v>
      </c>
      <c r="U65">
        <f t="shared" si="3"/>
        <v>22</v>
      </c>
    </row>
    <row r="66" spans="17:21">
      <c r="Q66" s="195">
        <v>36</v>
      </c>
      <c r="U66">
        <f t="shared" si="3"/>
        <v>22</v>
      </c>
    </row>
    <row r="67" spans="17:21">
      <c r="Q67" s="195">
        <v>37</v>
      </c>
      <c r="U67">
        <f t="shared" si="3"/>
        <v>23</v>
      </c>
    </row>
    <row r="68" spans="17:21">
      <c r="Q68" s="195">
        <v>38</v>
      </c>
      <c r="U68">
        <f t="shared" si="3"/>
        <v>23</v>
      </c>
    </row>
    <row r="69" spans="17:21">
      <c r="Q69" s="195">
        <v>39</v>
      </c>
      <c r="U69">
        <f t="shared" si="3"/>
        <v>24</v>
      </c>
    </row>
    <row r="70" spans="17:21">
      <c r="Q70" s="195">
        <v>40</v>
      </c>
      <c r="U70">
        <f t="shared" si="3"/>
        <v>24</v>
      </c>
    </row>
    <row r="71" spans="17:21">
      <c r="Q71" s="195">
        <v>41</v>
      </c>
      <c r="U71">
        <f t="shared" si="3"/>
        <v>25</v>
      </c>
    </row>
    <row r="72" spans="17:21">
      <c r="Q72" s="195">
        <v>42</v>
      </c>
      <c r="U72">
        <f t="shared" si="3"/>
        <v>25</v>
      </c>
    </row>
    <row r="73" spans="17:21">
      <c r="Q73" s="195">
        <v>43</v>
      </c>
      <c r="U73">
        <f t="shared" si="3"/>
        <v>26</v>
      </c>
    </row>
    <row r="74" spans="17:21">
      <c r="Q74" s="195">
        <v>44</v>
      </c>
      <c r="U74">
        <f t="shared" si="3"/>
        <v>26</v>
      </c>
    </row>
    <row r="75" spans="17:21">
      <c r="Q75" s="195">
        <v>45</v>
      </c>
      <c r="U75">
        <f t="shared" si="3"/>
        <v>27</v>
      </c>
    </row>
    <row r="76" spans="17:21">
      <c r="Q76" s="195">
        <v>46</v>
      </c>
      <c r="U76">
        <f t="shared" si="3"/>
        <v>27</v>
      </c>
    </row>
    <row r="77" spans="17:21">
      <c r="Q77" s="195">
        <v>47</v>
      </c>
      <c r="U77">
        <f t="shared" si="3"/>
        <v>28</v>
      </c>
    </row>
    <row r="78" spans="17:21" ht="15.75" thickBot="1">
      <c r="Q78" s="196">
        <v>48</v>
      </c>
      <c r="U78">
        <f t="shared" si="3"/>
        <v>28</v>
      </c>
    </row>
    <row r="79" spans="17:21">
      <c r="Q79" s="194">
        <v>49</v>
      </c>
      <c r="U79">
        <f>ROUNDUP(Q79/2,0)+6</f>
        <v>31</v>
      </c>
    </row>
    <row r="80" spans="17:21">
      <c r="Q80" s="195">
        <v>50</v>
      </c>
      <c r="U80">
        <f t="shared" ref="U80:U93" si="4">ROUNDUP(Q80/2,0)+6</f>
        <v>31</v>
      </c>
    </row>
    <row r="81" spans="17:21">
      <c r="Q81" s="195">
        <v>51</v>
      </c>
      <c r="U81">
        <f t="shared" si="4"/>
        <v>32</v>
      </c>
    </row>
    <row r="82" spans="17:21">
      <c r="Q82" s="195">
        <v>52</v>
      </c>
      <c r="U82">
        <f t="shared" si="4"/>
        <v>32</v>
      </c>
    </row>
    <row r="83" spans="17:21">
      <c r="Q83" s="195">
        <v>53</v>
      </c>
      <c r="U83">
        <f t="shared" si="4"/>
        <v>33</v>
      </c>
    </row>
    <row r="84" spans="17:21">
      <c r="Q84" s="195">
        <v>54</v>
      </c>
      <c r="U84">
        <f t="shared" si="4"/>
        <v>33</v>
      </c>
    </row>
    <row r="85" spans="17:21">
      <c r="Q85" s="195">
        <v>55</v>
      </c>
      <c r="U85">
        <f t="shared" si="4"/>
        <v>34</v>
      </c>
    </row>
    <row r="86" spans="17:21">
      <c r="Q86" s="195">
        <v>56</v>
      </c>
      <c r="U86">
        <f t="shared" si="4"/>
        <v>34</v>
      </c>
    </row>
    <row r="87" spans="17:21">
      <c r="Q87" s="195">
        <v>57</v>
      </c>
      <c r="U87">
        <f t="shared" si="4"/>
        <v>35</v>
      </c>
    </row>
    <row r="88" spans="17:21">
      <c r="Q88" s="195">
        <v>58</v>
      </c>
      <c r="U88">
        <f t="shared" si="4"/>
        <v>35</v>
      </c>
    </row>
    <row r="89" spans="17:21">
      <c r="Q89" s="195">
        <v>59</v>
      </c>
      <c r="U89">
        <f t="shared" si="4"/>
        <v>36</v>
      </c>
    </row>
    <row r="90" spans="17:21">
      <c r="Q90" s="195">
        <v>60</v>
      </c>
      <c r="U90">
        <f t="shared" si="4"/>
        <v>36</v>
      </c>
    </row>
    <row r="91" spans="17:21">
      <c r="Q91" s="195">
        <v>61</v>
      </c>
      <c r="U91">
        <f t="shared" si="4"/>
        <v>37</v>
      </c>
    </row>
    <row r="92" spans="17:21">
      <c r="Q92" s="195">
        <v>62</v>
      </c>
      <c r="U92">
        <f t="shared" si="4"/>
        <v>37</v>
      </c>
    </row>
    <row r="93" spans="17:21">
      <c r="Q93" s="195">
        <v>63</v>
      </c>
      <c r="U93">
        <f t="shared" si="4"/>
        <v>38</v>
      </c>
    </row>
    <row r="94" spans="17:21" ht="15.75" thickBot="1">
      <c r="Q94" s="196">
        <v>64</v>
      </c>
      <c r="U94">
        <f>ROUNDUP(Q94/2,0)+8</f>
        <v>40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X131"/>
  <sheetViews>
    <sheetView workbookViewId="0">
      <selection activeCell="B30" sqref="B3:B30"/>
    </sheetView>
  </sheetViews>
  <sheetFormatPr defaultRowHeight="15"/>
  <cols>
    <col min="5" max="5" width="12" bestFit="1" customWidth="1"/>
    <col min="6" max="6" width="11" bestFit="1" customWidth="1"/>
    <col min="7" max="7" width="11.5703125" bestFit="1" customWidth="1"/>
    <col min="10" max="10" width="12" bestFit="1" customWidth="1"/>
    <col min="13" max="13" width="11" bestFit="1" customWidth="1"/>
    <col min="18" max="18" width="10" bestFit="1" customWidth="1"/>
    <col min="19" max="19" width="10" customWidth="1"/>
  </cols>
  <sheetData>
    <row r="1" spans="1:76" ht="36">
      <c r="A1" s="24" t="s">
        <v>13</v>
      </c>
      <c r="B1" s="26" t="s">
        <v>15</v>
      </c>
      <c r="C1" s="26" t="s">
        <v>17</v>
      </c>
      <c r="D1" s="26"/>
      <c r="E1" s="26"/>
      <c r="F1" s="26"/>
      <c r="G1" s="26" t="s">
        <v>88</v>
      </c>
      <c r="H1" s="26" t="s">
        <v>88</v>
      </c>
      <c r="I1" s="26"/>
      <c r="J1" s="240"/>
      <c r="AA1" s="24" t="s">
        <v>13</v>
      </c>
      <c r="AB1" s="26" t="s">
        <v>15</v>
      </c>
      <c r="AC1" s="26" t="s">
        <v>40</v>
      </c>
      <c r="AD1" s="26"/>
      <c r="AE1" s="26"/>
      <c r="AF1" s="26"/>
      <c r="AG1" s="26"/>
      <c r="AQ1" s="33" t="s">
        <v>13</v>
      </c>
      <c r="AR1" s="35" t="s">
        <v>15</v>
      </c>
      <c r="AS1" s="316" t="s">
        <v>209</v>
      </c>
      <c r="AT1" s="35" t="s">
        <v>19</v>
      </c>
      <c r="AU1" s="35"/>
      <c r="AW1" s="24" t="s">
        <v>13</v>
      </c>
      <c r="AX1" s="26" t="s">
        <v>15</v>
      </c>
      <c r="AY1" s="318" t="s">
        <v>211</v>
      </c>
      <c r="AZ1" s="26" t="s">
        <v>19</v>
      </c>
      <c r="BA1" s="35"/>
      <c r="BC1" s="33" t="s">
        <v>13</v>
      </c>
      <c r="BD1" s="35" t="s">
        <v>15</v>
      </c>
      <c r="BE1" s="316" t="s">
        <v>209</v>
      </c>
      <c r="BF1" s="35" t="s">
        <v>19</v>
      </c>
      <c r="BG1" s="35"/>
      <c r="BI1" s="24" t="s">
        <v>13</v>
      </c>
      <c r="BJ1" s="26" t="s">
        <v>15</v>
      </c>
      <c r="BK1" s="172" t="s">
        <v>243</v>
      </c>
      <c r="BL1" s="26" t="s">
        <v>19</v>
      </c>
      <c r="BM1" s="35"/>
      <c r="BN1" s="178"/>
      <c r="BR1" s="24" t="s">
        <v>13</v>
      </c>
      <c r="BS1" s="26" t="s">
        <v>15</v>
      </c>
      <c r="BT1" s="172" t="s">
        <v>243</v>
      </c>
      <c r="BU1" s="26" t="s">
        <v>19</v>
      </c>
      <c r="BV1" s="35"/>
    </row>
    <row r="2" spans="1:76" ht="24.75" customHeight="1" thickBot="1">
      <c r="A2" s="25" t="s">
        <v>14</v>
      </c>
      <c r="B2" s="27" t="s">
        <v>16</v>
      </c>
      <c r="C2" s="27" t="s">
        <v>18</v>
      </c>
      <c r="D2" s="28" t="s">
        <v>159</v>
      </c>
      <c r="E2" s="28" t="s">
        <v>158</v>
      </c>
      <c r="F2" s="28" t="s">
        <v>157</v>
      </c>
      <c r="G2" s="28" t="s">
        <v>158</v>
      </c>
      <c r="H2" s="28" t="s">
        <v>157</v>
      </c>
      <c r="I2" s="28" t="s">
        <v>178</v>
      </c>
      <c r="J2" s="240"/>
      <c r="M2" s="240" t="s">
        <v>426</v>
      </c>
      <c r="N2" s="240" t="s">
        <v>425</v>
      </c>
      <c r="O2" s="240" t="s">
        <v>430</v>
      </c>
      <c r="P2" s="240" t="s">
        <v>427</v>
      </c>
      <c r="Q2" s="240" t="s">
        <v>431</v>
      </c>
      <c r="R2" s="240" t="s">
        <v>432</v>
      </c>
      <c r="S2" s="240"/>
      <c r="T2" s="240" t="s">
        <v>426</v>
      </c>
      <c r="U2" s="240" t="s">
        <v>425</v>
      </c>
      <c r="V2" s="240" t="s">
        <v>430</v>
      </c>
      <c r="W2" s="240" t="s">
        <v>427</v>
      </c>
      <c r="X2" s="240" t="s">
        <v>431</v>
      </c>
      <c r="Y2" s="240" t="s">
        <v>432</v>
      </c>
      <c r="Z2" s="240"/>
      <c r="AA2" s="25" t="s">
        <v>39</v>
      </c>
      <c r="AB2" s="27" t="s">
        <v>16</v>
      </c>
      <c r="AC2" s="27" t="s">
        <v>18</v>
      </c>
      <c r="AD2" s="28" t="s">
        <v>159</v>
      </c>
      <c r="AE2" s="28" t="s">
        <v>158</v>
      </c>
      <c r="AF2" s="28" t="s">
        <v>157</v>
      </c>
      <c r="AG2" s="28" t="s">
        <v>178</v>
      </c>
      <c r="AI2" s="240" t="s">
        <v>426</v>
      </c>
      <c r="AJ2" s="240" t="s">
        <v>425</v>
      </c>
      <c r="AK2" s="240" t="s">
        <v>430</v>
      </c>
      <c r="AL2" s="240" t="s">
        <v>427</v>
      </c>
      <c r="AM2" s="240" t="s">
        <v>431</v>
      </c>
      <c r="AN2" s="240" t="s">
        <v>432</v>
      </c>
      <c r="AQ2" s="34" t="s">
        <v>23</v>
      </c>
      <c r="AR2" s="36" t="s">
        <v>24</v>
      </c>
      <c r="AS2" s="317"/>
      <c r="AT2" s="37" t="s">
        <v>20</v>
      </c>
      <c r="AU2" s="28" t="s">
        <v>159</v>
      </c>
      <c r="AW2" s="25" t="s">
        <v>14</v>
      </c>
      <c r="AX2" s="27" t="s">
        <v>16</v>
      </c>
      <c r="AY2" s="319"/>
      <c r="AZ2" s="28" t="s">
        <v>20</v>
      </c>
      <c r="BA2" s="28" t="s">
        <v>159</v>
      </c>
      <c r="BC2" s="34" t="s">
        <v>23</v>
      </c>
      <c r="BD2" s="36" t="s">
        <v>24</v>
      </c>
      <c r="BE2" s="317"/>
      <c r="BF2" s="37" t="s">
        <v>20</v>
      </c>
      <c r="BG2" s="28" t="s">
        <v>159</v>
      </c>
      <c r="BI2" s="25" t="s">
        <v>39</v>
      </c>
      <c r="BJ2" s="27" t="s">
        <v>16</v>
      </c>
      <c r="BK2" s="173"/>
      <c r="BL2" s="28" t="s">
        <v>20</v>
      </c>
      <c r="BM2" s="28" t="s">
        <v>159</v>
      </c>
      <c r="BN2" s="178"/>
      <c r="BR2" s="25" t="s">
        <v>39</v>
      </c>
      <c r="BS2" s="27" t="s">
        <v>16</v>
      </c>
      <c r="BT2" s="173"/>
      <c r="BU2" s="28" t="s">
        <v>20</v>
      </c>
      <c r="BV2" s="28" t="s">
        <v>159</v>
      </c>
    </row>
    <row r="3" spans="1:76" ht="16.5" thickTop="1" thickBot="1">
      <c r="A3" s="29">
        <f t="shared" ref="A3:A31" si="0">IF(DL_Max_Modulation_NR=64,AQ3,AW3)</f>
        <v>0</v>
      </c>
      <c r="B3" s="29">
        <f t="shared" ref="B3:B31" si="1">IF(DL_Max_Modulation_NR=64,AR3,AX3)</f>
        <v>2</v>
      </c>
      <c r="C3" s="29">
        <f t="shared" ref="C3:C31" si="2">IF(DL_Max_Modulation_NR=64,AS3,AY3)</f>
        <v>120</v>
      </c>
      <c r="D3" s="81">
        <f>C3/1024</f>
        <v>0.1171875</v>
      </c>
      <c r="E3" s="243">
        <f>RB_NR*((14-PDCCH_overhead_NR)*12-DMRS_overhead_NR)*2^(numerologie_NR)*10^3/10^6</f>
        <v>25.44</v>
      </c>
      <c r="F3" s="168">
        <f t="shared" ref="F3:F30" si="3">B3*E3*D3*DL_Layers_NR</f>
        <v>11.925000000000001</v>
      </c>
      <c r="G3" s="243">
        <f>RB_NR*MAX(0,((14*DL_split_SSF_NR-PDCCH_TDD_overhead_NR)*12-DMRS_overhead_NR))*2^(numerologie_NR)*10^3/10^6</f>
        <v>0</v>
      </c>
      <c r="H3" s="81">
        <f t="shared" ref="H3:H30" si="4">B3*D3*G3*DL_Layers_NR</f>
        <v>0</v>
      </c>
      <c r="I3" s="242">
        <f t="shared" ref="I3:I30" si="5">DL_CA_NR*(1-DL_Overhead_NR)*(1-BLER_NR)*(  IF(Duplex_NR="FDD",S3*1,(S3*DL_splite_overhead_NR+Z3*SSF_splite_NR)))</f>
        <v>6.633</v>
      </c>
      <c r="J3" s="147">
        <f t="shared" ref="J3:J30" si="6">F3*(1-DL_Overhead_NR)*(1-BLER_NR)*( IF(Duplex_NR="FDD",1,SSF_splite_NR*DL_split_SSF_NR+DL_splite_overhead_NR))*DL_CA_NR</f>
        <v>6.7078125000000002</v>
      </c>
      <c r="K3">
        <f>B3*D3</f>
        <v>0.234375</v>
      </c>
      <c r="M3" s="248">
        <f t="shared" ref="M3:M31" si="7">F3*10^3/2^(numerologie_NR)</f>
        <v>5962.5</v>
      </c>
      <c r="N3" s="249">
        <f>IF(M3&lt;=3824,MAX(3,INT(LOG(M3,2))-6),INT(LOG(M3-24,2))-5)</f>
        <v>7</v>
      </c>
      <c r="O3" s="249">
        <f>IF(M3&lt;=3824,MAX(24,POWER(2,N3)*INT(M3/POWER(2,N3))),MAX(3840,POWER(2,N3)*ROUND((M3-24)/POWER(2,N3),0)))</f>
        <v>5888</v>
      </c>
      <c r="P3" s="249">
        <f>IF(C3*B3/1024&lt;=0.25,CEILING((M3+24)/3816,1),CEILING((M3+24)/8424,1))</f>
        <v>2</v>
      </c>
      <c r="Q3" s="249">
        <f>IF(VLOOKUP(MIN(93,VLOOKUP(M3,$A$39:$C$131,2,TRUE)),$B$39:$C$131,2,FALSE)&lt;M3,MIN(93,VLOOKUP(M3,$A$39:$C$131,2,TRUE))+1,VLOOKUP(M3,$A$39:$C$131,2,TRUE))</f>
        <v>94</v>
      </c>
      <c r="R3" s="249">
        <f>IF(M3&lt;=3824,VLOOKUP(Q3,$B$39:$C$131,2,FALSE),IF((B3*C3/1024)&lt;=0.25,8*P3*CEILING((O3+24)/(8*P3),1)-24,IF(M3&gt;8424,8*P3*CEILING((O3+24)/(8*P3),1)-24,8*CEILING((O3+24)/(8),1)-24)))</f>
        <v>5896</v>
      </c>
      <c r="S3" s="247">
        <f t="shared" ref="S3:S31" si="8">R3/10^3*2^(numerologie_NR)</f>
        <v>11.792</v>
      </c>
      <c r="T3" s="250">
        <f t="shared" ref="T3:T31" si="9">H3*10^3/2^(numerologie_NR)</f>
        <v>0</v>
      </c>
      <c r="U3" s="251">
        <f>IF(T3=0,0,IF(T3&lt;=3824,MAX(3,INT(LOG(T3,2))-6),INT(LOG(T3-24,2))-5))</f>
        <v>0</v>
      </c>
      <c r="V3" s="251">
        <f>IF(T3&lt;=3824,MAX(24,POWER(2,U3)*INT(T3/POWER(2,U3))),MAX(3840,POWER(2,U3)*ROUND((T3-24)/POWER(2,U3),0)))</f>
        <v>24</v>
      </c>
      <c r="W3" s="251">
        <f>IF(C3*B3/1024&lt;=0.25,CEILING((T3+24)/3816,1),CEILING((T3+24)/8424,1))</f>
        <v>1</v>
      </c>
      <c r="X3" s="251" t="e">
        <f>IF(VLOOKUP(MIN(93,VLOOKUP(T3,$A$39:$C$131,2,TRUE)),$B$39:$C$131,2,FALSE)&lt;T3,MIN(93,VLOOKUP(T3,$A$39:$C$131,2,TRUE))+1,VLOOKUP(T3,$A$39:$C$131,2,TRUE))</f>
        <v>#N/A</v>
      </c>
      <c r="Y3" s="251" t="e">
        <f>IF(V3&lt;=3824,VLOOKUP(X3,$B$39:$C$131,2,FALSE),IF((B3*C3/1024)&lt;=0.25,8*W3*CEILING((V3+24)/(8*W3),1)-24,IF(V3&gt;8424,8*W3*CEILING((V3+24)/(8*W3),1)-24,8*CEILING((V3+24)/(8),1)-24)))</f>
        <v>#N/A</v>
      </c>
      <c r="Z3" s="247">
        <f>IF(T3=0,0,Y3/10^3*2^(numerologie_NR))</f>
        <v>0</v>
      </c>
      <c r="AA3" s="29">
        <f t="shared" ref="AA3:AA31" si="10">IF(UL_Max_Modulation_NR=64,AQ3,AW3)</f>
        <v>0</v>
      </c>
      <c r="AB3" s="29">
        <f t="shared" ref="AB3:AB31" si="11">IF(UL_Max_Modulation_NR=64,AR3,AX3)</f>
        <v>2</v>
      </c>
      <c r="AC3" s="29">
        <f t="shared" ref="AC3:AC31" si="12">IF(UL_Max_Modulation_NR=64,AS3,AY3)</f>
        <v>120</v>
      </c>
      <c r="AD3" s="81">
        <f>AC3/1024</f>
        <v>0.1171875</v>
      </c>
      <c r="AE3" s="81">
        <f t="shared" ref="AE3:AE31" si="13">((14-PUCCH_overhead_NR)*12-UL_DMRS_overhead_NR)*AB3*RB_NR*2^(numerologie_NR)*10^3/10^6*PRACH_OH_NR</f>
        <v>45.792000000000002</v>
      </c>
      <c r="AF3" s="81">
        <f t="shared" ref="AF3:AF30" si="14">AE3*AD3*UL_Layers_NR</f>
        <v>5.36625</v>
      </c>
      <c r="AG3" s="243">
        <f t="shared" ref="AG3:AG30" si="15">AO3*(1-UL_Overhead_NR)*(1-BLER_NR)*(IF(Duplex_NR="FDD",1,Total_UL_split_NR))*UL_CA_NR</f>
        <v>1.0912000000000002</v>
      </c>
      <c r="AH3">
        <f>AD3*AB3</f>
        <v>0.234375</v>
      </c>
      <c r="AI3" s="251">
        <f t="shared" ref="AI3:AI31" si="16">AF3*10^3/2^(numerologie_NR)</f>
        <v>2683.125</v>
      </c>
      <c r="AJ3" s="252">
        <f>IF(AI3&lt;=3824,MAX(3,INT(LOG(AI3,2))-6),INT(LOG(AI3-24,2))-5)</f>
        <v>5</v>
      </c>
      <c r="AK3" s="252">
        <f>IF(AI3&lt;=3824,MAX(24,POWER(2,AJ3)*INT(AI3/POWER(2,AJ3))),MAX(3840,POWER(2,AJ3)*ROUND((AI3-24)/POWER(2,AJ3),0)))</f>
        <v>2656</v>
      </c>
      <c r="AL3" s="251">
        <f>IF(AC3*AB3/1024&lt;=0.25,CEILING((AI3+24)/3816,1),CEILING((AI3+24)/8424,1))</f>
        <v>1</v>
      </c>
      <c r="AM3" s="251">
        <f>IF(VLOOKUP(MIN(93,VLOOKUP(AI3,$A$39:$C$131,2,TRUE)),$B$39:$C$131,2,FALSE)&lt;AI3,MIN(93,VLOOKUP(AI3,$A$39:$C$131,2,TRUE))+1,VLOOKUP(AI3,$A$39:$C$131,2,TRUE))</f>
        <v>83</v>
      </c>
      <c r="AN3" s="251">
        <f>IF(AK3&lt;=3824,VLOOKUP(AM3,$B$39:$C$131,2,FALSE),IF((AB3*AC3/1024)&lt;=0.25,8*AL3*CEILING((AK3+24)/(8*AL3),1)-24,IF(AK3&gt;8424,8*AL3*CEILING((AK3+24)/(8*AL3),1)-24,8*CEILING((AK3+24)/(8),1)-24)))</f>
        <v>2728</v>
      </c>
      <c r="AO3" s="247">
        <f t="shared" ref="AO3:AO31" si="17">AN3/10^3*2^(numerologie_NR)</f>
        <v>5.4560000000000004</v>
      </c>
      <c r="AQ3" s="29">
        <v>0</v>
      </c>
      <c r="AR3" s="166">
        <v>2</v>
      </c>
      <c r="AS3" s="166">
        <v>120</v>
      </c>
      <c r="AT3" s="166">
        <v>0.2344</v>
      </c>
      <c r="AU3" s="168">
        <f>AS3/1024</f>
        <v>0.1171875</v>
      </c>
      <c r="AW3" s="29">
        <v>0</v>
      </c>
      <c r="AX3" s="166">
        <v>2</v>
      </c>
      <c r="AY3" s="166">
        <v>120</v>
      </c>
      <c r="AZ3" s="166">
        <v>0.2344</v>
      </c>
      <c r="BA3" s="168">
        <f>AY3/1024</f>
        <v>0.1171875</v>
      </c>
      <c r="BC3" s="29">
        <v>0</v>
      </c>
      <c r="BD3" s="6">
        <v>2</v>
      </c>
      <c r="BE3" s="6">
        <v>30</v>
      </c>
      <c r="BF3" s="6">
        <v>5.8599999999999999E-2</v>
      </c>
      <c r="BG3" s="168">
        <f>BE3/1024</f>
        <v>2.9296875E-2</v>
      </c>
      <c r="BI3" s="29">
        <v>0</v>
      </c>
      <c r="BJ3" s="52" t="s">
        <v>244</v>
      </c>
      <c r="BK3" s="52">
        <f>240/ $BO$3</f>
        <v>240</v>
      </c>
      <c r="BL3" s="52">
        <v>0.2344</v>
      </c>
      <c r="BM3" s="168">
        <f>BK3/1024</f>
        <v>0.234375</v>
      </c>
      <c r="BN3" s="181" t="s">
        <v>244</v>
      </c>
      <c r="BO3" s="182">
        <v>1</v>
      </c>
      <c r="BR3" s="29">
        <v>0</v>
      </c>
      <c r="BS3" s="176" t="s">
        <v>244</v>
      </c>
      <c r="BT3" s="177">
        <f>60/$BX$3</f>
        <v>60</v>
      </c>
      <c r="BU3" s="177">
        <v>5.8599999999999999E-2</v>
      </c>
      <c r="BV3" s="168">
        <f>BT3/1024</f>
        <v>5.859375E-2</v>
      </c>
      <c r="BW3" s="181" t="s">
        <v>244</v>
      </c>
      <c r="BX3" s="182">
        <v>1</v>
      </c>
    </row>
    <row r="4" spans="1:76" ht="15.75" thickBot="1">
      <c r="A4" s="29">
        <f t="shared" si="0"/>
        <v>1</v>
      </c>
      <c r="B4" s="29">
        <f t="shared" si="1"/>
        <v>2</v>
      </c>
      <c r="C4" s="29">
        <f t="shared" si="2"/>
        <v>193</v>
      </c>
      <c r="D4" s="81">
        <f t="shared" ref="D4:D30" si="18">C4/1024</f>
        <v>0.1884765625</v>
      </c>
      <c r="E4" s="243">
        <f t="shared" ref="E4:E29" si="19">RB_NR*((14-PDCCH_overhead_NR)*12-DMRS_overhead_NR)*2^(numerologie_NR)*10^3/10^6</f>
        <v>25.44</v>
      </c>
      <c r="F4" s="81">
        <f t="shared" si="3"/>
        <v>19.179375</v>
      </c>
      <c r="G4" s="243">
        <f t="shared" ref="G4:G30" si="20">RB_NR*MAX(0,((14*DL_split_SSF_NR-PDCCH_TDD_overhead_NR)*12-DMRS_overhead_NR))*2^(numerologie_NR)*10^3/10^6</f>
        <v>0</v>
      </c>
      <c r="H4" s="81">
        <f t="shared" si="4"/>
        <v>0</v>
      </c>
      <c r="I4" s="242">
        <f t="shared" si="5"/>
        <v>10.665000000000001</v>
      </c>
      <c r="J4" s="147">
        <f t="shared" si="6"/>
        <v>10.7883984375</v>
      </c>
      <c r="K4">
        <f t="shared" ref="K4:K30" si="21">B4*D4</f>
        <v>0.376953125</v>
      </c>
      <c r="M4" s="248">
        <f t="shared" si="7"/>
        <v>9589.6875</v>
      </c>
      <c r="N4" s="249">
        <f t="shared" ref="N4:N31" si="22">IF(M4&lt;=3824,MAX(3,INT(LOG(M4,2))-6),INT(LOG(M4-24,2))-5)</f>
        <v>8</v>
      </c>
      <c r="O4" s="249">
        <f t="shared" ref="O4:O31" si="23">IF(M4&lt;=3824,MAX(24,POWER(2,N4)*INT(M4/POWER(2,N4))),MAX(3840,POWER(2,N4)*ROUND((M4-24)/POWER(2,N4),0)))</f>
        <v>9472</v>
      </c>
      <c r="P4" s="249">
        <f t="shared" ref="P4:P31" si="24">IF(C4*B4/1024&lt;=0.25,CEILING((M4+24)/3816,1),CEILING((M4+24)/8424,1))</f>
        <v>2</v>
      </c>
      <c r="Q4" s="249">
        <f t="shared" ref="Q4:Q31" si="25">IF(VLOOKUP(MIN(93,VLOOKUP(M4,$A$39:$C$131,2,TRUE)),$B$39:$C$131,2,FALSE)&lt;M4,MIN(93,VLOOKUP(M4,$A$39:$C$131,2,TRUE))+1,VLOOKUP(M4,$A$39:$C$131,2,TRUE))</f>
        <v>94</v>
      </c>
      <c r="R4" s="249">
        <f t="shared" ref="R4:R31" si="26">IF(M4&lt;=3824,VLOOKUP(Q4,$B$39:$C$131,2,FALSE),IF((B4*C4/1024)&lt;=0.25,8*P4*CEILING((O4+24)/(8*P4),1)-24,IF(M4&gt;8424,8*P4*CEILING((O4+24)/(8*P4),1)-24,8*CEILING((O4+24)/(8),1)-24)))</f>
        <v>9480</v>
      </c>
      <c r="S4" s="247">
        <f t="shared" si="8"/>
        <v>18.96</v>
      </c>
      <c r="T4" s="250">
        <f t="shared" si="9"/>
        <v>0</v>
      </c>
      <c r="U4" s="251" t="e">
        <f t="shared" ref="U4:U31" si="27">IF(T4&lt;=3824,MAX(3,INT(LOG(T4,2))-6),INT(LOG(T4-24,2))-5)</f>
        <v>#NUM!</v>
      </c>
      <c r="V4" s="251" t="e">
        <f t="shared" ref="V4:V31" si="28">IF(T4&lt;=3824,MAX(24,POWER(2,U4)*INT(T4/POWER(2,U4))),MAX(3840,POWER(2,U4)*ROUND((T4-24)/POWER(2,U4),0)))</f>
        <v>#NUM!</v>
      </c>
      <c r="W4" s="251">
        <f t="shared" ref="W4:W31" si="29">IF(C4*B4/1024&lt;=0.25,CEILING((T4+24)/3816,1),CEILING((T4+24)/8424,1))</f>
        <v>1</v>
      </c>
      <c r="X4" s="251" t="e">
        <f t="shared" ref="X4:X31" si="30">IF(VLOOKUP(MIN(93,VLOOKUP(T4,$A$39:$C$131,2,TRUE)),$B$39:$C$131,2,FALSE)&lt;T4,MIN(93,VLOOKUP(T4,$A$39:$C$131,2,TRUE))+1,VLOOKUP(T4,$A$39:$C$131,2,TRUE))</f>
        <v>#N/A</v>
      </c>
      <c r="Y4" s="251" t="e">
        <f t="shared" ref="Y4:Y31" si="31">IF(V4&lt;=3824,VLOOKUP(X4,$B$39:$C$131,2,FALSE),IF((B4*C4/1024)&lt;=0.25,8*W4*CEILING((V4+24)/(8*W4),1)-24,IF(V4&gt;8424,8*W4*CEILING((V4+24)/(8*W4),1)-24,8*CEILING((V4+24)/(8),1)-24)))</f>
        <v>#NUM!</v>
      </c>
      <c r="Z4" s="247">
        <f t="shared" ref="Z4:Z31" si="32">IF(T4=0,0,Y4/10^3*2^(numerologie_NR))</f>
        <v>0</v>
      </c>
      <c r="AA4" s="29">
        <f t="shared" si="10"/>
        <v>1</v>
      </c>
      <c r="AB4" s="29">
        <f t="shared" si="11"/>
        <v>2</v>
      </c>
      <c r="AC4" s="29">
        <f t="shared" si="12"/>
        <v>157</v>
      </c>
      <c r="AD4" s="81">
        <f t="shared" ref="AD4:AD30" si="33">AC4/1024</f>
        <v>0.1533203125</v>
      </c>
      <c r="AE4" s="81">
        <f t="shared" si="13"/>
        <v>45.792000000000002</v>
      </c>
      <c r="AF4" s="81">
        <f t="shared" si="14"/>
        <v>7.02084375</v>
      </c>
      <c r="AG4" s="243">
        <f t="shared" si="15"/>
        <v>1.4496000000000002</v>
      </c>
      <c r="AH4">
        <f t="shared" ref="AH4:AH30" si="34">AD4*AB4</f>
        <v>0.306640625</v>
      </c>
      <c r="AI4" s="251">
        <f t="shared" si="16"/>
        <v>3510.421875</v>
      </c>
      <c r="AJ4" s="252">
        <f t="shared" ref="AJ4:AJ31" si="35">IF(AI4&lt;=3824,MAX(3,INT(LOG(AI4,2))-6),INT(LOG(AI4-24,2))-5)</f>
        <v>5</v>
      </c>
      <c r="AK4" s="252">
        <f t="shared" ref="AK4:AK13" si="36">IF(AI4&lt;=3824,MAX(24,POWER(2,AJ4)*INT(AI4/POWER(2,AJ4))),MAX(3840,POWER(2,AJ4)*ROUND((AI4-24)/POWER(2,AJ4),0)))</f>
        <v>3488</v>
      </c>
      <c r="AL4" s="251">
        <f t="shared" ref="AL4:AL13" si="37">IF(AC4*AB4/1024&lt;=0.25,CEILING((AI4+24)/3816,1),CEILING((AI4+24)/8424,1))</f>
        <v>1</v>
      </c>
      <c r="AM4" s="251">
        <f t="shared" ref="AM4:AM13" si="38">IF(VLOOKUP(MIN(93,VLOOKUP(AI4,$A$39:$C$131,2,TRUE)),$B$39:$C$131,2,FALSE)&lt;AI4,MIN(93,VLOOKUP(AI4,$A$39:$C$131,2,TRUE))+1,VLOOKUP(AI4,$A$39:$C$131,2,TRUE))</f>
        <v>91</v>
      </c>
      <c r="AN4" s="251">
        <f t="shared" ref="AN4:AN13" si="39">IF(AK4&lt;=3824,VLOOKUP(AM4,$B$39:$C$131,2,FALSE),IF((AB4*AC4/1024)&lt;=0.25,8*AL4*CEILING((AK4+24)/(8*AL4),1)-24,IF(AK4&gt;8424,8*AL4*CEILING((AK4+24)/(8*AL4),1)-24,8*CEILING((AK4+24)/(8),1)-24)))</f>
        <v>3624</v>
      </c>
      <c r="AO4" s="247">
        <f t="shared" si="17"/>
        <v>7.2480000000000002</v>
      </c>
      <c r="AQ4" s="29">
        <v>1</v>
      </c>
      <c r="AR4" s="166">
        <v>2</v>
      </c>
      <c r="AS4" s="166">
        <v>157</v>
      </c>
      <c r="AT4" s="166">
        <v>0.30659999999999998</v>
      </c>
      <c r="AU4" s="168">
        <f t="shared" ref="AU4:AU31" si="40">AS4/1024</f>
        <v>0.1533203125</v>
      </c>
      <c r="AW4" s="29">
        <v>1</v>
      </c>
      <c r="AX4" s="166">
        <v>2</v>
      </c>
      <c r="AY4" s="166">
        <v>193</v>
      </c>
      <c r="AZ4" s="166">
        <v>0.377</v>
      </c>
      <c r="BA4" s="168">
        <f t="shared" ref="BA4:BA30" si="41">AY4/1024</f>
        <v>0.1884765625</v>
      </c>
      <c r="BC4" s="29">
        <v>1</v>
      </c>
      <c r="BD4" s="6">
        <v>2</v>
      </c>
      <c r="BE4" s="6">
        <v>40</v>
      </c>
      <c r="BF4" s="6">
        <v>7.8100000000000003E-2</v>
      </c>
      <c r="BG4" s="168">
        <f t="shared" ref="BG4:BG31" si="42">BE4/1024</f>
        <v>3.90625E-2</v>
      </c>
      <c r="BI4" s="53">
        <v>1</v>
      </c>
      <c r="BJ4" s="52" t="s">
        <v>244</v>
      </c>
      <c r="BK4" s="52">
        <f>314/ BO3</f>
        <v>314</v>
      </c>
      <c r="BL4" s="52">
        <v>0.30659999999999998</v>
      </c>
      <c r="BM4" s="168">
        <f t="shared" ref="BM4:BM30" si="43">BK4/1024</f>
        <v>0.306640625</v>
      </c>
      <c r="BN4" s="178"/>
      <c r="BR4" s="53">
        <v>1</v>
      </c>
      <c r="BS4" s="176" t="s">
        <v>244</v>
      </c>
      <c r="BT4" s="177">
        <f>80/$BX$3</f>
        <v>80</v>
      </c>
      <c r="BU4" s="177">
        <v>7.8100000000000003E-2</v>
      </c>
      <c r="BV4" s="168">
        <f t="shared" ref="BV4:BV30" si="44">BT4/1024</f>
        <v>7.8125E-2</v>
      </c>
    </row>
    <row r="5" spans="1:76" ht="15.75" thickBot="1">
      <c r="A5" s="29">
        <f t="shared" si="0"/>
        <v>2</v>
      </c>
      <c r="B5" s="29">
        <f t="shared" si="1"/>
        <v>2</v>
      </c>
      <c r="C5" s="29">
        <f t="shared" si="2"/>
        <v>308</v>
      </c>
      <c r="D5" s="81">
        <f t="shared" si="18"/>
        <v>0.30078125</v>
      </c>
      <c r="E5" s="243">
        <f t="shared" si="19"/>
        <v>25.44</v>
      </c>
      <c r="F5" s="81">
        <f t="shared" si="3"/>
        <v>30.607500000000002</v>
      </c>
      <c r="G5" s="243">
        <f t="shared" si="20"/>
        <v>0</v>
      </c>
      <c r="H5" s="81">
        <f t="shared" si="4"/>
        <v>0</v>
      </c>
      <c r="I5" s="242">
        <f t="shared" si="5"/>
        <v>17.289000000000001</v>
      </c>
      <c r="J5" s="147">
        <f t="shared" si="6"/>
        <v>17.216718750000002</v>
      </c>
      <c r="K5">
        <f t="shared" si="21"/>
        <v>0.6015625</v>
      </c>
      <c r="M5" s="248">
        <f t="shared" si="7"/>
        <v>15303.75</v>
      </c>
      <c r="N5" s="249">
        <f t="shared" si="22"/>
        <v>8</v>
      </c>
      <c r="O5" s="249">
        <f t="shared" si="23"/>
        <v>15360</v>
      </c>
      <c r="P5" s="249">
        <f t="shared" si="24"/>
        <v>2</v>
      </c>
      <c r="Q5" s="249">
        <f t="shared" si="25"/>
        <v>94</v>
      </c>
      <c r="R5" s="249">
        <f t="shared" si="26"/>
        <v>15368</v>
      </c>
      <c r="S5" s="247">
        <f t="shared" si="8"/>
        <v>30.736000000000001</v>
      </c>
      <c r="T5" s="250">
        <f t="shared" si="9"/>
        <v>0</v>
      </c>
      <c r="U5" s="251" t="e">
        <f t="shared" si="27"/>
        <v>#NUM!</v>
      </c>
      <c r="V5" s="251" t="e">
        <f t="shared" si="28"/>
        <v>#NUM!</v>
      </c>
      <c r="W5" s="251">
        <f t="shared" si="29"/>
        <v>1</v>
      </c>
      <c r="X5" s="251" t="e">
        <f t="shared" si="30"/>
        <v>#N/A</v>
      </c>
      <c r="Y5" s="251" t="e">
        <f t="shared" si="31"/>
        <v>#NUM!</v>
      </c>
      <c r="Z5" s="247">
        <f t="shared" si="32"/>
        <v>0</v>
      </c>
      <c r="AA5" s="29">
        <f t="shared" si="10"/>
        <v>2</v>
      </c>
      <c r="AB5" s="29">
        <f t="shared" si="11"/>
        <v>2</v>
      </c>
      <c r="AC5" s="29">
        <f t="shared" si="12"/>
        <v>193</v>
      </c>
      <c r="AD5" s="81">
        <f t="shared" si="33"/>
        <v>0.1884765625</v>
      </c>
      <c r="AE5" s="81">
        <f t="shared" si="13"/>
        <v>45.792000000000002</v>
      </c>
      <c r="AF5" s="81">
        <f t="shared" si="14"/>
        <v>8.6307187499999998</v>
      </c>
      <c r="AG5" s="243">
        <f t="shared" si="15"/>
        <v>1.7408000000000001</v>
      </c>
      <c r="AH5">
        <f t="shared" si="34"/>
        <v>0.376953125</v>
      </c>
      <c r="AI5" s="251">
        <f t="shared" si="16"/>
        <v>4315.359375</v>
      </c>
      <c r="AJ5" s="252">
        <f t="shared" si="35"/>
        <v>7</v>
      </c>
      <c r="AK5" s="252">
        <f t="shared" si="36"/>
        <v>4352</v>
      </c>
      <c r="AL5" s="251">
        <f t="shared" si="37"/>
        <v>1</v>
      </c>
      <c r="AM5" s="251">
        <f t="shared" si="38"/>
        <v>94</v>
      </c>
      <c r="AN5" s="251">
        <f t="shared" si="39"/>
        <v>4352</v>
      </c>
      <c r="AO5" s="247">
        <f t="shared" si="17"/>
        <v>8.7040000000000006</v>
      </c>
      <c r="AQ5" s="29">
        <v>2</v>
      </c>
      <c r="AR5" s="166">
        <v>2</v>
      </c>
      <c r="AS5" s="166">
        <v>193</v>
      </c>
      <c r="AT5" s="166">
        <v>0.377</v>
      </c>
      <c r="AU5" s="168">
        <f t="shared" si="40"/>
        <v>0.1884765625</v>
      </c>
      <c r="AW5" s="29">
        <v>2</v>
      </c>
      <c r="AX5" s="166">
        <v>2</v>
      </c>
      <c r="AY5" s="166">
        <v>308</v>
      </c>
      <c r="AZ5" s="166">
        <v>0.60160000000000002</v>
      </c>
      <c r="BA5" s="168">
        <f t="shared" si="41"/>
        <v>0.30078125</v>
      </c>
      <c r="BC5" s="29">
        <v>2</v>
      </c>
      <c r="BD5" s="6">
        <v>2</v>
      </c>
      <c r="BE5" s="6">
        <v>50</v>
      </c>
      <c r="BF5" s="6">
        <v>9.7699999999999995E-2</v>
      </c>
      <c r="BG5" s="168">
        <f t="shared" si="42"/>
        <v>4.8828125E-2</v>
      </c>
      <c r="BI5" s="53">
        <v>2</v>
      </c>
      <c r="BJ5" s="52">
        <v>2</v>
      </c>
      <c r="BK5" s="52">
        <v>193</v>
      </c>
      <c r="BL5" s="52">
        <v>0.377</v>
      </c>
      <c r="BM5" s="168">
        <f t="shared" si="43"/>
        <v>0.1884765625</v>
      </c>
      <c r="BN5" s="178"/>
      <c r="BR5" s="53">
        <v>2</v>
      </c>
      <c r="BS5" s="176" t="s">
        <v>244</v>
      </c>
      <c r="BT5" s="177">
        <f>100/$BX$3</f>
        <v>100</v>
      </c>
      <c r="BU5" s="177">
        <v>9.7699999999999995E-2</v>
      </c>
      <c r="BV5" s="168">
        <f t="shared" si="44"/>
        <v>9.765625E-2</v>
      </c>
    </row>
    <row r="6" spans="1:76" ht="15.75" thickBot="1">
      <c r="A6" s="29">
        <f t="shared" si="0"/>
        <v>3</v>
      </c>
      <c r="B6" s="29">
        <f t="shared" si="1"/>
        <v>2</v>
      </c>
      <c r="C6" s="29">
        <f t="shared" si="2"/>
        <v>449</v>
      </c>
      <c r="D6" s="81">
        <f t="shared" si="18"/>
        <v>0.4384765625</v>
      </c>
      <c r="E6" s="243">
        <f t="shared" si="19"/>
        <v>25.44</v>
      </c>
      <c r="F6" s="81">
        <f t="shared" si="3"/>
        <v>44.619375000000005</v>
      </c>
      <c r="G6" s="243">
        <f t="shared" si="20"/>
        <v>0</v>
      </c>
      <c r="H6" s="81">
        <f t="shared" si="4"/>
        <v>0</v>
      </c>
      <c r="I6" s="242">
        <f t="shared" si="5"/>
        <v>25.353000000000002</v>
      </c>
      <c r="J6" s="147">
        <f t="shared" si="6"/>
        <v>25.098398437500002</v>
      </c>
      <c r="K6">
        <f t="shared" si="21"/>
        <v>0.876953125</v>
      </c>
      <c r="M6" s="248">
        <f t="shared" si="7"/>
        <v>22309.687500000004</v>
      </c>
      <c r="N6" s="249">
        <f t="shared" si="22"/>
        <v>9</v>
      </c>
      <c r="O6" s="249">
        <f t="shared" si="23"/>
        <v>22528</v>
      </c>
      <c r="P6" s="249">
        <f t="shared" si="24"/>
        <v>3</v>
      </c>
      <c r="Q6" s="249">
        <f t="shared" si="25"/>
        <v>94</v>
      </c>
      <c r="R6" s="249">
        <f t="shared" si="26"/>
        <v>22536</v>
      </c>
      <c r="S6" s="247">
        <f t="shared" si="8"/>
        <v>45.072000000000003</v>
      </c>
      <c r="T6" s="250">
        <f t="shared" si="9"/>
        <v>0</v>
      </c>
      <c r="U6" s="251" t="e">
        <f t="shared" si="27"/>
        <v>#NUM!</v>
      </c>
      <c r="V6" s="251" t="e">
        <f t="shared" si="28"/>
        <v>#NUM!</v>
      </c>
      <c r="W6" s="251">
        <f t="shared" si="29"/>
        <v>1</v>
      </c>
      <c r="X6" s="251" t="e">
        <f t="shared" si="30"/>
        <v>#N/A</v>
      </c>
      <c r="Y6" s="251" t="e">
        <f t="shared" si="31"/>
        <v>#NUM!</v>
      </c>
      <c r="Z6" s="247">
        <f t="shared" si="32"/>
        <v>0</v>
      </c>
      <c r="AA6" s="29">
        <f t="shared" si="10"/>
        <v>3</v>
      </c>
      <c r="AB6" s="29">
        <f t="shared" si="11"/>
        <v>2</v>
      </c>
      <c r="AC6" s="29">
        <f t="shared" si="12"/>
        <v>251</v>
      </c>
      <c r="AD6" s="81">
        <f t="shared" si="33"/>
        <v>0.2451171875</v>
      </c>
      <c r="AE6" s="81">
        <f t="shared" si="13"/>
        <v>45.792000000000002</v>
      </c>
      <c r="AF6" s="81">
        <f t="shared" si="14"/>
        <v>11.224406250000001</v>
      </c>
      <c r="AG6" s="243">
        <f t="shared" si="15"/>
        <v>2.2528000000000001</v>
      </c>
      <c r="AH6">
        <f t="shared" si="34"/>
        <v>0.490234375</v>
      </c>
      <c r="AI6" s="251">
        <f t="shared" si="16"/>
        <v>5612.2031250000009</v>
      </c>
      <c r="AJ6" s="252">
        <f t="shared" si="35"/>
        <v>7</v>
      </c>
      <c r="AK6" s="252">
        <f t="shared" si="36"/>
        <v>5632</v>
      </c>
      <c r="AL6" s="251">
        <f t="shared" si="37"/>
        <v>1</v>
      </c>
      <c r="AM6" s="251">
        <f t="shared" si="38"/>
        <v>94</v>
      </c>
      <c r="AN6" s="251">
        <f t="shared" si="39"/>
        <v>5632</v>
      </c>
      <c r="AO6" s="247">
        <f t="shared" si="17"/>
        <v>11.263999999999999</v>
      </c>
      <c r="AQ6" s="29">
        <v>3</v>
      </c>
      <c r="AR6" s="166">
        <v>2</v>
      </c>
      <c r="AS6" s="166">
        <v>251</v>
      </c>
      <c r="AT6" s="166">
        <v>0.49020000000000002</v>
      </c>
      <c r="AU6" s="168">
        <f t="shared" si="40"/>
        <v>0.2451171875</v>
      </c>
      <c r="AW6" s="29">
        <v>3</v>
      </c>
      <c r="AX6" s="166">
        <v>2</v>
      </c>
      <c r="AY6" s="166">
        <v>449</v>
      </c>
      <c r="AZ6" s="166">
        <v>0.877</v>
      </c>
      <c r="BA6" s="168">
        <f t="shared" si="41"/>
        <v>0.4384765625</v>
      </c>
      <c r="BC6" s="29">
        <v>3</v>
      </c>
      <c r="BD6" s="6">
        <v>2</v>
      </c>
      <c r="BE6" s="6">
        <v>64</v>
      </c>
      <c r="BF6" s="6">
        <v>0.125</v>
      </c>
      <c r="BG6" s="168">
        <f t="shared" si="42"/>
        <v>6.25E-2</v>
      </c>
      <c r="BI6" s="29">
        <v>3</v>
      </c>
      <c r="BJ6" s="52">
        <v>2</v>
      </c>
      <c r="BK6" s="52">
        <v>251</v>
      </c>
      <c r="BL6" s="52">
        <v>0.49020000000000002</v>
      </c>
      <c r="BM6" s="168">
        <f t="shared" si="43"/>
        <v>0.2451171875</v>
      </c>
      <c r="BN6" s="178"/>
      <c r="BR6" s="29">
        <v>3</v>
      </c>
      <c r="BS6" s="176" t="s">
        <v>244</v>
      </c>
      <c r="BT6" s="177">
        <f>128/$BX$3</f>
        <v>128</v>
      </c>
      <c r="BU6" s="177">
        <v>0.125</v>
      </c>
      <c r="BV6" s="168">
        <f t="shared" si="44"/>
        <v>0.125</v>
      </c>
    </row>
    <row r="7" spans="1:76" ht="15.75" thickBot="1">
      <c r="A7" s="29">
        <f t="shared" si="0"/>
        <v>4</v>
      </c>
      <c r="B7" s="29">
        <f t="shared" si="1"/>
        <v>2</v>
      </c>
      <c r="C7" s="29">
        <f t="shared" si="2"/>
        <v>602</v>
      </c>
      <c r="D7" s="81">
        <f t="shared" si="18"/>
        <v>0.587890625</v>
      </c>
      <c r="E7" s="243">
        <f t="shared" si="19"/>
        <v>25.44</v>
      </c>
      <c r="F7" s="81">
        <f t="shared" si="3"/>
        <v>59.823750000000004</v>
      </c>
      <c r="G7" s="243">
        <f t="shared" si="20"/>
        <v>0</v>
      </c>
      <c r="H7" s="81">
        <f t="shared" si="4"/>
        <v>0</v>
      </c>
      <c r="I7" s="242">
        <f t="shared" si="5"/>
        <v>33.417000000000002</v>
      </c>
      <c r="J7" s="147">
        <f t="shared" si="6"/>
        <v>33.650859375000003</v>
      </c>
      <c r="K7">
        <f t="shared" si="21"/>
        <v>1.17578125</v>
      </c>
      <c r="M7" s="248">
        <f t="shared" si="7"/>
        <v>29911.875000000004</v>
      </c>
      <c r="N7" s="249">
        <f t="shared" si="22"/>
        <v>9</v>
      </c>
      <c r="O7" s="249">
        <f t="shared" si="23"/>
        <v>29696</v>
      </c>
      <c r="P7" s="249">
        <f t="shared" si="24"/>
        <v>4</v>
      </c>
      <c r="Q7" s="249">
        <f t="shared" si="25"/>
        <v>94</v>
      </c>
      <c r="R7" s="249">
        <f t="shared" si="26"/>
        <v>29704</v>
      </c>
      <c r="S7" s="247">
        <f t="shared" si="8"/>
        <v>59.408000000000001</v>
      </c>
      <c r="T7" s="250">
        <f t="shared" si="9"/>
        <v>0</v>
      </c>
      <c r="U7" s="251" t="e">
        <f t="shared" si="27"/>
        <v>#NUM!</v>
      </c>
      <c r="V7" s="251" t="e">
        <f t="shared" si="28"/>
        <v>#NUM!</v>
      </c>
      <c r="W7" s="251">
        <f t="shared" si="29"/>
        <v>1</v>
      </c>
      <c r="X7" s="251" t="e">
        <f t="shared" si="30"/>
        <v>#N/A</v>
      </c>
      <c r="Y7" s="251" t="e">
        <f t="shared" si="31"/>
        <v>#NUM!</v>
      </c>
      <c r="Z7" s="247">
        <f t="shared" si="32"/>
        <v>0</v>
      </c>
      <c r="AA7" s="29">
        <f t="shared" si="10"/>
        <v>4</v>
      </c>
      <c r="AB7" s="29">
        <f t="shared" si="11"/>
        <v>2</v>
      </c>
      <c r="AC7" s="29">
        <f t="shared" si="12"/>
        <v>308</v>
      </c>
      <c r="AD7" s="81">
        <f t="shared" si="33"/>
        <v>0.30078125</v>
      </c>
      <c r="AE7" s="81">
        <f t="shared" si="13"/>
        <v>45.792000000000002</v>
      </c>
      <c r="AF7" s="81">
        <f t="shared" si="14"/>
        <v>13.773375</v>
      </c>
      <c r="AG7" s="243">
        <f t="shared" si="15"/>
        <v>2.7648000000000001</v>
      </c>
      <c r="AH7">
        <f t="shared" si="34"/>
        <v>0.6015625</v>
      </c>
      <c r="AI7" s="251">
        <f t="shared" si="16"/>
        <v>6886.6875</v>
      </c>
      <c r="AJ7" s="252">
        <f t="shared" si="35"/>
        <v>7</v>
      </c>
      <c r="AK7" s="252">
        <f t="shared" si="36"/>
        <v>6912</v>
      </c>
      <c r="AL7" s="251">
        <f t="shared" si="37"/>
        <v>1</v>
      </c>
      <c r="AM7" s="251">
        <f t="shared" si="38"/>
        <v>94</v>
      </c>
      <c r="AN7" s="251">
        <f t="shared" si="39"/>
        <v>6912</v>
      </c>
      <c r="AO7" s="247">
        <f t="shared" si="17"/>
        <v>13.824</v>
      </c>
      <c r="AQ7" s="29">
        <v>4</v>
      </c>
      <c r="AR7" s="166">
        <v>2</v>
      </c>
      <c r="AS7" s="166">
        <v>308</v>
      </c>
      <c r="AT7" s="166">
        <v>0.60160000000000002</v>
      </c>
      <c r="AU7" s="168">
        <f t="shared" si="40"/>
        <v>0.30078125</v>
      </c>
      <c r="AW7" s="29">
        <v>4</v>
      </c>
      <c r="AX7" s="166">
        <v>2</v>
      </c>
      <c r="AY7" s="166">
        <v>602</v>
      </c>
      <c r="AZ7" s="166">
        <v>1.1758</v>
      </c>
      <c r="BA7" s="168">
        <f t="shared" si="41"/>
        <v>0.587890625</v>
      </c>
      <c r="BC7" s="29">
        <v>4</v>
      </c>
      <c r="BD7" s="6">
        <v>2</v>
      </c>
      <c r="BE7" s="6">
        <v>78</v>
      </c>
      <c r="BF7" s="6">
        <v>0.15229999999999999</v>
      </c>
      <c r="BG7" s="168">
        <f t="shared" si="42"/>
        <v>7.6171875E-2</v>
      </c>
      <c r="BI7" s="29">
        <v>4</v>
      </c>
      <c r="BJ7" s="52">
        <v>2</v>
      </c>
      <c r="BK7" s="52">
        <v>308</v>
      </c>
      <c r="BL7" s="52">
        <v>0.60160000000000002</v>
      </c>
      <c r="BM7" s="168">
        <f t="shared" si="43"/>
        <v>0.30078125</v>
      </c>
      <c r="BN7" s="178"/>
      <c r="BR7" s="29">
        <v>4</v>
      </c>
      <c r="BS7" s="176" t="s">
        <v>244</v>
      </c>
      <c r="BT7" s="177">
        <f>156/BX3</f>
        <v>156</v>
      </c>
      <c r="BU7" s="177">
        <v>0.15229999999999999</v>
      </c>
      <c r="BV7" s="168">
        <f t="shared" si="44"/>
        <v>0.15234375</v>
      </c>
    </row>
    <row r="8" spans="1:76" ht="15.75" thickBot="1">
      <c r="A8" s="29">
        <f t="shared" si="0"/>
        <v>5</v>
      </c>
      <c r="B8" s="29">
        <f t="shared" si="1"/>
        <v>4</v>
      </c>
      <c r="C8" s="29">
        <f t="shared" si="2"/>
        <v>378</v>
      </c>
      <c r="D8" s="81">
        <f t="shared" si="18"/>
        <v>0.369140625</v>
      </c>
      <c r="E8" s="243">
        <f t="shared" si="19"/>
        <v>25.44</v>
      </c>
      <c r="F8" s="81">
        <f t="shared" si="3"/>
        <v>75.127499999999998</v>
      </c>
      <c r="G8" s="243">
        <f t="shared" si="20"/>
        <v>0</v>
      </c>
      <c r="H8" s="81">
        <f t="shared" si="4"/>
        <v>0</v>
      </c>
      <c r="I8" s="242">
        <f t="shared" si="5"/>
        <v>42.633000000000003</v>
      </c>
      <c r="J8" s="147">
        <f t="shared" si="6"/>
        <v>42.259218750000002</v>
      </c>
      <c r="K8">
        <f t="shared" si="21"/>
        <v>1.4765625</v>
      </c>
      <c r="M8" s="248">
        <f t="shared" si="7"/>
        <v>37563.75</v>
      </c>
      <c r="N8" s="249">
        <f t="shared" si="22"/>
        <v>10</v>
      </c>
      <c r="O8" s="249">
        <f t="shared" si="23"/>
        <v>37888</v>
      </c>
      <c r="P8" s="249">
        <f t="shared" si="24"/>
        <v>5</v>
      </c>
      <c r="Q8" s="249">
        <f t="shared" si="25"/>
        <v>94</v>
      </c>
      <c r="R8" s="249">
        <f t="shared" si="26"/>
        <v>37896</v>
      </c>
      <c r="S8" s="247">
        <f t="shared" si="8"/>
        <v>75.792000000000002</v>
      </c>
      <c r="T8" s="250">
        <f t="shared" si="9"/>
        <v>0</v>
      </c>
      <c r="U8" s="251" t="e">
        <f t="shared" si="27"/>
        <v>#NUM!</v>
      </c>
      <c r="V8" s="251" t="e">
        <f t="shared" si="28"/>
        <v>#NUM!</v>
      </c>
      <c r="W8" s="251">
        <f t="shared" si="29"/>
        <v>1</v>
      </c>
      <c r="X8" s="251" t="e">
        <f t="shared" si="30"/>
        <v>#N/A</v>
      </c>
      <c r="Y8" s="251" t="e">
        <f t="shared" si="31"/>
        <v>#NUM!</v>
      </c>
      <c r="Z8" s="247">
        <f t="shared" si="32"/>
        <v>0</v>
      </c>
      <c r="AA8" s="29">
        <f t="shared" si="10"/>
        <v>5</v>
      </c>
      <c r="AB8" s="29">
        <f t="shared" si="11"/>
        <v>2</v>
      </c>
      <c r="AC8" s="29">
        <f t="shared" si="12"/>
        <v>379</v>
      </c>
      <c r="AD8" s="81">
        <f t="shared" si="33"/>
        <v>0.3701171875</v>
      </c>
      <c r="AE8" s="81">
        <f t="shared" si="13"/>
        <v>45.792000000000002</v>
      </c>
      <c r="AF8" s="81">
        <f t="shared" si="14"/>
        <v>16.948406250000001</v>
      </c>
      <c r="AG8" s="243">
        <f t="shared" si="15"/>
        <v>3.3824000000000001</v>
      </c>
      <c r="AH8">
        <f t="shared" si="34"/>
        <v>0.740234375</v>
      </c>
      <c r="AI8" s="251">
        <f t="shared" si="16"/>
        <v>8474.203125</v>
      </c>
      <c r="AJ8" s="252">
        <f t="shared" si="35"/>
        <v>8</v>
      </c>
      <c r="AK8" s="252">
        <f t="shared" si="36"/>
        <v>8448</v>
      </c>
      <c r="AL8" s="251">
        <f t="shared" si="37"/>
        <v>2</v>
      </c>
      <c r="AM8" s="251">
        <f t="shared" si="38"/>
        <v>94</v>
      </c>
      <c r="AN8" s="251">
        <f t="shared" si="39"/>
        <v>8456</v>
      </c>
      <c r="AO8" s="247">
        <f t="shared" si="17"/>
        <v>16.911999999999999</v>
      </c>
      <c r="AQ8" s="29">
        <v>5</v>
      </c>
      <c r="AR8" s="166">
        <v>2</v>
      </c>
      <c r="AS8" s="166">
        <v>379</v>
      </c>
      <c r="AT8" s="166">
        <v>0.74019999999999997</v>
      </c>
      <c r="AU8" s="168">
        <f t="shared" si="40"/>
        <v>0.3701171875</v>
      </c>
      <c r="AW8" s="29">
        <v>5</v>
      </c>
      <c r="AX8" s="166">
        <v>4</v>
      </c>
      <c r="AY8" s="166">
        <v>378</v>
      </c>
      <c r="AZ8" s="166">
        <v>1.4765999999999999</v>
      </c>
      <c r="BA8" s="168">
        <f t="shared" si="41"/>
        <v>0.369140625</v>
      </c>
      <c r="BC8" s="29">
        <v>5</v>
      </c>
      <c r="BD8" s="6">
        <v>2</v>
      </c>
      <c r="BE8" s="6">
        <v>99</v>
      </c>
      <c r="BF8" s="6">
        <v>0.19339999999999999</v>
      </c>
      <c r="BG8" s="168">
        <f t="shared" si="42"/>
        <v>9.66796875E-2</v>
      </c>
      <c r="BI8" s="29">
        <v>5</v>
      </c>
      <c r="BJ8" s="52">
        <v>2</v>
      </c>
      <c r="BK8" s="52">
        <v>379</v>
      </c>
      <c r="BL8" s="52">
        <v>0.74019999999999997</v>
      </c>
      <c r="BM8" s="168">
        <f t="shared" si="43"/>
        <v>0.3701171875</v>
      </c>
      <c r="BN8" s="178"/>
      <c r="BR8" s="29">
        <v>5</v>
      </c>
      <c r="BS8" s="176" t="s">
        <v>244</v>
      </c>
      <c r="BT8" s="177">
        <f>198/BX3</f>
        <v>198</v>
      </c>
      <c r="BU8" s="177">
        <v>0.19339999999999999</v>
      </c>
      <c r="BV8" s="168">
        <f t="shared" si="44"/>
        <v>0.193359375</v>
      </c>
    </row>
    <row r="9" spans="1:76" ht="15.75" thickBot="1">
      <c r="A9" s="29">
        <f t="shared" si="0"/>
        <v>6</v>
      </c>
      <c r="B9" s="29">
        <f t="shared" si="1"/>
        <v>4</v>
      </c>
      <c r="C9" s="29">
        <f t="shared" si="2"/>
        <v>434</v>
      </c>
      <c r="D9" s="81">
        <f t="shared" si="18"/>
        <v>0.423828125</v>
      </c>
      <c r="E9" s="243">
        <f t="shared" si="19"/>
        <v>25.44</v>
      </c>
      <c r="F9" s="81">
        <f t="shared" si="3"/>
        <v>86.257500000000007</v>
      </c>
      <c r="G9" s="243">
        <f t="shared" si="20"/>
        <v>0</v>
      </c>
      <c r="H9" s="81">
        <f t="shared" si="4"/>
        <v>0</v>
      </c>
      <c r="I9" s="242">
        <f t="shared" si="5"/>
        <v>48.410999999999994</v>
      </c>
      <c r="J9" s="147">
        <f t="shared" si="6"/>
        <v>48.519843750000007</v>
      </c>
      <c r="K9">
        <f t="shared" si="21"/>
        <v>1.6953125</v>
      </c>
      <c r="M9" s="248">
        <f t="shared" si="7"/>
        <v>43128.750000000007</v>
      </c>
      <c r="N9" s="249">
        <f t="shared" si="22"/>
        <v>10</v>
      </c>
      <c r="O9" s="249">
        <f t="shared" si="23"/>
        <v>43008</v>
      </c>
      <c r="P9" s="249">
        <f t="shared" si="24"/>
        <v>6</v>
      </c>
      <c r="Q9" s="249">
        <f t="shared" si="25"/>
        <v>94</v>
      </c>
      <c r="R9" s="249">
        <f t="shared" si="26"/>
        <v>43032</v>
      </c>
      <c r="S9" s="247">
        <f t="shared" si="8"/>
        <v>86.063999999999993</v>
      </c>
      <c r="T9" s="250">
        <f t="shared" si="9"/>
        <v>0</v>
      </c>
      <c r="U9" s="251" t="e">
        <f t="shared" si="27"/>
        <v>#NUM!</v>
      </c>
      <c r="V9" s="251" t="e">
        <f t="shared" si="28"/>
        <v>#NUM!</v>
      </c>
      <c r="W9" s="251">
        <f t="shared" si="29"/>
        <v>1</v>
      </c>
      <c r="X9" s="251" t="e">
        <f t="shared" si="30"/>
        <v>#N/A</v>
      </c>
      <c r="Y9" s="251" t="e">
        <f t="shared" si="31"/>
        <v>#NUM!</v>
      </c>
      <c r="Z9" s="247">
        <f t="shared" si="32"/>
        <v>0</v>
      </c>
      <c r="AA9" s="29">
        <f t="shared" si="10"/>
        <v>6</v>
      </c>
      <c r="AB9" s="29">
        <f t="shared" si="11"/>
        <v>2</v>
      </c>
      <c r="AC9" s="29">
        <f t="shared" si="12"/>
        <v>449</v>
      </c>
      <c r="AD9" s="81">
        <f t="shared" si="33"/>
        <v>0.4384765625</v>
      </c>
      <c r="AE9" s="81">
        <f t="shared" si="13"/>
        <v>45.792000000000002</v>
      </c>
      <c r="AF9" s="81">
        <f t="shared" si="14"/>
        <v>20.07871875</v>
      </c>
      <c r="AG9" s="243">
        <f t="shared" si="15"/>
        <v>3.9968000000000004</v>
      </c>
      <c r="AH9">
        <f t="shared" si="34"/>
        <v>0.876953125</v>
      </c>
      <c r="AI9" s="251">
        <f t="shared" si="16"/>
        <v>10039.359375</v>
      </c>
      <c r="AJ9" s="252">
        <f t="shared" si="35"/>
        <v>8</v>
      </c>
      <c r="AK9" s="252">
        <f t="shared" si="36"/>
        <v>9984</v>
      </c>
      <c r="AL9" s="251">
        <f t="shared" si="37"/>
        <v>2</v>
      </c>
      <c r="AM9" s="251">
        <f t="shared" si="38"/>
        <v>94</v>
      </c>
      <c r="AN9" s="251">
        <f t="shared" si="39"/>
        <v>9992</v>
      </c>
      <c r="AO9" s="247">
        <f t="shared" si="17"/>
        <v>19.984000000000002</v>
      </c>
      <c r="AQ9" s="29">
        <v>6</v>
      </c>
      <c r="AR9" s="166">
        <v>2</v>
      </c>
      <c r="AS9" s="166">
        <v>449</v>
      </c>
      <c r="AT9" s="166">
        <v>0.877</v>
      </c>
      <c r="AU9" s="168">
        <f t="shared" si="40"/>
        <v>0.4384765625</v>
      </c>
      <c r="AW9" s="29">
        <v>6</v>
      </c>
      <c r="AX9" s="166">
        <v>4</v>
      </c>
      <c r="AY9" s="166">
        <v>434</v>
      </c>
      <c r="AZ9" s="166">
        <v>1.6953</v>
      </c>
      <c r="BA9" s="168">
        <f t="shared" si="41"/>
        <v>0.423828125</v>
      </c>
      <c r="BC9" s="29">
        <v>6</v>
      </c>
      <c r="BD9" s="6">
        <v>2</v>
      </c>
      <c r="BE9" s="6">
        <v>120</v>
      </c>
      <c r="BF9" s="6">
        <v>0.2344</v>
      </c>
      <c r="BG9" s="168">
        <f t="shared" si="42"/>
        <v>0.1171875</v>
      </c>
      <c r="BI9" s="29">
        <v>6</v>
      </c>
      <c r="BJ9" s="52">
        <v>2</v>
      </c>
      <c r="BK9" s="52">
        <v>449</v>
      </c>
      <c r="BL9" s="52">
        <v>0.877</v>
      </c>
      <c r="BM9" s="168">
        <f t="shared" si="43"/>
        <v>0.4384765625</v>
      </c>
      <c r="BN9" s="178"/>
      <c r="BR9" s="29">
        <v>6</v>
      </c>
      <c r="BS9" s="177">
        <v>2</v>
      </c>
      <c r="BT9" s="177">
        <v>120</v>
      </c>
      <c r="BU9" s="177" t="s">
        <v>213</v>
      </c>
      <c r="BV9" s="168">
        <f t="shared" si="44"/>
        <v>0.1171875</v>
      </c>
    </row>
    <row r="10" spans="1:76" ht="15.75" thickBot="1">
      <c r="A10" s="29">
        <f t="shared" si="0"/>
        <v>7</v>
      </c>
      <c r="B10" s="29">
        <f t="shared" si="1"/>
        <v>4</v>
      </c>
      <c r="C10" s="29">
        <f t="shared" si="2"/>
        <v>490</v>
      </c>
      <c r="D10" s="81">
        <f t="shared" si="18"/>
        <v>0.478515625</v>
      </c>
      <c r="E10" s="243">
        <f t="shared" si="19"/>
        <v>25.44</v>
      </c>
      <c r="F10" s="81">
        <f t="shared" si="3"/>
        <v>97.387500000000003</v>
      </c>
      <c r="G10" s="243">
        <f t="shared" si="20"/>
        <v>0</v>
      </c>
      <c r="H10" s="81">
        <f t="shared" si="4"/>
        <v>0</v>
      </c>
      <c r="I10" s="242">
        <f t="shared" si="5"/>
        <v>55.323</v>
      </c>
      <c r="J10" s="147">
        <f t="shared" si="6"/>
        <v>54.780468750000004</v>
      </c>
      <c r="K10">
        <f t="shared" si="21"/>
        <v>1.9140625</v>
      </c>
      <c r="M10" s="248">
        <f t="shared" si="7"/>
        <v>48693.75</v>
      </c>
      <c r="N10" s="249">
        <f t="shared" si="22"/>
        <v>10</v>
      </c>
      <c r="O10" s="249">
        <f t="shared" si="23"/>
        <v>49152</v>
      </c>
      <c r="P10" s="249">
        <f t="shared" si="24"/>
        <v>6</v>
      </c>
      <c r="Q10" s="249">
        <f t="shared" si="25"/>
        <v>94</v>
      </c>
      <c r="R10" s="249">
        <f t="shared" si="26"/>
        <v>49176</v>
      </c>
      <c r="S10" s="247">
        <f t="shared" si="8"/>
        <v>98.352000000000004</v>
      </c>
      <c r="T10" s="250">
        <f t="shared" si="9"/>
        <v>0</v>
      </c>
      <c r="U10" s="251" t="e">
        <f t="shared" si="27"/>
        <v>#NUM!</v>
      </c>
      <c r="V10" s="251" t="e">
        <f t="shared" si="28"/>
        <v>#NUM!</v>
      </c>
      <c r="W10" s="251">
        <f t="shared" si="29"/>
        <v>1</v>
      </c>
      <c r="X10" s="251" t="e">
        <f t="shared" si="30"/>
        <v>#N/A</v>
      </c>
      <c r="Y10" s="251" t="e">
        <f t="shared" si="31"/>
        <v>#NUM!</v>
      </c>
      <c r="Z10" s="247">
        <f t="shared" si="32"/>
        <v>0</v>
      </c>
      <c r="AA10" s="29">
        <f t="shared" si="10"/>
        <v>7</v>
      </c>
      <c r="AB10" s="29">
        <f t="shared" si="11"/>
        <v>2</v>
      </c>
      <c r="AC10" s="29">
        <f t="shared" si="12"/>
        <v>526</v>
      </c>
      <c r="AD10" s="81">
        <f t="shared" si="33"/>
        <v>0.513671875</v>
      </c>
      <c r="AE10" s="81">
        <f t="shared" si="13"/>
        <v>45.792000000000002</v>
      </c>
      <c r="AF10" s="81">
        <f t="shared" si="14"/>
        <v>23.522062500000001</v>
      </c>
      <c r="AG10" s="243">
        <f t="shared" si="15"/>
        <v>4.7136000000000005</v>
      </c>
      <c r="AH10">
        <f t="shared" si="34"/>
        <v>1.02734375</v>
      </c>
      <c r="AI10" s="251">
        <f t="shared" si="16"/>
        <v>11761.03125</v>
      </c>
      <c r="AJ10" s="252">
        <f t="shared" si="35"/>
        <v>8</v>
      </c>
      <c r="AK10" s="252">
        <f t="shared" si="36"/>
        <v>11776</v>
      </c>
      <c r="AL10" s="251">
        <f t="shared" si="37"/>
        <v>2</v>
      </c>
      <c r="AM10" s="251">
        <f t="shared" si="38"/>
        <v>94</v>
      </c>
      <c r="AN10" s="251">
        <f t="shared" si="39"/>
        <v>11784</v>
      </c>
      <c r="AO10" s="247">
        <f t="shared" si="17"/>
        <v>23.568000000000001</v>
      </c>
      <c r="AQ10" s="29">
        <v>7</v>
      </c>
      <c r="AR10" s="166">
        <v>2</v>
      </c>
      <c r="AS10" s="166">
        <v>526</v>
      </c>
      <c r="AT10" s="166">
        <v>1.0273000000000001</v>
      </c>
      <c r="AU10" s="168">
        <f t="shared" si="40"/>
        <v>0.513671875</v>
      </c>
      <c r="AW10" s="29">
        <v>7</v>
      </c>
      <c r="AX10" s="166">
        <v>4</v>
      </c>
      <c r="AY10" s="166">
        <v>490</v>
      </c>
      <c r="AZ10" s="166">
        <v>1.9140999999999999</v>
      </c>
      <c r="BA10" s="168">
        <f t="shared" si="41"/>
        <v>0.478515625</v>
      </c>
      <c r="BC10" s="29">
        <v>7</v>
      </c>
      <c r="BD10" s="6">
        <v>2</v>
      </c>
      <c r="BE10" s="6">
        <v>157</v>
      </c>
      <c r="BF10" s="6">
        <v>0.30659999999999998</v>
      </c>
      <c r="BG10" s="168">
        <f t="shared" si="42"/>
        <v>0.1533203125</v>
      </c>
      <c r="BI10" s="29">
        <v>7</v>
      </c>
      <c r="BJ10" s="52">
        <v>2</v>
      </c>
      <c r="BK10" s="52">
        <v>526</v>
      </c>
      <c r="BL10" s="52">
        <v>1.0273000000000001</v>
      </c>
      <c r="BM10" s="168">
        <f t="shared" si="43"/>
        <v>0.513671875</v>
      </c>
      <c r="BN10" s="178"/>
      <c r="BR10" s="29">
        <v>7</v>
      </c>
      <c r="BS10" s="177">
        <v>2</v>
      </c>
      <c r="BT10" s="177">
        <v>157</v>
      </c>
      <c r="BU10" s="177" t="s">
        <v>214</v>
      </c>
      <c r="BV10" s="168">
        <f t="shared" si="44"/>
        <v>0.1533203125</v>
      </c>
    </row>
    <row r="11" spans="1:76" ht="15.75" thickBot="1">
      <c r="A11" s="29">
        <f t="shared" si="0"/>
        <v>8</v>
      </c>
      <c r="B11" s="29">
        <f t="shared" si="1"/>
        <v>4</v>
      </c>
      <c r="C11" s="29">
        <f t="shared" si="2"/>
        <v>553</v>
      </c>
      <c r="D11" s="81">
        <f t="shared" si="18"/>
        <v>0.5400390625</v>
      </c>
      <c r="E11" s="243">
        <f t="shared" si="19"/>
        <v>25.44</v>
      </c>
      <c r="F11" s="81">
        <f t="shared" si="3"/>
        <v>109.90875000000001</v>
      </c>
      <c r="G11" s="243">
        <f t="shared" si="20"/>
        <v>0</v>
      </c>
      <c r="H11" s="81">
        <f t="shared" si="4"/>
        <v>0</v>
      </c>
      <c r="I11" s="242">
        <f t="shared" si="5"/>
        <v>62.216999999999999</v>
      </c>
      <c r="J11" s="147">
        <f t="shared" si="6"/>
        <v>61.823671875000009</v>
      </c>
      <c r="K11">
        <f t="shared" si="21"/>
        <v>2.16015625</v>
      </c>
      <c r="M11" s="248">
        <f t="shared" si="7"/>
        <v>54954.375000000007</v>
      </c>
      <c r="N11" s="249">
        <f t="shared" si="22"/>
        <v>10</v>
      </c>
      <c r="O11" s="249">
        <f t="shared" si="23"/>
        <v>55296</v>
      </c>
      <c r="P11" s="249">
        <f t="shared" si="24"/>
        <v>7</v>
      </c>
      <c r="Q11" s="249">
        <f t="shared" si="25"/>
        <v>94</v>
      </c>
      <c r="R11" s="249">
        <f t="shared" si="26"/>
        <v>55304</v>
      </c>
      <c r="S11" s="247">
        <f t="shared" si="8"/>
        <v>110.608</v>
      </c>
      <c r="T11" s="250">
        <f t="shared" si="9"/>
        <v>0</v>
      </c>
      <c r="U11" s="251" t="e">
        <f t="shared" si="27"/>
        <v>#NUM!</v>
      </c>
      <c r="V11" s="251" t="e">
        <f t="shared" si="28"/>
        <v>#NUM!</v>
      </c>
      <c r="W11" s="251">
        <f t="shared" si="29"/>
        <v>1</v>
      </c>
      <c r="X11" s="251" t="e">
        <f t="shared" si="30"/>
        <v>#N/A</v>
      </c>
      <c r="Y11" s="251" t="e">
        <f t="shared" si="31"/>
        <v>#NUM!</v>
      </c>
      <c r="Z11" s="247">
        <f t="shared" si="32"/>
        <v>0</v>
      </c>
      <c r="AA11" s="29">
        <f t="shared" si="10"/>
        <v>8</v>
      </c>
      <c r="AB11" s="29">
        <f t="shared" si="11"/>
        <v>2</v>
      </c>
      <c r="AC11" s="29">
        <f t="shared" si="12"/>
        <v>602</v>
      </c>
      <c r="AD11" s="81">
        <f t="shared" si="33"/>
        <v>0.587890625</v>
      </c>
      <c r="AE11" s="81">
        <f t="shared" si="13"/>
        <v>45.792000000000002</v>
      </c>
      <c r="AF11" s="81">
        <f t="shared" si="14"/>
        <v>26.9206875</v>
      </c>
      <c r="AG11" s="243">
        <f t="shared" si="15"/>
        <v>5.3280000000000003</v>
      </c>
      <c r="AH11">
        <f t="shared" si="34"/>
        <v>1.17578125</v>
      </c>
      <c r="AI11" s="251">
        <f t="shared" si="16"/>
        <v>13460.34375</v>
      </c>
      <c r="AJ11" s="252">
        <f t="shared" si="35"/>
        <v>8</v>
      </c>
      <c r="AK11" s="252">
        <f t="shared" si="36"/>
        <v>13312</v>
      </c>
      <c r="AL11" s="251">
        <f t="shared" si="37"/>
        <v>2</v>
      </c>
      <c r="AM11" s="251">
        <f t="shared" si="38"/>
        <v>94</v>
      </c>
      <c r="AN11" s="251">
        <f t="shared" si="39"/>
        <v>13320</v>
      </c>
      <c r="AO11" s="247">
        <f t="shared" si="17"/>
        <v>26.64</v>
      </c>
      <c r="AQ11" s="29">
        <v>8</v>
      </c>
      <c r="AR11" s="166">
        <v>2</v>
      </c>
      <c r="AS11" s="166">
        <v>602</v>
      </c>
      <c r="AT11" s="166">
        <v>1.1758</v>
      </c>
      <c r="AU11" s="168">
        <f t="shared" si="40"/>
        <v>0.587890625</v>
      </c>
      <c r="AW11" s="29">
        <v>8</v>
      </c>
      <c r="AX11" s="166">
        <v>4</v>
      </c>
      <c r="AY11" s="166">
        <v>553</v>
      </c>
      <c r="AZ11" s="166">
        <v>2.1602000000000001</v>
      </c>
      <c r="BA11" s="168">
        <f t="shared" si="41"/>
        <v>0.5400390625</v>
      </c>
      <c r="BC11" s="29">
        <v>8</v>
      </c>
      <c r="BD11" s="6">
        <v>2</v>
      </c>
      <c r="BE11" s="6">
        <v>193</v>
      </c>
      <c r="BF11" s="6">
        <v>0.377</v>
      </c>
      <c r="BG11" s="168">
        <f t="shared" si="42"/>
        <v>0.1884765625</v>
      </c>
      <c r="BI11" s="29">
        <v>8</v>
      </c>
      <c r="BJ11" s="52">
        <v>2</v>
      </c>
      <c r="BK11" s="52">
        <v>602</v>
      </c>
      <c r="BL11" s="52">
        <v>1.1758</v>
      </c>
      <c r="BM11" s="168">
        <f t="shared" si="43"/>
        <v>0.587890625</v>
      </c>
      <c r="BN11" s="178"/>
      <c r="BR11" s="29">
        <v>8</v>
      </c>
      <c r="BS11" s="177">
        <v>2</v>
      </c>
      <c r="BT11" s="177">
        <v>193</v>
      </c>
      <c r="BU11" s="177" t="s">
        <v>215</v>
      </c>
      <c r="BV11" s="168">
        <f t="shared" si="44"/>
        <v>0.1884765625</v>
      </c>
    </row>
    <row r="12" spans="1:76" ht="15.75" thickBot="1">
      <c r="A12" s="29">
        <f t="shared" si="0"/>
        <v>9</v>
      </c>
      <c r="B12" s="29">
        <f t="shared" si="1"/>
        <v>4</v>
      </c>
      <c r="C12" s="29">
        <f t="shared" si="2"/>
        <v>616</v>
      </c>
      <c r="D12" s="81">
        <f t="shared" si="18"/>
        <v>0.6015625</v>
      </c>
      <c r="E12" s="243">
        <f t="shared" si="19"/>
        <v>25.44</v>
      </c>
      <c r="F12" s="81">
        <f t="shared" si="3"/>
        <v>122.43</v>
      </c>
      <c r="G12" s="243">
        <f t="shared" si="20"/>
        <v>0</v>
      </c>
      <c r="H12" s="81">
        <f t="shared" si="4"/>
        <v>0</v>
      </c>
      <c r="I12" s="242">
        <f t="shared" si="5"/>
        <v>69.164999999999992</v>
      </c>
      <c r="J12" s="147">
        <f t="shared" si="6"/>
        <v>68.866875000000007</v>
      </c>
      <c r="K12">
        <f t="shared" si="21"/>
        <v>2.40625</v>
      </c>
      <c r="M12" s="248">
        <f t="shared" si="7"/>
        <v>61215</v>
      </c>
      <c r="N12" s="249">
        <f t="shared" si="22"/>
        <v>10</v>
      </c>
      <c r="O12" s="249">
        <f t="shared" si="23"/>
        <v>61440</v>
      </c>
      <c r="P12" s="249">
        <f t="shared" si="24"/>
        <v>8</v>
      </c>
      <c r="Q12" s="249">
        <f t="shared" si="25"/>
        <v>94</v>
      </c>
      <c r="R12" s="249">
        <f t="shared" si="26"/>
        <v>61480</v>
      </c>
      <c r="S12" s="247">
        <f t="shared" si="8"/>
        <v>122.96</v>
      </c>
      <c r="T12" s="250">
        <f t="shared" si="9"/>
        <v>0</v>
      </c>
      <c r="U12" s="251" t="e">
        <f t="shared" si="27"/>
        <v>#NUM!</v>
      </c>
      <c r="V12" s="251" t="e">
        <f t="shared" si="28"/>
        <v>#NUM!</v>
      </c>
      <c r="W12" s="251">
        <f t="shared" si="29"/>
        <v>1</v>
      </c>
      <c r="X12" s="251" t="e">
        <f t="shared" si="30"/>
        <v>#N/A</v>
      </c>
      <c r="Y12" s="251" t="e">
        <f t="shared" si="31"/>
        <v>#NUM!</v>
      </c>
      <c r="Z12" s="247">
        <f t="shared" si="32"/>
        <v>0</v>
      </c>
      <c r="AA12" s="29">
        <f t="shared" si="10"/>
        <v>9</v>
      </c>
      <c r="AB12" s="29">
        <f t="shared" si="11"/>
        <v>2</v>
      </c>
      <c r="AC12" s="29">
        <f t="shared" si="12"/>
        <v>679</v>
      </c>
      <c r="AD12" s="81">
        <f t="shared" si="33"/>
        <v>0.6630859375</v>
      </c>
      <c r="AE12" s="81">
        <f t="shared" si="13"/>
        <v>45.792000000000002</v>
      </c>
      <c r="AF12" s="81">
        <f t="shared" si="14"/>
        <v>30.36403125</v>
      </c>
      <c r="AG12" s="243">
        <f t="shared" si="15"/>
        <v>6.0448000000000004</v>
      </c>
      <c r="AH12">
        <f t="shared" si="34"/>
        <v>1.326171875</v>
      </c>
      <c r="AI12" s="251">
        <f t="shared" si="16"/>
        <v>15182.015625</v>
      </c>
      <c r="AJ12" s="252">
        <f t="shared" si="35"/>
        <v>8</v>
      </c>
      <c r="AK12" s="252">
        <f t="shared" si="36"/>
        <v>15104</v>
      </c>
      <c r="AL12" s="251">
        <f t="shared" si="37"/>
        <v>2</v>
      </c>
      <c r="AM12" s="251">
        <f t="shared" si="38"/>
        <v>94</v>
      </c>
      <c r="AN12" s="251">
        <f t="shared" si="39"/>
        <v>15112</v>
      </c>
      <c r="AO12" s="247">
        <f t="shared" si="17"/>
        <v>30.224</v>
      </c>
      <c r="AQ12" s="29">
        <v>9</v>
      </c>
      <c r="AR12" s="166">
        <v>2</v>
      </c>
      <c r="AS12" s="166">
        <v>679</v>
      </c>
      <c r="AT12" s="166">
        <v>1.3262</v>
      </c>
      <c r="AU12" s="168">
        <f t="shared" si="40"/>
        <v>0.6630859375</v>
      </c>
      <c r="AW12" s="29">
        <v>9</v>
      </c>
      <c r="AX12" s="166">
        <v>4</v>
      </c>
      <c r="AY12" s="166">
        <v>616</v>
      </c>
      <c r="AZ12" s="166">
        <v>2.4062999999999999</v>
      </c>
      <c r="BA12" s="168">
        <f t="shared" si="41"/>
        <v>0.6015625</v>
      </c>
      <c r="BC12" s="29">
        <v>9</v>
      </c>
      <c r="BD12" s="6">
        <v>2</v>
      </c>
      <c r="BE12" s="6">
        <v>251</v>
      </c>
      <c r="BF12" s="6">
        <v>0.49020000000000002</v>
      </c>
      <c r="BG12" s="168">
        <f t="shared" si="42"/>
        <v>0.2451171875</v>
      </c>
      <c r="BI12" s="29">
        <v>9</v>
      </c>
      <c r="BJ12" s="52">
        <v>2</v>
      </c>
      <c r="BK12" s="52">
        <v>679</v>
      </c>
      <c r="BL12" s="52">
        <v>1.3262</v>
      </c>
      <c r="BM12" s="168">
        <f t="shared" si="43"/>
        <v>0.6630859375</v>
      </c>
      <c r="BN12" s="178"/>
      <c r="BR12" s="29">
        <v>9</v>
      </c>
      <c r="BS12" s="177">
        <v>2</v>
      </c>
      <c r="BT12" s="177">
        <v>251</v>
      </c>
      <c r="BU12" s="177" t="s">
        <v>216</v>
      </c>
      <c r="BV12" s="168">
        <f t="shared" si="44"/>
        <v>0.2451171875</v>
      </c>
    </row>
    <row r="13" spans="1:76" ht="15.75" thickBot="1">
      <c r="A13" s="29">
        <f t="shared" si="0"/>
        <v>10</v>
      </c>
      <c r="B13" s="29">
        <f t="shared" si="1"/>
        <v>4</v>
      </c>
      <c r="C13" s="29">
        <f t="shared" si="2"/>
        <v>658</v>
      </c>
      <c r="D13" s="81">
        <f t="shared" si="18"/>
        <v>0.642578125</v>
      </c>
      <c r="E13" s="243">
        <f t="shared" si="19"/>
        <v>25.44</v>
      </c>
      <c r="F13" s="81">
        <f t="shared" si="3"/>
        <v>130.7775</v>
      </c>
      <c r="G13" s="243">
        <f t="shared" si="20"/>
        <v>0</v>
      </c>
      <c r="H13" s="81">
        <f t="shared" si="4"/>
        <v>0</v>
      </c>
      <c r="I13" s="242">
        <f t="shared" si="5"/>
        <v>73.772999999999996</v>
      </c>
      <c r="J13" s="147">
        <f t="shared" si="6"/>
        <v>73.562343749999997</v>
      </c>
      <c r="K13">
        <f t="shared" si="21"/>
        <v>2.5703125</v>
      </c>
      <c r="M13" s="248">
        <f t="shared" si="7"/>
        <v>65388.75</v>
      </c>
      <c r="N13" s="249">
        <f t="shared" si="22"/>
        <v>10</v>
      </c>
      <c r="O13" s="249">
        <f t="shared" si="23"/>
        <v>65536</v>
      </c>
      <c r="P13" s="249">
        <f t="shared" si="24"/>
        <v>8</v>
      </c>
      <c r="Q13" s="249">
        <f t="shared" si="25"/>
        <v>94</v>
      </c>
      <c r="R13" s="249">
        <f t="shared" si="26"/>
        <v>65576</v>
      </c>
      <c r="S13" s="247">
        <f t="shared" si="8"/>
        <v>131.15199999999999</v>
      </c>
      <c r="T13" s="250">
        <f t="shared" si="9"/>
        <v>0</v>
      </c>
      <c r="U13" s="251" t="e">
        <f t="shared" si="27"/>
        <v>#NUM!</v>
      </c>
      <c r="V13" s="251" t="e">
        <f t="shared" si="28"/>
        <v>#NUM!</v>
      </c>
      <c r="W13" s="251">
        <f t="shared" si="29"/>
        <v>1</v>
      </c>
      <c r="X13" s="251" t="e">
        <f t="shared" si="30"/>
        <v>#N/A</v>
      </c>
      <c r="Y13" s="251" t="e">
        <f t="shared" si="31"/>
        <v>#NUM!</v>
      </c>
      <c r="Z13" s="247">
        <f t="shared" si="32"/>
        <v>0</v>
      </c>
      <c r="AA13" s="29">
        <f t="shared" si="10"/>
        <v>10</v>
      </c>
      <c r="AB13" s="29">
        <f t="shared" si="11"/>
        <v>4</v>
      </c>
      <c r="AC13" s="29">
        <f t="shared" si="12"/>
        <v>340</v>
      </c>
      <c r="AD13" s="81">
        <f t="shared" si="33"/>
        <v>0.33203125</v>
      </c>
      <c r="AE13" s="81">
        <f t="shared" si="13"/>
        <v>91.584000000000003</v>
      </c>
      <c r="AF13" s="81">
        <f t="shared" si="14"/>
        <v>30.408750000000001</v>
      </c>
      <c r="AG13" s="243">
        <f t="shared" si="15"/>
        <v>6.0448000000000004</v>
      </c>
      <c r="AH13">
        <f t="shared" si="34"/>
        <v>1.328125</v>
      </c>
      <c r="AI13" s="251">
        <f t="shared" si="16"/>
        <v>15204.375</v>
      </c>
      <c r="AJ13" s="252">
        <f t="shared" si="35"/>
        <v>8</v>
      </c>
      <c r="AK13" s="252">
        <f t="shared" si="36"/>
        <v>15104</v>
      </c>
      <c r="AL13" s="251">
        <f t="shared" si="37"/>
        <v>2</v>
      </c>
      <c r="AM13" s="251">
        <f t="shared" si="38"/>
        <v>94</v>
      </c>
      <c r="AN13" s="251">
        <f t="shared" si="39"/>
        <v>15112</v>
      </c>
      <c r="AO13" s="247">
        <f t="shared" si="17"/>
        <v>30.224</v>
      </c>
      <c r="AQ13" s="29">
        <v>10</v>
      </c>
      <c r="AR13" s="166">
        <v>4</v>
      </c>
      <c r="AS13" s="166">
        <v>340</v>
      </c>
      <c r="AT13" s="166">
        <v>1.3281000000000001</v>
      </c>
      <c r="AU13" s="168">
        <f t="shared" si="40"/>
        <v>0.33203125</v>
      </c>
      <c r="AW13" s="29">
        <v>10</v>
      </c>
      <c r="AX13" s="166">
        <v>4</v>
      </c>
      <c r="AY13" s="166">
        <v>658</v>
      </c>
      <c r="AZ13" s="166">
        <v>2.5703</v>
      </c>
      <c r="BA13" s="168">
        <f t="shared" si="41"/>
        <v>0.642578125</v>
      </c>
      <c r="BC13" s="29">
        <v>10</v>
      </c>
      <c r="BD13" s="6">
        <v>2</v>
      </c>
      <c r="BE13" s="6">
        <v>308</v>
      </c>
      <c r="BF13" s="6" t="s">
        <v>217</v>
      </c>
      <c r="BG13" s="168">
        <f t="shared" si="42"/>
        <v>0.30078125</v>
      </c>
      <c r="BI13" s="29">
        <v>10</v>
      </c>
      <c r="BJ13" s="54">
        <v>4</v>
      </c>
      <c r="BK13" s="52">
        <v>340</v>
      </c>
      <c r="BL13" s="52">
        <v>1.3281000000000001</v>
      </c>
      <c r="BM13" s="168">
        <f t="shared" si="43"/>
        <v>0.33203125</v>
      </c>
      <c r="BN13" s="178"/>
      <c r="BR13" s="29">
        <v>10</v>
      </c>
      <c r="BS13" s="177">
        <v>2</v>
      </c>
      <c r="BT13" s="177">
        <v>308</v>
      </c>
      <c r="BU13" s="177" t="s">
        <v>217</v>
      </c>
      <c r="BV13" s="168">
        <f t="shared" si="44"/>
        <v>0.30078125</v>
      </c>
    </row>
    <row r="14" spans="1:76" ht="15.75" thickBot="1">
      <c r="A14" s="29">
        <f t="shared" si="0"/>
        <v>11</v>
      </c>
      <c r="B14" s="29">
        <f t="shared" si="1"/>
        <v>6</v>
      </c>
      <c r="C14" s="29">
        <f t="shared" si="2"/>
        <v>466</v>
      </c>
      <c r="D14" s="81">
        <f t="shared" si="18"/>
        <v>0.455078125</v>
      </c>
      <c r="E14" s="243">
        <f t="shared" si="19"/>
        <v>25.44</v>
      </c>
      <c r="F14" s="81">
        <f t="shared" si="3"/>
        <v>138.92625000000001</v>
      </c>
      <c r="G14" s="243">
        <f t="shared" si="20"/>
        <v>0</v>
      </c>
      <c r="H14" s="81">
        <f t="shared" si="4"/>
        <v>0</v>
      </c>
      <c r="I14" s="242">
        <f t="shared" si="5"/>
        <v>78.381</v>
      </c>
      <c r="J14" s="147">
        <f t="shared" si="6"/>
        <v>78.146015625000004</v>
      </c>
      <c r="K14">
        <f t="shared" si="21"/>
        <v>2.73046875</v>
      </c>
      <c r="M14" s="248">
        <f t="shared" si="7"/>
        <v>69463.125</v>
      </c>
      <c r="N14" s="249">
        <f t="shared" si="22"/>
        <v>11</v>
      </c>
      <c r="O14" s="249">
        <f t="shared" si="23"/>
        <v>69632</v>
      </c>
      <c r="P14" s="249">
        <f t="shared" si="24"/>
        <v>9</v>
      </c>
      <c r="Q14" s="249">
        <f t="shared" si="25"/>
        <v>94</v>
      </c>
      <c r="R14" s="249">
        <f t="shared" si="26"/>
        <v>69672</v>
      </c>
      <c r="S14" s="247">
        <f t="shared" si="8"/>
        <v>139.34399999999999</v>
      </c>
      <c r="T14" s="250">
        <f t="shared" si="9"/>
        <v>0</v>
      </c>
      <c r="U14" s="251" t="e">
        <f t="shared" si="27"/>
        <v>#NUM!</v>
      </c>
      <c r="V14" s="251" t="e">
        <f t="shared" si="28"/>
        <v>#NUM!</v>
      </c>
      <c r="W14" s="251">
        <f t="shared" si="29"/>
        <v>1</v>
      </c>
      <c r="X14" s="251" t="e">
        <f t="shared" si="30"/>
        <v>#N/A</v>
      </c>
      <c r="Y14" s="251" t="e">
        <f t="shared" si="31"/>
        <v>#NUM!</v>
      </c>
      <c r="Z14" s="247">
        <f t="shared" si="32"/>
        <v>0</v>
      </c>
      <c r="AA14" s="29">
        <f t="shared" si="10"/>
        <v>11</v>
      </c>
      <c r="AB14" s="29">
        <f t="shared" si="11"/>
        <v>4</v>
      </c>
      <c r="AC14" s="29">
        <f t="shared" si="12"/>
        <v>378</v>
      </c>
      <c r="AD14" s="81">
        <f t="shared" si="33"/>
        <v>0.369140625</v>
      </c>
      <c r="AE14" s="81">
        <f t="shared" si="13"/>
        <v>91.584000000000003</v>
      </c>
      <c r="AF14" s="81">
        <f t="shared" si="14"/>
        <v>33.807375</v>
      </c>
      <c r="AG14" s="243">
        <f t="shared" si="15"/>
        <v>6.7584000000000009</v>
      </c>
      <c r="AH14">
        <f t="shared" si="34"/>
        <v>1.4765625</v>
      </c>
      <c r="AI14" s="251">
        <f t="shared" si="16"/>
        <v>16903.6875</v>
      </c>
      <c r="AJ14" s="252">
        <f t="shared" si="35"/>
        <v>9</v>
      </c>
      <c r="AK14" s="252">
        <f t="shared" ref="AK14:AK31" si="45">IF(AI14&lt;=3824,MAX(24,POWER(2,AJ14)*INT(AI14/POWER(2,AJ14))),MAX(3840,POWER(2,AJ14)*ROUND((AI14-24)/POWER(2,AJ14),0)))</f>
        <v>16896</v>
      </c>
      <c r="AL14" s="251">
        <f t="shared" ref="AL14:AL31" si="46">IF(AC14*AB14/1024&lt;=0.25,CEILING((AI14+24)/3816,1),CEILING((AI14+24)/8424,1))</f>
        <v>3</v>
      </c>
      <c r="AM14" s="251">
        <f t="shared" ref="AM14:AM31" si="47">IF(VLOOKUP(MIN(93,VLOOKUP(AI14,$A$39:$C$131,2,TRUE)),$B$39:$C$131,2,FALSE)&lt;AI14,MIN(93,VLOOKUP(AI14,$A$39:$C$131,2,TRUE))+1,VLOOKUP(AI14,$A$39:$C$131,2,TRUE))</f>
        <v>94</v>
      </c>
      <c r="AN14" s="251">
        <f t="shared" ref="AN14:AN31" si="48">IF(AK14&lt;=3824,VLOOKUP(AM14,$B$39:$C$131,2,FALSE),IF((AB14*AC14/1024)&lt;=0.25,8*AL14*CEILING((AK14+24)/(8*AL14),1)-24,IF(AK14&gt;8424,8*AL14*CEILING((AK14+24)/(8*AL14),1)-24,8*CEILING((AK14+24)/(8),1)-24)))</f>
        <v>16896</v>
      </c>
      <c r="AO14" s="247">
        <f t="shared" si="17"/>
        <v>33.792000000000002</v>
      </c>
      <c r="AQ14" s="29">
        <v>11</v>
      </c>
      <c r="AR14" s="166">
        <v>4</v>
      </c>
      <c r="AS14" s="166">
        <v>378</v>
      </c>
      <c r="AT14" s="166">
        <v>1.4765999999999999</v>
      </c>
      <c r="AU14" s="168">
        <f t="shared" si="40"/>
        <v>0.369140625</v>
      </c>
      <c r="AW14" s="29">
        <v>11</v>
      </c>
      <c r="AX14" s="166">
        <v>6</v>
      </c>
      <c r="AY14" s="166">
        <v>466</v>
      </c>
      <c r="AZ14" s="166">
        <v>2.7305000000000001</v>
      </c>
      <c r="BA14" s="168">
        <f t="shared" si="41"/>
        <v>0.455078125</v>
      </c>
      <c r="BC14" s="29">
        <v>11</v>
      </c>
      <c r="BD14" s="6">
        <v>2</v>
      </c>
      <c r="BE14" s="6">
        <v>379</v>
      </c>
      <c r="BF14" s="6" t="s">
        <v>218</v>
      </c>
      <c r="BG14" s="168">
        <f t="shared" si="42"/>
        <v>0.3701171875</v>
      </c>
      <c r="BI14" s="29">
        <v>11</v>
      </c>
      <c r="BJ14" s="52">
        <v>4</v>
      </c>
      <c r="BK14" s="52">
        <v>378</v>
      </c>
      <c r="BL14" s="52">
        <v>1.4765999999999999</v>
      </c>
      <c r="BM14" s="168">
        <f t="shared" si="43"/>
        <v>0.369140625</v>
      </c>
      <c r="BN14" s="178"/>
      <c r="BR14" s="29">
        <v>11</v>
      </c>
      <c r="BS14" s="177">
        <v>2</v>
      </c>
      <c r="BT14" s="177">
        <v>379</v>
      </c>
      <c r="BU14" s="177" t="s">
        <v>218</v>
      </c>
      <c r="BV14" s="168">
        <f t="shared" si="44"/>
        <v>0.3701171875</v>
      </c>
    </row>
    <row r="15" spans="1:76" ht="15.75" thickBot="1">
      <c r="A15" s="29">
        <f t="shared" si="0"/>
        <v>12</v>
      </c>
      <c r="B15" s="29">
        <f t="shared" si="1"/>
        <v>6</v>
      </c>
      <c r="C15" s="29">
        <f t="shared" si="2"/>
        <v>517</v>
      </c>
      <c r="D15" s="81">
        <f t="shared" si="18"/>
        <v>0.5048828125</v>
      </c>
      <c r="E15" s="243">
        <f t="shared" si="19"/>
        <v>25.44</v>
      </c>
      <c r="F15" s="81">
        <f t="shared" si="3"/>
        <v>154.13062500000001</v>
      </c>
      <c r="G15" s="243">
        <f t="shared" si="20"/>
        <v>0</v>
      </c>
      <c r="H15" s="81">
        <f t="shared" si="4"/>
        <v>0</v>
      </c>
      <c r="I15" s="242">
        <f t="shared" si="5"/>
        <v>87.632999999999996</v>
      </c>
      <c r="J15" s="147">
        <f t="shared" si="6"/>
        <v>86.698476562500005</v>
      </c>
      <c r="K15">
        <f t="shared" si="21"/>
        <v>3.029296875</v>
      </c>
      <c r="M15" s="248">
        <f t="shared" si="7"/>
        <v>77065.3125</v>
      </c>
      <c r="N15" s="249">
        <f t="shared" si="22"/>
        <v>11</v>
      </c>
      <c r="O15" s="249">
        <f t="shared" si="23"/>
        <v>77824</v>
      </c>
      <c r="P15" s="249">
        <f t="shared" si="24"/>
        <v>10</v>
      </c>
      <c r="Q15" s="249">
        <f t="shared" si="25"/>
        <v>94</v>
      </c>
      <c r="R15" s="249">
        <f t="shared" si="26"/>
        <v>77896</v>
      </c>
      <c r="S15" s="247">
        <f t="shared" si="8"/>
        <v>155.792</v>
      </c>
      <c r="T15" s="250">
        <f t="shared" si="9"/>
        <v>0</v>
      </c>
      <c r="U15" s="251" t="e">
        <f t="shared" si="27"/>
        <v>#NUM!</v>
      </c>
      <c r="V15" s="251" t="e">
        <f t="shared" si="28"/>
        <v>#NUM!</v>
      </c>
      <c r="W15" s="251">
        <f t="shared" si="29"/>
        <v>1</v>
      </c>
      <c r="X15" s="251" t="e">
        <f t="shared" si="30"/>
        <v>#N/A</v>
      </c>
      <c r="Y15" s="251" t="e">
        <f t="shared" si="31"/>
        <v>#NUM!</v>
      </c>
      <c r="Z15" s="247">
        <f t="shared" si="32"/>
        <v>0</v>
      </c>
      <c r="AA15" s="29">
        <f t="shared" si="10"/>
        <v>12</v>
      </c>
      <c r="AB15" s="29">
        <f t="shared" si="11"/>
        <v>4</v>
      </c>
      <c r="AC15" s="29">
        <f t="shared" si="12"/>
        <v>434</v>
      </c>
      <c r="AD15" s="81">
        <f t="shared" si="33"/>
        <v>0.423828125</v>
      </c>
      <c r="AE15" s="81">
        <f t="shared" si="13"/>
        <v>91.584000000000003</v>
      </c>
      <c r="AF15" s="81">
        <f t="shared" si="14"/>
        <v>38.815874999999998</v>
      </c>
      <c r="AG15" s="243">
        <f t="shared" si="15"/>
        <v>7.7855999999999996</v>
      </c>
      <c r="AH15">
        <f t="shared" si="34"/>
        <v>1.6953125</v>
      </c>
      <c r="AI15" s="251">
        <f t="shared" si="16"/>
        <v>19407.9375</v>
      </c>
      <c r="AJ15" s="252">
        <f t="shared" si="35"/>
        <v>9</v>
      </c>
      <c r="AK15" s="252">
        <f t="shared" si="45"/>
        <v>19456</v>
      </c>
      <c r="AL15" s="251">
        <f t="shared" si="46"/>
        <v>3</v>
      </c>
      <c r="AM15" s="251">
        <f t="shared" si="47"/>
        <v>94</v>
      </c>
      <c r="AN15" s="251">
        <f t="shared" si="48"/>
        <v>19464</v>
      </c>
      <c r="AO15" s="247">
        <f t="shared" si="17"/>
        <v>38.927999999999997</v>
      </c>
      <c r="AQ15" s="29">
        <v>12</v>
      </c>
      <c r="AR15" s="166">
        <v>4</v>
      </c>
      <c r="AS15" s="166">
        <v>434</v>
      </c>
      <c r="AT15" s="166">
        <v>1.6953</v>
      </c>
      <c r="AU15" s="168">
        <f t="shared" si="40"/>
        <v>0.423828125</v>
      </c>
      <c r="AW15" s="29">
        <v>12</v>
      </c>
      <c r="AX15" s="166">
        <v>6</v>
      </c>
      <c r="AY15" s="166">
        <v>517</v>
      </c>
      <c r="AZ15" s="166">
        <v>3.0293000000000001</v>
      </c>
      <c r="BA15" s="168">
        <f t="shared" si="41"/>
        <v>0.5048828125</v>
      </c>
      <c r="BC15" s="29">
        <v>12</v>
      </c>
      <c r="BD15" s="6">
        <v>2</v>
      </c>
      <c r="BE15" s="6">
        <v>449</v>
      </c>
      <c r="BF15" s="6" t="s">
        <v>219</v>
      </c>
      <c r="BG15" s="168">
        <f t="shared" si="42"/>
        <v>0.4384765625</v>
      </c>
      <c r="BI15" s="29">
        <v>12</v>
      </c>
      <c r="BJ15" s="52">
        <v>4</v>
      </c>
      <c r="BK15" s="52">
        <v>434</v>
      </c>
      <c r="BL15" s="52">
        <v>1.6953</v>
      </c>
      <c r="BM15" s="168">
        <f t="shared" si="43"/>
        <v>0.423828125</v>
      </c>
      <c r="BN15" s="178"/>
      <c r="BR15" s="29">
        <v>12</v>
      </c>
      <c r="BS15" s="177">
        <v>2</v>
      </c>
      <c r="BT15" s="177">
        <v>449</v>
      </c>
      <c r="BU15" s="177" t="s">
        <v>219</v>
      </c>
      <c r="BV15" s="168">
        <f t="shared" si="44"/>
        <v>0.4384765625</v>
      </c>
    </row>
    <row r="16" spans="1:76" ht="15.75" thickBot="1">
      <c r="A16" s="29">
        <f t="shared" si="0"/>
        <v>13</v>
      </c>
      <c r="B16" s="29">
        <f t="shared" si="1"/>
        <v>6</v>
      </c>
      <c r="C16" s="29">
        <f t="shared" si="2"/>
        <v>567</v>
      </c>
      <c r="D16" s="81">
        <f t="shared" si="18"/>
        <v>0.5537109375</v>
      </c>
      <c r="E16" s="243">
        <f t="shared" si="19"/>
        <v>25.44</v>
      </c>
      <c r="F16" s="81">
        <f t="shared" si="3"/>
        <v>169.03687500000001</v>
      </c>
      <c r="G16" s="243">
        <f t="shared" si="20"/>
        <v>0</v>
      </c>
      <c r="H16" s="81">
        <f t="shared" si="4"/>
        <v>0</v>
      </c>
      <c r="I16" s="242">
        <f t="shared" si="5"/>
        <v>94.518000000000001</v>
      </c>
      <c r="J16" s="147">
        <f t="shared" si="6"/>
        <v>95.083242187500005</v>
      </c>
      <c r="K16">
        <f t="shared" si="21"/>
        <v>3.322265625</v>
      </c>
      <c r="M16" s="248">
        <f t="shared" si="7"/>
        <v>84518.4375</v>
      </c>
      <c r="N16" s="249">
        <f t="shared" si="22"/>
        <v>11</v>
      </c>
      <c r="O16" s="249">
        <f t="shared" si="23"/>
        <v>83968</v>
      </c>
      <c r="P16" s="249">
        <f t="shared" si="24"/>
        <v>11</v>
      </c>
      <c r="Q16" s="249">
        <f t="shared" si="25"/>
        <v>94</v>
      </c>
      <c r="R16" s="249">
        <f t="shared" si="26"/>
        <v>84016</v>
      </c>
      <c r="S16" s="247">
        <f t="shared" si="8"/>
        <v>168.03200000000001</v>
      </c>
      <c r="T16" s="250">
        <f t="shared" si="9"/>
        <v>0</v>
      </c>
      <c r="U16" s="251" t="e">
        <f t="shared" si="27"/>
        <v>#NUM!</v>
      </c>
      <c r="V16" s="251" t="e">
        <f t="shared" si="28"/>
        <v>#NUM!</v>
      </c>
      <c r="W16" s="251">
        <f t="shared" si="29"/>
        <v>1</v>
      </c>
      <c r="X16" s="251" t="e">
        <f t="shared" si="30"/>
        <v>#N/A</v>
      </c>
      <c r="Y16" s="251" t="e">
        <f t="shared" si="31"/>
        <v>#NUM!</v>
      </c>
      <c r="Z16" s="247">
        <f t="shared" si="32"/>
        <v>0</v>
      </c>
      <c r="AA16" s="29">
        <f t="shared" si="10"/>
        <v>13</v>
      </c>
      <c r="AB16" s="29">
        <f t="shared" si="11"/>
        <v>4</v>
      </c>
      <c r="AC16" s="29">
        <f t="shared" si="12"/>
        <v>490</v>
      </c>
      <c r="AD16" s="81">
        <f t="shared" si="33"/>
        <v>0.478515625</v>
      </c>
      <c r="AE16" s="81">
        <f t="shared" si="13"/>
        <v>91.584000000000003</v>
      </c>
      <c r="AF16" s="81">
        <f t="shared" si="14"/>
        <v>43.824375000000003</v>
      </c>
      <c r="AG16" s="243">
        <f t="shared" si="15"/>
        <v>8.8128000000000011</v>
      </c>
      <c r="AH16">
        <f t="shared" si="34"/>
        <v>1.9140625</v>
      </c>
      <c r="AI16" s="251">
        <f t="shared" si="16"/>
        <v>21912.1875</v>
      </c>
      <c r="AJ16" s="252">
        <f t="shared" si="35"/>
        <v>9</v>
      </c>
      <c r="AK16" s="252">
        <f t="shared" si="45"/>
        <v>22016</v>
      </c>
      <c r="AL16" s="251">
        <f t="shared" si="46"/>
        <v>3</v>
      </c>
      <c r="AM16" s="251">
        <f t="shared" si="47"/>
        <v>94</v>
      </c>
      <c r="AN16" s="251">
        <f t="shared" si="48"/>
        <v>22032</v>
      </c>
      <c r="AO16" s="247">
        <f t="shared" si="17"/>
        <v>44.064</v>
      </c>
      <c r="AQ16" s="29">
        <v>13</v>
      </c>
      <c r="AR16" s="166">
        <v>4</v>
      </c>
      <c r="AS16" s="166">
        <v>490</v>
      </c>
      <c r="AT16" s="166">
        <v>1.9140999999999999</v>
      </c>
      <c r="AU16" s="168">
        <f t="shared" si="40"/>
        <v>0.478515625</v>
      </c>
      <c r="AW16" s="29">
        <v>13</v>
      </c>
      <c r="AX16" s="166">
        <v>6</v>
      </c>
      <c r="AY16" s="166">
        <v>567</v>
      </c>
      <c r="AZ16" s="166">
        <v>3.3222999999999998</v>
      </c>
      <c r="BA16" s="168">
        <f t="shared" si="41"/>
        <v>0.5537109375</v>
      </c>
      <c r="BC16" s="29">
        <v>13</v>
      </c>
      <c r="BD16" s="6">
        <v>2</v>
      </c>
      <c r="BE16" s="6">
        <v>526</v>
      </c>
      <c r="BF16" s="6" t="s">
        <v>220</v>
      </c>
      <c r="BG16" s="168">
        <f t="shared" si="42"/>
        <v>0.513671875</v>
      </c>
      <c r="BI16" s="29">
        <v>13</v>
      </c>
      <c r="BJ16" s="52">
        <v>4</v>
      </c>
      <c r="BK16" s="52">
        <v>490</v>
      </c>
      <c r="BL16" s="52">
        <v>1.9140999999999999</v>
      </c>
      <c r="BM16" s="168">
        <f t="shared" si="43"/>
        <v>0.478515625</v>
      </c>
      <c r="BN16" s="178"/>
      <c r="BR16" s="29">
        <v>13</v>
      </c>
      <c r="BS16" s="177">
        <v>2</v>
      </c>
      <c r="BT16" s="177">
        <v>526</v>
      </c>
      <c r="BU16" s="177" t="s">
        <v>220</v>
      </c>
      <c r="BV16" s="168">
        <f t="shared" si="44"/>
        <v>0.513671875</v>
      </c>
    </row>
    <row r="17" spans="1:74" ht="15.75" thickBot="1">
      <c r="A17" s="29">
        <f t="shared" si="0"/>
        <v>14</v>
      </c>
      <c r="B17" s="29">
        <f t="shared" si="1"/>
        <v>6</v>
      </c>
      <c r="C17" s="29">
        <f t="shared" si="2"/>
        <v>616</v>
      </c>
      <c r="D17" s="81">
        <f t="shared" si="18"/>
        <v>0.6015625</v>
      </c>
      <c r="E17" s="243">
        <f t="shared" si="19"/>
        <v>25.44</v>
      </c>
      <c r="F17" s="81">
        <f t="shared" si="3"/>
        <v>183.64500000000001</v>
      </c>
      <c r="G17" s="243">
        <f t="shared" si="20"/>
        <v>0</v>
      </c>
      <c r="H17" s="81">
        <f t="shared" si="4"/>
        <v>0</v>
      </c>
      <c r="I17" s="242">
        <f t="shared" si="5"/>
        <v>103.72500000000001</v>
      </c>
      <c r="J17" s="147">
        <f t="shared" si="6"/>
        <v>103.3003125</v>
      </c>
      <c r="K17">
        <f t="shared" si="21"/>
        <v>3.609375</v>
      </c>
      <c r="M17" s="248">
        <f t="shared" si="7"/>
        <v>91822.5</v>
      </c>
      <c r="N17" s="249">
        <f t="shared" si="22"/>
        <v>11</v>
      </c>
      <c r="O17" s="249">
        <f t="shared" si="23"/>
        <v>92160</v>
      </c>
      <c r="P17" s="249">
        <f t="shared" si="24"/>
        <v>11</v>
      </c>
      <c r="Q17" s="249">
        <f t="shared" si="25"/>
        <v>94</v>
      </c>
      <c r="R17" s="249">
        <f t="shared" si="26"/>
        <v>92200</v>
      </c>
      <c r="S17" s="247">
        <f t="shared" si="8"/>
        <v>184.4</v>
      </c>
      <c r="T17" s="250">
        <f t="shared" si="9"/>
        <v>0</v>
      </c>
      <c r="U17" s="251" t="e">
        <f t="shared" si="27"/>
        <v>#NUM!</v>
      </c>
      <c r="V17" s="251" t="e">
        <f t="shared" si="28"/>
        <v>#NUM!</v>
      </c>
      <c r="W17" s="251">
        <f t="shared" si="29"/>
        <v>1</v>
      </c>
      <c r="X17" s="251" t="e">
        <f t="shared" si="30"/>
        <v>#N/A</v>
      </c>
      <c r="Y17" s="251" t="e">
        <f t="shared" si="31"/>
        <v>#NUM!</v>
      </c>
      <c r="Z17" s="247">
        <f t="shared" si="32"/>
        <v>0</v>
      </c>
      <c r="AA17" s="29">
        <f t="shared" si="10"/>
        <v>14</v>
      </c>
      <c r="AB17" s="29">
        <f t="shared" si="11"/>
        <v>4</v>
      </c>
      <c r="AC17" s="29">
        <f t="shared" si="12"/>
        <v>553</v>
      </c>
      <c r="AD17" s="81">
        <f t="shared" si="33"/>
        <v>0.5400390625</v>
      </c>
      <c r="AE17" s="81">
        <f t="shared" si="13"/>
        <v>91.584000000000003</v>
      </c>
      <c r="AF17" s="81">
        <f t="shared" si="14"/>
        <v>49.458937500000005</v>
      </c>
      <c r="AG17" s="243">
        <f t="shared" si="15"/>
        <v>9.8304000000000009</v>
      </c>
      <c r="AH17">
        <f t="shared" si="34"/>
        <v>2.16015625</v>
      </c>
      <c r="AI17" s="251">
        <f t="shared" si="16"/>
        <v>24729.468750000004</v>
      </c>
      <c r="AJ17" s="252">
        <f t="shared" si="35"/>
        <v>9</v>
      </c>
      <c r="AK17" s="252">
        <f t="shared" si="45"/>
        <v>24576</v>
      </c>
      <c r="AL17" s="251">
        <f t="shared" si="46"/>
        <v>3</v>
      </c>
      <c r="AM17" s="251">
        <f t="shared" si="47"/>
        <v>94</v>
      </c>
      <c r="AN17" s="251">
        <f t="shared" si="48"/>
        <v>24576</v>
      </c>
      <c r="AO17" s="247">
        <f t="shared" si="17"/>
        <v>49.152000000000001</v>
      </c>
      <c r="AQ17" s="29">
        <v>14</v>
      </c>
      <c r="AR17" s="166">
        <v>4</v>
      </c>
      <c r="AS17" s="166">
        <v>553</v>
      </c>
      <c r="AT17" s="166">
        <v>2.1602000000000001</v>
      </c>
      <c r="AU17" s="168">
        <f t="shared" si="40"/>
        <v>0.5400390625</v>
      </c>
      <c r="AW17" s="29">
        <v>14</v>
      </c>
      <c r="AX17" s="166">
        <v>6</v>
      </c>
      <c r="AY17" s="166">
        <v>616</v>
      </c>
      <c r="AZ17" s="166">
        <v>3.6093999999999999</v>
      </c>
      <c r="BA17" s="168">
        <f t="shared" si="41"/>
        <v>0.6015625</v>
      </c>
      <c r="BC17" s="29">
        <v>14</v>
      </c>
      <c r="BD17" s="6">
        <v>2</v>
      </c>
      <c r="BE17" s="6">
        <v>602</v>
      </c>
      <c r="BF17" s="6" t="s">
        <v>221</v>
      </c>
      <c r="BG17" s="168">
        <f t="shared" si="42"/>
        <v>0.587890625</v>
      </c>
      <c r="BI17" s="29">
        <v>14</v>
      </c>
      <c r="BJ17" s="52">
        <v>4</v>
      </c>
      <c r="BK17" s="52">
        <v>553</v>
      </c>
      <c r="BL17" s="52">
        <v>2.1602000000000001</v>
      </c>
      <c r="BM17" s="168">
        <f t="shared" si="43"/>
        <v>0.5400390625</v>
      </c>
      <c r="BN17" s="178"/>
      <c r="BR17" s="29">
        <v>14</v>
      </c>
      <c r="BS17" s="177">
        <v>2</v>
      </c>
      <c r="BT17" s="177">
        <v>602</v>
      </c>
      <c r="BU17" s="177" t="s">
        <v>221</v>
      </c>
      <c r="BV17" s="168">
        <f t="shared" si="44"/>
        <v>0.587890625</v>
      </c>
    </row>
    <row r="18" spans="1:74" ht="15.75" thickBot="1">
      <c r="A18" s="29">
        <f t="shared" si="0"/>
        <v>15</v>
      </c>
      <c r="B18" s="29">
        <f t="shared" si="1"/>
        <v>6</v>
      </c>
      <c r="C18" s="29">
        <f t="shared" si="2"/>
        <v>666</v>
      </c>
      <c r="D18" s="81">
        <f t="shared" si="18"/>
        <v>0.650390625</v>
      </c>
      <c r="E18" s="243">
        <f t="shared" si="19"/>
        <v>25.44</v>
      </c>
      <c r="F18" s="81">
        <f t="shared" si="3"/>
        <v>198.55125000000001</v>
      </c>
      <c r="G18" s="243">
        <f t="shared" si="20"/>
        <v>0</v>
      </c>
      <c r="H18" s="81">
        <f t="shared" si="4"/>
        <v>0</v>
      </c>
      <c r="I18" s="242">
        <f t="shared" si="5"/>
        <v>110.673</v>
      </c>
      <c r="J18" s="147">
        <f t="shared" si="6"/>
        <v>111.685078125</v>
      </c>
      <c r="K18">
        <f t="shared" si="21"/>
        <v>3.90234375</v>
      </c>
      <c r="M18" s="248">
        <f t="shared" si="7"/>
        <v>99275.625</v>
      </c>
      <c r="N18" s="249">
        <f t="shared" si="22"/>
        <v>11</v>
      </c>
      <c r="O18" s="249">
        <f t="shared" si="23"/>
        <v>98304</v>
      </c>
      <c r="P18" s="249">
        <f t="shared" si="24"/>
        <v>12</v>
      </c>
      <c r="Q18" s="249">
        <f t="shared" si="25"/>
        <v>94</v>
      </c>
      <c r="R18" s="249">
        <f t="shared" si="26"/>
        <v>98376</v>
      </c>
      <c r="S18" s="247">
        <f t="shared" si="8"/>
        <v>196.75200000000001</v>
      </c>
      <c r="T18" s="250">
        <f t="shared" si="9"/>
        <v>0</v>
      </c>
      <c r="U18" s="251" t="e">
        <f t="shared" si="27"/>
        <v>#NUM!</v>
      </c>
      <c r="V18" s="251" t="e">
        <f t="shared" si="28"/>
        <v>#NUM!</v>
      </c>
      <c r="W18" s="251">
        <f t="shared" si="29"/>
        <v>1</v>
      </c>
      <c r="X18" s="251" t="e">
        <f t="shared" si="30"/>
        <v>#N/A</v>
      </c>
      <c r="Y18" s="251" t="e">
        <f t="shared" si="31"/>
        <v>#NUM!</v>
      </c>
      <c r="Z18" s="247">
        <f t="shared" si="32"/>
        <v>0</v>
      </c>
      <c r="AA18" s="29">
        <f t="shared" si="10"/>
        <v>15</v>
      </c>
      <c r="AB18" s="29">
        <f t="shared" si="11"/>
        <v>4</v>
      </c>
      <c r="AC18" s="29">
        <f t="shared" si="12"/>
        <v>616</v>
      </c>
      <c r="AD18" s="81">
        <f t="shared" si="33"/>
        <v>0.6015625</v>
      </c>
      <c r="AE18" s="81">
        <f t="shared" si="13"/>
        <v>91.584000000000003</v>
      </c>
      <c r="AF18" s="81">
        <f t="shared" si="14"/>
        <v>55.093499999999999</v>
      </c>
      <c r="AG18" s="243">
        <f t="shared" si="15"/>
        <v>11.0624</v>
      </c>
      <c r="AH18">
        <f t="shared" si="34"/>
        <v>2.40625</v>
      </c>
      <c r="AI18" s="251">
        <f t="shared" si="16"/>
        <v>27546.75</v>
      </c>
      <c r="AJ18" s="252">
        <f t="shared" si="35"/>
        <v>9</v>
      </c>
      <c r="AK18" s="252">
        <f t="shared" si="45"/>
        <v>27648</v>
      </c>
      <c r="AL18" s="251">
        <f t="shared" si="46"/>
        <v>4</v>
      </c>
      <c r="AM18" s="251">
        <f t="shared" si="47"/>
        <v>94</v>
      </c>
      <c r="AN18" s="251">
        <f t="shared" si="48"/>
        <v>27656</v>
      </c>
      <c r="AO18" s="247">
        <f t="shared" si="17"/>
        <v>55.311999999999998</v>
      </c>
      <c r="AQ18" s="29">
        <v>15</v>
      </c>
      <c r="AR18" s="166">
        <v>4</v>
      </c>
      <c r="AS18" s="166">
        <v>616</v>
      </c>
      <c r="AT18" s="166">
        <v>2.4062999999999999</v>
      </c>
      <c r="AU18" s="168">
        <f t="shared" si="40"/>
        <v>0.6015625</v>
      </c>
      <c r="AW18" s="29">
        <v>15</v>
      </c>
      <c r="AX18" s="166">
        <v>6</v>
      </c>
      <c r="AY18" s="166">
        <v>666</v>
      </c>
      <c r="AZ18" s="166">
        <v>3.9022999999999999</v>
      </c>
      <c r="BA18" s="168">
        <f t="shared" si="41"/>
        <v>0.650390625</v>
      </c>
      <c r="BC18" s="29">
        <v>15</v>
      </c>
      <c r="BD18" s="6">
        <v>4</v>
      </c>
      <c r="BE18" s="6">
        <v>340</v>
      </c>
      <c r="BF18" s="6" t="s">
        <v>222</v>
      </c>
      <c r="BG18" s="168">
        <f t="shared" si="42"/>
        <v>0.33203125</v>
      </c>
      <c r="BI18" s="29">
        <v>15</v>
      </c>
      <c r="BJ18" s="52">
        <v>4</v>
      </c>
      <c r="BK18" s="52">
        <v>616</v>
      </c>
      <c r="BL18" s="52">
        <v>2.4062999999999999</v>
      </c>
      <c r="BM18" s="168">
        <f t="shared" si="43"/>
        <v>0.6015625</v>
      </c>
      <c r="BN18" s="178"/>
      <c r="BR18" s="29">
        <v>15</v>
      </c>
      <c r="BS18" s="177">
        <v>2</v>
      </c>
      <c r="BT18" s="177">
        <v>679</v>
      </c>
      <c r="BU18" s="177">
        <v>1.3262</v>
      </c>
      <c r="BV18" s="168">
        <f t="shared" si="44"/>
        <v>0.6630859375</v>
      </c>
    </row>
    <row r="19" spans="1:74" ht="15.75" thickBot="1">
      <c r="A19" s="29">
        <f t="shared" si="0"/>
        <v>16</v>
      </c>
      <c r="B19" s="29">
        <f t="shared" si="1"/>
        <v>6</v>
      </c>
      <c r="C19" s="29">
        <f t="shared" si="2"/>
        <v>719</v>
      </c>
      <c r="D19" s="81">
        <f t="shared" si="18"/>
        <v>0.7021484375</v>
      </c>
      <c r="E19" s="243">
        <f t="shared" si="19"/>
        <v>25.44</v>
      </c>
      <c r="F19" s="81">
        <f t="shared" si="3"/>
        <v>214.35187500000001</v>
      </c>
      <c r="G19" s="243">
        <f t="shared" si="20"/>
        <v>0</v>
      </c>
      <c r="H19" s="81">
        <f t="shared" si="4"/>
        <v>0</v>
      </c>
      <c r="I19" s="242">
        <f t="shared" si="5"/>
        <v>119.898</v>
      </c>
      <c r="J19" s="147">
        <f t="shared" si="6"/>
        <v>120.57292968750001</v>
      </c>
      <c r="K19">
        <f t="shared" si="21"/>
        <v>4.212890625</v>
      </c>
      <c r="M19" s="248">
        <f t="shared" si="7"/>
        <v>107175.9375</v>
      </c>
      <c r="N19" s="249">
        <f t="shared" si="22"/>
        <v>11</v>
      </c>
      <c r="O19" s="249">
        <f t="shared" si="23"/>
        <v>106496</v>
      </c>
      <c r="P19" s="249">
        <f t="shared" si="24"/>
        <v>13</v>
      </c>
      <c r="Q19" s="249">
        <f t="shared" si="25"/>
        <v>94</v>
      </c>
      <c r="R19" s="249">
        <f t="shared" si="26"/>
        <v>106576</v>
      </c>
      <c r="S19" s="247">
        <f t="shared" si="8"/>
        <v>213.15199999999999</v>
      </c>
      <c r="T19" s="250">
        <f t="shared" si="9"/>
        <v>0</v>
      </c>
      <c r="U19" s="251" t="e">
        <f t="shared" si="27"/>
        <v>#NUM!</v>
      </c>
      <c r="V19" s="251" t="e">
        <f t="shared" si="28"/>
        <v>#NUM!</v>
      </c>
      <c r="W19" s="251">
        <f t="shared" si="29"/>
        <v>1</v>
      </c>
      <c r="X19" s="251" t="e">
        <f t="shared" si="30"/>
        <v>#N/A</v>
      </c>
      <c r="Y19" s="251" t="e">
        <f t="shared" si="31"/>
        <v>#NUM!</v>
      </c>
      <c r="Z19" s="247">
        <f t="shared" si="32"/>
        <v>0</v>
      </c>
      <c r="AA19" s="29">
        <f t="shared" si="10"/>
        <v>16</v>
      </c>
      <c r="AB19" s="29">
        <f t="shared" si="11"/>
        <v>4</v>
      </c>
      <c r="AC19" s="29">
        <f t="shared" si="12"/>
        <v>658</v>
      </c>
      <c r="AD19" s="81">
        <f t="shared" si="33"/>
        <v>0.642578125</v>
      </c>
      <c r="AE19" s="81">
        <f t="shared" si="13"/>
        <v>91.584000000000003</v>
      </c>
      <c r="AF19" s="81">
        <f t="shared" si="14"/>
        <v>58.849875000000004</v>
      </c>
      <c r="AG19" s="243">
        <f t="shared" si="15"/>
        <v>11.6768</v>
      </c>
      <c r="AH19">
        <f t="shared" si="34"/>
        <v>2.5703125</v>
      </c>
      <c r="AI19" s="251">
        <f t="shared" si="16"/>
        <v>29424.937500000004</v>
      </c>
      <c r="AJ19" s="252">
        <f t="shared" si="35"/>
        <v>9</v>
      </c>
      <c r="AK19" s="252">
        <f t="shared" si="45"/>
        <v>29184</v>
      </c>
      <c r="AL19" s="251">
        <f t="shared" si="46"/>
        <v>4</v>
      </c>
      <c r="AM19" s="251">
        <f t="shared" si="47"/>
        <v>94</v>
      </c>
      <c r="AN19" s="251">
        <f t="shared" si="48"/>
        <v>29192</v>
      </c>
      <c r="AO19" s="247">
        <f t="shared" si="17"/>
        <v>58.384</v>
      </c>
      <c r="AQ19" s="29">
        <v>16</v>
      </c>
      <c r="AR19" s="166">
        <v>4</v>
      </c>
      <c r="AS19" s="166">
        <v>658</v>
      </c>
      <c r="AT19" s="166">
        <v>2.5703</v>
      </c>
      <c r="AU19" s="168">
        <f t="shared" si="40"/>
        <v>0.642578125</v>
      </c>
      <c r="AW19" s="29">
        <v>16</v>
      </c>
      <c r="AX19" s="166">
        <v>6</v>
      </c>
      <c r="AY19" s="166">
        <v>719</v>
      </c>
      <c r="AZ19" s="166">
        <v>4.2129000000000003</v>
      </c>
      <c r="BA19" s="168">
        <f t="shared" si="41"/>
        <v>0.7021484375</v>
      </c>
      <c r="BC19" s="29">
        <v>16</v>
      </c>
      <c r="BD19" s="6">
        <v>4</v>
      </c>
      <c r="BE19" s="6">
        <v>378</v>
      </c>
      <c r="BF19" s="6">
        <v>1.4765999999999999</v>
      </c>
      <c r="BG19" s="168">
        <f t="shared" si="42"/>
        <v>0.369140625</v>
      </c>
      <c r="BI19" s="29">
        <v>16</v>
      </c>
      <c r="BJ19" s="52">
        <v>4</v>
      </c>
      <c r="BK19" s="52">
        <v>658</v>
      </c>
      <c r="BL19" s="52">
        <v>2.5703</v>
      </c>
      <c r="BM19" s="168">
        <f t="shared" si="43"/>
        <v>0.642578125</v>
      </c>
      <c r="BN19" s="178"/>
      <c r="BR19" s="29">
        <v>16</v>
      </c>
      <c r="BS19" s="177">
        <v>4</v>
      </c>
      <c r="BT19" s="177">
        <v>378</v>
      </c>
      <c r="BU19" s="177">
        <v>1.4765999999999999</v>
      </c>
      <c r="BV19" s="168">
        <f t="shared" si="44"/>
        <v>0.369140625</v>
      </c>
    </row>
    <row r="20" spans="1:74" ht="15.75" thickBot="1">
      <c r="A20" s="29">
        <f t="shared" si="0"/>
        <v>17</v>
      </c>
      <c r="B20" s="29">
        <f t="shared" si="1"/>
        <v>6</v>
      </c>
      <c r="C20" s="29">
        <f t="shared" si="2"/>
        <v>772</v>
      </c>
      <c r="D20" s="81">
        <f t="shared" si="18"/>
        <v>0.75390625</v>
      </c>
      <c r="E20" s="243">
        <f t="shared" si="19"/>
        <v>25.44</v>
      </c>
      <c r="F20" s="81">
        <f t="shared" si="3"/>
        <v>230.15250000000003</v>
      </c>
      <c r="G20" s="243">
        <f t="shared" si="20"/>
        <v>0</v>
      </c>
      <c r="H20" s="81">
        <f t="shared" si="4"/>
        <v>0</v>
      </c>
      <c r="I20" s="242">
        <f t="shared" si="5"/>
        <v>129.12299999999999</v>
      </c>
      <c r="J20" s="147">
        <f t="shared" si="6"/>
        <v>129.46078125000003</v>
      </c>
      <c r="K20">
        <f t="shared" si="21"/>
        <v>4.5234375</v>
      </c>
      <c r="M20" s="248">
        <f t="shared" si="7"/>
        <v>115076.25000000001</v>
      </c>
      <c r="N20" s="249">
        <f t="shared" si="22"/>
        <v>11</v>
      </c>
      <c r="O20" s="249">
        <f t="shared" si="23"/>
        <v>114688</v>
      </c>
      <c r="P20" s="249">
        <f t="shared" si="24"/>
        <v>14</v>
      </c>
      <c r="Q20" s="249">
        <f t="shared" si="25"/>
        <v>94</v>
      </c>
      <c r="R20" s="249">
        <f t="shared" si="26"/>
        <v>114776</v>
      </c>
      <c r="S20" s="247">
        <f t="shared" si="8"/>
        <v>229.55199999999999</v>
      </c>
      <c r="T20" s="250">
        <f t="shared" si="9"/>
        <v>0</v>
      </c>
      <c r="U20" s="251" t="e">
        <f t="shared" si="27"/>
        <v>#NUM!</v>
      </c>
      <c r="V20" s="251" t="e">
        <f t="shared" si="28"/>
        <v>#NUM!</v>
      </c>
      <c r="W20" s="251">
        <f t="shared" si="29"/>
        <v>1</v>
      </c>
      <c r="X20" s="251" t="e">
        <f t="shared" si="30"/>
        <v>#N/A</v>
      </c>
      <c r="Y20" s="251" t="e">
        <f t="shared" si="31"/>
        <v>#NUM!</v>
      </c>
      <c r="Z20" s="247">
        <f t="shared" si="32"/>
        <v>0</v>
      </c>
      <c r="AA20" s="29">
        <f t="shared" si="10"/>
        <v>17</v>
      </c>
      <c r="AB20" s="29">
        <f t="shared" si="11"/>
        <v>6</v>
      </c>
      <c r="AC20" s="29">
        <f t="shared" si="12"/>
        <v>438</v>
      </c>
      <c r="AD20" s="81">
        <f t="shared" si="33"/>
        <v>0.427734375</v>
      </c>
      <c r="AE20" s="81">
        <f t="shared" si="13"/>
        <v>137.376</v>
      </c>
      <c r="AF20" s="81">
        <f t="shared" si="14"/>
        <v>58.760437500000002</v>
      </c>
      <c r="AG20" s="243">
        <f t="shared" si="15"/>
        <v>11.6768</v>
      </c>
      <c r="AH20">
        <f t="shared" si="34"/>
        <v>2.56640625</v>
      </c>
      <c r="AI20" s="251">
        <f t="shared" si="16"/>
        <v>29380.21875</v>
      </c>
      <c r="AJ20" s="252">
        <f t="shared" si="35"/>
        <v>9</v>
      </c>
      <c r="AK20" s="252">
        <f t="shared" si="45"/>
        <v>29184</v>
      </c>
      <c r="AL20" s="251">
        <f t="shared" si="46"/>
        <v>4</v>
      </c>
      <c r="AM20" s="251">
        <f t="shared" si="47"/>
        <v>94</v>
      </c>
      <c r="AN20" s="251">
        <f t="shared" si="48"/>
        <v>29192</v>
      </c>
      <c r="AO20" s="247">
        <f t="shared" si="17"/>
        <v>58.384</v>
      </c>
      <c r="AQ20" s="29">
        <v>17</v>
      </c>
      <c r="AR20" s="166">
        <v>6</v>
      </c>
      <c r="AS20" s="166">
        <v>438</v>
      </c>
      <c r="AT20" s="166">
        <v>2.5663999999999998</v>
      </c>
      <c r="AU20" s="168">
        <f t="shared" si="40"/>
        <v>0.427734375</v>
      </c>
      <c r="AW20" s="29">
        <v>17</v>
      </c>
      <c r="AX20" s="166">
        <v>6</v>
      </c>
      <c r="AY20" s="166">
        <v>772</v>
      </c>
      <c r="AZ20" s="166">
        <v>4.5233999999999996</v>
      </c>
      <c r="BA20" s="168">
        <f t="shared" si="41"/>
        <v>0.75390625</v>
      </c>
      <c r="BC20" s="29">
        <v>17</v>
      </c>
      <c r="BD20" s="6">
        <v>4</v>
      </c>
      <c r="BE20" s="6">
        <v>434</v>
      </c>
      <c r="BF20" s="6" t="s">
        <v>223</v>
      </c>
      <c r="BG20" s="168">
        <f t="shared" si="42"/>
        <v>0.423828125</v>
      </c>
      <c r="BI20" s="29">
        <v>17</v>
      </c>
      <c r="BJ20" s="52">
        <v>6</v>
      </c>
      <c r="BK20" s="52">
        <v>466</v>
      </c>
      <c r="BL20" s="52">
        <v>2.7305000000000001</v>
      </c>
      <c r="BM20" s="168">
        <f t="shared" si="43"/>
        <v>0.455078125</v>
      </c>
      <c r="BN20" s="178"/>
      <c r="BR20" s="29">
        <v>17</v>
      </c>
      <c r="BS20" s="177">
        <v>4</v>
      </c>
      <c r="BT20" s="177">
        <v>434</v>
      </c>
      <c r="BU20" s="177" t="s">
        <v>223</v>
      </c>
      <c r="BV20" s="168">
        <f t="shared" si="44"/>
        <v>0.423828125</v>
      </c>
    </row>
    <row r="21" spans="1:74" ht="15.75" thickBot="1">
      <c r="A21" s="29">
        <f t="shared" si="0"/>
        <v>18</v>
      </c>
      <c r="B21" s="29">
        <f t="shared" si="1"/>
        <v>6</v>
      </c>
      <c r="C21" s="29">
        <f t="shared" si="2"/>
        <v>822</v>
      </c>
      <c r="D21" s="81">
        <f t="shared" si="18"/>
        <v>0.802734375</v>
      </c>
      <c r="E21" s="243">
        <f t="shared" si="19"/>
        <v>25.44</v>
      </c>
      <c r="F21" s="81">
        <f t="shared" si="3"/>
        <v>245.05875000000003</v>
      </c>
      <c r="G21" s="243">
        <f t="shared" si="20"/>
        <v>0</v>
      </c>
      <c r="H21" s="81">
        <f t="shared" si="4"/>
        <v>0</v>
      </c>
      <c r="I21" s="242">
        <f t="shared" si="5"/>
        <v>138.34800000000001</v>
      </c>
      <c r="J21" s="147">
        <f t="shared" si="6"/>
        <v>137.84554687500003</v>
      </c>
      <c r="K21">
        <f t="shared" si="21"/>
        <v>4.81640625</v>
      </c>
      <c r="M21" s="248">
        <f t="shared" si="7"/>
        <v>122529.37500000001</v>
      </c>
      <c r="N21" s="249">
        <f t="shared" si="22"/>
        <v>11</v>
      </c>
      <c r="O21" s="249">
        <f t="shared" si="23"/>
        <v>122880</v>
      </c>
      <c r="P21" s="249">
        <f t="shared" si="24"/>
        <v>15</v>
      </c>
      <c r="Q21" s="249">
        <f t="shared" si="25"/>
        <v>94</v>
      </c>
      <c r="R21" s="249">
        <f t="shared" si="26"/>
        <v>122976</v>
      </c>
      <c r="S21" s="247">
        <f t="shared" si="8"/>
        <v>245.952</v>
      </c>
      <c r="T21" s="250">
        <f t="shared" si="9"/>
        <v>0</v>
      </c>
      <c r="U21" s="251" t="e">
        <f t="shared" si="27"/>
        <v>#NUM!</v>
      </c>
      <c r="V21" s="251" t="e">
        <f t="shared" si="28"/>
        <v>#NUM!</v>
      </c>
      <c r="W21" s="251">
        <f t="shared" si="29"/>
        <v>1</v>
      </c>
      <c r="X21" s="251" t="e">
        <f t="shared" si="30"/>
        <v>#N/A</v>
      </c>
      <c r="Y21" s="251" t="e">
        <f t="shared" si="31"/>
        <v>#NUM!</v>
      </c>
      <c r="Z21" s="247">
        <f t="shared" si="32"/>
        <v>0</v>
      </c>
      <c r="AA21" s="29">
        <f t="shared" si="10"/>
        <v>18</v>
      </c>
      <c r="AB21" s="29">
        <f t="shared" si="11"/>
        <v>6</v>
      </c>
      <c r="AC21" s="29">
        <f t="shared" si="12"/>
        <v>466</v>
      </c>
      <c r="AD21" s="81">
        <f t="shared" si="33"/>
        <v>0.455078125</v>
      </c>
      <c r="AE21" s="81">
        <f t="shared" si="13"/>
        <v>137.376</v>
      </c>
      <c r="AF21" s="81">
        <f t="shared" si="14"/>
        <v>62.5168125</v>
      </c>
      <c r="AG21" s="243">
        <f t="shared" si="15"/>
        <v>12.496</v>
      </c>
      <c r="AH21">
        <f t="shared" si="34"/>
        <v>2.73046875</v>
      </c>
      <c r="AI21" s="251">
        <f t="shared" si="16"/>
        <v>31258.40625</v>
      </c>
      <c r="AJ21" s="252">
        <f t="shared" si="35"/>
        <v>9</v>
      </c>
      <c r="AK21" s="252">
        <f t="shared" si="45"/>
        <v>31232</v>
      </c>
      <c r="AL21" s="251">
        <f t="shared" si="46"/>
        <v>4</v>
      </c>
      <c r="AM21" s="251">
        <f t="shared" si="47"/>
        <v>94</v>
      </c>
      <c r="AN21" s="251">
        <f t="shared" si="48"/>
        <v>31240</v>
      </c>
      <c r="AO21" s="247">
        <f t="shared" si="17"/>
        <v>62.48</v>
      </c>
      <c r="AQ21" s="29">
        <v>18</v>
      </c>
      <c r="AR21" s="166">
        <v>6</v>
      </c>
      <c r="AS21" s="166">
        <v>466</v>
      </c>
      <c r="AT21" s="166">
        <v>2.7305000000000001</v>
      </c>
      <c r="AU21" s="168">
        <f t="shared" si="40"/>
        <v>0.455078125</v>
      </c>
      <c r="AW21" s="29">
        <v>18</v>
      </c>
      <c r="AX21" s="166">
        <v>6</v>
      </c>
      <c r="AY21" s="166">
        <v>822</v>
      </c>
      <c r="AZ21" s="166">
        <v>4.8163999999999998</v>
      </c>
      <c r="BA21" s="168">
        <f t="shared" si="41"/>
        <v>0.802734375</v>
      </c>
      <c r="BC21" s="29">
        <v>18</v>
      </c>
      <c r="BD21" s="6">
        <v>4</v>
      </c>
      <c r="BE21" s="6">
        <v>490</v>
      </c>
      <c r="BF21" s="6" t="s">
        <v>224</v>
      </c>
      <c r="BG21" s="168">
        <f t="shared" si="42"/>
        <v>0.478515625</v>
      </c>
      <c r="BI21" s="29">
        <v>18</v>
      </c>
      <c r="BJ21" s="52">
        <v>6</v>
      </c>
      <c r="BK21" s="52">
        <v>517</v>
      </c>
      <c r="BL21" s="52">
        <v>3.0293000000000001</v>
      </c>
      <c r="BM21" s="168">
        <f t="shared" si="43"/>
        <v>0.5048828125</v>
      </c>
      <c r="BN21" s="178"/>
      <c r="BR21" s="29">
        <v>18</v>
      </c>
      <c r="BS21" s="177">
        <v>4</v>
      </c>
      <c r="BT21" s="177">
        <v>490</v>
      </c>
      <c r="BU21" s="177" t="s">
        <v>224</v>
      </c>
      <c r="BV21" s="168">
        <f t="shared" si="44"/>
        <v>0.478515625</v>
      </c>
    </row>
    <row r="22" spans="1:74" ht="15.75" thickBot="1">
      <c r="A22" s="29">
        <f t="shared" si="0"/>
        <v>19</v>
      </c>
      <c r="B22" s="29">
        <f t="shared" si="1"/>
        <v>6</v>
      </c>
      <c r="C22" s="29">
        <f t="shared" si="2"/>
        <v>873</v>
      </c>
      <c r="D22" s="81">
        <f t="shared" si="18"/>
        <v>0.8525390625</v>
      </c>
      <c r="E22" s="243">
        <f t="shared" si="19"/>
        <v>25.44</v>
      </c>
      <c r="F22" s="81">
        <f t="shared" si="3"/>
        <v>260.263125</v>
      </c>
      <c r="G22" s="243">
        <f t="shared" si="20"/>
        <v>0</v>
      </c>
      <c r="H22" s="81">
        <f t="shared" si="4"/>
        <v>0</v>
      </c>
      <c r="I22" s="242">
        <f t="shared" si="5"/>
        <v>147.57299999999998</v>
      </c>
      <c r="J22" s="147">
        <f t="shared" si="6"/>
        <v>146.3980078125</v>
      </c>
      <c r="K22">
        <f t="shared" si="21"/>
        <v>5.115234375</v>
      </c>
      <c r="M22" s="248">
        <f t="shared" si="7"/>
        <v>130131.5625</v>
      </c>
      <c r="N22" s="249">
        <f t="shared" si="22"/>
        <v>11</v>
      </c>
      <c r="O22" s="249">
        <f t="shared" si="23"/>
        <v>131072</v>
      </c>
      <c r="P22" s="249">
        <f t="shared" si="24"/>
        <v>16</v>
      </c>
      <c r="Q22" s="249">
        <f t="shared" si="25"/>
        <v>94</v>
      </c>
      <c r="R22" s="249">
        <f t="shared" si="26"/>
        <v>131176</v>
      </c>
      <c r="S22" s="247">
        <f t="shared" si="8"/>
        <v>262.35199999999998</v>
      </c>
      <c r="T22" s="250">
        <f t="shared" si="9"/>
        <v>0</v>
      </c>
      <c r="U22" s="251" t="e">
        <f t="shared" si="27"/>
        <v>#NUM!</v>
      </c>
      <c r="V22" s="251" t="e">
        <f t="shared" si="28"/>
        <v>#NUM!</v>
      </c>
      <c r="W22" s="251">
        <f t="shared" si="29"/>
        <v>1</v>
      </c>
      <c r="X22" s="251" t="e">
        <f t="shared" si="30"/>
        <v>#N/A</v>
      </c>
      <c r="Y22" s="251" t="e">
        <f t="shared" si="31"/>
        <v>#NUM!</v>
      </c>
      <c r="Z22" s="247">
        <f t="shared" si="32"/>
        <v>0</v>
      </c>
      <c r="AA22" s="29">
        <f t="shared" si="10"/>
        <v>19</v>
      </c>
      <c r="AB22" s="29">
        <f t="shared" si="11"/>
        <v>6</v>
      </c>
      <c r="AC22" s="29">
        <f t="shared" si="12"/>
        <v>517</v>
      </c>
      <c r="AD22" s="81">
        <f t="shared" si="33"/>
        <v>0.5048828125</v>
      </c>
      <c r="AE22" s="81">
        <f t="shared" si="13"/>
        <v>137.376</v>
      </c>
      <c r="AF22" s="81">
        <f t="shared" si="14"/>
        <v>69.358781250000007</v>
      </c>
      <c r="AG22" s="243">
        <f t="shared" si="15"/>
        <v>13.926400000000001</v>
      </c>
      <c r="AH22">
        <f t="shared" si="34"/>
        <v>3.029296875</v>
      </c>
      <c r="AI22" s="251">
        <f t="shared" si="16"/>
        <v>34679.390625</v>
      </c>
      <c r="AJ22" s="252">
        <f t="shared" si="35"/>
        <v>10</v>
      </c>
      <c r="AK22" s="252">
        <f t="shared" si="45"/>
        <v>34816</v>
      </c>
      <c r="AL22" s="251">
        <f t="shared" si="46"/>
        <v>5</v>
      </c>
      <c r="AM22" s="251">
        <f t="shared" si="47"/>
        <v>94</v>
      </c>
      <c r="AN22" s="251">
        <f t="shared" si="48"/>
        <v>34816</v>
      </c>
      <c r="AO22" s="247">
        <f t="shared" si="17"/>
        <v>69.632000000000005</v>
      </c>
      <c r="AQ22" s="29">
        <v>19</v>
      </c>
      <c r="AR22" s="166">
        <v>6</v>
      </c>
      <c r="AS22" s="166">
        <v>517</v>
      </c>
      <c r="AT22" s="166">
        <v>3.0293000000000001</v>
      </c>
      <c r="AU22" s="168">
        <f t="shared" si="40"/>
        <v>0.5048828125</v>
      </c>
      <c r="AW22" s="29">
        <v>19</v>
      </c>
      <c r="AX22" s="166">
        <v>6</v>
      </c>
      <c r="AY22" s="166">
        <v>873</v>
      </c>
      <c r="AZ22" s="166">
        <v>5.1151999999999997</v>
      </c>
      <c r="BA22" s="168">
        <f t="shared" si="41"/>
        <v>0.8525390625</v>
      </c>
      <c r="BC22" s="29">
        <v>19</v>
      </c>
      <c r="BD22" s="6">
        <v>4</v>
      </c>
      <c r="BE22" s="6">
        <v>553</v>
      </c>
      <c r="BF22" s="6" t="s">
        <v>225</v>
      </c>
      <c r="BG22" s="168">
        <f t="shared" si="42"/>
        <v>0.5400390625</v>
      </c>
      <c r="BI22" s="29">
        <v>19</v>
      </c>
      <c r="BJ22" s="52">
        <v>6</v>
      </c>
      <c r="BK22" s="52">
        <v>567</v>
      </c>
      <c r="BL22" s="52">
        <v>3.3222999999999998</v>
      </c>
      <c r="BM22" s="168">
        <f t="shared" si="43"/>
        <v>0.5537109375</v>
      </c>
      <c r="BN22" s="178"/>
      <c r="BR22" s="29">
        <v>19</v>
      </c>
      <c r="BS22" s="177">
        <v>4</v>
      </c>
      <c r="BT22" s="177">
        <v>553</v>
      </c>
      <c r="BU22" s="177" t="s">
        <v>225</v>
      </c>
      <c r="BV22" s="168">
        <f t="shared" si="44"/>
        <v>0.5400390625</v>
      </c>
    </row>
    <row r="23" spans="1:74" ht="15.75" thickBot="1">
      <c r="A23" s="29">
        <f t="shared" si="0"/>
        <v>20</v>
      </c>
      <c r="B23" s="29">
        <f t="shared" si="1"/>
        <v>8</v>
      </c>
      <c r="C23" s="29">
        <f t="shared" si="2"/>
        <v>682.5</v>
      </c>
      <c r="D23" s="81">
        <f t="shared" si="18"/>
        <v>0.66650390625</v>
      </c>
      <c r="E23" s="243">
        <f t="shared" si="19"/>
        <v>25.44</v>
      </c>
      <c r="F23" s="81">
        <f t="shared" si="3"/>
        <v>271.29374999999999</v>
      </c>
      <c r="G23" s="243">
        <f t="shared" si="20"/>
        <v>0</v>
      </c>
      <c r="H23" s="81">
        <f t="shared" si="4"/>
        <v>0</v>
      </c>
      <c r="I23" s="242">
        <f t="shared" si="5"/>
        <v>152.208</v>
      </c>
      <c r="J23" s="147">
        <f t="shared" si="6"/>
        <v>152.60273437499998</v>
      </c>
      <c r="K23">
        <f t="shared" si="21"/>
        <v>5.33203125</v>
      </c>
      <c r="M23" s="248">
        <f t="shared" si="7"/>
        <v>135646.875</v>
      </c>
      <c r="N23" s="249">
        <f t="shared" si="22"/>
        <v>12</v>
      </c>
      <c r="O23" s="249">
        <f t="shared" si="23"/>
        <v>135168</v>
      </c>
      <c r="P23" s="249">
        <f t="shared" si="24"/>
        <v>17</v>
      </c>
      <c r="Q23" s="249">
        <f t="shared" si="25"/>
        <v>94</v>
      </c>
      <c r="R23" s="249">
        <f t="shared" si="26"/>
        <v>135296</v>
      </c>
      <c r="S23" s="247">
        <f t="shared" si="8"/>
        <v>270.59199999999998</v>
      </c>
      <c r="T23" s="250">
        <f t="shared" si="9"/>
        <v>0</v>
      </c>
      <c r="U23" s="251" t="e">
        <f t="shared" si="27"/>
        <v>#NUM!</v>
      </c>
      <c r="V23" s="251" t="e">
        <f t="shared" si="28"/>
        <v>#NUM!</v>
      </c>
      <c r="W23" s="251">
        <f t="shared" si="29"/>
        <v>1</v>
      </c>
      <c r="X23" s="251" t="e">
        <f t="shared" si="30"/>
        <v>#N/A</v>
      </c>
      <c r="Y23" s="251" t="e">
        <f t="shared" si="31"/>
        <v>#NUM!</v>
      </c>
      <c r="Z23" s="247">
        <f t="shared" si="32"/>
        <v>0</v>
      </c>
      <c r="AA23" s="29">
        <f t="shared" si="10"/>
        <v>20</v>
      </c>
      <c r="AB23" s="29">
        <f t="shared" si="11"/>
        <v>6</v>
      </c>
      <c r="AC23" s="29">
        <f t="shared" si="12"/>
        <v>567</v>
      </c>
      <c r="AD23" s="81">
        <f t="shared" si="33"/>
        <v>0.5537109375</v>
      </c>
      <c r="AE23" s="81">
        <f t="shared" si="13"/>
        <v>137.376</v>
      </c>
      <c r="AF23" s="81">
        <f t="shared" si="14"/>
        <v>76.066593749999996</v>
      </c>
      <c r="AG23" s="243">
        <f t="shared" si="15"/>
        <v>15.1584</v>
      </c>
      <c r="AH23">
        <f t="shared" si="34"/>
        <v>3.322265625</v>
      </c>
      <c r="AI23" s="251">
        <f t="shared" si="16"/>
        <v>38033.296875</v>
      </c>
      <c r="AJ23" s="252">
        <f t="shared" si="35"/>
        <v>10</v>
      </c>
      <c r="AK23" s="252">
        <f t="shared" si="45"/>
        <v>37888</v>
      </c>
      <c r="AL23" s="251">
        <f t="shared" si="46"/>
        <v>5</v>
      </c>
      <c r="AM23" s="251">
        <f t="shared" si="47"/>
        <v>94</v>
      </c>
      <c r="AN23" s="251">
        <f t="shared" si="48"/>
        <v>37896</v>
      </c>
      <c r="AO23" s="247">
        <f t="shared" si="17"/>
        <v>75.792000000000002</v>
      </c>
      <c r="AQ23" s="29">
        <v>20</v>
      </c>
      <c r="AR23" s="166">
        <v>6</v>
      </c>
      <c r="AS23" s="166">
        <v>567</v>
      </c>
      <c r="AT23" s="166">
        <v>3.3222999999999998</v>
      </c>
      <c r="AU23" s="168">
        <f t="shared" si="40"/>
        <v>0.5537109375</v>
      </c>
      <c r="AW23" s="29">
        <v>20</v>
      </c>
      <c r="AX23" s="166">
        <v>8</v>
      </c>
      <c r="AY23" s="166">
        <v>682.5</v>
      </c>
      <c r="AZ23" s="166">
        <v>5.3319999999999999</v>
      </c>
      <c r="BA23" s="168">
        <f t="shared" si="41"/>
        <v>0.66650390625</v>
      </c>
      <c r="BC23" s="29">
        <v>20</v>
      </c>
      <c r="BD23" s="6">
        <v>4</v>
      </c>
      <c r="BE23" s="6">
        <v>616</v>
      </c>
      <c r="BF23" s="6" t="s">
        <v>226</v>
      </c>
      <c r="BG23" s="168">
        <f t="shared" si="42"/>
        <v>0.6015625</v>
      </c>
      <c r="BI23" s="29">
        <v>20</v>
      </c>
      <c r="BJ23" s="52">
        <v>6</v>
      </c>
      <c r="BK23" s="52">
        <v>616</v>
      </c>
      <c r="BL23" s="52">
        <v>3.6093999999999999</v>
      </c>
      <c r="BM23" s="168">
        <f t="shared" si="43"/>
        <v>0.6015625</v>
      </c>
      <c r="BN23" s="178"/>
      <c r="BR23" s="29">
        <v>20</v>
      </c>
      <c r="BS23" s="177">
        <v>4</v>
      </c>
      <c r="BT23" s="177">
        <v>616</v>
      </c>
      <c r="BU23" s="177" t="s">
        <v>226</v>
      </c>
      <c r="BV23" s="168">
        <f t="shared" si="44"/>
        <v>0.6015625</v>
      </c>
    </row>
    <row r="24" spans="1:74" ht="15.75" thickBot="1">
      <c r="A24" s="29">
        <f t="shared" si="0"/>
        <v>21</v>
      </c>
      <c r="B24" s="29">
        <f t="shared" si="1"/>
        <v>8</v>
      </c>
      <c r="C24" s="29">
        <f t="shared" si="2"/>
        <v>711</v>
      </c>
      <c r="D24" s="81">
        <f t="shared" si="18"/>
        <v>0.6943359375</v>
      </c>
      <c r="E24" s="243">
        <f t="shared" si="19"/>
        <v>25.44</v>
      </c>
      <c r="F24" s="81">
        <f t="shared" si="3"/>
        <v>282.6225</v>
      </c>
      <c r="G24" s="243">
        <f t="shared" si="20"/>
        <v>0</v>
      </c>
      <c r="H24" s="81">
        <f t="shared" si="4"/>
        <v>0</v>
      </c>
      <c r="I24" s="242">
        <f t="shared" si="5"/>
        <v>156.798</v>
      </c>
      <c r="J24" s="147">
        <f t="shared" si="6"/>
        <v>158.97515625</v>
      </c>
      <c r="K24">
        <f t="shared" si="21"/>
        <v>5.5546875</v>
      </c>
      <c r="M24" s="248">
        <f t="shared" si="7"/>
        <v>141311.25</v>
      </c>
      <c r="N24" s="249">
        <f t="shared" si="22"/>
        <v>12</v>
      </c>
      <c r="O24" s="249">
        <f t="shared" si="23"/>
        <v>139264</v>
      </c>
      <c r="P24" s="249">
        <f t="shared" si="24"/>
        <v>17</v>
      </c>
      <c r="Q24" s="249">
        <f t="shared" si="25"/>
        <v>94</v>
      </c>
      <c r="R24" s="249">
        <f t="shared" si="26"/>
        <v>139376</v>
      </c>
      <c r="S24" s="247">
        <f t="shared" si="8"/>
        <v>278.75200000000001</v>
      </c>
      <c r="T24" s="250">
        <f t="shared" si="9"/>
        <v>0</v>
      </c>
      <c r="U24" s="251" t="e">
        <f t="shared" si="27"/>
        <v>#NUM!</v>
      </c>
      <c r="V24" s="251" t="e">
        <f t="shared" si="28"/>
        <v>#NUM!</v>
      </c>
      <c r="W24" s="251">
        <f t="shared" si="29"/>
        <v>1</v>
      </c>
      <c r="X24" s="251" t="e">
        <f t="shared" si="30"/>
        <v>#N/A</v>
      </c>
      <c r="Y24" s="251" t="e">
        <f t="shared" si="31"/>
        <v>#NUM!</v>
      </c>
      <c r="Z24" s="247">
        <f t="shared" si="32"/>
        <v>0</v>
      </c>
      <c r="AA24" s="29">
        <f t="shared" si="10"/>
        <v>21</v>
      </c>
      <c r="AB24" s="29">
        <f t="shared" si="11"/>
        <v>6</v>
      </c>
      <c r="AC24" s="29">
        <f t="shared" si="12"/>
        <v>616</v>
      </c>
      <c r="AD24" s="81">
        <f t="shared" si="33"/>
        <v>0.6015625</v>
      </c>
      <c r="AE24" s="81">
        <f t="shared" si="13"/>
        <v>137.376</v>
      </c>
      <c r="AF24" s="81">
        <f t="shared" si="14"/>
        <v>82.640250000000009</v>
      </c>
      <c r="AG24" s="243">
        <f t="shared" si="15"/>
        <v>16.3904</v>
      </c>
      <c r="AH24">
        <f t="shared" si="34"/>
        <v>3.609375</v>
      </c>
      <c r="AI24" s="251">
        <f t="shared" si="16"/>
        <v>41320.125000000007</v>
      </c>
      <c r="AJ24" s="252">
        <f t="shared" si="35"/>
        <v>10</v>
      </c>
      <c r="AK24" s="252">
        <f t="shared" si="45"/>
        <v>40960</v>
      </c>
      <c r="AL24" s="251">
        <f t="shared" si="46"/>
        <v>5</v>
      </c>
      <c r="AM24" s="251">
        <f t="shared" si="47"/>
        <v>94</v>
      </c>
      <c r="AN24" s="251">
        <f t="shared" si="48"/>
        <v>40976</v>
      </c>
      <c r="AO24" s="247">
        <f t="shared" si="17"/>
        <v>81.951999999999998</v>
      </c>
      <c r="AQ24" s="29">
        <v>21</v>
      </c>
      <c r="AR24" s="166">
        <v>6</v>
      </c>
      <c r="AS24" s="166">
        <v>616</v>
      </c>
      <c r="AT24" s="166">
        <v>3.6093999999999999</v>
      </c>
      <c r="AU24" s="168">
        <f t="shared" si="40"/>
        <v>0.6015625</v>
      </c>
      <c r="AW24" s="29">
        <v>21</v>
      </c>
      <c r="AX24" s="166">
        <v>8</v>
      </c>
      <c r="AY24" s="166">
        <v>711</v>
      </c>
      <c r="AZ24" s="166">
        <v>5.5547000000000004</v>
      </c>
      <c r="BA24" s="168">
        <f t="shared" si="41"/>
        <v>0.6943359375</v>
      </c>
      <c r="BC24" s="29">
        <v>21</v>
      </c>
      <c r="BD24" s="6">
        <v>6</v>
      </c>
      <c r="BE24" s="6">
        <v>438</v>
      </c>
      <c r="BF24" s="6" t="s">
        <v>227</v>
      </c>
      <c r="BG24" s="168">
        <f t="shared" si="42"/>
        <v>0.427734375</v>
      </c>
      <c r="BI24" s="29">
        <v>21</v>
      </c>
      <c r="BJ24" s="52">
        <v>6</v>
      </c>
      <c r="BK24" s="52">
        <v>666</v>
      </c>
      <c r="BL24" s="52">
        <v>3.9022999999999999</v>
      </c>
      <c r="BM24" s="168">
        <f t="shared" si="43"/>
        <v>0.650390625</v>
      </c>
      <c r="BN24" s="178"/>
      <c r="BR24" s="29">
        <v>21</v>
      </c>
      <c r="BS24" s="177">
        <v>4</v>
      </c>
      <c r="BT24" s="177">
        <v>658</v>
      </c>
      <c r="BU24" s="177">
        <v>2.5703</v>
      </c>
      <c r="BV24" s="168">
        <f t="shared" si="44"/>
        <v>0.642578125</v>
      </c>
    </row>
    <row r="25" spans="1:74" ht="15.75" thickBot="1">
      <c r="A25" s="29">
        <f t="shared" si="0"/>
        <v>22</v>
      </c>
      <c r="B25" s="29">
        <f t="shared" si="1"/>
        <v>8</v>
      </c>
      <c r="C25" s="29">
        <f t="shared" si="2"/>
        <v>754</v>
      </c>
      <c r="D25" s="81">
        <f t="shared" si="18"/>
        <v>0.736328125</v>
      </c>
      <c r="E25" s="243">
        <f t="shared" si="19"/>
        <v>25.44</v>
      </c>
      <c r="F25" s="81">
        <f t="shared" si="3"/>
        <v>299.71500000000003</v>
      </c>
      <c r="G25" s="243">
        <f t="shared" si="20"/>
        <v>0</v>
      </c>
      <c r="H25" s="81">
        <f t="shared" si="4"/>
        <v>0</v>
      </c>
      <c r="I25" s="242">
        <f t="shared" si="5"/>
        <v>170.559</v>
      </c>
      <c r="J25" s="147">
        <f t="shared" si="6"/>
        <v>168.58968750000003</v>
      </c>
      <c r="K25">
        <f t="shared" si="21"/>
        <v>5.890625</v>
      </c>
      <c r="M25" s="248">
        <f t="shared" si="7"/>
        <v>149857.50000000003</v>
      </c>
      <c r="N25" s="249">
        <f t="shared" si="22"/>
        <v>12</v>
      </c>
      <c r="O25" s="249">
        <f t="shared" si="23"/>
        <v>151552</v>
      </c>
      <c r="P25" s="249">
        <f t="shared" si="24"/>
        <v>18</v>
      </c>
      <c r="Q25" s="249">
        <f t="shared" si="25"/>
        <v>94</v>
      </c>
      <c r="R25" s="249">
        <f t="shared" si="26"/>
        <v>151608</v>
      </c>
      <c r="S25" s="247">
        <f t="shared" si="8"/>
        <v>303.21600000000001</v>
      </c>
      <c r="T25" s="250">
        <f t="shared" si="9"/>
        <v>0</v>
      </c>
      <c r="U25" s="251" t="e">
        <f t="shared" si="27"/>
        <v>#NUM!</v>
      </c>
      <c r="V25" s="251" t="e">
        <f t="shared" si="28"/>
        <v>#NUM!</v>
      </c>
      <c r="W25" s="251">
        <f t="shared" si="29"/>
        <v>1</v>
      </c>
      <c r="X25" s="251" t="e">
        <f t="shared" si="30"/>
        <v>#N/A</v>
      </c>
      <c r="Y25" s="251" t="e">
        <f t="shared" si="31"/>
        <v>#NUM!</v>
      </c>
      <c r="Z25" s="247">
        <f t="shared" si="32"/>
        <v>0</v>
      </c>
      <c r="AA25" s="29">
        <f t="shared" si="10"/>
        <v>22</v>
      </c>
      <c r="AB25" s="29">
        <f t="shared" si="11"/>
        <v>6</v>
      </c>
      <c r="AC25" s="29">
        <f t="shared" si="12"/>
        <v>666</v>
      </c>
      <c r="AD25" s="81">
        <f t="shared" si="33"/>
        <v>0.650390625</v>
      </c>
      <c r="AE25" s="81">
        <f t="shared" si="13"/>
        <v>137.376</v>
      </c>
      <c r="AF25" s="81">
        <f t="shared" si="14"/>
        <v>89.348062499999997</v>
      </c>
      <c r="AG25" s="243">
        <f t="shared" si="15"/>
        <v>18.038399999999999</v>
      </c>
      <c r="AH25">
        <f t="shared" si="34"/>
        <v>3.90234375</v>
      </c>
      <c r="AI25" s="251">
        <f t="shared" si="16"/>
        <v>44674.03125</v>
      </c>
      <c r="AJ25" s="252">
        <f t="shared" si="35"/>
        <v>10</v>
      </c>
      <c r="AK25" s="252">
        <f t="shared" si="45"/>
        <v>45056</v>
      </c>
      <c r="AL25" s="251">
        <f t="shared" si="46"/>
        <v>6</v>
      </c>
      <c r="AM25" s="251">
        <f t="shared" si="47"/>
        <v>94</v>
      </c>
      <c r="AN25" s="251">
        <f t="shared" si="48"/>
        <v>45096</v>
      </c>
      <c r="AO25" s="247">
        <f t="shared" si="17"/>
        <v>90.191999999999993</v>
      </c>
      <c r="AQ25" s="29">
        <v>22</v>
      </c>
      <c r="AR25" s="166">
        <v>6</v>
      </c>
      <c r="AS25" s="166">
        <v>666</v>
      </c>
      <c r="AT25" s="166">
        <v>3.9022999999999999</v>
      </c>
      <c r="AU25" s="168">
        <f t="shared" si="40"/>
        <v>0.650390625</v>
      </c>
      <c r="AW25" s="29">
        <v>22</v>
      </c>
      <c r="AX25" s="166">
        <v>8</v>
      </c>
      <c r="AY25" s="166">
        <v>754</v>
      </c>
      <c r="AZ25" s="166">
        <v>5.8906000000000001</v>
      </c>
      <c r="BA25" s="168">
        <f t="shared" si="41"/>
        <v>0.736328125</v>
      </c>
      <c r="BC25" s="29">
        <v>22</v>
      </c>
      <c r="BD25" s="6">
        <v>6</v>
      </c>
      <c r="BE25" s="6">
        <v>466</v>
      </c>
      <c r="BF25" s="6" t="s">
        <v>228</v>
      </c>
      <c r="BG25" s="168">
        <f t="shared" si="42"/>
        <v>0.455078125</v>
      </c>
      <c r="BI25" s="29">
        <v>22</v>
      </c>
      <c r="BJ25" s="52">
        <v>6</v>
      </c>
      <c r="BK25" s="52">
        <v>719</v>
      </c>
      <c r="BL25" s="52">
        <v>4.2129000000000003</v>
      </c>
      <c r="BM25" s="168">
        <f t="shared" si="43"/>
        <v>0.7021484375</v>
      </c>
      <c r="BN25" s="178"/>
      <c r="BR25" s="29">
        <v>22</v>
      </c>
      <c r="BS25" s="177">
        <v>4</v>
      </c>
      <c r="BT25" s="177">
        <v>699</v>
      </c>
      <c r="BU25" s="177" t="s">
        <v>228</v>
      </c>
      <c r="BV25" s="168">
        <f t="shared" si="44"/>
        <v>0.6826171875</v>
      </c>
    </row>
    <row r="26" spans="1:74" ht="15.75" thickBot="1">
      <c r="A26" s="29">
        <f t="shared" si="0"/>
        <v>23</v>
      </c>
      <c r="B26" s="29">
        <f t="shared" si="1"/>
        <v>8</v>
      </c>
      <c r="C26" s="29">
        <f t="shared" si="2"/>
        <v>797</v>
      </c>
      <c r="D26" s="81">
        <f t="shared" si="18"/>
        <v>0.7783203125</v>
      </c>
      <c r="E26" s="243">
        <f t="shared" si="19"/>
        <v>25.44</v>
      </c>
      <c r="F26" s="81">
        <f t="shared" si="3"/>
        <v>316.8075</v>
      </c>
      <c r="G26" s="243">
        <f t="shared" si="20"/>
        <v>0</v>
      </c>
      <c r="H26" s="81">
        <f t="shared" si="4"/>
        <v>0</v>
      </c>
      <c r="I26" s="242">
        <f t="shared" si="5"/>
        <v>179.86500000000001</v>
      </c>
      <c r="J26" s="147">
        <f t="shared" si="6"/>
        <v>178.20421875</v>
      </c>
      <c r="K26">
        <f t="shared" si="21"/>
        <v>6.2265625</v>
      </c>
      <c r="M26" s="248">
        <f t="shared" si="7"/>
        <v>158403.75</v>
      </c>
      <c r="N26" s="249">
        <f t="shared" si="22"/>
        <v>12</v>
      </c>
      <c r="O26" s="249">
        <f t="shared" si="23"/>
        <v>159744</v>
      </c>
      <c r="P26" s="249">
        <f t="shared" si="24"/>
        <v>19</v>
      </c>
      <c r="Q26" s="249">
        <f t="shared" si="25"/>
        <v>94</v>
      </c>
      <c r="R26" s="249">
        <f t="shared" si="26"/>
        <v>159880</v>
      </c>
      <c r="S26" s="247">
        <f t="shared" si="8"/>
        <v>319.76</v>
      </c>
      <c r="T26" s="250">
        <f t="shared" si="9"/>
        <v>0</v>
      </c>
      <c r="U26" s="251" t="e">
        <f t="shared" si="27"/>
        <v>#NUM!</v>
      </c>
      <c r="V26" s="251" t="e">
        <f t="shared" si="28"/>
        <v>#NUM!</v>
      </c>
      <c r="W26" s="251">
        <f t="shared" si="29"/>
        <v>1</v>
      </c>
      <c r="X26" s="251" t="e">
        <f t="shared" si="30"/>
        <v>#N/A</v>
      </c>
      <c r="Y26" s="251" t="e">
        <f t="shared" si="31"/>
        <v>#NUM!</v>
      </c>
      <c r="Z26" s="247">
        <f t="shared" si="32"/>
        <v>0</v>
      </c>
      <c r="AA26" s="29">
        <f t="shared" si="10"/>
        <v>23</v>
      </c>
      <c r="AB26" s="29">
        <f t="shared" si="11"/>
        <v>6</v>
      </c>
      <c r="AC26" s="29">
        <f t="shared" si="12"/>
        <v>719</v>
      </c>
      <c r="AD26" s="81">
        <f t="shared" si="33"/>
        <v>0.7021484375</v>
      </c>
      <c r="AE26" s="81">
        <f t="shared" si="13"/>
        <v>137.376</v>
      </c>
      <c r="AF26" s="81">
        <f t="shared" si="14"/>
        <v>96.458343749999997</v>
      </c>
      <c r="AG26" s="243">
        <f t="shared" si="15"/>
        <v>19.267200000000003</v>
      </c>
      <c r="AH26">
        <f t="shared" si="34"/>
        <v>4.212890625</v>
      </c>
      <c r="AI26" s="251">
        <f t="shared" si="16"/>
        <v>48229.171875</v>
      </c>
      <c r="AJ26" s="252">
        <f t="shared" si="35"/>
        <v>10</v>
      </c>
      <c r="AK26" s="252">
        <f t="shared" si="45"/>
        <v>48128</v>
      </c>
      <c r="AL26" s="251">
        <f t="shared" si="46"/>
        <v>6</v>
      </c>
      <c r="AM26" s="251">
        <f t="shared" si="47"/>
        <v>94</v>
      </c>
      <c r="AN26" s="251">
        <f t="shared" si="48"/>
        <v>48168</v>
      </c>
      <c r="AO26" s="247">
        <f t="shared" si="17"/>
        <v>96.335999999999999</v>
      </c>
      <c r="AQ26" s="29">
        <v>23</v>
      </c>
      <c r="AR26" s="166">
        <v>6</v>
      </c>
      <c r="AS26" s="166">
        <v>719</v>
      </c>
      <c r="AT26" s="166">
        <v>4.2129000000000003</v>
      </c>
      <c r="AU26" s="168">
        <f t="shared" si="40"/>
        <v>0.7021484375</v>
      </c>
      <c r="AW26" s="29">
        <v>23</v>
      </c>
      <c r="AX26" s="166">
        <v>8</v>
      </c>
      <c r="AY26" s="166">
        <v>797</v>
      </c>
      <c r="AZ26" s="166">
        <v>6.2266000000000004</v>
      </c>
      <c r="BA26" s="168">
        <f t="shared" si="41"/>
        <v>0.7783203125</v>
      </c>
      <c r="BC26" s="29">
        <v>23</v>
      </c>
      <c r="BD26" s="6">
        <v>6</v>
      </c>
      <c r="BE26" s="6">
        <v>517</v>
      </c>
      <c r="BF26" s="6" t="s">
        <v>229</v>
      </c>
      <c r="BG26" s="168">
        <f t="shared" si="42"/>
        <v>0.5048828125</v>
      </c>
      <c r="BI26" s="29">
        <v>23</v>
      </c>
      <c r="BJ26" s="52">
        <v>6</v>
      </c>
      <c r="BK26" s="52">
        <v>772</v>
      </c>
      <c r="BL26" s="52">
        <v>4.5233999999999996</v>
      </c>
      <c r="BM26" s="168">
        <f t="shared" si="43"/>
        <v>0.75390625</v>
      </c>
      <c r="BN26" s="178"/>
      <c r="BR26" s="29">
        <v>23</v>
      </c>
      <c r="BS26" s="177">
        <v>4</v>
      </c>
      <c r="BT26" s="177">
        <v>772</v>
      </c>
      <c r="BU26" s="177" t="s">
        <v>245</v>
      </c>
      <c r="BV26" s="168">
        <f t="shared" si="44"/>
        <v>0.75390625</v>
      </c>
    </row>
    <row r="27" spans="1:74" ht="15.75" thickBot="1">
      <c r="A27" s="29">
        <f t="shared" si="0"/>
        <v>24</v>
      </c>
      <c r="B27" s="29">
        <f t="shared" si="1"/>
        <v>8</v>
      </c>
      <c r="C27" s="29">
        <f t="shared" si="2"/>
        <v>841</v>
      </c>
      <c r="D27" s="81">
        <f t="shared" si="18"/>
        <v>0.8212890625</v>
      </c>
      <c r="E27" s="243">
        <f t="shared" si="19"/>
        <v>25.44</v>
      </c>
      <c r="F27" s="81">
        <f t="shared" si="3"/>
        <v>334.29750000000001</v>
      </c>
      <c r="G27" s="243">
        <f t="shared" si="20"/>
        <v>0</v>
      </c>
      <c r="H27" s="81">
        <f t="shared" si="4"/>
        <v>0</v>
      </c>
      <c r="I27" s="242">
        <f t="shared" si="5"/>
        <v>188.97300000000001</v>
      </c>
      <c r="J27" s="147">
        <f t="shared" si="6"/>
        <v>188.04234375000001</v>
      </c>
      <c r="K27">
        <f t="shared" si="21"/>
        <v>6.5703125</v>
      </c>
      <c r="M27" s="248">
        <f t="shared" si="7"/>
        <v>167148.75</v>
      </c>
      <c r="N27" s="249">
        <f t="shared" si="22"/>
        <v>12</v>
      </c>
      <c r="O27" s="249">
        <f t="shared" si="23"/>
        <v>167936</v>
      </c>
      <c r="P27" s="249">
        <f t="shared" si="24"/>
        <v>20</v>
      </c>
      <c r="Q27" s="249">
        <f t="shared" si="25"/>
        <v>94</v>
      </c>
      <c r="R27" s="249">
        <f t="shared" si="26"/>
        <v>167976</v>
      </c>
      <c r="S27" s="247">
        <f t="shared" si="8"/>
        <v>335.952</v>
      </c>
      <c r="T27" s="250">
        <f t="shared" si="9"/>
        <v>0</v>
      </c>
      <c r="U27" s="251" t="e">
        <f t="shared" si="27"/>
        <v>#NUM!</v>
      </c>
      <c r="V27" s="251" t="e">
        <f t="shared" si="28"/>
        <v>#NUM!</v>
      </c>
      <c r="W27" s="251">
        <f t="shared" si="29"/>
        <v>1</v>
      </c>
      <c r="X27" s="251" t="e">
        <f t="shared" si="30"/>
        <v>#N/A</v>
      </c>
      <c r="Y27" s="251" t="e">
        <f t="shared" si="31"/>
        <v>#NUM!</v>
      </c>
      <c r="Z27" s="247">
        <f t="shared" si="32"/>
        <v>0</v>
      </c>
      <c r="AA27" s="29">
        <f t="shared" si="10"/>
        <v>24</v>
      </c>
      <c r="AB27" s="29">
        <f t="shared" si="11"/>
        <v>6</v>
      </c>
      <c r="AC27" s="29">
        <f t="shared" si="12"/>
        <v>772</v>
      </c>
      <c r="AD27" s="81">
        <f t="shared" si="33"/>
        <v>0.75390625</v>
      </c>
      <c r="AE27" s="81">
        <f t="shared" si="13"/>
        <v>137.376</v>
      </c>
      <c r="AF27" s="81">
        <f t="shared" si="14"/>
        <v>103.568625</v>
      </c>
      <c r="AG27" s="243">
        <f t="shared" si="15"/>
        <v>20.889600000000002</v>
      </c>
      <c r="AH27">
        <f t="shared" si="34"/>
        <v>4.5234375</v>
      </c>
      <c r="AI27" s="251">
        <f t="shared" si="16"/>
        <v>51784.3125</v>
      </c>
      <c r="AJ27" s="252">
        <f t="shared" si="35"/>
        <v>10</v>
      </c>
      <c r="AK27" s="252">
        <f t="shared" si="45"/>
        <v>52224</v>
      </c>
      <c r="AL27" s="251">
        <f t="shared" si="46"/>
        <v>7</v>
      </c>
      <c r="AM27" s="251">
        <f t="shared" si="47"/>
        <v>94</v>
      </c>
      <c r="AN27" s="251">
        <f t="shared" si="48"/>
        <v>52224</v>
      </c>
      <c r="AO27" s="247">
        <f t="shared" si="17"/>
        <v>104.44799999999999</v>
      </c>
      <c r="AQ27" s="29">
        <v>24</v>
      </c>
      <c r="AR27" s="166">
        <v>6</v>
      </c>
      <c r="AS27" s="166">
        <v>772</v>
      </c>
      <c r="AT27" s="166">
        <v>4.5233999999999996</v>
      </c>
      <c r="AU27" s="168">
        <f t="shared" si="40"/>
        <v>0.75390625</v>
      </c>
      <c r="AW27" s="29">
        <v>24</v>
      </c>
      <c r="AX27" s="166">
        <v>8</v>
      </c>
      <c r="AY27" s="166">
        <v>841</v>
      </c>
      <c r="AZ27" s="166">
        <v>6.5702999999999996</v>
      </c>
      <c r="BA27" s="168">
        <f t="shared" si="41"/>
        <v>0.8212890625</v>
      </c>
      <c r="BC27" s="29">
        <v>24</v>
      </c>
      <c r="BD27" s="6">
        <v>6</v>
      </c>
      <c r="BE27" s="6">
        <v>567</v>
      </c>
      <c r="BF27" s="6" t="s">
        <v>230</v>
      </c>
      <c r="BG27" s="168">
        <f t="shared" si="42"/>
        <v>0.5537109375</v>
      </c>
      <c r="BI27" s="29">
        <v>24</v>
      </c>
      <c r="BJ27" s="52">
        <v>6</v>
      </c>
      <c r="BK27" s="52">
        <v>822</v>
      </c>
      <c r="BL27" s="52">
        <v>4.8163999999999998</v>
      </c>
      <c r="BM27" s="168">
        <f t="shared" si="43"/>
        <v>0.802734375</v>
      </c>
      <c r="BN27" s="178"/>
      <c r="BR27" s="29">
        <v>24</v>
      </c>
      <c r="BS27" s="177">
        <v>6</v>
      </c>
      <c r="BT27" s="177">
        <v>567</v>
      </c>
      <c r="BU27" s="177" t="s">
        <v>230</v>
      </c>
      <c r="BV27" s="168">
        <f t="shared" si="44"/>
        <v>0.5537109375</v>
      </c>
    </row>
    <row r="28" spans="1:74" ht="15.75" thickBot="1">
      <c r="A28" s="29">
        <f t="shared" si="0"/>
        <v>25</v>
      </c>
      <c r="B28" s="29">
        <f t="shared" si="1"/>
        <v>8</v>
      </c>
      <c r="C28" s="29">
        <f t="shared" si="2"/>
        <v>885</v>
      </c>
      <c r="D28" s="81">
        <f t="shared" si="18"/>
        <v>0.8642578125</v>
      </c>
      <c r="E28" s="243">
        <f t="shared" si="19"/>
        <v>25.44</v>
      </c>
      <c r="F28" s="81">
        <f t="shared" si="3"/>
        <v>351.78750000000002</v>
      </c>
      <c r="G28" s="243">
        <f t="shared" si="20"/>
        <v>0</v>
      </c>
      <c r="H28" s="81">
        <f t="shared" si="4"/>
        <v>0</v>
      </c>
      <c r="I28" s="242">
        <f t="shared" si="5"/>
        <v>198.23400000000001</v>
      </c>
      <c r="J28" s="147">
        <f t="shared" si="6"/>
        <v>197.88046875000001</v>
      </c>
      <c r="K28">
        <f t="shared" si="21"/>
        <v>6.9140625</v>
      </c>
      <c r="M28" s="248">
        <f t="shared" si="7"/>
        <v>175893.75</v>
      </c>
      <c r="N28" s="249">
        <f t="shared" si="22"/>
        <v>12</v>
      </c>
      <c r="O28" s="249">
        <f t="shared" si="23"/>
        <v>176128</v>
      </c>
      <c r="P28" s="249">
        <f t="shared" si="24"/>
        <v>21</v>
      </c>
      <c r="Q28" s="249">
        <f t="shared" si="25"/>
        <v>94</v>
      </c>
      <c r="R28" s="249">
        <f t="shared" si="26"/>
        <v>176208</v>
      </c>
      <c r="S28" s="247">
        <f t="shared" si="8"/>
        <v>352.416</v>
      </c>
      <c r="T28" s="250">
        <f t="shared" si="9"/>
        <v>0</v>
      </c>
      <c r="U28" s="251" t="e">
        <f t="shared" si="27"/>
        <v>#NUM!</v>
      </c>
      <c r="V28" s="251" t="e">
        <f t="shared" si="28"/>
        <v>#NUM!</v>
      </c>
      <c r="W28" s="251">
        <f t="shared" si="29"/>
        <v>1</v>
      </c>
      <c r="X28" s="251" t="e">
        <f t="shared" si="30"/>
        <v>#N/A</v>
      </c>
      <c r="Y28" s="251" t="e">
        <f t="shared" si="31"/>
        <v>#NUM!</v>
      </c>
      <c r="Z28" s="247">
        <f t="shared" si="32"/>
        <v>0</v>
      </c>
      <c r="AA28" s="29">
        <f t="shared" si="10"/>
        <v>25</v>
      </c>
      <c r="AB28" s="29">
        <f t="shared" si="11"/>
        <v>6</v>
      </c>
      <c r="AC28" s="29">
        <f t="shared" si="12"/>
        <v>822</v>
      </c>
      <c r="AD28" s="81">
        <f t="shared" si="33"/>
        <v>0.802734375</v>
      </c>
      <c r="AE28" s="81">
        <f t="shared" si="13"/>
        <v>137.376</v>
      </c>
      <c r="AF28" s="81">
        <f t="shared" si="14"/>
        <v>110.2764375</v>
      </c>
      <c r="AG28" s="243">
        <f t="shared" si="15"/>
        <v>22.121600000000001</v>
      </c>
      <c r="AH28">
        <f t="shared" si="34"/>
        <v>4.81640625</v>
      </c>
      <c r="AI28" s="251">
        <f t="shared" si="16"/>
        <v>55138.21875</v>
      </c>
      <c r="AJ28" s="252">
        <f t="shared" si="35"/>
        <v>10</v>
      </c>
      <c r="AK28" s="252">
        <f t="shared" si="45"/>
        <v>55296</v>
      </c>
      <c r="AL28" s="251">
        <f t="shared" si="46"/>
        <v>7</v>
      </c>
      <c r="AM28" s="251">
        <f t="shared" si="47"/>
        <v>94</v>
      </c>
      <c r="AN28" s="251">
        <f t="shared" si="48"/>
        <v>55304</v>
      </c>
      <c r="AO28" s="247">
        <f t="shared" si="17"/>
        <v>110.608</v>
      </c>
      <c r="AQ28" s="29">
        <v>25</v>
      </c>
      <c r="AR28" s="166">
        <v>6</v>
      </c>
      <c r="AS28" s="166">
        <v>822</v>
      </c>
      <c r="AT28" s="166">
        <v>4.8163999999999998</v>
      </c>
      <c r="AU28" s="168">
        <f t="shared" si="40"/>
        <v>0.802734375</v>
      </c>
      <c r="AW28" s="29">
        <v>25</v>
      </c>
      <c r="AX28" s="166">
        <v>8</v>
      </c>
      <c r="AY28" s="166">
        <v>885</v>
      </c>
      <c r="AZ28" s="166">
        <v>6.9141000000000004</v>
      </c>
      <c r="BA28" s="168">
        <f t="shared" si="41"/>
        <v>0.8642578125</v>
      </c>
      <c r="BC28" s="29">
        <v>25</v>
      </c>
      <c r="BD28" s="6">
        <v>6</v>
      </c>
      <c r="BE28" s="6">
        <v>616</v>
      </c>
      <c r="BF28" s="6" t="s">
        <v>231</v>
      </c>
      <c r="BG28" s="168">
        <f t="shared" si="42"/>
        <v>0.6015625</v>
      </c>
      <c r="BI28" s="29">
        <v>25</v>
      </c>
      <c r="BJ28" s="52">
        <v>6</v>
      </c>
      <c r="BK28" s="52">
        <v>873</v>
      </c>
      <c r="BL28" s="52">
        <v>5.1151999999999997</v>
      </c>
      <c r="BM28" s="168">
        <f t="shared" si="43"/>
        <v>0.8525390625</v>
      </c>
      <c r="BN28" s="178"/>
      <c r="BR28" s="29">
        <v>25</v>
      </c>
      <c r="BS28" s="177">
        <v>6</v>
      </c>
      <c r="BT28" s="177">
        <v>616</v>
      </c>
      <c r="BU28" s="177" t="s">
        <v>231</v>
      </c>
      <c r="BV28" s="168">
        <f t="shared" si="44"/>
        <v>0.6015625</v>
      </c>
    </row>
    <row r="29" spans="1:74" ht="15.75" thickBot="1">
      <c r="A29" s="29">
        <f t="shared" si="0"/>
        <v>26</v>
      </c>
      <c r="B29" s="29">
        <f t="shared" si="1"/>
        <v>8</v>
      </c>
      <c r="C29" s="29">
        <f t="shared" si="2"/>
        <v>916.5</v>
      </c>
      <c r="D29" s="81">
        <f t="shared" si="18"/>
        <v>0.89501953125</v>
      </c>
      <c r="E29" s="243">
        <f t="shared" si="19"/>
        <v>25.44</v>
      </c>
      <c r="F29" s="81">
        <f t="shared" si="3"/>
        <v>364.30875000000003</v>
      </c>
      <c r="G29" s="243">
        <f t="shared" si="20"/>
        <v>0</v>
      </c>
      <c r="H29" s="81">
        <f t="shared" si="4"/>
        <v>0</v>
      </c>
      <c r="I29" s="242">
        <f t="shared" si="5"/>
        <v>202.923</v>
      </c>
      <c r="J29" s="147">
        <f t="shared" si="6"/>
        <v>204.92367187500003</v>
      </c>
      <c r="K29">
        <f t="shared" si="21"/>
        <v>7.16015625</v>
      </c>
      <c r="M29" s="248">
        <f t="shared" si="7"/>
        <v>182154.37500000003</v>
      </c>
      <c r="N29" s="249">
        <f t="shared" si="22"/>
        <v>12</v>
      </c>
      <c r="O29" s="249">
        <f t="shared" si="23"/>
        <v>180224</v>
      </c>
      <c r="P29" s="249">
        <f t="shared" si="24"/>
        <v>22</v>
      </c>
      <c r="Q29" s="249">
        <f t="shared" si="25"/>
        <v>94</v>
      </c>
      <c r="R29" s="249">
        <f t="shared" si="26"/>
        <v>180376</v>
      </c>
      <c r="S29" s="247">
        <f t="shared" si="8"/>
        <v>360.75200000000001</v>
      </c>
      <c r="T29" s="250">
        <f t="shared" si="9"/>
        <v>0</v>
      </c>
      <c r="U29" s="251" t="e">
        <f t="shared" si="27"/>
        <v>#NUM!</v>
      </c>
      <c r="V29" s="251" t="e">
        <f t="shared" si="28"/>
        <v>#NUM!</v>
      </c>
      <c r="W29" s="251">
        <f t="shared" si="29"/>
        <v>1</v>
      </c>
      <c r="X29" s="251" t="e">
        <f t="shared" si="30"/>
        <v>#N/A</v>
      </c>
      <c r="Y29" s="251" t="e">
        <f t="shared" si="31"/>
        <v>#NUM!</v>
      </c>
      <c r="Z29" s="247">
        <f t="shared" si="32"/>
        <v>0</v>
      </c>
      <c r="AA29" s="29">
        <f t="shared" si="10"/>
        <v>26</v>
      </c>
      <c r="AB29" s="29">
        <f t="shared" si="11"/>
        <v>6</v>
      </c>
      <c r="AC29" s="29">
        <f t="shared" si="12"/>
        <v>873</v>
      </c>
      <c r="AD29" s="81">
        <f t="shared" si="33"/>
        <v>0.8525390625</v>
      </c>
      <c r="AE29" s="81">
        <f t="shared" si="13"/>
        <v>137.376</v>
      </c>
      <c r="AF29" s="81">
        <f t="shared" si="14"/>
        <v>117.11840625000001</v>
      </c>
      <c r="AG29" s="243">
        <f t="shared" si="15"/>
        <v>23.3536</v>
      </c>
      <c r="AH29">
        <f t="shared" si="34"/>
        <v>5.115234375</v>
      </c>
      <c r="AI29" s="251">
        <f t="shared" si="16"/>
        <v>58559.203125</v>
      </c>
      <c r="AJ29" s="252">
        <f t="shared" si="35"/>
        <v>10</v>
      </c>
      <c r="AK29" s="252">
        <f t="shared" si="45"/>
        <v>58368</v>
      </c>
      <c r="AL29" s="251">
        <f t="shared" si="46"/>
        <v>7</v>
      </c>
      <c r="AM29" s="251">
        <f t="shared" si="47"/>
        <v>94</v>
      </c>
      <c r="AN29" s="251">
        <f t="shared" si="48"/>
        <v>58384</v>
      </c>
      <c r="AO29" s="247">
        <f t="shared" si="17"/>
        <v>116.768</v>
      </c>
      <c r="AQ29" s="29">
        <v>26</v>
      </c>
      <c r="AR29" s="166">
        <v>6</v>
      </c>
      <c r="AS29" s="166">
        <v>873</v>
      </c>
      <c r="AT29" s="166">
        <v>5.1151999999999997</v>
      </c>
      <c r="AU29" s="168">
        <f t="shared" si="40"/>
        <v>0.8525390625</v>
      </c>
      <c r="AW29" s="29">
        <v>26</v>
      </c>
      <c r="AX29" s="166">
        <v>8</v>
      </c>
      <c r="AY29" s="166">
        <v>916.5</v>
      </c>
      <c r="AZ29" s="166">
        <v>7.1601999999999997</v>
      </c>
      <c r="BA29" s="168">
        <f t="shared" si="41"/>
        <v>0.89501953125</v>
      </c>
      <c r="BC29" s="29">
        <v>26</v>
      </c>
      <c r="BD29" s="6">
        <v>6</v>
      </c>
      <c r="BE29" s="6">
        <v>666</v>
      </c>
      <c r="BF29" s="6" t="s">
        <v>232</v>
      </c>
      <c r="BG29" s="168">
        <f t="shared" si="42"/>
        <v>0.650390625</v>
      </c>
      <c r="BI29" s="29">
        <v>26</v>
      </c>
      <c r="BJ29" s="52">
        <v>6</v>
      </c>
      <c r="BK29" s="52">
        <v>910</v>
      </c>
      <c r="BL29" s="52">
        <v>5.3319999999999999</v>
      </c>
      <c r="BM29" s="168">
        <f t="shared" si="43"/>
        <v>0.888671875</v>
      </c>
      <c r="BN29" s="178"/>
      <c r="BR29" s="29">
        <v>26</v>
      </c>
      <c r="BS29" s="177">
        <v>6</v>
      </c>
      <c r="BT29" s="177">
        <v>666</v>
      </c>
      <c r="BU29" s="177" t="s">
        <v>232</v>
      </c>
      <c r="BV29" s="168">
        <f t="shared" si="44"/>
        <v>0.650390625</v>
      </c>
    </row>
    <row r="30" spans="1:74" ht="15.75" thickBot="1">
      <c r="A30" s="29">
        <f t="shared" si="0"/>
        <v>27</v>
      </c>
      <c r="B30" s="29">
        <f t="shared" si="1"/>
        <v>8</v>
      </c>
      <c r="C30" s="29">
        <f t="shared" si="2"/>
        <v>948</v>
      </c>
      <c r="D30" s="81">
        <f t="shared" si="18"/>
        <v>0.92578125</v>
      </c>
      <c r="E30" s="243">
        <f>RB_NR*((14-PDCCH_overhead_NR)*12-DMRS_overhead_NR)*2^(numerologie_NR)*10^3/10^6</f>
        <v>25.44</v>
      </c>
      <c r="F30" s="81">
        <f t="shared" si="3"/>
        <v>376.83000000000004</v>
      </c>
      <c r="G30" s="243">
        <f t="shared" si="20"/>
        <v>0</v>
      </c>
      <c r="H30" s="81">
        <f t="shared" si="4"/>
        <v>0</v>
      </c>
      <c r="I30" s="242">
        <f t="shared" si="5"/>
        <v>212.148</v>
      </c>
      <c r="J30" s="147">
        <f t="shared" si="6"/>
        <v>211.96687500000002</v>
      </c>
      <c r="K30">
        <f t="shared" si="21"/>
        <v>7.40625</v>
      </c>
      <c r="M30" s="248">
        <f t="shared" si="7"/>
        <v>188415.00000000003</v>
      </c>
      <c r="N30" s="249">
        <f t="shared" si="22"/>
        <v>12</v>
      </c>
      <c r="O30" s="249">
        <f t="shared" si="23"/>
        <v>188416</v>
      </c>
      <c r="P30" s="249">
        <f t="shared" si="24"/>
        <v>23</v>
      </c>
      <c r="Q30" s="249">
        <f t="shared" si="25"/>
        <v>94</v>
      </c>
      <c r="R30" s="249">
        <f t="shared" si="26"/>
        <v>188576</v>
      </c>
      <c r="S30" s="247">
        <f t="shared" si="8"/>
        <v>377.15199999999999</v>
      </c>
      <c r="T30" s="250">
        <f t="shared" si="9"/>
        <v>0</v>
      </c>
      <c r="U30" s="251" t="e">
        <f t="shared" si="27"/>
        <v>#NUM!</v>
      </c>
      <c r="V30" s="251" t="e">
        <f t="shared" si="28"/>
        <v>#NUM!</v>
      </c>
      <c r="W30" s="251">
        <f t="shared" si="29"/>
        <v>1</v>
      </c>
      <c r="X30" s="251" t="e">
        <f t="shared" si="30"/>
        <v>#N/A</v>
      </c>
      <c r="Y30" s="251" t="e">
        <f t="shared" si="31"/>
        <v>#NUM!</v>
      </c>
      <c r="Z30" s="247">
        <f t="shared" si="32"/>
        <v>0</v>
      </c>
      <c r="AA30" s="170">
        <f t="shared" si="10"/>
        <v>27</v>
      </c>
      <c r="AB30" s="170">
        <f t="shared" si="11"/>
        <v>6</v>
      </c>
      <c r="AC30" s="170">
        <f t="shared" si="12"/>
        <v>910</v>
      </c>
      <c r="AD30" s="171">
        <f t="shared" si="33"/>
        <v>0.888671875</v>
      </c>
      <c r="AE30" s="81">
        <f t="shared" si="13"/>
        <v>137.376</v>
      </c>
      <c r="AF30" s="171">
        <f t="shared" si="14"/>
        <v>122.0821875</v>
      </c>
      <c r="AG30" s="243">
        <f t="shared" si="15"/>
        <v>24.591999999999999</v>
      </c>
      <c r="AH30" s="89">
        <f t="shared" si="34"/>
        <v>5.33203125</v>
      </c>
      <c r="AI30" s="251">
        <f t="shared" si="16"/>
        <v>61041.09375</v>
      </c>
      <c r="AJ30" s="252">
        <f t="shared" si="35"/>
        <v>10</v>
      </c>
      <c r="AK30" s="252">
        <f t="shared" si="45"/>
        <v>61440</v>
      </c>
      <c r="AL30" s="251">
        <f t="shared" si="46"/>
        <v>8</v>
      </c>
      <c r="AM30" s="251">
        <f t="shared" si="47"/>
        <v>94</v>
      </c>
      <c r="AN30" s="251">
        <f t="shared" si="48"/>
        <v>61480</v>
      </c>
      <c r="AO30" s="247">
        <f t="shared" si="17"/>
        <v>122.96</v>
      </c>
      <c r="AP30" s="147"/>
      <c r="AQ30" s="29">
        <v>27</v>
      </c>
      <c r="AR30" s="166">
        <v>6</v>
      </c>
      <c r="AS30" s="166">
        <v>910</v>
      </c>
      <c r="AT30" s="166">
        <v>5.3319999999999999</v>
      </c>
      <c r="AU30" s="168">
        <f t="shared" si="40"/>
        <v>0.888671875</v>
      </c>
      <c r="AW30" s="29">
        <v>27</v>
      </c>
      <c r="AX30" s="166">
        <v>8</v>
      </c>
      <c r="AY30" s="166">
        <v>948</v>
      </c>
      <c r="AZ30" s="166">
        <v>7.4062999999999999</v>
      </c>
      <c r="BA30" s="168">
        <f t="shared" si="41"/>
        <v>0.92578125</v>
      </c>
      <c r="BC30" s="29">
        <v>27</v>
      </c>
      <c r="BD30" s="6">
        <v>6</v>
      </c>
      <c r="BE30" s="6">
        <v>719</v>
      </c>
      <c r="BF30" s="6" t="s">
        <v>233</v>
      </c>
      <c r="BG30" s="168">
        <f t="shared" si="42"/>
        <v>0.7021484375</v>
      </c>
      <c r="BI30" s="29">
        <v>27</v>
      </c>
      <c r="BJ30" s="52">
        <v>6</v>
      </c>
      <c r="BK30" s="52">
        <v>948</v>
      </c>
      <c r="BL30" s="52">
        <v>5.5547000000000004</v>
      </c>
      <c r="BM30" s="168">
        <f t="shared" si="43"/>
        <v>0.92578125</v>
      </c>
      <c r="BN30" s="178"/>
      <c r="BR30" s="29">
        <v>27</v>
      </c>
      <c r="BS30" s="177">
        <v>6</v>
      </c>
      <c r="BT30" s="177">
        <v>772</v>
      </c>
      <c r="BU30" s="177" t="s">
        <v>234</v>
      </c>
      <c r="BV30" s="168">
        <f t="shared" si="44"/>
        <v>0.75390625</v>
      </c>
    </row>
    <row r="31" spans="1:74" ht="15.75" thickBot="1">
      <c r="A31" s="29">
        <f t="shared" si="0"/>
        <v>28</v>
      </c>
      <c r="B31" s="29">
        <f t="shared" si="1"/>
        <v>2</v>
      </c>
      <c r="C31" s="29" t="str">
        <f t="shared" si="2"/>
        <v>reserved</v>
      </c>
      <c r="D31" s="168" t="str">
        <f>IF(DL_Max_Modulation_NR=256,"",C31/1024)</f>
        <v/>
      </c>
      <c r="E31" s="81" t="str">
        <f>IF(DL_Max_Modulation_NR=256,"",((14-PDCCH_overhead_NR)*12-DMRS_overhead_NR)*RB_NR*2^(numerologie_NR)*10^3/10^6)</f>
        <v/>
      </c>
      <c r="F31" s="81" t="str">
        <f>IF(DL_Max_Modulation_NR=256,"",E31*B31*D31*DL_Layers_NR)</f>
        <v/>
      </c>
      <c r="G31" s="81" t="str">
        <f>IF(DL_Max_Modulation_NR=256,"", MAX(0,((14*DL_split_SSF_NR-PDCCH_TDD_overhead_NR)*12-DMRS_overhead_NR))*RB_NR*2^(numerologie_NR)*10^3/10^6)</f>
        <v/>
      </c>
      <c r="H31" s="81" t="str">
        <f>IF(DL_Max_Modulation_NR=256,"", G31*D31*B31*DL_Layers_NR)</f>
        <v/>
      </c>
      <c r="I31" s="242" t="str">
        <f>IF(DL_Max_Modulation_NR=256,"",DL_CA_NR*(1-DL_Overhead_NR)*(1-BLER_NR)*(IF(Duplex_NR="FDD",S31*1,(S31*DL_splite_overhead_NR+Z31*SSF_splite_NR))))</f>
        <v/>
      </c>
      <c r="J31" s="241" t="str">
        <f>IF(DL_Max_Modulation_NR=256,"",F31*(1-DL_Overhead_NR)*(1-BLER_NR)*( IF(Duplex_NR="FDD",1,SSF_splite_NR*DL_split_SSF_NR+DL_splite_overhead_NR))*DL_CA_NR)</f>
        <v/>
      </c>
      <c r="K31" t="str">
        <f>IF(DL_Max_Modulation_NR=256,"",B31*D31)</f>
        <v/>
      </c>
      <c r="M31" s="255" t="e">
        <f t="shared" si="7"/>
        <v>#VALUE!</v>
      </c>
      <c r="N31" s="249" t="e">
        <f t="shared" si="22"/>
        <v>#VALUE!</v>
      </c>
      <c r="O31" s="249" t="e">
        <f t="shared" si="23"/>
        <v>#VALUE!</v>
      </c>
      <c r="P31" s="249" t="e">
        <f t="shared" si="24"/>
        <v>#VALUE!</v>
      </c>
      <c r="Q31" s="249" t="e">
        <f t="shared" si="25"/>
        <v>#VALUE!</v>
      </c>
      <c r="R31" s="254" t="e">
        <f t="shared" si="26"/>
        <v>#VALUE!</v>
      </c>
      <c r="S31" s="247" t="e">
        <f t="shared" si="8"/>
        <v>#VALUE!</v>
      </c>
      <c r="T31" s="250" t="e">
        <f t="shared" si="9"/>
        <v>#VALUE!</v>
      </c>
      <c r="U31" s="251" t="e">
        <f t="shared" si="27"/>
        <v>#VALUE!</v>
      </c>
      <c r="V31" s="251" t="e">
        <f t="shared" si="28"/>
        <v>#VALUE!</v>
      </c>
      <c r="W31" s="251" t="e">
        <f t="shared" si="29"/>
        <v>#VALUE!</v>
      </c>
      <c r="X31" s="251" t="e">
        <f t="shared" si="30"/>
        <v>#VALUE!</v>
      </c>
      <c r="Y31" s="251" t="e">
        <f t="shared" si="31"/>
        <v>#VALUE!</v>
      </c>
      <c r="Z31" s="247" t="e">
        <f t="shared" si="32"/>
        <v>#VALUE!</v>
      </c>
      <c r="AA31" s="29">
        <f t="shared" si="10"/>
        <v>28</v>
      </c>
      <c r="AB31" s="29">
        <f t="shared" si="11"/>
        <v>6</v>
      </c>
      <c r="AC31" s="29">
        <f t="shared" si="12"/>
        <v>948</v>
      </c>
      <c r="AD31" s="81">
        <f>IF(UL_Max_Modulation_NR=64,AC31/1024,"")</f>
        <v>0.92578125</v>
      </c>
      <c r="AE31" s="81">
        <f t="shared" si="13"/>
        <v>137.376</v>
      </c>
      <c r="AF31" s="81">
        <f>IF(UL_Max_Modulation_NR=64,AE31*AD31*UL_Layers_NR,"")</f>
        <v>127.180125</v>
      </c>
      <c r="AG31" s="243">
        <f>IF(UL_Max_Modulation_NR=64,AO31*(1-UL_Overhead_NR)*(1-BLER_NR)*(IF(Duplex_NR="FDD",1,Total_UL_split_NR))*UL_CA_NR,"")</f>
        <v>25.411200000000001</v>
      </c>
      <c r="AH31">
        <f>IF(UL_Max_Modulation_NR=64,AD31*AB31,"")</f>
        <v>5.5546875</v>
      </c>
      <c r="AI31" s="251">
        <f t="shared" si="16"/>
        <v>63590.0625</v>
      </c>
      <c r="AJ31" s="252">
        <f t="shared" si="35"/>
        <v>10</v>
      </c>
      <c r="AK31" s="252">
        <f t="shared" si="45"/>
        <v>63488</v>
      </c>
      <c r="AL31" s="251">
        <f t="shared" si="46"/>
        <v>8</v>
      </c>
      <c r="AM31" s="251">
        <f t="shared" si="47"/>
        <v>94</v>
      </c>
      <c r="AN31" s="251">
        <f t="shared" si="48"/>
        <v>63528</v>
      </c>
      <c r="AO31" s="247">
        <f t="shared" si="17"/>
        <v>127.056</v>
      </c>
      <c r="AQ31" s="29">
        <v>28</v>
      </c>
      <c r="AR31" s="166">
        <v>6</v>
      </c>
      <c r="AS31" s="166">
        <v>948</v>
      </c>
      <c r="AT31" s="166">
        <v>5.5547000000000004</v>
      </c>
      <c r="AU31" s="168">
        <f t="shared" si="40"/>
        <v>0.92578125</v>
      </c>
      <c r="AW31" s="29">
        <v>28</v>
      </c>
      <c r="AX31" s="166">
        <v>2</v>
      </c>
      <c r="AY31" s="314" t="s">
        <v>21</v>
      </c>
      <c r="AZ31" s="315"/>
      <c r="BA31" s="169"/>
      <c r="BC31" s="29">
        <v>28</v>
      </c>
      <c r="BD31" s="6">
        <v>6</v>
      </c>
      <c r="BE31" s="6">
        <v>772</v>
      </c>
      <c r="BF31" s="6" t="s">
        <v>234</v>
      </c>
      <c r="BG31" s="168">
        <f t="shared" si="42"/>
        <v>0.75390625</v>
      </c>
      <c r="BI31" s="29">
        <v>28</v>
      </c>
      <c r="BJ31" s="166" t="s">
        <v>244</v>
      </c>
      <c r="BK31" s="174" t="s">
        <v>21</v>
      </c>
      <c r="BL31" s="175"/>
      <c r="BM31" s="169"/>
      <c r="BN31" s="169"/>
      <c r="BR31" s="29">
        <v>28</v>
      </c>
      <c r="BS31" s="166" t="s">
        <v>244</v>
      </c>
      <c r="BT31" s="174" t="s">
        <v>21</v>
      </c>
      <c r="BU31" s="175"/>
    </row>
    <row r="32" spans="1:74" ht="15.75" thickBot="1">
      <c r="AD32" s="239"/>
      <c r="AF32" s="239"/>
      <c r="AQ32" s="29">
        <v>29</v>
      </c>
      <c r="AR32" s="166">
        <v>2</v>
      </c>
      <c r="AS32" s="314" t="s">
        <v>21</v>
      </c>
      <c r="AT32" s="315"/>
      <c r="AU32" s="169"/>
      <c r="AW32" s="29">
        <v>29</v>
      </c>
      <c r="AX32" s="166">
        <v>4</v>
      </c>
      <c r="AY32" s="314" t="s">
        <v>21</v>
      </c>
      <c r="AZ32" s="315"/>
      <c r="BA32" s="169"/>
      <c r="BC32" s="29">
        <v>29</v>
      </c>
      <c r="BD32" s="166">
        <v>2</v>
      </c>
      <c r="BE32" s="314" t="s">
        <v>21</v>
      </c>
      <c r="BF32" s="315"/>
      <c r="BI32" s="29">
        <v>29</v>
      </c>
      <c r="BJ32" s="166">
        <v>2</v>
      </c>
      <c r="BK32" s="174" t="s">
        <v>21</v>
      </c>
      <c r="BL32" s="175"/>
      <c r="BM32" s="169"/>
      <c r="BN32" s="169"/>
      <c r="BR32" s="29">
        <v>29</v>
      </c>
      <c r="BS32" s="166">
        <v>2</v>
      </c>
      <c r="BT32" s="174" t="s">
        <v>21</v>
      </c>
      <c r="BU32" s="175"/>
    </row>
    <row r="33" spans="1:73" ht="15.75" thickBot="1">
      <c r="H33">
        <f>DL_splite_overhead_NR</f>
        <v>0.5625</v>
      </c>
      <c r="I33">
        <f>DL_splite_overhead_NR</f>
        <v>0.5625</v>
      </c>
      <c r="AQ33" s="29">
        <v>30</v>
      </c>
      <c r="AR33" s="166">
        <v>4</v>
      </c>
      <c r="AS33" s="314" t="s">
        <v>21</v>
      </c>
      <c r="AT33" s="315"/>
      <c r="AU33" s="169"/>
      <c r="AW33" s="29">
        <v>30</v>
      </c>
      <c r="AX33" s="166">
        <v>6</v>
      </c>
      <c r="AY33" s="314" t="s">
        <v>21</v>
      </c>
      <c r="AZ33" s="315"/>
      <c r="BA33" s="169"/>
      <c r="BC33" s="29">
        <v>30</v>
      </c>
      <c r="BD33" s="166">
        <v>4</v>
      </c>
      <c r="BE33" s="314" t="s">
        <v>21</v>
      </c>
      <c r="BF33" s="315"/>
      <c r="BI33" s="29">
        <v>30</v>
      </c>
      <c r="BJ33" s="166">
        <v>4</v>
      </c>
      <c r="BK33" s="174" t="s">
        <v>21</v>
      </c>
      <c r="BL33" s="175"/>
      <c r="BM33" s="169"/>
      <c r="BN33" s="169"/>
      <c r="BR33" s="29">
        <v>30</v>
      </c>
      <c r="BS33" s="166">
        <v>4</v>
      </c>
      <c r="BT33" s="174" t="s">
        <v>21</v>
      </c>
      <c r="BU33" s="175"/>
    </row>
    <row r="34" spans="1:73" ht="15.75" thickBot="1">
      <c r="AQ34" s="29">
        <v>31</v>
      </c>
      <c r="AR34" s="166">
        <v>6</v>
      </c>
      <c r="AS34" s="314" t="s">
        <v>21</v>
      </c>
      <c r="AT34" s="315"/>
      <c r="AU34" s="169"/>
      <c r="AW34" s="29">
        <v>31</v>
      </c>
      <c r="AX34" s="166">
        <v>8</v>
      </c>
      <c r="AY34" s="314" t="s">
        <v>21</v>
      </c>
      <c r="AZ34" s="315"/>
      <c r="BA34" s="169"/>
      <c r="BC34" s="29">
        <v>31</v>
      </c>
      <c r="BD34" s="166">
        <v>6</v>
      </c>
      <c r="BE34" s="314" t="s">
        <v>21</v>
      </c>
      <c r="BF34" s="315"/>
      <c r="BI34" s="29">
        <v>31</v>
      </c>
      <c r="BJ34" s="166">
        <v>6</v>
      </c>
      <c r="BK34" s="314" t="s">
        <v>21</v>
      </c>
      <c r="BL34" s="315"/>
      <c r="BM34" s="169"/>
      <c r="BN34" s="169"/>
      <c r="BR34" s="29">
        <v>31</v>
      </c>
      <c r="BS34" s="166">
        <v>6</v>
      </c>
      <c r="BT34" s="174" t="s">
        <v>21</v>
      </c>
      <c r="BU34" s="175"/>
    </row>
    <row r="36" spans="1:73">
      <c r="AR36" s="165" t="s">
        <v>210</v>
      </c>
      <c r="AY36" s="165" t="s">
        <v>212</v>
      </c>
      <c r="BE36" s="165" t="s">
        <v>235</v>
      </c>
      <c r="BL36" s="165" t="s">
        <v>242</v>
      </c>
      <c r="BM36" s="165"/>
      <c r="BU36" s="165" t="s">
        <v>246</v>
      </c>
    </row>
    <row r="37" spans="1:73">
      <c r="F37" s="245"/>
      <c r="AW37" s="167" t="s">
        <v>236</v>
      </c>
      <c r="BC37" s="167" t="s">
        <v>237</v>
      </c>
      <c r="BI37" s="167" t="s">
        <v>247</v>
      </c>
      <c r="BJ37" s="167"/>
      <c r="BK37" s="167"/>
      <c r="BL37" s="167"/>
      <c r="BM37" s="167"/>
      <c r="BN37" s="167"/>
      <c r="BO37" s="167"/>
      <c r="BP37" s="167"/>
      <c r="BQ37" s="167"/>
      <c r="BR37" s="167" t="s">
        <v>247</v>
      </c>
      <c r="BS37" s="167"/>
      <c r="BT37" s="167" t="s">
        <v>237</v>
      </c>
    </row>
    <row r="38" spans="1:73">
      <c r="A38" s="246" t="s">
        <v>428</v>
      </c>
      <c r="B38" s="246" t="s">
        <v>429</v>
      </c>
      <c r="C38" s="246" t="s">
        <v>428</v>
      </c>
      <c r="BI38" s="179" t="s">
        <v>248</v>
      </c>
    </row>
    <row r="39" spans="1:73">
      <c r="A39" s="246">
        <v>24</v>
      </c>
      <c r="B39" s="246">
        <v>1</v>
      </c>
      <c r="C39" s="246">
        <v>24</v>
      </c>
      <c r="BI39" s="180" t="s">
        <v>249</v>
      </c>
    </row>
    <row r="40" spans="1:73">
      <c r="A40" s="246">
        <v>32</v>
      </c>
      <c r="B40" s="246">
        <v>2</v>
      </c>
      <c r="C40" s="246">
        <v>32</v>
      </c>
    </row>
    <row r="41" spans="1:73">
      <c r="A41" s="246">
        <v>40</v>
      </c>
      <c r="B41" s="246">
        <v>3</v>
      </c>
      <c r="C41" s="246">
        <v>40</v>
      </c>
    </row>
    <row r="42" spans="1:73">
      <c r="A42" s="246">
        <v>48</v>
      </c>
      <c r="B42" s="246">
        <v>4</v>
      </c>
      <c r="C42" s="246">
        <v>48</v>
      </c>
    </row>
    <row r="43" spans="1:73">
      <c r="A43" s="246">
        <v>56</v>
      </c>
      <c r="B43" s="246">
        <v>5</v>
      </c>
      <c r="C43" s="246">
        <v>56</v>
      </c>
    </row>
    <row r="44" spans="1:73">
      <c r="A44" s="246">
        <v>64</v>
      </c>
      <c r="B44" s="246">
        <v>6</v>
      </c>
      <c r="C44" s="246">
        <v>64</v>
      </c>
    </row>
    <row r="45" spans="1:73">
      <c r="A45" s="246">
        <v>72</v>
      </c>
      <c r="B45" s="246">
        <v>7</v>
      </c>
      <c r="C45" s="246">
        <v>72</v>
      </c>
    </row>
    <row r="46" spans="1:73">
      <c r="A46" s="246">
        <v>80</v>
      </c>
      <c r="B46" s="246">
        <v>8</v>
      </c>
      <c r="C46" s="246">
        <v>80</v>
      </c>
    </row>
    <row r="47" spans="1:73">
      <c r="A47" s="246">
        <v>88</v>
      </c>
      <c r="B47" s="246">
        <v>9</v>
      </c>
      <c r="C47" s="246">
        <v>88</v>
      </c>
    </row>
    <row r="48" spans="1:73">
      <c r="A48" s="246">
        <v>96</v>
      </c>
      <c r="B48" s="246">
        <v>10</v>
      </c>
      <c r="C48" s="246">
        <v>96</v>
      </c>
    </row>
    <row r="49" spans="1:28">
      <c r="A49" s="246">
        <v>104</v>
      </c>
      <c r="B49" s="246">
        <v>11</v>
      </c>
      <c r="C49" s="246">
        <v>104</v>
      </c>
    </row>
    <row r="50" spans="1:28">
      <c r="A50" s="246">
        <v>112</v>
      </c>
      <c r="B50" s="246">
        <v>12</v>
      </c>
      <c r="C50" s="246">
        <v>112</v>
      </c>
    </row>
    <row r="51" spans="1:28">
      <c r="A51" s="246">
        <v>120</v>
      </c>
      <c r="B51" s="246">
        <v>13</v>
      </c>
      <c r="C51" s="246">
        <v>120</v>
      </c>
    </row>
    <row r="52" spans="1:28">
      <c r="A52" s="246">
        <v>128</v>
      </c>
      <c r="B52" s="246">
        <v>14</v>
      </c>
      <c r="C52" s="246">
        <v>128</v>
      </c>
    </row>
    <row r="53" spans="1:28">
      <c r="A53" s="246">
        <v>136</v>
      </c>
      <c r="B53" s="246">
        <v>15</v>
      </c>
      <c r="C53" s="246">
        <v>136</v>
      </c>
      <c r="J53">
        <f>((51*(12*12-12))*(1400-100)+(51*(8*12-12))*200)*7.4063*2/10^6</f>
        <v>142.32538584</v>
      </c>
    </row>
    <row r="54" spans="1:28">
      <c r="A54" s="246">
        <v>144</v>
      </c>
      <c r="B54" s="246">
        <v>16</v>
      </c>
      <c r="C54" s="246">
        <v>144</v>
      </c>
      <c r="I54">
        <f>12*12-12</f>
        <v>132</v>
      </c>
      <c r="J54" s="123" t="e">
        <f>((273*(13*12-12))*(2000))*2*K54/10^6</f>
        <v>#VALUE!</v>
      </c>
      <c r="K54" t="e">
        <f>B31*C31/1024</f>
        <v>#VALUE!</v>
      </c>
      <c r="N54">
        <f>13*12</f>
        <v>156</v>
      </c>
      <c r="AA54" t="e">
        <f>C31/1024</f>
        <v>#VALUE!</v>
      </c>
      <c r="AB54">
        <f>866/156</f>
        <v>5.5512820512820511</v>
      </c>
    </row>
    <row r="55" spans="1:28">
      <c r="A55" s="246">
        <v>152</v>
      </c>
      <c r="B55" s="246">
        <v>17</v>
      </c>
      <c r="C55" s="246">
        <v>152</v>
      </c>
      <c r="K55">
        <v>1</v>
      </c>
    </row>
    <row r="56" spans="1:28">
      <c r="A56" s="246">
        <v>160</v>
      </c>
      <c r="B56" s="246">
        <v>18</v>
      </c>
      <c r="C56" s="246">
        <v>160</v>
      </c>
    </row>
    <row r="57" spans="1:28">
      <c r="A57" s="246">
        <v>168</v>
      </c>
      <c r="B57" s="246">
        <v>19</v>
      </c>
      <c r="C57" s="246">
        <v>168</v>
      </c>
    </row>
    <row r="58" spans="1:28">
      <c r="A58" s="246">
        <v>176</v>
      </c>
      <c r="B58" s="246">
        <v>20</v>
      </c>
      <c r="C58" s="246">
        <v>176</v>
      </c>
      <c r="K58">
        <v>436731</v>
      </c>
      <c r="N58">
        <f>K58*2</f>
        <v>873462</v>
      </c>
    </row>
    <row r="59" spans="1:28">
      <c r="A59" s="246">
        <v>184</v>
      </c>
      <c r="B59" s="246">
        <v>21</v>
      </c>
      <c r="C59" s="246">
        <v>184</v>
      </c>
      <c r="K59">
        <v>434280</v>
      </c>
      <c r="N59">
        <f>K59*2</f>
        <v>868560</v>
      </c>
    </row>
    <row r="60" spans="1:28">
      <c r="A60" s="246">
        <v>192</v>
      </c>
      <c r="B60" s="246">
        <v>22</v>
      </c>
      <c r="C60" s="246">
        <v>192</v>
      </c>
    </row>
    <row r="61" spans="1:28">
      <c r="A61" s="246">
        <v>208</v>
      </c>
      <c r="B61" s="246">
        <v>23</v>
      </c>
      <c r="C61" s="246">
        <v>208</v>
      </c>
    </row>
    <row r="62" spans="1:28">
      <c r="A62" s="246">
        <v>224</v>
      </c>
      <c r="B62" s="246">
        <v>24</v>
      </c>
      <c r="C62" s="246">
        <v>224</v>
      </c>
    </row>
    <row r="63" spans="1:28">
      <c r="A63" s="246">
        <v>240</v>
      </c>
      <c r="B63" s="246">
        <v>25</v>
      </c>
      <c r="C63" s="246">
        <v>240</v>
      </c>
    </row>
    <row r="64" spans="1:28">
      <c r="A64" s="246">
        <v>256</v>
      </c>
      <c r="B64" s="246">
        <v>26</v>
      </c>
      <c r="C64" s="246">
        <v>256</v>
      </c>
    </row>
    <row r="65" spans="1:3">
      <c r="A65" s="246">
        <v>272</v>
      </c>
      <c r="B65" s="246">
        <v>27</v>
      </c>
      <c r="C65" s="246">
        <v>272</v>
      </c>
    </row>
    <row r="66" spans="1:3">
      <c r="A66" s="246">
        <v>288</v>
      </c>
      <c r="B66" s="246">
        <v>28</v>
      </c>
      <c r="C66" s="246">
        <v>288</v>
      </c>
    </row>
    <row r="67" spans="1:3">
      <c r="A67" s="246">
        <v>304</v>
      </c>
      <c r="B67" s="246">
        <v>29</v>
      </c>
      <c r="C67" s="246">
        <v>304</v>
      </c>
    </row>
    <row r="68" spans="1:3">
      <c r="A68" s="246">
        <v>320</v>
      </c>
      <c r="B68" s="246">
        <v>30</v>
      </c>
      <c r="C68" s="246">
        <v>320</v>
      </c>
    </row>
    <row r="69" spans="1:3">
      <c r="A69" s="246">
        <v>336</v>
      </c>
      <c r="B69" s="246">
        <v>31</v>
      </c>
      <c r="C69" s="246">
        <v>336</v>
      </c>
    </row>
    <row r="70" spans="1:3">
      <c r="A70" s="246">
        <v>352</v>
      </c>
      <c r="B70" s="246">
        <v>32</v>
      </c>
      <c r="C70" s="246">
        <v>352</v>
      </c>
    </row>
    <row r="71" spans="1:3">
      <c r="A71" s="246">
        <v>368</v>
      </c>
      <c r="B71" s="246">
        <v>33</v>
      </c>
      <c r="C71" s="246">
        <v>368</v>
      </c>
    </row>
    <row r="72" spans="1:3">
      <c r="A72" s="246">
        <v>384</v>
      </c>
      <c r="B72" s="246">
        <v>34</v>
      </c>
      <c r="C72" s="246">
        <v>384</v>
      </c>
    </row>
    <row r="73" spans="1:3">
      <c r="A73" s="246">
        <v>408</v>
      </c>
      <c r="B73" s="246">
        <v>35</v>
      </c>
      <c r="C73" s="246">
        <v>408</v>
      </c>
    </row>
    <row r="74" spans="1:3">
      <c r="A74" s="246">
        <v>432</v>
      </c>
      <c r="B74" s="246">
        <v>36</v>
      </c>
      <c r="C74" s="246">
        <v>432</v>
      </c>
    </row>
    <row r="75" spans="1:3">
      <c r="A75" s="246">
        <v>456</v>
      </c>
      <c r="B75" s="246">
        <v>37</v>
      </c>
      <c r="C75" s="246">
        <v>456</v>
      </c>
    </row>
    <row r="76" spans="1:3">
      <c r="A76" s="246">
        <v>480</v>
      </c>
      <c r="B76" s="246">
        <v>38</v>
      </c>
      <c r="C76" s="246">
        <v>480</v>
      </c>
    </row>
    <row r="77" spans="1:3">
      <c r="A77" s="246">
        <v>504</v>
      </c>
      <c r="B77" s="246">
        <v>39</v>
      </c>
      <c r="C77" s="246">
        <v>504</v>
      </c>
    </row>
    <row r="78" spans="1:3">
      <c r="A78" s="246">
        <v>528</v>
      </c>
      <c r="B78" s="246">
        <v>40</v>
      </c>
      <c r="C78" s="246">
        <v>528</v>
      </c>
    </row>
    <row r="79" spans="1:3">
      <c r="A79" s="246">
        <v>552</v>
      </c>
      <c r="B79" s="246">
        <v>41</v>
      </c>
      <c r="C79" s="246">
        <v>552</v>
      </c>
    </row>
    <row r="80" spans="1:3">
      <c r="A80" s="246">
        <v>576</v>
      </c>
      <c r="B80" s="246">
        <v>42</v>
      </c>
      <c r="C80" s="246">
        <v>576</v>
      </c>
    </row>
    <row r="81" spans="1:3">
      <c r="A81" s="246">
        <v>608</v>
      </c>
      <c r="B81" s="246">
        <v>43</v>
      </c>
      <c r="C81" s="246">
        <v>608</v>
      </c>
    </row>
    <row r="82" spans="1:3">
      <c r="A82" s="246">
        <v>640</v>
      </c>
      <c r="B82" s="246">
        <v>44</v>
      </c>
      <c r="C82" s="246">
        <v>640</v>
      </c>
    </row>
    <row r="83" spans="1:3">
      <c r="A83" s="246">
        <v>672</v>
      </c>
      <c r="B83" s="246">
        <v>45</v>
      </c>
      <c r="C83" s="246">
        <v>672</v>
      </c>
    </row>
    <row r="84" spans="1:3">
      <c r="A84" s="246">
        <v>704</v>
      </c>
      <c r="B84" s="246">
        <v>46</v>
      </c>
      <c r="C84" s="246">
        <v>704</v>
      </c>
    </row>
    <row r="85" spans="1:3">
      <c r="A85" s="246">
        <v>736</v>
      </c>
      <c r="B85" s="246">
        <v>47</v>
      </c>
      <c r="C85" s="246">
        <v>736</v>
      </c>
    </row>
    <row r="86" spans="1:3">
      <c r="A86" s="246">
        <v>768</v>
      </c>
      <c r="B86" s="246">
        <v>48</v>
      </c>
      <c r="C86" s="246">
        <v>768</v>
      </c>
    </row>
    <row r="87" spans="1:3">
      <c r="A87" s="246">
        <v>808</v>
      </c>
      <c r="B87" s="246">
        <v>49</v>
      </c>
      <c r="C87" s="246">
        <v>808</v>
      </c>
    </row>
    <row r="88" spans="1:3">
      <c r="A88" s="246">
        <v>848</v>
      </c>
      <c r="B88" s="246">
        <v>50</v>
      </c>
      <c r="C88" s="246">
        <v>848</v>
      </c>
    </row>
    <row r="89" spans="1:3">
      <c r="A89" s="246">
        <v>888</v>
      </c>
      <c r="B89" s="246">
        <v>51</v>
      </c>
      <c r="C89" s="246">
        <v>888</v>
      </c>
    </row>
    <row r="90" spans="1:3">
      <c r="A90" s="246">
        <v>928</v>
      </c>
      <c r="B90" s="246">
        <v>52</v>
      </c>
      <c r="C90" s="246">
        <v>928</v>
      </c>
    </row>
    <row r="91" spans="1:3">
      <c r="A91" s="246">
        <v>984</v>
      </c>
      <c r="B91" s="246">
        <v>53</v>
      </c>
      <c r="C91" s="246">
        <v>984</v>
      </c>
    </row>
    <row r="92" spans="1:3">
      <c r="A92" s="246">
        <v>1032</v>
      </c>
      <c r="B92" s="246">
        <v>54</v>
      </c>
      <c r="C92" s="246">
        <v>1032</v>
      </c>
    </row>
    <row r="93" spans="1:3">
      <c r="A93" s="246">
        <v>1064</v>
      </c>
      <c r="B93" s="246">
        <v>55</v>
      </c>
      <c r="C93" s="246">
        <v>1064</v>
      </c>
    </row>
    <row r="94" spans="1:3">
      <c r="A94" s="246">
        <v>1128</v>
      </c>
      <c r="B94" s="246">
        <v>56</v>
      </c>
      <c r="C94" s="246">
        <v>1128</v>
      </c>
    </row>
    <row r="95" spans="1:3">
      <c r="A95" s="246">
        <v>1160</v>
      </c>
      <c r="B95" s="246">
        <v>57</v>
      </c>
      <c r="C95" s="246">
        <v>1160</v>
      </c>
    </row>
    <row r="96" spans="1:3">
      <c r="A96" s="246">
        <v>1192</v>
      </c>
      <c r="B96" s="246">
        <v>58</v>
      </c>
      <c r="C96" s="246">
        <v>1192</v>
      </c>
    </row>
    <row r="97" spans="1:3">
      <c r="A97" s="246">
        <v>1224</v>
      </c>
      <c r="B97" s="246">
        <v>59</v>
      </c>
      <c r="C97" s="246">
        <v>1224</v>
      </c>
    </row>
    <row r="98" spans="1:3">
      <c r="A98" s="246">
        <v>1256</v>
      </c>
      <c r="B98" s="246">
        <v>60</v>
      </c>
      <c r="C98" s="246">
        <v>1256</v>
      </c>
    </row>
    <row r="99" spans="1:3">
      <c r="A99" s="246">
        <v>1288</v>
      </c>
      <c r="B99" s="246">
        <v>61</v>
      </c>
      <c r="C99" s="246">
        <v>1288</v>
      </c>
    </row>
    <row r="100" spans="1:3">
      <c r="A100" s="246">
        <v>1320</v>
      </c>
      <c r="B100" s="246">
        <v>62</v>
      </c>
      <c r="C100" s="246">
        <v>1320</v>
      </c>
    </row>
    <row r="101" spans="1:3">
      <c r="A101" s="246">
        <v>1352</v>
      </c>
      <c r="B101" s="246">
        <v>63</v>
      </c>
      <c r="C101" s="246">
        <v>1352</v>
      </c>
    </row>
    <row r="102" spans="1:3">
      <c r="A102" s="246">
        <v>1416</v>
      </c>
      <c r="B102" s="246">
        <v>64</v>
      </c>
      <c r="C102" s="246">
        <v>1416</v>
      </c>
    </row>
    <row r="103" spans="1:3">
      <c r="A103" s="246">
        <v>1480</v>
      </c>
      <c r="B103" s="246">
        <v>65</v>
      </c>
      <c r="C103" s="246">
        <v>1480</v>
      </c>
    </row>
    <row r="104" spans="1:3">
      <c r="A104" s="246">
        <v>1544</v>
      </c>
      <c r="B104" s="246">
        <v>66</v>
      </c>
      <c r="C104" s="246">
        <v>1544</v>
      </c>
    </row>
    <row r="105" spans="1:3">
      <c r="A105" s="246">
        <v>1608</v>
      </c>
      <c r="B105" s="246">
        <v>67</v>
      </c>
      <c r="C105" s="246">
        <v>1608</v>
      </c>
    </row>
    <row r="106" spans="1:3">
      <c r="A106" s="246">
        <v>1672</v>
      </c>
      <c r="B106" s="246">
        <v>68</v>
      </c>
      <c r="C106" s="246">
        <v>1672</v>
      </c>
    </row>
    <row r="107" spans="1:3">
      <c r="A107" s="246">
        <v>1736</v>
      </c>
      <c r="B107" s="246">
        <v>69</v>
      </c>
      <c r="C107" s="246">
        <v>1736</v>
      </c>
    </row>
    <row r="108" spans="1:3">
      <c r="A108" s="246">
        <v>1800</v>
      </c>
      <c r="B108" s="246">
        <v>70</v>
      </c>
      <c r="C108" s="246">
        <v>1800</v>
      </c>
    </row>
    <row r="109" spans="1:3">
      <c r="A109" s="246">
        <v>1864</v>
      </c>
      <c r="B109" s="246">
        <v>71</v>
      </c>
      <c r="C109" s="246">
        <v>1864</v>
      </c>
    </row>
    <row r="110" spans="1:3">
      <c r="A110" s="246">
        <v>1928</v>
      </c>
      <c r="B110" s="246">
        <v>72</v>
      </c>
      <c r="C110" s="246">
        <v>1928</v>
      </c>
    </row>
    <row r="111" spans="1:3">
      <c r="A111" s="246">
        <v>2024</v>
      </c>
      <c r="B111" s="246">
        <v>73</v>
      </c>
      <c r="C111" s="246">
        <v>2024</v>
      </c>
    </row>
    <row r="112" spans="1:3">
      <c r="A112" s="246">
        <v>2088</v>
      </c>
      <c r="B112" s="246">
        <v>74</v>
      </c>
      <c r="C112" s="246">
        <v>2088</v>
      </c>
    </row>
    <row r="113" spans="1:3">
      <c r="A113" s="246">
        <v>2152</v>
      </c>
      <c r="B113" s="246">
        <v>75</v>
      </c>
      <c r="C113" s="246">
        <v>2152</v>
      </c>
    </row>
    <row r="114" spans="1:3">
      <c r="A114" s="246">
        <v>2216</v>
      </c>
      <c r="B114" s="246">
        <v>76</v>
      </c>
      <c r="C114" s="246">
        <v>2216</v>
      </c>
    </row>
    <row r="115" spans="1:3">
      <c r="A115" s="246">
        <v>2280</v>
      </c>
      <c r="B115" s="246">
        <v>77</v>
      </c>
      <c r="C115" s="246">
        <v>2280</v>
      </c>
    </row>
    <row r="116" spans="1:3">
      <c r="A116" s="246">
        <v>2408</v>
      </c>
      <c r="B116" s="246">
        <v>78</v>
      </c>
      <c r="C116" s="246">
        <v>2408</v>
      </c>
    </row>
    <row r="117" spans="1:3">
      <c r="A117" s="246">
        <v>2472</v>
      </c>
      <c r="B117" s="246">
        <v>79</v>
      </c>
      <c r="C117" s="246">
        <v>2472</v>
      </c>
    </row>
    <row r="118" spans="1:3">
      <c r="A118" s="246">
        <v>2536</v>
      </c>
      <c r="B118" s="246">
        <v>80</v>
      </c>
      <c r="C118" s="246">
        <v>2536</v>
      </c>
    </row>
    <row r="119" spans="1:3">
      <c r="A119" s="246">
        <v>2600</v>
      </c>
      <c r="B119" s="246">
        <v>81</v>
      </c>
      <c r="C119" s="246">
        <v>2600</v>
      </c>
    </row>
    <row r="120" spans="1:3">
      <c r="A120" s="246">
        <v>2664</v>
      </c>
      <c r="B120" s="246">
        <v>82</v>
      </c>
      <c r="C120" s="246">
        <v>2664</v>
      </c>
    </row>
    <row r="121" spans="1:3">
      <c r="A121" s="246">
        <v>2728</v>
      </c>
      <c r="B121" s="246">
        <v>83</v>
      </c>
      <c r="C121" s="246">
        <v>2728</v>
      </c>
    </row>
    <row r="122" spans="1:3">
      <c r="A122" s="246">
        <v>2792</v>
      </c>
      <c r="B122" s="246">
        <v>84</v>
      </c>
      <c r="C122" s="246">
        <v>2792</v>
      </c>
    </row>
    <row r="123" spans="1:3">
      <c r="A123" s="246">
        <v>2856</v>
      </c>
      <c r="B123" s="246">
        <v>85</v>
      </c>
      <c r="C123" s="246">
        <v>2856</v>
      </c>
    </row>
    <row r="124" spans="1:3">
      <c r="A124" s="246">
        <v>2976</v>
      </c>
      <c r="B124" s="246">
        <v>86</v>
      </c>
      <c r="C124" s="246">
        <v>2976</v>
      </c>
    </row>
    <row r="125" spans="1:3">
      <c r="A125" s="246">
        <v>3104</v>
      </c>
      <c r="B125" s="246">
        <v>87</v>
      </c>
      <c r="C125" s="246">
        <v>3104</v>
      </c>
    </row>
    <row r="126" spans="1:3">
      <c r="A126" s="246">
        <v>3240</v>
      </c>
      <c r="B126" s="246">
        <v>88</v>
      </c>
      <c r="C126" s="246">
        <v>3240</v>
      </c>
    </row>
    <row r="127" spans="1:3">
      <c r="A127" s="246">
        <v>3368</v>
      </c>
      <c r="B127" s="246">
        <v>89</v>
      </c>
      <c r="C127" s="246">
        <v>3368</v>
      </c>
    </row>
    <row r="128" spans="1:3">
      <c r="A128" s="246">
        <v>3496</v>
      </c>
      <c r="B128" s="246">
        <v>90</v>
      </c>
      <c r="C128" s="246">
        <v>3496</v>
      </c>
    </row>
    <row r="129" spans="1:3">
      <c r="A129" s="246">
        <v>3624</v>
      </c>
      <c r="B129" s="246">
        <v>91</v>
      </c>
      <c r="C129" s="246">
        <v>3624</v>
      </c>
    </row>
    <row r="130" spans="1:3">
      <c r="A130" s="246">
        <v>3752</v>
      </c>
      <c r="B130" s="246">
        <v>92</v>
      </c>
      <c r="C130" s="246">
        <v>3752</v>
      </c>
    </row>
    <row r="131" spans="1:3">
      <c r="A131" s="246">
        <v>3824</v>
      </c>
      <c r="B131" s="246">
        <v>93</v>
      </c>
      <c r="C131" s="246">
        <v>3824</v>
      </c>
    </row>
  </sheetData>
  <mergeCells count="14">
    <mergeCell ref="AS1:AS2"/>
    <mergeCell ref="AS32:AT32"/>
    <mergeCell ref="AS33:AT33"/>
    <mergeCell ref="AS34:AT34"/>
    <mergeCell ref="AY1:AY2"/>
    <mergeCell ref="AY31:AZ31"/>
    <mergeCell ref="AY32:AZ32"/>
    <mergeCell ref="AY33:AZ33"/>
    <mergeCell ref="AY34:AZ34"/>
    <mergeCell ref="BK34:BL34"/>
    <mergeCell ref="BE1:BE2"/>
    <mergeCell ref="BE32:BF32"/>
    <mergeCell ref="BE33:BF33"/>
    <mergeCell ref="BE34:BF34"/>
  </mergeCells>
  <pageMargins left="0.7" right="0.7" top="0.75" bottom="0.75" header="0.3" footer="0.3"/>
  <pageSetup paperSize="9" orientation="portrait" horizontalDpi="300" verticalDpi="300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2AD901-C0D9-46D1-99A1-60E43DFFB861}">
  <dimension ref="A1"/>
  <sheetViews>
    <sheetView zoomScale="70" zoomScaleNormal="70" workbookViewId="0">
      <selection activeCell="V16" sqref="V16"/>
    </sheetView>
  </sheetViews>
  <sheetFormatPr defaultRowHeight="15"/>
  <sheetData/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30"/>
  <sheetViews>
    <sheetView topLeftCell="A4" workbookViewId="0">
      <selection activeCell="D29" sqref="D29"/>
    </sheetView>
  </sheetViews>
  <sheetFormatPr defaultRowHeight="15"/>
  <cols>
    <col min="1" max="1" width="74.140625" customWidth="1"/>
  </cols>
  <sheetData>
    <row r="1" spans="1:1">
      <c r="A1" s="201" t="s">
        <v>284</v>
      </c>
    </row>
    <row r="2" spans="1:1">
      <c r="A2" s="202" t="s">
        <v>285</v>
      </c>
    </row>
    <row r="3" spans="1:1">
      <c r="A3" s="203" t="s">
        <v>286</v>
      </c>
    </row>
    <row r="4" spans="1:1">
      <c r="A4" s="205" t="s">
        <v>287</v>
      </c>
    </row>
    <row r="5" spans="1:1">
      <c r="A5" s="204" t="s">
        <v>288</v>
      </c>
    </row>
    <row r="6" spans="1:1">
      <c r="A6" s="203" t="s">
        <v>289</v>
      </c>
    </row>
    <row r="7" spans="1:1">
      <c r="A7" s="204" t="s">
        <v>290</v>
      </c>
    </row>
    <row r="8" spans="1:1">
      <c r="A8" s="204" t="s">
        <v>288</v>
      </c>
    </row>
    <row r="9" spans="1:1">
      <c r="A9" s="211" t="s">
        <v>282</v>
      </c>
    </row>
    <row r="10" spans="1:1">
      <c r="A10" s="202"/>
    </row>
    <row r="11" spans="1:1">
      <c r="A11" s="203" t="s">
        <v>291</v>
      </c>
    </row>
    <row r="12" spans="1:1">
      <c r="A12" s="211" t="s">
        <v>292</v>
      </c>
    </row>
    <row r="13" spans="1:1">
      <c r="A13" s="211" t="s">
        <v>293</v>
      </c>
    </row>
    <row r="14" spans="1:1">
      <c r="A14" s="202" t="s">
        <v>294</v>
      </c>
    </row>
    <row r="15" spans="1:1">
      <c r="A15" s="211" t="s">
        <v>295</v>
      </c>
    </row>
    <row r="16" spans="1:1">
      <c r="A16" s="201" t="s">
        <v>296</v>
      </c>
    </row>
    <row r="17" spans="1:1">
      <c r="A17" s="211" t="s">
        <v>297</v>
      </c>
    </row>
    <row r="18" spans="1:1">
      <c r="A18" s="202" t="s">
        <v>298</v>
      </c>
    </row>
    <row r="19" spans="1:1">
      <c r="A19" s="202" t="s">
        <v>299</v>
      </c>
    </row>
    <row r="20" spans="1:1">
      <c r="A20" s="203" t="s">
        <v>300</v>
      </c>
    </row>
    <row r="21" spans="1:1">
      <c r="A21" s="203" t="s">
        <v>301</v>
      </c>
    </row>
    <row r="22" spans="1:1">
      <c r="A22" s="203" t="s">
        <v>302</v>
      </c>
    </row>
    <row r="23" spans="1:1">
      <c r="A23" s="202" t="s">
        <v>303</v>
      </c>
    </row>
    <row r="24" spans="1:1">
      <c r="A24" s="203" t="s">
        <v>304</v>
      </c>
    </row>
    <row r="25" spans="1:1">
      <c r="A25" s="203" t="s">
        <v>305</v>
      </c>
    </row>
    <row r="26" spans="1:1">
      <c r="A26" s="203" t="s">
        <v>302</v>
      </c>
    </row>
    <row r="27" spans="1:1">
      <c r="A27" s="202" t="s">
        <v>306</v>
      </c>
    </row>
    <row r="28" spans="1:1">
      <c r="A28" s="259" t="s">
        <v>446</v>
      </c>
    </row>
    <row r="29" spans="1:1">
      <c r="A29" s="259" t="s">
        <v>447</v>
      </c>
    </row>
    <row r="30" spans="1:1">
      <c r="A30" s="259" t="s">
        <v>448</v>
      </c>
    </row>
  </sheetData>
  <pageMargins left="0.7" right="0.7" top="0.75" bottom="0.75" header="0.3" footer="0.3"/>
  <pageSetup orientation="portrait" horizontalDpi="0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versions xmlns="http://schemas.microsoft.com/SolverFoundationForExcel/Version">
  <addinversion>3.1</addinversion>
</versions>
</file>

<file path=customXml/item2.xml>��  
</file>

<file path=customXml/itemProps1.xml><?xml version="1.0" encoding="utf-8"?>
<ds:datastoreItem xmlns:ds="http://schemas.openxmlformats.org/officeDocument/2006/customXml" ds:itemID="{5A940018-0627-4D85-9A41-E6048C421C6A}">
  <ds:schemaRefs>
    <ds:schemaRef ds:uri="http://schemas.microsoft.com/SolverFoundationForExcel/Version"/>
  </ds:schemaRefs>
</ds:datastoreItem>
</file>

<file path=customXml/itemProps2.xml><?xml version="1.0" encoding="utf-8"?>
<ds:datastoreItem xmlns:ds="http://schemas.openxmlformats.org/officeDocument/2006/customXml" ds:itemID="{C418046E-4DDC-4194-885E-21193D0BBD67}">
  <ds:schemaRefs>
    <ds:schemaRef ds:uri="http://schemas.microsoft.com/SolverFoundation/"/>
    <ds:schemaRef ds:uri="http://www.w3.org/2001/XMLSchema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8</vt:i4>
      </vt:variant>
      <vt:variant>
        <vt:lpstr>Named Ranges</vt:lpstr>
      </vt:variant>
      <vt:variant>
        <vt:i4>50</vt:i4>
      </vt:variant>
    </vt:vector>
  </HeadingPairs>
  <TitlesOfParts>
    <vt:vector size="58" baseType="lpstr">
      <vt:lpstr>inputs</vt:lpstr>
      <vt:lpstr>Sheet2</vt:lpstr>
      <vt:lpstr>Rev History</vt:lpstr>
      <vt:lpstr>DATA</vt:lpstr>
      <vt:lpstr>Sheet1</vt:lpstr>
      <vt:lpstr>TP</vt:lpstr>
      <vt:lpstr>Sheet3</vt:lpstr>
      <vt:lpstr>Airspan limitation</vt:lpstr>
      <vt:lpstr>BLER_NR</vt:lpstr>
      <vt:lpstr>BW_NR</vt:lpstr>
      <vt:lpstr>CSI_NR</vt:lpstr>
      <vt:lpstr>CSI_RS_NR</vt:lpstr>
      <vt:lpstr>CSI_RS_periodicity</vt:lpstr>
      <vt:lpstr>CSI_RS_slots</vt:lpstr>
      <vt:lpstr>Cyclic_prefix_NR</vt:lpstr>
      <vt:lpstr>DL_CA_NR</vt:lpstr>
      <vt:lpstr>DL_Layers_NR</vt:lpstr>
      <vt:lpstr>DL_Max_Modulation_NR</vt:lpstr>
      <vt:lpstr>DL_Overhead_NR</vt:lpstr>
      <vt:lpstr>DL_split_SSF_NR</vt:lpstr>
      <vt:lpstr>DL_splite_NR</vt:lpstr>
      <vt:lpstr>DL_splite_NR_manual</vt:lpstr>
      <vt:lpstr>DL_splite_overhead_NR</vt:lpstr>
      <vt:lpstr>DMRS_overhead_NR</vt:lpstr>
      <vt:lpstr>Duplex_NR</vt:lpstr>
      <vt:lpstr>Format_input_NR</vt:lpstr>
      <vt:lpstr>Format_input_NR_manual</vt:lpstr>
      <vt:lpstr>Frequency_Band_input_bug</vt:lpstr>
      <vt:lpstr>Frequency_Band_input_NR</vt:lpstr>
      <vt:lpstr>Frequency_n_NR</vt:lpstr>
      <vt:lpstr>Frequency_range_F_NR</vt:lpstr>
      <vt:lpstr>Frequency_range_input_NR</vt:lpstr>
      <vt:lpstr>Measurement_Gap</vt:lpstr>
      <vt:lpstr>numerologie_NR</vt:lpstr>
      <vt:lpstr>packet_size</vt:lpstr>
      <vt:lpstr>PDCCH_overhead_NR</vt:lpstr>
      <vt:lpstr>PDCCH_TDD_overhead_NR</vt:lpstr>
      <vt:lpstr>PRACH_OH_NR</vt:lpstr>
      <vt:lpstr>Product_Support</vt:lpstr>
      <vt:lpstr>PUCCH_overhead_NR</vt:lpstr>
      <vt:lpstr>RB_NR</vt:lpstr>
      <vt:lpstr>SCS_input_bug_NR</vt:lpstr>
      <vt:lpstr>SCS_n_input_bug_NR</vt:lpstr>
      <vt:lpstr>SCS_NR</vt:lpstr>
      <vt:lpstr>SSF_splite_NR</vt:lpstr>
      <vt:lpstr>SSF_splite_NR_manual</vt:lpstr>
      <vt:lpstr>SW_Limitation</vt:lpstr>
      <vt:lpstr>SW_Limitation_input</vt:lpstr>
      <vt:lpstr>Total_DL_split_NR</vt:lpstr>
      <vt:lpstr>Total_UL_split_NR</vt:lpstr>
      <vt:lpstr>UL_CA_NR</vt:lpstr>
      <vt:lpstr>UL_DMRS_overhead_NR</vt:lpstr>
      <vt:lpstr>UL_Layers_NR</vt:lpstr>
      <vt:lpstr>UL_Max_Modulation_NR</vt:lpstr>
      <vt:lpstr>UL_Overhead_NR</vt:lpstr>
      <vt:lpstr>UL_split_SSF_NR</vt:lpstr>
      <vt:lpstr>UL_splite_NR</vt:lpstr>
      <vt:lpstr>UL_splite_NR_manual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2023-03-16T07:06:26Z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04131cd2-bdd1-4b4a-989e-4379c5a6c3ac</vt:lpwstr>
  </property>
</Properties>
</file>