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k\Documents\"/>
    </mc:Choice>
  </mc:AlternateContent>
  <xr:revisionPtr revIDLastSave="0" documentId="13_ncr:1_{864C4260-24AF-41AC-AA4A-77AEFCA7A275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PNL" sheetId="4" r:id="rId1"/>
    <sheet name="Quarterly PNL" sheetId="1" r:id="rId2"/>
    <sheet name="Cashflow" sheetId="2" r:id="rId3"/>
    <sheet name="Valuation" sheetId="5" r:id="rId4"/>
  </sheets>
  <externalReferences>
    <externalReference r:id="rId5"/>
  </externalReferences>
  <definedNames>
    <definedName name="_xlnm.Print_Area" localSheetId="2">Cashflow!$J$29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7" i="5" l="1"/>
  <c r="D78" i="5" s="1"/>
  <c r="D79" i="5" s="1"/>
  <c r="D80" i="5" s="1"/>
  <c r="D81" i="5" s="1"/>
  <c r="B77" i="5"/>
  <c r="B78" i="5" s="1"/>
  <c r="B79" i="5" s="1"/>
  <c r="B80" i="5" s="1"/>
  <c r="B81" i="5" s="1"/>
  <c r="B82" i="5" s="1"/>
  <c r="B83" i="5" s="1"/>
  <c r="B84" i="5" s="1"/>
  <c r="B85" i="5" s="1"/>
  <c r="D82" i="5" l="1"/>
  <c r="D83" i="5" s="1"/>
  <c r="D84" i="5" s="1"/>
  <c r="D85" i="5" s="1"/>
  <c r="F61" i="5" l="1"/>
  <c r="F60" i="5"/>
  <c r="F57" i="5"/>
  <c r="F52" i="5"/>
  <c r="E61" i="5"/>
  <c r="E60" i="5"/>
  <c r="E59" i="5"/>
  <c r="E58" i="5"/>
  <c r="E52" i="5"/>
  <c r="E48" i="5"/>
  <c r="E35" i="5"/>
  <c r="F35" i="5" s="1"/>
  <c r="F34" i="5"/>
  <c r="F58" i="5" s="1"/>
  <c r="E34" i="5"/>
  <c r="E28" i="5"/>
  <c r="E57" i="5" s="1"/>
  <c r="E26" i="5"/>
  <c r="E23" i="5"/>
  <c r="F23" i="5" s="1"/>
  <c r="G3" i="5"/>
  <c r="H3" i="5" s="1"/>
  <c r="P13" i="5"/>
  <c r="P15" i="5" s="1"/>
  <c r="O13" i="5"/>
  <c r="O15" i="5" s="1"/>
  <c r="E5" i="5" s="1"/>
  <c r="E11" i="5" s="1"/>
  <c r="O12" i="5"/>
  <c r="R12" i="5" s="1"/>
  <c r="R11" i="5"/>
  <c r="R10" i="5"/>
  <c r="R9" i="5"/>
  <c r="R8" i="5"/>
  <c r="R7" i="5"/>
  <c r="Q6" i="5"/>
  <c r="R6" i="5" s="1"/>
  <c r="R5" i="5"/>
  <c r="R4" i="5"/>
  <c r="R13" i="5" l="1"/>
  <c r="R15" i="5" s="1"/>
  <c r="E63" i="5"/>
  <c r="Q13" i="5"/>
  <c r="Q15" i="5" s="1"/>
  <c r="E13" i="5" s="1"/>
  <c r="H61" i="5"/>
  <c r="H60" i="5"/>
  <c r="H52" i="5"/>
  <c r="G61" i="5"/>
  <c r="G60" i="5"/>
  <c r="G57" i="5"/>
  <c r="G52" i="5"/>
  <c r="G35" i="5"/>
  <c r="H35" i="5" s="1"/>
  <c r="G34" i="5"/>
  <c r="G58" i="5" s="1"/>
  <c r="G28" i="5"/>
  <c r="H28" i="5" s="1"/>
  <c r="H57" i="5" s="1"/>
  <c r="G26" i="5"/>
  <c r="H26" i="5" s="1"/>
  <c r="H23" i="5"/>
  <c r="G23" i="5"/>
  <c r="F26" i="5"/>
  <c r="D42" i="5"/>
  <c r="D32" i="5"/>
  <c r="D13" i="5"/>
  <c r="D11" i="5"/>
  <c r="F10" i="5"/>
  <c r="P53" i="4"/>
  <c r="G8" i="2"/>
  <c r="Q7" i="2"/>
  <c r="D44" i="5" l="1"/>
  <c r="D15" i="5"/>
  <c r="D19" i="5" s="1"/>
  <c r="E15" i="5"/>
  <c r="E19" i="5" s="1"/>
  <c r="E29" i="5"/>
  <c r="H34" i="5"/>
  <c r="H58" i="5" s="1"/>
  <c r="E51" i="5" l="1"/>
  <c r="E50" i="5"/>
  <c r="E24" i="5"/>
  <c r="E32" i="5" s="1"/>
  <c r="M31" i="4"/>
  <c r="L31" i="4"/>
  <c r="K31" i="4"/>
  <c r="J31" i="4"/>
  <c r="I31" i="4"/>
  <c r="H31" i="4"/>
  <c r="G31" i="4"/>
  <c r="F31" i="4"/>
  <c r="E31" i="4"/>
  <c r="D31" i="4"/>
  <c r="C31" i="4"/>
  <c r="B31" i="4"/>
  <c r="O18" i="2"/>
  <c r="N18" i="2"/>
  <c r="M18" i="2"/>
  <c r="K18" i="2"/>
  <c r="G18" i="2"/>
  <c r="F18" i="2"/>
  <c r="K21" i="2"/>
  <c r="H21" i="2"/>
  <c r="E21" i="2"/>
  <c r="J21" i="2"/>
  <c r="I21" i="2"/>
  <c r="G21" i="2"/>
  <c r="F21" i="2"/>
  <c r="E54" i="5" l="1"/>
  <c r="C10" i="2"/>
  <c r="B10" i="2"/>
  <c r="B26" i="2" s="1"/>
  <c r="A10" i="2"/>
  <c r="C23" i="2"/>
  <c r="C26" i="2" s="1"/>
  <c r="B23" i="2"/>
  <c r="A14" i="2"/>
  <c r="A23" i="2" s="1"/>
  <c r="O20" i="4"/>
  <c r="B27" i="4"/>
  <c r="C27" i="4"/>
  <c r="D27" i="4"/>
  <c r="E27" i="4"/>
  <c r="F27" i="4"/>
  <c r="G27" i="4"/>
  <c r="H27" i="4"/>
  <c r="I27" i="4"/>
  <c r="J27" i="4"/>
  <c r="K27" i="4"/>
  <c r="L27" i="4"/>
  <c r="M27" i="4"/>
  <c r="O27" i="4"/>
  <c r="P27" i="4"/>
  <c r="H4" i="5" s="1"/>
  <c r="B30" i="4"/>
  <c r="C30" i="4"/>
  <c r="D30" i="4" s="1"/>
  <c r="E30" i="4" s="1"/>
  <c r="O33" i="4"/>
  <c r="G10" i="5" s="1"/>
  <c r="P33" i="4"/>
  <c r="H10" i="5" s="1"/>
  <c r="B38" i="4"/>
  <c r="C38" i="4"/>
  <c r="D38" i="4"/>
  <c r="E38" i="4"/>
  <c r="F38" i="4"/>
  <c r="G38" i="4"/>
  <c r="H38" i="4"/>
  <c r="I38" i="4"/>
  <c r="J38" i="4"/>
  <c r="K38" i="4"/>
  <c r="L38" i="4"/>
  <c r="M38" i="4"/>
  <c r="O38" i="4"/>
  <c r="P38" i="4"/>
  <c r="B41" i="4"/>
  <c r="C41" i="4"/>
  <c r="D41" i="4"/>
  <c r="E41" i="4"/>
  <c r="F41" i="4"/>
  <c r="G41" i="4"/>
  <c r="H41" i="4"/>
  <c r="I41" i="4"/>
  <c r="J41" i="4"/>
  <c r="K41" i="4"/>
  <c r="L41" i="4"/>
  <c r="M41" i="4"/>
  <c r="O41" i="4"/>
  <c r="P41" i="4"/>
  <c r="B42" i="4"/>
  <c r="E19" i="2" s="1"/>
  <c r="C42" i="4"/>
  <c r="F19" i="2" s="1"/>
  <c r="D42" i="4"/>
  <c r="G19" i="2" s="1"/>
  <c r="E42" i="4"/>
  <c r="H19" i="2" s="1"/>
  <c r="F42" i="4"/>
  <c r="I19" i="2" s="1"/>
  <c r="G42" i="4"/>
  <c r="J19" i="2" s="1"/>
  <c r="H42" i="4"/>
  <c r="K19" i="2" s="1"/>
  <c r="I42" i="4"/>
  <c r="L19" i="2" s="1"/>
  <c r="J42" i="4"/>
  <c r="M19" i="2" s="1"/>
  <c r="K42" i="4"/>
  <c r="N19" i="2" s="1"/>
  <c r="L42" i="4"/>
  <c r="O19" i="2" s="1"/>
  <c r="M42" i="4"/>
  <c r="P19" i="2" s="1"/>
  <c r="O42" i="4"/>
  <c r="P42" i="4"/>
  <c r="B43" i="4"/>
  <c r="E18" i="2" s="1"/>
  <c r="E43" i="4"/>
  <c r="H18" i="2" s="1"/>
  <c r="F43" i="4"/>
  <c r="I18" i="2" s="1"/>
  <c r="G43" i="4"/>
  <c r="J18" i="2" s="1"/>
  <c r="I43" i="4"/>
  <c r="L18" i="2" s="1"/>
  <c r="M43" i="4"/>
  <c r="P18" i="2" s="1"/>
  <c r="O43" i="4"/>
  <c r="P43" i="4"/>
  <c r="B44" i="4"/>
  <c r="E20" i="2" s="1"/>
  <c r="C44" i="4"/>
  <c r="F20" i="2" s="1"/>
  <c r="D44" i="4"/>
  <c r="G20" i="2" s="1"/>
  <c r="E44" i="4"/>
  <c r="H20" i="2" s="1"/>
  <c r="F44" i="4"/>
  <c r="I20" i="2" s="1"/>
  <c r="G44" i="4"/>
  <c r="J20" i="2" s="1"/>
  <c r="H44" i="4"/>
  <c r="K20" i="2" s="1"/>
  <c r="I44" i="4"/>
  <c r="L20" i="2" s="1"/>
  <c r="J44" i="4"/>
  <c r="M20" i="2" s="1"/>
  <c r="K44" i="4"/>
  <c r="N20" i="2" s="1"/>
  <c r="L44" i="4"/>
  <c r="O20" i="2" s="1"/>
  <c r="M44" i="4"/>
  <c r="P20" i="2" s="1"/>
  <c r="B47" i="4"/>
  <c r="C47" i="4"/>
  <c r="D47" i="4"/>
  <c r="E47" i="4"/>
  <c r="G47" i="4"/>
  <c r="O47" i="4"/>
  <c r="P47" i="4"/>
  <c r="O48" i="4"/>
  <c r="P48" i="4" s="1"/>
  <c r="B49" i="4"/>
  <c r="C49" i="4"/>
  <c r="D49" i="4"/>
  <c r="E49" i="4"/>
  <c r="F49" i="4"/>
  <c r="G49" i="4"/>
  <c r="I49" i="4" s="1"/>
  <c r="B50" i="4"/>
  <c r="C50" i="4"/>
  <c r="D50" i="4"/>
  <c r="E50" i="4"/>
  <c r="F50" i="4"/>
  <c r="H50" i="4"/>
  <c r="I50" i="4"/>
  <c r="J50" i="4"/>
  <c r="K50" i="4"/>
  <c r="L50" i="4"/>
  <c r="M50" i="4"/>
  <c r="B53" i="4"/>
  <c r="C53" i="4"/>
  <c r="D53" i="4"/>
  <c r="E53" i="4"/>
  <c r="F53" i="4"/>
  <c r="G53" i="4"/>
  <c r="H53" i="4"/>
  <c r="I53" i="4"/>
  <c r="J53" i="4"/>
  <c r="K53" i="4"/>
  <c r="L53" i="4"/>
  <c r="M53" i="4"/>
  <c r="O53" i="4"/>
  <c r="B54" i="4"/>
  <c r="C54" i="4"/>
  <c r="D54" i="4"/>
  <c r="E54" i="4"/>
  <c r="F54" i="4"/>
  <c r="G54" i="4"/>
  <c r="H54" i="4"/>
  <c r="I54" i="4"/>
  <c r="J54" i="4"/>
  <c r="K54" i="4"/>
  <c r="L54" i="4"/>
  <c r="M54" i="4"/>
  <c r="O54" i="4"/>
  <c r="P54" i="4"/>
  <c r="P21" i="2"/>
  <c r="O21" i="2"/>
  <c r="N21" i="2"/>
  <c r="M21" i="2"/>
  <c r="L21" i="2"/>
  <c r="E10" i="2"/>
  <c r="B4" i="1" l="1"/>
  <c r="A26" i="2"/>
  <c r="E65" i="5"/>
  <c r="E67" i="5"/>
  <c r="O28" i="4"/>
  <c r="G5" i="5" s="1"/>
  <c r="G4" i="5"/>
  <c r="Q18" i="2"/>
  <c r="P14" i="2"/>
  <c r="L14" i="2"/>
  <c r="O14" i="2"/>
  <c r="K14" i="2"/>
  <c r="N14" i="2"/>
  <c r="P19" i="4"/>
  <c r="P20" i="4" s="1"/>
  <c r="P28" i="4"/>
  <c r="H5" i="5" s="1"/>
  <c r="M28" i="4"/>
  <c r="J28" i="4"/>
  <c r="F28" i="4"/>
  <c r="G9" i="2"/>
  <c r="G10" i="2" s="1"/>
  <c r="F9" i="2"/>
  <c r="F10" i="2" s="1"/>
  <c r="I28" i="4"/>
  <c r="K28" i="4"/>
  <c r="G28" i="4"/>
  <c r="H9" i="2"/>
  <c r="H10" i="2" s="1"/>
  <c r="E28" i="4"/>
  <c r="L28" i="4"/>
  <c r="H28" i="4"/>
  <c r="D28" i="4"/>
  <c r="I9" i="2"/>
  <c r="I10" i="2" s="1"/>
  <c r="O55" i="4"/>
  <c r="B28" i="4"/>
  <c r="B34" i="4" s="1"/>
  <c r="E13" i="2"/>
  <c r="C28" i="4"/>
  <c r="N47" i="4"/>
  <c r="K49" i="4"/>
  <c r="N54" i="4"/>
  <c r="N44" i="4"/>
  <c r="O44" i="4" s="1"/>
  <c r="O45" i="4" s="1"/>
  <c r="J49" i="4"/>
  <c r="L49" i="4"/>
  <c r="H49" i="4"/>
  <c r="N38" i="4"/>
  <c r="N53" i="4"/>
  <c r="P55" i="4"/>
  <c r="M49" i="4"/>
  <c r="N42" i="4"/>
  <c r="N48" i="4"/>
  <c r="N43" i="4"/>
  <c r="N41" i="4"/>
  <c r="N27" i="4"/>
  <c r="F4" i="5" s="1"/>
  <c r="F30" i="4"/>
  <c r="G30" i="4" s="1"/>
  <c r="H30" i="4" s="1"/>
  <c r="I30" i="4" s="1"/>
  <c r="J30" i="4" s="1"/>
  <c r="K30" i="4" s="1"/>
  <c r="L30" i="4" s="1"/>
  <c r="M30" i="4" s="1"/>
  <c r="R9" i="2" s="1"/>
  <c r="N50" i="4"/>
  <c r="O50" i="4" s="1"/>
  <c r="P50" i="4" s="1"/>
  <c r="E38" i="5" l="1"/>
  <c r="E42" i="5" s="1"/>
  <c r="E44" i="5" s="1"/>
  <c r="F48" i="5"/>
  <c r="M9" i="2"/>
  <c r="M10" i="2" s="1"/>
  <c r="J9" i="2"/>
  <c r="J10" i="2" s="1"/>
  <c r="L9" i="2"/>
  <c r="L10" i="2" s="1"/>
  <c r="N9" i="2"/>
  <c r="N10" i="2" s="1"/>
  <c r="K9" i="2"/>
  <c r="K10" i="2" s="1"/>
  <c r="Q9" i="2"/>
  <c r="P9" i="2"/>
  <c r="P10" i="2" s="1"/>
  <c r="O9" i="2"/>
  <c r="O10" i="2" s="1"/>
  <c r="F13" i="2"/>
  <c r="N28" i="4"/>
  <c r="F5" i="5" s="1"/>
  <c r="E34" i="4"/>
  <c r="C4" i="1"/>
  <c r="E4" i="1"/>
  <c r="B5" i="1"/>
  <c r="B6" i="1" s="1"/>
  <c r="D4" i="1"/>
  <c r="P44" i="4"/>
  <c r="P45" i="4" s="1"/>
  <c r="N45" i="4"/>
  <c r="N30" i="4"/>
  <c r="C34" i="4"/>
  <c r="D34" i="4"/>
  <c r="N49" i="4"/>
  <c r="O49" i="4" s="1"/>
  <c r="P49" i="4" s="1"/>
  <c r="P51" i="4" s="1"/>
  <c r="N55" i="4"/>
  <c r="F34" i="4"/>
  <c r="O30" i="4" l="1"/>
  <c r="F7" i="5"/>
  <c r="F37" i="5" s="1"/>
  <c r="F59" i="5" s="1"/>
  <c r="F63" i="5" s="1"/>
  <c r="N32" i="4"/>
  <c r="G13" i="2"/>
  <c r="F4" i="1"/>
  <c r="O51" i="4"/>
  <c r="C5" i="1"/>
  <c r="N51" i="4"/>
  <c r="G34" i="4"/>
  <c r="P30" i="4" l="1"/>
  <c r="H7" i="5" s="1"/>
  <c r="H37" i="5" s="1"/>
  <c r="G7" i="5"/>
  <c r="G37" i="5" s="1"/>
  <c r="G59" i="5" s="1"/>
  <c r="G63" i="5" s="1"/>
  <c r="H13" i="2"/>
  <c r="C6" i="1"/>
  <c r="H59" i="5" l="1"/>
  <c r="H63" i="5" s="1"/>
  <c r="I13" i="2"/>
  <c r="H34" i="4"/>
  <c r="I34" i="4"/>
  <c r="J13" i="2" l="1"/>
  <c r="K13" i="2" l="1"/>
  <c r="J34" i="4"/>
  <c r="D5" i="1"/>
  <c r="L13" i="2" l="1"/>
  <c r="K23" i="2"/>
  <c r="D6" i="1"/>
  <c r="K34" i="4"/>
  <c r="L34" i="4"/>
  <c r="M13" i="2" l="1"/>
  <c r="L23" i="2"/>
  <c r="E5" i="1"/>
  <c r="N13" i="2" l="1"/>
  <c r="E6" i="1"/>
  <c r="F5" i="1"/>
  <c r="F6" i="1" s="1"/>
  <c r="N31" i="4"/>
  <c r="F8" i="5" s="1"/>
  <c r="F11" i="5" s="1"/>
  <c r="M34" i="4"/>
  <c r="O13" i="2" l="1"/>
  <c r="N23" i="2"/>
  <c r="O31" i="4"/>
  <c r="G8" i="5" s="1"/>
  <c r="G11" i="5" s="1"/>
  <c r="N34" i="4"/>
  <c r="P13" i="2" l="1"/>
  <c r="P23" i="2" s="1"/>
  <c r="O23" i="2"/>
  <c r="O34" i="4"/>
  <c r="P31" i="4"/>
  <c r="B37" i="4"/>
  <c r="E14" i="2" s="1"/>
  <c r="E23" i="2" s="1"/>
  <c r="E26" i="2" s="1"/>
  <c r="F4" i="2" s="1"/>
  <c r="C37" i="4"/>
  <c r="F14" i="2" s="1"/>
  <c r="F23" i="2" s="1"/>
  <c r="D37" i="4"/>
  <c r="G14" i="2" s="1"/>
  <c r="G23" i="2" s="1"/>
  <c r="E37" i="4"/>
  <c r="H14" i="2" s="1"/>
  <c r="H23" i="2" s="1"/>
  <c r="G37" i="4"/>
  <c r="J14" i="2" s="1"/>
  <c r="J23" i="2" s="1"/>
  <c r="J37" i="4"/>
  <c r="M14" i="2" s="1"/>
  <c r="M23" i="2" s="1"/>
  <c r="P34" i="4" l="1"/>
  <c r="H8" i="5"/>
  <c r="H11" i="5" s="1"/>
  <c r="F26" i="2"/>
  <c r="G4" i="2" s="1"/>
  <c r="G26" i="2" s="1"/>
  <c r="H4" i="2" s="1"/>
  <c r="H26" i="2" s="1"/>
  <c r="I4" i="2" s="1"/>
  <c r="K56" i="4"/>
  <c r="G56" i="4"/>
  <c r="G58" i="4" s="1"/>
  <c r="G61" i="4" s="1"/>
  <c r="G63" i="4" s="1"/>
  <c r="G65" i="4" s="1"/>
  <c r="C56" i="4"/>
  <c r="C58" i="4" s="1"/>
  <c r="C61" i="4" s="1"/>
  <c r="C63" i="4" s="1"/>
  <c r="C65" i="4" s="1"/>
  <c r="L56" i="4"/>
  <c r="L58" i="4" s="1"/>
  <c r="L61" i="4" s="1"/>
  <c r="L63" i="4" s="1"/>
  <c r="L65" i="4" s="1"/>
  <c r="H56" i="4"/>
  <c r="H58" i="4" s="1"/>
  <c r="H61" i="4" s="1"/>
  <c r="H63" i="4" s="1"/>
  <c r="H65" i="4" s="1"/>
  <c r="D56" i="4"/>
  <c r="D58" i="4" s="1"/>
  <c r="D61" i="4" s="1"/>
  <c r="D63" i="4" s="1"/>
  <c r="D65" i="4" s="1"/>
  <c r="M56" i="4"/>
  <c r="M58" i="4" s="1"/>
  <c r="M61" i="4" s="1"/>
  <c r="M63" i="4" s="1"/>
  <c r="M65" i="4" s="1"/>
  <c r="I56" i="4"/>
  <c r="I58" i="4" s="1"/>
  <c r="I61" i="4" s="1"/>
  <c r="I63" i="4" s="1"/>
  <c r="I65" i="4" s="1"/>
  <c r="E56" i="4"/>
  <c r="J56" i="4"/>
  <c r="P37" i="4"/>
  <c r="P39" i="4" s="1"/>
  <c r="P56" i="4" s="1"/>
  <c r="H13" i="5" s="1"/>
  <c r="H29" i="5" s="1"/>
  <c r="O37" i="4"/>
  <c r="O39" i="4" s="1"/>
  <c r="O56" i="4" s="1"/>
  <c r="G13" i="5" s="1"/>
  <c r="G29" i="5" s="1"/>
  <c r="F37" i="4"/>
  <c r="I14" i="2" s="1"/>
  <c r="I23" i="2" s="1"/>
  <c r="B56" i="4"/>
  <c r="O58" i="4" l="1"/>
  <c r="O61" i="4" s="1"/>
  <c r="O63" i="4" s="1"/>
  <c r="P58" i="4"/>
  <c r="P61" i="4" s="1"/>
  <c r="P63" i="4" s="1"/>
  <c r="K58" i="4"/>
  <c r="K61" i="4" s="1"/>
  <c r="K63" i="4" s="1"/>
  <c r="K65" i="4" s="1"/>
  <c r="E9" i="1"/>
  <c r="I26" i="2"/>
  <c r="J4" i="2" s="1"/>
  <c r="J26" i="2" s="1"/>
  <c r="K4" i="2" s="1"/>
  <c r="K26" i="2" s="1"/>
  <c r="L4" i="2" s="1"/>
  <c r="L26" i="2" s="1"/>
  <c r="M4" i="2" s="1"/>
  <c r="M26" i="2" s="1"/>
  <c r="N4" i="2" s="1"/>
  <c r="N26" i="2" s="1"/>
  <c r="O4" i="2" s="1"/>
  <c r="O26" i="2" s="1"/>
  <c r="P4" i="2" s="1"/>
  <c r="P26" i="2" s="1"/>
  <c r="B9" i="1"/>
  <c r="B20" i="1" s="1"/>
  <c r="J58" i="4"/>
  <c r="J61" i="4" s="1"/>
  <c r="J63" i="4" s="1"/>
  <c r="J65" i="4" s="1"/>
  <c r="D9" i="1"/>
  <c r="D20" i="1" s="1"/>
  <c r="E58" i="4"/>
  <c r="E61" i="4" s="1"/>
  <c r="E63" i="4" s="1"/>
  <c r="E65" i="4" s="1"/>
  <c r="B58" i="4"/>
  <c r="B61" i="4" s="1"/>
  <c r="B63" i="4" s="1"/>
  <c r="B65" i="4" s="1"/>
  <c r="F56" i="4"/>
  <c r="F58" i="4" s="1"/>
  <c r="N37" i="4"/>
  <c r="N39" i="4" s="1"/>
  <c r="P65" i="4" l="1"/>
  <c r="H17" i="5"/>
  <c r="O65" i="4"/>
  <c r="G17" i="5"/>
  <c r="G15" i="5"/>
  <c r="H15" i="5"/>
  <c r="E20" i="1"/>
  <c r="E10" i="1"/>
  <c r="E18" i="1"/>
  <c r="E19" i="1" s="1"/>
  <c r="B18" i="1"/>
  <c r="B19" i="1" s="1"/>
  <c r="B10" i="1"/>
  <c r="D10" i="1"/>
  <c r="D18" i="1"/>
  <c r="D19" i="1" s="1"/>
  <c r="C9" i="1"/>
  <c r="C20" i="1" s="1"/>
  <c r="N56" i="4"/>
  <c r="F13" i="5" s="1"/>
  <c r="F29" i="5" s="1"/>
  <c r="F51" i="5" s="1"/>
  <c r="F61" i="4"/>
  <c r="H19" i="5" l="1"/>
  <c r="H50" i="5" s="1"/>
  <c r="N58" i="4"/>
  <c r="G19" i="5"/>
  <c r="G50" i="5" s="1"/>
  <c r="H51" i="5"/>
  <c r="H54" i="5" s="1"/>
  <c r="H67" i="5" s="1"/>
  <c r="C10" i="1"/>
  <c r="C18" i="1"/>
  <c r="F9" i="1"/>
  <c r="N61" i="4"/>
  <c r="F63" i="4"/>
  <c r="F15" i="5" l="1"/>
  <c r="F10" i="1"/>
  <c r="F20" i="1"/>
  <c r="F22" i="1" s="1"/>
  <c r="C19" i="1"/>
  <c r="F18" i="1"/>
  <c r="F19" i="1" s="1"/>
  <c r="F65" i="4"/>
  <c r="N65" i="4" s="1"/>
  <c r="N63" i="4"/>
  <c r="F17" i="5" s="1"/>
  <c r="G51" i="5" l="1"/>
  <c r="G54" i="5" s="1"/>
  <c r="G67" i="5" s="1"/>
  <c r="F19" i="5"/>
  <c r="F24" i="5" s="1"/>
  <c r="F50" i="5" l="1"/>
  <c r="F54" i="5" s="1"/>
  <c r="F65" i="5" l="1"/>
  <c r="F38" i="5" s="1"/>
  <c r="F42" i="5" s="1"/>
  <c r="F67" i="5"/>
  <c r="E69" i="5" s="1"/>
  <c r="C76" i="5" s="1"/>
  <c r="F32" i="5"/>
  <c r="G24" i="5"/>
  <c r="E76" i="5" l="1"/>
  <c r="C77" i="5"/>
  <c r="G48" i="5"/>
  <c r="G65" i="5" s="1"/>
  <c r="G38" i="5" s="1"/>
  <c r="G42" i="5" s="1"/>
  <c r="F44" i="5"/>
  <c r="H24" i="5"/>
  <c r="H32" i="5" s="1"/>
  <c r="G32" i="5"/>
  <c r="H48" i="5"/>
  <c r="H65" i="5" s="1"/>
  <c r="H38" i="5" s="1"/>
  <c r="H42" i="5" s="1"/>
  <c r="C78" i="5" l="1"/>
  <c r="E77" i="5"/>
  <c r="G44" i="5"/>
  <c r="H44" i="5"/>
  <c r="C79" i="5" l="1"/>
  <c r="E78" i="5"/>
  <c r="E79" i="5" l="1"/>
  <c r="C80" i="5"/>
  <c r="C81" i="5" l="1"/>
  <c r="E80" i="5"/>
  <c r="C82" i="5" l="1"/>
  <c r="E81" i="5"/>
  <c r="C83" i="5" l="1"/>
  <c r="E82" i="5"/>
  <c r="C84" i="5" l="1"/>
  <c r="E83" i="5"/>
  <c r="C85" i="5" l="1"/>
  <c r="E84" i="5"/>
  <c r="E85" i="5" l="1"/>
  <c r="E87" i="5" s="1"/>
  <c r="C86" i="5"/>
  <c r="E88" i="5" s="1"/>
  <c r="E90" i="5" l="1"/>
  <c r="E9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Rahul Kumar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Existing
</t>
        </r>
      </text>
    </comment>
    <comment ref="E4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Rahul Kumar:</t>
        </r>
        <r>
          <rPr>
            <sz val="9"/>
            <color indexed="81"/>
            <rFont val="Tahoma"/>
            <family val="2"/>
          </rPr>
          <t xml:space="preserve">
Where has this come from??
</t>
        </r>
      </text>
    </comment>
    <comment ref="E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1st Tranche
RK but you have asked for a lesser amount in tranche 1</t>
        </r>
      </text>
    </comment>
    <comment ref="J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2nd Tranche</t>
        </r>
      </text>
    </comment>
    <comment ref="M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3rd Tranche
</t>
        </r>
      </text>
    </comment>
    <comment ref="G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7lac FD break+20lac new OD
</t>
        </r>
      </text>
    </comment>
    <comment ref="K8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New OD</t>
        </r>
      </text>
    </comment>
    <comment ref="L8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New OD</t>
        </r>
      </text>
    </comment>
    <comment ref="E9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existing orders
RK what about prior month outstandings?
</t>
        </r>
      </text>
    </comment>
    <comment ref="F9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20 lac from existing outstanding</t>
        </r>
      </text>
    </comment>
    <comment ref="Q9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1/2 from sale in 11th Month+1/2 from sale in 12th Month</t>
        </r>
      </text>
    </comment>
    <comment ref="R9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1/2 from sale in 12th Month.</t>
        </r>
      </text>
    </comment>
    <comment ref="E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  <comment ref="F1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  <comment ref="G1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  <comment ref="H13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  <comment ref="I13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  <comment ref="J13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  <comment ref="K13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  <comment ref="L13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  <comment ref="M13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  <comment ref="N13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  <comment ref="O1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  <comment ref="P13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Transporter advance paid 80%.
Our Margin avg 8%</t>
        </r>
      </text>
    </comment>
  </commentList>
</comments>
</file>

<file path=xl/sharedStrings.xml><?xml version="1.0" encoding="utf-8"?>
<sst xmlns="http://schemas.openxmlformats.org/spreadsheetml/2006/main" count="250" uniqueCount="216">
  <si>
    <t>Q1</t>
  </si>
  <si>
    <t>Q2</t>
  </si>
  <si>
    <t>Q3</t>
  </si>
  <si>
    <t>Q4</t>
  </si>
  <si>
    <t>Total</t>
  </si>
  <si>
    <t>margins have increased from prior projections- does this include service tax?</t>
  </si>
  <si>
    <t>GMV</t>
  </si>
  <si>
    <t xml:space="preserve">                                                                                      </t>
  </si>
  <si>
    <t xml:space="preserve"> Margins have increased as the avg ticket size has been estimated to come down given the immininet clients' RFQ (Avg Ticket Size now 35000, Margin per truck 2500)</t>
  </si>
  <si>
    <t>Gross Income</t>
  </si>
  <si>
    <t>%age of GMV</t>
  </si>
  <si>
    <t>Service tax</t>
  </si>
  <si>
    <t>Numbers are lower from prior projections as well- why?</t>
  </si>
  <si>
    <t xml:space="preserve">   The same reason as above (Avg Ticket Size has come down)</t>
  </si>
  <si>
    <t>Did you take into account closing costs</t>
  </si>
  <si>
    <t>Total Operating Exp</t>
  </si>
  <si>
    <t>what is the basis for this - where is the utilization?</t>
  </si>
  <si>
    <t>HeadCount</t>
  </si>
  <si>
    <t>Total employees at the end of the quarter have been shown</t>
  </si>
  <si>
    <t>Tech</t>
  </si>
  <si>
    <t>Salaries are shown hereunder</t>
  </si>
  <si>
    <t>Marketing</t>
  </si>
  <si>
    <t>Operations</t>
  </si>
  <si>
    <t>Profiile</t>
  </si>
  <si>
    <t>INR</t>
  </si>
  <si>
    <t>Finance</t>
  </si>
  <si>
    <t>Designer</t>
  </si>
  <si>
    <t>HR/Office</t>
  </si>
  <si>
    <t>`</t>
  </si>
  <si>
    <t>Developer</t>
  </si>
  <si>
    <t>BD Head</t>
  </si>
  <si>
    <t>P/L</t>
  </si>
  <si>
    <t>BD exec</t>
  </si>
  <si>
    <t>Sales Head Supply</t>
  </si>
  <si>
    <t>Funding Requirement</t>
  </si>
  <si>
    <t>Sales exec supply</t>
  </si>
  <si>
    <t>Legal Services</t>
  </si>
  <si>
    <t>Directors</t>
  </si>
  <si>
    <t>Total Funding Requirement</t>
  </si>
  <si>
    <t>Ops exec</t>
  </si>
  <si>
    <t>Sourcing</t>
  </si>
  <si>
    <t>Traffic</t>
  </si>
  <si>
    <t>Telecallers</t>
  </si>
  <si>
    <t>CFO</t>
  </si>
  <si>
    <t>Finance Executive</t>
  </si>
  <si>
    <t>HR</t>
  </si>
  <si>
    <t>Office boy</t>
  </si>
  <si>
    <t>Cashflow Forecast</t>
  </si>
  <si>
    <t>TrunkPool</t>
  </si>
  <si>
    <t>M-1</t>
  </si>
  <si>
    <t>M-2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</si>
  <si>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</si>
  <si>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</si>
  <si>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</si>
  <si>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</si>
  <si>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</si>
  <si>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</si>
  <si>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</si>
  <si>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</si>
  <si>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</si>
  <si>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</si>
  <si>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Opening Balance</t>
  </si>
  <si>
    <t>Money In</t>
  </si>
  <si>
    <t>Equity Capital</t>
  </si>
  <si>
    <t>OD</t>
  </si>
  <si>
    <t>Sales</t>
  </si>
  <si>
    <t>Total Money In</t>
  </si>
  <si>
    <t>Money Out</t>
  </si>
  <si>
    <t>Cost of Transportation</t>
  </si>
  <si>
    <t>Salaries</t>
  </si>
  <si>
    <t>Advertising</t>
  </si>
  <si>
    <t>Rental</t>
  </si>
  <si>
    <t>Office Supplies</t>
  </si>
  <si>
    <t>Laptops and Licenses</t>
  </si>
  <si>
    <t>Overdraft Interest</t>
  </si>
  <si>
    <t>Total Money Out</t>
  </si>
  <si>
    <t>Closing Balance</t>
  </si>
  <si>
    <t>PAT</t>
  </si>
  <si>
    <t>Tax Expense</t>
  </si>
  <si>
    <t xml:space="preserve"> </t>
  </si>
  <si>
    <t>PBT</t>
  </si>
  <si>
    <t>Operating Profit (Loss)</t>
  </si>
  <si>
    <t>Total Operating Expense</t>
  </si>
  <si>
    <t>Finance (Salaries)</t>
  </si>
  <si>
    <t>HR &amp; Admin (Salaries)</t>
  </si>
  <si>
    <t>Others</t>
  </si>
  <si>
    <t>Travel and Misc</t>
  </si>
  <si>
    <t>Wifi Cost</t>
  </si>
  <si>
    <t>Maintenance</t>
  </si>
  <si>
    <t>Technology</t>
  </si>
  <si>
    <t>Brand Building</t>
  </si>
  <si>
    <t>Marketing/BD</t>
  </si>
  <si>
    <t xml:space="preserve">Expenses </t>
  </si>
  <si>
    <t>Gross Profit</t>
  </si>
  <si>
    <t>Trunkpool SaaS</t>
  </si>
  <si>
    <t>Income (Spot)</t>
  </si>
  <si>
    <t>GMV (Spot)</t>
  </si>
  <si>
    <t>Income (Contract)</t>
  </si>
  <si>
    <t>GMV (Contracts)</t>
  </si>
  <si>
    <t>Year 3</t>
  </si>
  <si>
    <t xml:space="preserve">Year 2 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</si>
  <si>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</si>
  <si>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</si>
  <si>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</si>
  <si>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</si>
  <si>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</si>
  <si>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</si>
  <si>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</si>
  <si>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</si>
  <si>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</si>
  <si>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</si>
  <si>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</si>
  <si>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</si>
  <si>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Month</t>
  </si>
  <si>
    <t>No of SaaS buyers 2nd year</t>
  </si>
  <si>
    <t>No of SaaS buyers 3rd year</t>
  </si>
  <si>
    <t>White Labeling Charge</t>
  </si>
  <si>
    <t>Period (Months)</t>
  </si>
  <si>
    <t>Interest on WC</t>
  </si>
  <si>
    <t>WC required</t>
  </si>
  <si>
    <t>No of Spot Orders per day</t>
  </si>
  <si>
    <t>YoY Growth</t>
  </si>
  <si>
    <t>Growth MoM (Spot)</t>
  </si>
  <si>
    <t>Spot</t>
  </si>
  <si>
    <t>Average Margin per vehicle</t>
  </si>
  <si>
    <t>Avergae Ticket Size</t>
  </si>
  <si>
    <t>Per Quarter</t>
  </si>
  <si>
    <t xml:space="preserve">No of repeat clients </t>
  </si>
  <si>
    <t>Y3</t>
  </si>
  <si>
    <t>Y2</t>
  </si>
  <si>
    <t>Period</t>
  </si>
  <si>
    <t>Avergae Trucks Daily/ Client</t>
  </si>
  <si>
    <t>ITC,Singer, HPL, Lloyd, Phillips, Su-kam, S Chand, Freego Glass, Acropaints, Whirlpool, Bisleri</t>
  </si>
  <si>
    <t>Contracts in pipeline</t>
  </si>
  <si>
    <t>Vantec (Hitachi), D B Schenker, DHL, IPISPL, Holisol,NS Exports, 3SC, Nissin etc….</t>
  </si>
  <si>
    <t xml:space="preserve">Contracted Clients </t>
  </si>
  <si>
    <t>Contract</t>
  </si>
  <si>
    <t>No Of Days/month</t>
  </si>
  <si>
    <t>No Of Months</t>
  </si>
  <si>
    <t>April'17</t>
  </si>
  <si>
    <t>May'17</t>
  </si>
  <si>
    <t>June'17</t>
  </si>
  <si>
    <t>FD</t>
  </si>
  <si>
    <t>WiFi</t>
  </si>
  <si>
    <t>Ticket Size</t>
  </si>
  <si>
    <t>Average Margin</t>
  </si>
  <si>
    <t>Projections</t>
  </si>
  <si>
    <t>Actual</t>
  </si>
  <si>
    <t>Total Operating Expense W/o Depreciation</t>
  </si>
  <si>
    <t>Balance Sheet</t>
  </si>
  <si>
    <t>Reserves</t>
  </si>
  <si>
    <t>DTL</t>
  </si>
  <si>
    <t>Short Term Borrowings</t>
  </si>
  <si>
    <t>Trade Payables</t>
  </si>
  <si>
    <t>Other Current Liabilities</t>
  </si>
  <si>
    <t>Total Liabilities</t>
  </si>
  <si>
    <t>Tangible Assets</t>
  </si>
  <si>
    <t>Intangible Assets</t>
  </si>
  <si>
    <t>Trade Receivables</t>
  </si>
  <si>
    <t>Cash &amp; Cash Equivalents</t>
  </si>
  <si>
    <t>Short Term Loans &amp; Advances</t>
  </si>
  <si>
    <t>Other Current Assets</t>
  </si>
  <si>
    <t>Total Assets</t>
  </si>
  <si>
    <t>Difference</t>
  </si>
  <si>
    <t>CASH FLOW</t>
  </si>
  <si>
    <t>Opening</t>
  </si>
  <si>
    <t>Sources</t>
  </si>
  <si>
    <t>Profit after Tax before Dep &amp; Amortisation</t>
  </si>
  <si>
    <t>Usage</t>
  </si>
  <si>
    <t>Increase in Payables</t>
  </si>
  <si>
    <t>Increase in C/Liabilities</t>
  </si>
  <si>
    <t>Total Sources</t>
  </si>
  <si>
    <t>Purchase of Assets</t>
  </si>
  <si>
    <t>Increase in Receivable</t>
  </si>
  <si>
    <t>Increase in Short term L&amp;A</t>
  </si>
  <si>
    <t>Increase in other CA</t>
  </si>
  <si>
    <t>Total Usage</t>
  </si>
  <si>
    <t>Closing Cash in Hand</t>
  </si>
  <si>
    <t>Revenue</t>
  </si>
  <si>
    <t>Indirect expense</t>
  </si>
  <si>
    <t>Direct Expense</t>
  </si>
  <si>
    <t>Net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</si>
  <si>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</si>
  <si>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</si>
  <si>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</si>
  <si>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</si>
  <si>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</si>
  <si>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</si>
  <si>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</si>
  <si>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</si>
  <si>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December-27 Dec</t>
  </si>
  <si>
    <t>Grand Total</t>
  </si>
  <si>
    <t>12 months</t>
  </si>
  <si>
    <t>Cash Flow</t>
  </si>
  <si>
    <t>Initial Cash Flow</t>
  </si>
  <si>
    <t>Growth Rate</t>
  </si>
  <si>
    <t>Yr1-5</t>
  </si>
  <si>
    <t>Yr6-10</t>
  </si>
  <si>
    <t>Terminal Growth Rate</t>
  </si>
  <si>
    <t>Discount Rate</t>
  </si>
  <si>
    <t>Yr</t>
  </si>
  <si>
    <t>Flow</t>
  </si>
  <si>
    <t>Growth</t>
  </si>
  <si>
    <t>Value</t>
  </si>
  <si>
    <t>PV</t>
  </si>
  <si>
    <t>Terminal Year</t>
  </si>
  <si>
    <t>Terminal value</t>
  </si>
  <si>
    <t>Total PV</t>
  </si>
  <si>
    <t>Enterprise value</t>
  </si>
  <si>
    <t>Rounded to nearest crore</t>
  </si>
  <si>
    <t>Y1</t>
  </si>
  <si>
    <t>Corporate Clients</t>
  </si>
  <si>
    <t>GM (5%)</t>
  </si>
  <si>
    <t>Spot Sales</t>
  </si>
  <si>
    <t>GM (2k)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</si>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</sst>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_ [$₹-4009]\ * #,##0.00_ ;_ [$₹-4009]\ * \-#,##0.00_ ;_ [$₹-4009]\ * &quot;-&quot;??_ ;_ @_ "/>
    <numFmt numFmtId="166" formatCode="_(* #,##0_);_(* \(#,##0\);_(* &quot;-&quot;??_);_(@_)"/>
    <numFmt numFmtId="167" formatCode="_ [$₹-4009]\ * #,##0_ ;_ [$₹-4009]\ * \-#,##0_ ;_ [$₹-4009]\ * &quot;-&quot;??_ ;_ @_ "/>
    <numFmt numFmtId="168" formatCode="0.0%"/>
    <numFmt numFmtId="169" formatCode="_ [$₹-439]\ * #,##0_ ;_ [$₹-439]\ * \-#,##0_ ;_ [$₹-439]\ * &quot;-&quot;_ ;_ @_ "/>
    <numFmt numFmtId="170" formatCode="_ [$₹-439]\ * #,##0.00_ ;_ [$₹-439]\ * \-#,##0.00_ ;_ [$₹-439]\ * &quot;-&quot;??_ ;_ @_ "/>
    <numFmt numFmtId="171" formatCode="0_);[Red]\(0\)"/>
    <numFmt numFmtId="172" formatCode="mmm\ yy"/>
    <numFmt numFmtId="173" formatCode="&quot;&quot;0"/>
    <numFmt numFmtId="174" formatCode="&quot;&quot;0.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indexed="9"/>
      <name val="Arial"/>
      <family val="2"/>
    </font>
    <font>
      <b/>
      <sz val="11"/>
      <color indexed="9"/>
      <name val="Arial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tted">
        <color indexed="23"/>
      </left>
      <right style="dotted">
        <color indexed="2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138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2" borderId="0" xfId="0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left"/>
    </xf>
    <xf numFmtId="165" fontId="8" fillId="0" borderId="0" xfId="0" applyNumberFormat="1" applyFont="1" applyBorder="1" applyAlignment="1">
      <alignment horizontal="center"/>
    </xf>
    <xf numFmtId="0" fontId="0" fillId="2" borderId="0" xfId="0" applyFont="1" applyFill="1" applyAlignment="1">
      <alignment horizontal="right"/>
    </xf>
    <xf numFmtId="0" fontId="9" fillId="0" borderId="0" xfId="0" applyFont="1" applyBorder="1" applyAlignment="1">
      <alignment horizontal="left" indent="1"/>
    </xf>
    <xf numFmtId="0" fontId="7" fillId="0" borderId="0" xfId="0" applyFont="1" applyAlignment="1">
      <alignment horizontal="right"/>
    </xf>
    <xf numFmtId="0" fontId="10" fillId="0" borderId="0" xfId="0" applyFont="1" applyBorder="1" applyAlignment="1">
      <alignment horizontal="left" indent="1"/>
    </xf>
    <xf numFmtId="0" fontId="10" fillId="0" borderId="0" xfId="0" applyFont="1" applyFill="1" applyBorder="1" applyAlignment="1">
      <alignment horizontal="left" indent="1"/>
    </xf>
    <xf numFmtId="167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66" fontId="7" fillId="0" borderId="0" xfId="1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0" fontId="7" fillId="0" borderId="0" xfId="2" applyNumberFormat="1" applyFont="1" applyAlignment="1">
      <alignment horizontal="right"/>
    </xf>
    <xf numFmtId="0" fontId="7" fillId="3" borderId="0" xfId="0" applyFont="1" applyFill="1" applyAlignment="1">
      <alignment horizontal="right"/>
    </xf>
    <xf numFmtId="9" fontId="7" fillId="0" borderId="0" xfId="2" applyFont="1" applyAlignment="1">
      <alignment horizontal="right"/>
    </xf>
    <xf numFmtId="3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165" fontId="7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68" fontId="7" fillId="0" borderId="0" xfId="2" applyNumberFormat="1" applyFont="1" applyAlignment="1">
      <alignment horizontal="right"/>
    </xf>
    <xf numFmtId="167" fontId="12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4" fillId="0" borderId="0" xfId="5" applyAlignment="1">
      <alignment horizontal="center"/>
    </xf>
    <xf numFmtId="169" fontId="4" fillId="0" borderId="0" xfId="5" applyNumberFormat="1" applyAlignment="1">
      <alignment horizontal="center"/>
    </xf>
    <xf numFmtId="169" fontId="4" fillId="0" borderId="1" xfId="5" applyNumberFormat="1" applyBorder="1" applyAlignment="1">
      <alignment horizontal="center"/>
    </xf>
    <xf numFmtId="170" fontId="4" fillId="0" borderId="0" xfId="5" applyNumberFormat="1" applyAlignment="1">
      <alignment horizontal="center"/>
    </xf>
    <xf numFmtId="0" fontId="0" fillId="0" borderId="0" xfId="0" applyFill="1"/>
    <xf numFmtId="38" fontId="0" fillId="0" borderId="0" xfId="0" applyNumberFormat="1" applyFill="1"/>
    <xf numFmtId="3" fontId="0" fillId="4" borderId="0" xfId="0" applyNumberFormat="1" applyFill="1"/>
    <xf numFmtId="38" fontId="7" fillId="5" borderId="0" xfId="0" applyNumberFormat="1" applyFont="1" applyFill="1"/>
    <xf numFmtId="38" fontId="0" fillId="6" borderId="0" xfId="0" applyNumberFormat="1" applyFill="1"/>
    <xf numFmtId="0" fontId="0" fillId="7" borderId="0" xfId="0" applyFill="1"/>
    <xf numFmtId="0" fontId="0" fillId="3" borderId="0" xfId="0" applyFill="1"/>
    <xf numFmtId="3" fontId="0" fillId="4" borderId="0" xfId="0" applyNumberFormat="1" applyFont="1" applyFill="1"/>
    <xf numFmtId="1" fontId="0" fillId="3" borderId="0" xfId="0" applyNumberFormat="1" applyFill="1"/>
    <xf numFmtId="171" fontId="0" fillId="0" borderId="0" xfId="0" applyNumberFormat="1" applyFill="1"/>
    <xf numFmtId="38" fontId="0" fillId="3" borderId="0" xfId="0" applyNumberFormat="1" applyFill="1"/>
    <xf numFmtId="4" fontId="0" fillId="4" borderId="0" xfId="0" applyNumberFormat="1" applyFill="1"/>
    <xf numFmtId="38" fontId="0" fillId="4" borderId="0" xfId="0" applyNumberFormat="1" applyFill="1"/>
    <xf numFmtId="38" fontId="7" fillId="3" borderId="0" xfId="0" applyNumberFormat="1" applyFont="1" applyFill="1"/>
    <xf numFmtId="0" fontId="7" fillId="7" borderId="0" xfId="0" applyFont="1" applyFill="1"/>
    <xf numFmtId="3" fontId="7" fillId="4" borderId="0" xfId="0" applyNumberFormat="1" applyFont="1" applyFill="1"/>
    <xf numFmtId="38" fontId="0" fillId="0" borderId="0" xfId="0" applyNumberFormat="1" applyFont="1" applyFill="1"/>
    <xf numFmtId="0" fontId="0" fillId="3" borderId="2" xfId="0" applyFill="1" applyBorder="1"/>
    <xf numFmtId="3" fontId="17" fillId="4" borderId="3" xfId="0" applyNumberFormat="1" applyFont="1" applyFill="1" applyBorder="1"/>
    <xf numFmtId="3" fontId="18" fillId="5" borderId="0" xfId="0" applyNumberFormat="1" applyFont="1" applyFill="1"/>
    <xf numFmtId="3" fontId="0" fillId="6" borderId="0" xfId="0" applyNumberFormat="1" applyFill="1"/>
    <xf numFmtId="0" fontId="0" fillId="7" borderId="3" xfId="0" applyFill="1" applyBorder="1"/>
    <xf numFmtId="3" fontId="7" fillId="8" borderId="0" xfId="0" applyNumberFormat="1" applyFont="1" applyFill="1"/>
    <xf numFmtId="3" fontId="0" fillId="3" borderId="0" xfId="0" applyNumberFormat="1" applyFont="1" applyFill="1"/>
    <xf numFmtId="3" fontId="0" fillId="0" borderId="0" xfId="0" applyNumberFormat="1"/>
    <xf numFmtId="0" fontId="0" fillId="7" borderId="0" xfId="0" applyFont="1" applyFill="1"/>
    <xf numFmtId="3" fontId="0" fillId="3" borderId="0" xfId="0" applyNumberFormat="1" applyFill="1"/>
    <xf numFmtId="0" fontId="7" fillId="7" borderId="0" xfId="0" applyFont="1" applyFill="1" applyBorder="1"/>
    <xf numFmtId="1" fontId="0" fillId="6" borderId="0" xfId="0" applyNumberFormat="1" applyFill="1"/>
    <xf numFmtId="1" fontId="0" fillId="0" borderId="0" xfId="0" applyNumberFormat="1"/>
    <xf numFmtId="1" fontId="7" fillId="3" borderId="0" xfId="0" applyNumberFormat="1" applyFont="1" applyFill="1"/>
    <xf numFmtId="1" fontId="17" fillId="3" borderId="0" xfId="0" applyNumberFormat="1" applyFont="1" applyFill="1"/>
    <xf numFmtId="1" fontId="7" fillId="8" borderId="0" xfId="0" applyNumberFormat="1" applyFont="1" applyFill="1"/>
    <xf numFmtId="1" fontId="0" fillId="3" borderId="0" xfId="0" applyNumberFormat="1" applyFont="1" applyFill="1"/>
    <xf numFmtId="0" fontId="7" fillId="3" borderId="0" xfId="0" applyFont="1" applyFill="1"/>
    <xf numFmtId="0" fontId="7" fillId="8" borderId="0" xfId="0" applyFont="1" applyFill="1"/>
    <xf numFmtId="0" fontId="0" fillId="3" borderId="0" xfId="0" applyFont="1" applyFill="1"/>
    <xf numFmtId="172" fontId="19" fillId="9" borderId="4" xfId="0" applyNumberFormat="1" applyFont="1" applyFill="1" applyBorder="1" applyAlignment="1" applyProtection="1">
      <alignment horizontal="center" wrapText="1"/>
    </xf>
    <xf numFmtId="172" fontId="19" fillId="9" borderId="5" xfId="0" applyNumberFormat="1" applyFont="1" applyFill="1" applyBorder="1" applyAlignment="1" applyProtection="1">
      <alignment horizontal="center" wrapText="1"/>
    </xf>
    <xf numFmtId="172" fontId="19" fillId="9" borderId="4" xfId="0" applyNumberFormat="1" applyFont="1" applyFill="1" applyBorder="1" applyAlignment="1" applyProtection="1">
      <alignment horizontal="center" wrapText="1"/>
      <protection locked="0"/>
    </xf>
    <xf numFmtId="0" fontId="20" fillId="9" borderId="6" xfId="0" applyFont="1" applyFill="1" applyBorder="1" applyAlignment="1"/>
    <xf numFmtId="0" fontId="4" fillId="0" borderId="0" xfId="0" applyFont="1" applyAlignment="1">
      <alignment horizontal="left"/>
    </xf>
    <xf numFmtId="0" fontId="4" fillId="7" borderId="0" xfId="0" applyFont="1" applyFill="1" applyAlignment="1"/>
    <xf numFmtId="0" fontId="0" fillId="7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7" borderId="0" xfId="0" applyFont="1" applyFill="1"/>
    <xf numFmtId="1" fontId="4" fillId="7" borderId="0" xfId="0" applyNumberFormat="1" applyFont="1" applyFill="1" applyAlignment="1">
      <alignment horizontal="left"/>
    </xf>
    <xf numFmtId="1" fontId="4" fillId="7" borderId="0" xfId="0" applyNumberFormat="1" applyFont="1" applyFill="1"/>
    <xf numFmtId="1" fontId="0" fillId="7" borderId="0" xfId="0" applyNumberFormat="1" applyFill="1"/>
    <xf numFmtId="9" fontId="4" fillId="7" borderId="0" xfId="0" applyNumberFormat="1" applyFont="1" applyFill="1" applyAlignment="1">
      <alignment horizontal="left"/>
    </xf>
    <xf numFmtId="9" fontId="4" fillId="0" borderId="0" xfId="0" applyNumberFormat="1" applyFont="1" applyAlignment="1">
      <alignment horizontal="left"/>
    </xf>
    <xf numFmtId="0" fontId="4" fillId="0" borderId="0" xfId="0" applyFont="1"/>
    <xf numFmtId="0" fontId="21" fillId="0" borderId="0" xfId="0" applyFont="1"/>
    <xf numFmtId="0" fontId="21" fillId="10" borderId="0" xfId="0" applyFont="1" applyFill="1"/>
    <xf numFmtId="0" fontId="4" fillId="10" borderId="0" xfId="0" applyFont="1" applyFill="1"/>
    <xf numFmtId="0" fontId="4" fillId="10" borderId="0" xfId="2" applyNumberFormat="1" applyFont="1" applyFill="1" applyAlignment="1">
      <alignment horizontal="left"/>
    </xf>
    <xf numFmtId="0" fontId="21" fillId="0" borderId="0" xfId="0" applyFont="1" applyFill="1"/>
    <xf numFmtId="9" fontId="21" fillId="10" borderId="0" xfId="0" applyNumberFormat="1" applyFont="1" applyFill="1" applyAlignment="1">
      <alignment horizontal="left"/>
    </xf>
    <xf numFmtId="9" fontId="4" fillId="10" borderId="0" xfId="0" applyNumberFormat="1" applyFont="1" applyFill="1" applyAlignment="1">
      <alignment horizontal="left"/>
    </xf>
    <xf numFmtId="0" fontId="22" fillId="0" borderId="0" xfId="0" applyFont="1"/>
    <xf numFmtId="0" fontId="21" fillId="0" borderId="0" xfId="0" applyFont="1" applyAlignment="1">
      <alignment horizontal="left"/>
    </xf>
    <xf numFmtId="0" fontId="21" fillId="10" borderId="0" xfId="0" applyFont="1" applyFill="1" applyAlignment="1">
      <alignment horizontal="left"/>
    </xf>
    <xf numFmtId="0" fontId="4" fillId="10" borderId="0" xfId="0" applyFont="1" applyFill="1" applyAlignment="1">
      <alignment horizontal="right"/>
    </xf>
    <xf numFmtId="0" fontId="4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  <xf numFmtId="0" fontId="13" fillId="0" borderId="0" xfId="0" applyFont="1"/>
    <xf numFmtId="0" fontId="13" fillId="0" borderId="0" xfId="0" applyFont="1" applyAlignment="1"/>
    <xf numFmtId="1" fontId="4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right"/>
    </xf>
    <xf numFmtId="0" fontId="1" fillId="0" borderId="0" xfId="0" applyFont="1"/>
    <xf numFmtId="9" fontId="4" fillId="0" borderId="0" xfId="0" applyNumberFormat="1" applyFont="1"/>
    <xf numFmtId="0" fontId="4" fillId="11" borderId="0" xfId="5" applyFill="1" applyAlignment="1">
      <alignment horizontal="center"/>
    </xf>
    <xf numFmtId="0" fontId="14" fillId="11" borderId="0" xfId="5" applyFont="1" applyFill="1" applyAlignment="1">
      <alignment horizontal="center"/>
    </xf>
    <xf numFmtId="0" fontId="13" fillId="11" borderId="0" xfId="5" applyFont="1" applyFill="1" applyAlignment="1">
      <alignment horizontal="center"/>
    </xf>
    <xf numFmtId="0" fontId="2" fillId="11" borderId="0" xfId="5" applyFont="1" applyFill="1" applyAlignment="1">
      <alignment horizontal="center"/>
    </xf>
    <xf numFmtId="0" fontId="3" fillId="11" borderId="0" xfId="5" applyFont="1" applyFill="1" applyAlignment="1">
      <alignment horizontal="center"/>
    </xf>
    <xf numFmtId="0" fontId="13" fillId="3" borderId="0" xfId="5" applyFont="1" applyFill="1" applyAlignment="1">
      <alignment horizontal="center"/>
    </xf>
    <xf numFmtId="0" fontId="21" fillId="3" borderId="0" xfId="0" applyFont="1" applyFill="1"/>
    <xf numFmtId="166" fontId="0" fillId="6" borderId="0" xfId="1" applyNumberFormat="1" applyFont="1" applyFill="1"/>
    <xf numFmtId="169" fontId="4" fillId="12" borderId="0" xfId="5" applyNumberFormat="1" applyFill="1" applyAlignment="1">
      <alignment horizontal="center"/>
    </xf>
    <xf numFmtId="169" fontId="4" fillId="3" borderId="1" xfId="5" applyNumberFormat="1" applyFill="1" applyBorder="1" applyAlignment="1">
      <alignment horizontal="center"/>
    </xf>
    <xf numFmtId="49" fontId="24" fillId="0" borderId="0" xfId="0" applyNumberFormat="1" applyFont="1" applyAlignment="1">
      <alignment vertical="top"/>
    </xf>
    <xf numFmtId="173" fontId="24" fillId="0" borderId="0" xfId="0" applyNumberFormat="1" applyFont="1" applyAlignment="1">
      <alignment horizontal="right" vertical="top"/>
    </xf>
    <xf numFmtId="173" fontId="24" fillId="0" borderId="0" xfId="0" applyNumberFormat="1" applyFont="1" applyAlignment="1">
      <alignment horizontal="right" vertical="top" wrapText="1"/>
    </xf>
    <xf numFmtId="49" fontId="25" fillId="0" borderId="0" xfId="0" applyNumberFormat="1" applyFont="1" applyAlignment="1">
      <alignment vertical="top"/>
    </xf>
    <xf numFmtId="174" fontId="24" fillId="0" borderId="0" xfId="0" applyNumberFormat="1" applyFont="1" applyAlignment="1">
      <alignment horizontal="right" vertical="top"/>
    </xf>
    <xf numFmtId="49" fontId="26" fillId="0" borderId="8" xfId="0" applyNumberFormat="1" applyFont="1" applyBorder="1" applyAlignment="1">
      <alignment vertical="top"/>
    </xf>
    <xf numFmtId="173" fontId="27" fillId="0" borderId="8" xfId="0" applyNumberFormat="1" applyFont="1" applyBorder="1" applyAlignment="1">
      <alignment horizontal="right" vertical="top"/>
    </xf>
    <xf numFmtId="174" fontId="27" fillId="0" borderId="8" xfId="0" applyNumberFormat="1" applyFont="1" applyBorder="1" applyAlignment="1">
      <alignment horizontal="right" vertical="top"/>
    </xf>
    <xf numFmtId="0" fontId="0" fillId="13" borderId="0" xfId="0" applyFill="1"/>
    <xf numFmtId="17" fontId="0" fillId="13" borderId="0" xfId="0" applyNumberFormat="1" applyFill="1"/>
    <xf numFmtId="0" fontId="0" fillId="13" borderId="0" xfId="0" applyFont="1" applyFill="1"/>
    <xf numFmtId="0" fontId="7" fillId="13" borderId="0" xfId="0" applyFont="1" applyFill="1"/>
    <xf numFmtId="1" fontId="0" fillId="13" borderId="0" xfId="0" applyNumberFormat="1" applyFill="1"/>
    <xf numFmtId="0" fontId="7" fillId="13" borderId="0" xfId="0" applyFont="1" applyFill="1" applyBorder="1"/>
    <xf numFmtId="0" fontId="0" fillId="13" borderId="0" xfId="0" applyFill="1" applyBorder="1" applyAlignment="1">
      <alignment wrapText="1"/>
    </xf>
    <xf numFmtId="3" fontId="0" fillId="13" borderId="0" xfId="0" applyNumberFormat="1" applyFill="1"/>
    <xf numFmtId="0" fontId="7" fillId="13" borderId="7" xfId="0" applyFont="1" applyFill="1" applyBorder="1"/>
    <xf numFmtId="1" fontId="7" fillId="13" borderId="7" xfId="0" applyNumberFormat="1" applyFont="1" applyFill="1" applyBorder="1"/>
    <xf numFmtId="9" fontId="0" fillId="13" borderId="0" xfId="0" applyNumberFormat="1" applyFill="1"/>
    <xf numFmtId="0" fontId="8" fillId="0" borderId="0" xfId="0" applyFont="1" applyAlignment="1">
      <alignment horizontal="left" vertical="top" wrapText="1"/>
    </xf>
    <xf numFmtId="165" fontId="8" fillId="0" borderId="0" xfId="0" applyNumberFormat="1" applyFont="1" applyAlignment="1">
      <alignment horizontal="left" vertical="top" wrapText="1"/>
    </xf>
    <xf numFmtId="165" fontId="8" fillId="0" borderId="0" xfId="0" applyNumberFormat="1" applyFont="1" applyBorder="1" applyAlignment="1">
      <alignment horizontal="left"/>
    </xf>
    <xf numFmtId="0" fontId="13" fillId="0" borderId="0" xfId="5" applyFont="1" applyAlignment="1">
      <alignment horizontal="center"/>
    </xf>
    <xf numFmtId="0" fontId="0" fillId="0" borderId="0" xfId="0" applyAlignment="1">
      <alignment horizontal="left"/>
    </xf>
  </cellXfs>
  <cellStyles count="8">
    <cellStyle name="Comma" xfId="1" builtinId="3"/>
    <cellStyle name="Comma 3" xfId="7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Percent" xfId="2" builtinId="5"/>
    <cellStyle name="Percent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AppData/Local/Microsoft/Windows/INetCache/Content.Outlook/TY26B29W/Trunkpool_Projections_P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iring "/>
      <sheetName val="Assumptions"/>
      <sheetName val="Sheet1"/>
      <sheetName val="Sheet2"/>
      <sheetName val="PNL"/>
    </sheetNames>
    <sheetDataSet>
      <sheetData sheetId="0" refreshError="1"/>
      <sheetData sheetId="1" refreshError="1">
        <row r="13">
          <cell r="N13">
            <v>4</v>
          </cell>
          <cell r="O13">
            <v>4</v>
          </cell>
          <cell r="P13">
            <v>5</v>
          </cell>
          <cell r="Q13">
            <v>5</v>
          </cell>
          <cell r="R13">
            <v>5</v>
          </cell>
          <cell r="S13">
            <v>5</v>
          </cell>
          <cell r="T13">
            <v>6</v>
          </cell>
          <cell r="U13">
            <v>6</v>
          </cell>
          <cell r="V13">
            <v>6</v>
          </cell>
          <cell r="W13">
            <v>6</v>
          </cell>
          <cell r="X13">
            <v>6</v>
          </cell>
          <cell r="Y13">
            <v>6</v>
          </cell>
          <cell r="Z13">
            <v>9</v>
          </cell>
          <cell r="AA13">
            <v>9</v>
          </cell>
          <cell r="AB13">
            <v>9</v>
          </cell>
          <cell r="AC13">
            <v>9</v>
          </cell>
          <cell r="AD13">
            <v>9</v>
          </cell>
          <cell r="AE13">
            <v>9</v>
          </cell>
          <cell r="AF13">
            <v>9</v>
          </cell>
          <cell r="AG13">
            <v>9</v>
          </cell>
          <cell r="AH13">
            <v>9</v>
          </cell>
          <cell r="AI13">
            <v>9</v>
          </cell>
          <cell r="AJ13">
            <v>9</v>
          </cell>
          <cell r="AK13">
            <v>9</v>
          </cell>
        </row>
        <row r="14">
          <cell r="B14">
            <v>190000</v>
          </cell>
          <cell r="C14">
            <v>190000</v>
          </cell>
          <cell r="D14">
            <v>190000</v>
          </cell>
          <cell r="E14">
            <v>300000</v>
          </cell>
          <cell r="F14">
            <v>300000</v>
          </cell>
          <cell r="G14">
            <v>300000</v>
          </cell>
          <cell r="H14">
            <v>300000</v>
          </cell>
          <cell r="I14">
            <v>300000</v>
          </cell>
          <cell r="J14">
            <v>300000</v>
          </cell>
          <cell r="K14">
            <v>300000</v>
          </cell>
          <cell r="L14">
            <v>300000</v>
          </cell>
          <cell r="M14">
            <v>300000</v>
          </cell>
          <cell r="N14">
            <v>374000.00000000006</v>
          </cell>
          <cell r="O14">
            <v>374000.00000000006</v>
          </cell>
          <cell r="P14">
            <v>495000.00000000006</v>
          </cell>
          <cell r="Q14">
            <v>495000.00000000006</v>
          </cell>
          <cell r="R14">
            <v>495000.00000000006</v>
          </cell>
          <cell r="S14">
            <v>495000.00000000006</v>
          </cell>
          <cell r="T14">
            <v>583000</v>
          </cell>
          <cell r="U14">
            <v>583000</v>
          </cell>
          <cell r="V14">
            <v>583000</v>
          </cell>
          <cell r="W14">
            <v>583000</v>
          </cell>
          <cell r="X14">
            <v>583000</v>
          </cell>
          <cell r="Y14">
            <v>583000</v>
          </cell>
          <cell r="Z14">
            <v>1046650.0000000002</v>
          </cell>
          <cell r="AA14">
            <v>1046650.0000000002</v>
          </cell>
          <cell r="AB14">
            <v>1046650.0000000002</v>
          </cell>
          <cell r="AC14">
            <v>1046650.0000000002</v>
          </cell>
          <cell r="AD14">
            <v>1046650.0000000002</v>
          </cell>
          <cell r="AE14">
            <v>1046650.0000000002</v>
          </cell>
          <cell r="AF14">
            <v>1046650.0000000002</v>
          </cell>
          <cell r="AG14">
            <v>1046650.0000000002</v>
          </cell>
          <cell r="AH14">
            <v>1046650.0000000002</v>
          </cell>
          <cell r="AI14">
            <v>1046650.0000000002</v>
          </cell>
          <cell r="AJ14">
            <v>1046650.0000000002</v>
          </cell>
          <cell r="AK14">
            <v>1046650.0000000002</v>
          </cell>
        </row>
        <row r="19">
          <cell r="O19">
            <v>4</v>
          </cell>
        </row>
        <row r="20">
          <cell r="O20">
            <v>8</v>
          </cell>
        </row>
        <row r="24">
          <cell r="B24">
            <v>40000</v>
          </cell>
          <cell r="C24">
            <v>40000</v>
          </cell>
          <cell r="D24">
            <v>40000</v>
          </cell>
          <cell r="E24">
            <v>80000</v>
          </cell>
          <cell r="F24">
            <v>80000</v>
          </cell>
          <cell r="G24">
            <v>155000</v>
          </cell>
          <cell r="J24">
            <v>235000</v>
          </cell>
          <cell r="N24">
            <v>814000.00000000012</v>
          </cell>
          <cell r="O24">
            <v>814000.00000000012</v>
          </cell>
          <cell r="P24">
            <v>814000.00000000012</v>
          </cell>
          <cell r="Q24">
            <v>814000.00000000012</v>
          </cell>
          <cell r="R24">
            <v>814000.00000000012</v>
          </cell>
          <cell r="S24">
            <v>814000.00000000012</v>
          </cell>
          <cell r="T24">
            <v>902000.00000000012</v>
          </cell>
          <cell r="U24">
            <v>984500.00000000012</v>
          </cell>
          <cell r="V24">
            <v>984500.00000000012</v>
          </cell>
          <cell r="W24">
            <v>984500.00000000012</v>
          </cell>
          <cell r="X24">
            <v>984500.00000000012</v>
          </cell>
          <cell r="Y24">
            <v>984500.00000000012</v>
          </cell>
          <cell r="Z24">
            <v>1415700</v>
          </cell>
          <cell r="AA24">
            <v>1415700</v>
          </cell>
          <cell r="AB24">
            <v>1415700</v>
          </cell>
          <cell r="AC24">
            <v>1415700</v>
          </cell>
          <cell r="AD24">
            <v>1415700</v>
          </cell>
          <cell r="AE24">
            <v>1415700</v>
          </cell>
          <cell r="AF24">
            <v>1506450.0000000002</v>
          </cell>
          <cell r="AG24">
            <v>1506450.0000000002</v>
          </cell>
          <cell r="AH24">
            <v>1506450.0000000002</v>
          </cell>
          <cell r="AI24">
            <v>1506450.0000000002</v>
          </cell>
          <cell r="AJ24">
            <v>1506450.0000000002</v>
          </cell>
          <cell r="AK24">
            <v>1506450.0000000002</v>
          </cell>
        </row>
        <row r="27">
          <cell r="O27">
            <v>2</v>
          </cell>
        </row>
        <row r="31">
          <cell r="B31">
            <v>2</v>
          </cell>
        </row>
        <row r="34">
          <cell r="B34">
            <v>280000</v>
          </cell>
          <cell r="C34">
            <v>280000</v>
          </cell>
          <cell r="D34">
            <v>280000</v>
          </cell>
          <cell r="E34">
            <v>280000</v>
          </cell>
          <cell r="G34">
            <v>312000</v>
          </cell>
          <cell r="N34">
            <v>519200.00000000006</v>
          </cell>
          <cell r="O34">
            <v>519200.00000000006</v>
          </cell>
          <cell r="P34">
            <v>519200.00000000006</v>
          </cell>
          <cell r="Q34">
            <v>519200.00000000006</v>
          </cell>
          <cell r="R34">
            <v>519200.00000000006</v>
          </cell>
          <cell r="S34">
            <v>519200.00000000006</v>
          </cell>
          <cell r="T34">
            <v>561000</v>
          </cell>
          <cell r="U34">
            <v>561000</v>
          </cell>
          <cell r="V34">
            <v>561000</v>
          </cell>
          <cell r="W34">
            <v>561000</v>
          </cell>
          <cell r="X34">
            <v>561000</v>
          </cell>
          <cell r="Y34">
            <v>561000</v>
          </cell>
          <cell r="Z34">
            <v>822800.00000000023</v>
          </cell>
          <cell r="AA34">
            <v>822800.00000000023</v>
          </cell>
          <cell r="AB34">
            <v>822800.00000000023</v>
          </cell>
          <cell r="AC34">
            <v>822800.00000000023</v>
          </cell>
          <cell r="AD34">
            <v>822800.00000000023</v>
          </cell>
          <cell r="AE34">
            <v>822800.00000000023</v>
          </cell>
          <cell r="AF34">
            <v>822800.00000000023</v>
          </cell>
          <cell r="AG34">
            <v>822800.00000000023</v>
          </cell>
          <cell r="AH34">
            <v>822800.00000000023</v>
          </cell>
          <cell r="AI34">
            <v>822800.00000000023</v>
          </cell>
          <cell r="AJ34">
            <v>822800.00000000023</v>
          </cell>
          <cell r="AK34">
            <v>822800.00000000023</v>
          </cell>
        </row>
        <row r="40">
          <cell r="B40">
            <v>40000</v>
          </cell>
          <cell r="C40">
            <v>40000</v>
          </cell>
          <cell r="D40">
            <v>40000</v>
          </cell>
          <cell r="E40">
            <v>40000</v>
          </cell>
          <cell r="F40">
            <v>40000</v>
          </cell>
          <cell r="G40">
            <v>40000</v>
          </cell>
          <cell r="H40">
            <v>40000</v>
          </cell>
          <cell r="I40">
            <v>40000</v>
          </cell>
          <cell r="J40">
            <v>40000</v>
          </cell>
          <cell r="K40">
            <v>40000</v>
          </cell>
          <cell r="L40">
            <v>40000</v>
          </cell>
          <cell r="M40">
            <v>40000</v>
          </cell>
          <cell r="N40">
            <v>66000</v>
          </cell>
          <cell r="O40">
            <v>66000</v>
          </cell>
          <cell r="P40">
            <v>66000</v>
          </cell>
          <cell r="Q40">
            <v>66000</v>
          </cell>
          <cell r="R40">
            <v>66000</v>
          </cell>
          <cell r="S40">
            <v>66000</v>
          </cell>
          <cell r="T40">
            <v>88000</v>
          </cell>
          <cell r="U40">
            <v>88000</v>
          </cell>
          <cell r="V40">
            <v>88000</v>
          </cell>
          <cell r="W40">
            <v>88000</v>
          </cell>
          <cell r="X40">
            <v>88000</v>
          </cell>
          <cell r="Y40">
            <v>88000</v>
          </cell>
          <cell r="Z40">
            <v>145200</v>
          </cell>
          <cell r="AA40">
            <v>145200</v>
          </cell>
          <cell r="AB40">
            <v>145200</v>
          </cell>
          <cell r="AC40">
            <v>145200</v>
          </cell>
          <cell r="AD40">
            <v>145200</v>
          </cell>
          <cell r="AE40">
            <v>145200</v>
          </cell>
          <cell r="AF40">
            <v>145200</v>
          </cell>
          <cell r="AG40">
            <v>145200</v>
          </cell>
          <cell r="AH40">
            <v>145200</v>
          </cell>
          <cell r="AI40">
            <v>145200</v>
          </cell>
          <cell r="AJ40">
            <v>145200</v>
          </cell>
          <cell r="AK40">
            <v>145200</v>
          </cell>
        </row>
        <row r="46">
          <cell r="B46">
            <v>40000</v>
          </cell>
          <cell r="C46">
            <v>40000</v>
          </cell>
          <cell r="D46">
            <v>40000</v>
          </cell>
          <cell r="E46">
            <v>40000</v>
          </cell>
          <cell r="F46">
            <v>40000</v>
          </cell>
          <cell r="G46">
            <v>40000</v>
          </cell>
          <cell r="H46">
            <v>50000</v>
          </cell>
          <cell r="I46">
            <v>50000</v>
          </cell>
          <cell r="J46">
            <v>50000</v>
          </cell>
          <cell r="K46">
            <v>50000</v>
          </cell>
          <cell r="L46">
            <v>50000</v>
          </cell>
          <cell r="M46">
            <v>50000</v>
          </cell>
          <cell r="N46">
            <v>66000</v>
          </cell>
          <cell r="O46">
            <v>66000</v>
          </cell>
          <cell r="P46">
            <v>66000</v>
          </cell>
          <cell r="Q46">
            <v>110000.00000000001</v>
          </cell>
          <cell r="R46">
            <v>110000.00000000001</v>
          </cell>
          <cell r="S46">
            <v>110000.00000000001</v>
          </cell>
          <cell r="T46">
            <v>110000.00000000001</v>
          </cell>
          <cell r="U46">
            <v>110000.00000000001</v>
          </cell>
          <cell r="V46">
            <v>110000.00000000001</v>
          </cell>
          <cell r="W46">
            <v>110000.00000000001</v>
          </cell>
          <cell r="X46">
            <v>110000.00000000001</v>
          </cell>
          <cell r="Y46">
            <v>110000.00000000001</v>
          </cell>
          <cell r="Z46">
            <v>176000</v>
          </cell>
        </row>
        <row r="49">
          <cell r="B49">
            <v>18</v>
          </cell>
          <cell r="C49">
            <v>18</v>
          </cell>
          <cell r="D49">
            <v>18</v>
          </cell>
          <cell r="E49">
            <v>21</v>
          </cell>
          <cell r="F49">
            <v>23</v>
          </cell>
          <cell r="G49">
            <v>25</v>
          </cell>
          <cell r="H49">
            <v>28</v>
          </cell>
          <cell r="I49">
            <v>28</v>
          </cell>
          <cell r="J49">
            <v>29</v>
          </cell>
          <cell r="K49">
            <v>30</v>
          </cell>
          <cell r="L49">
            <v>31</v>
          </cell>
          <cell r="M49">
            <v>31</v>
          </cell>
        </row>
      </sheetData>
      <sheetData sheetId="2" refreshError="1">
        <row r="7">
          <cell r="B7">
            <v>10000</v>
          </cell>
        </row>
        <row r="8">
          <cell r="B8">
            <v>300</v>
          </cell>
        </row>
        <row r="9">
          <cell r="B9">
            <v>35000</v>
          </cell>
        </row>
        <row r="10">
          <cell r="B10">
            <v>25000</v>
          </cell>
        </row>
        <row r="13">
          <cell r="B13">
            <v>4000</v>
          </cell>
        </row>
        <row r="14">
          <cell r="B14">
            <v>30000</v>
          </cell>
        </row>
        <row r="15">
          <cell r="B15">
            <v>5000</v>
          </cell>
        </row>
        <row r="16">
          <cell r="B16">
            <v>3000</v>
          </cell>
        </row>
        <row r="17">
          <cell r="B17">
            <v>10000</v>
          </cell>
        </row>
        <row r="18">
          <cell r="B18">
            <v>1</v>
          </cell>
        </row>
        <row r="19">
          <cell r="B19">
            <v>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"/>
  <sheetViews>
    <sheetView showGridLines="0" tabSelected="1" topLeftCell="A52" zoomScale="80" zoomScaleNormal="80" workbookViewId="0">
      <selection activeCell="A77" sqref="A77"/>
    </sheetView>
  </sheetViews>
  <sheetFormatPr defaultRowHeight="15.75" x14ac:dyDescent="0.5"/>
  <cols>
    <col min="1" max="1" width="35.75" customWidth="1"/>
    <col min="2" max="2" width="11.25" customWidth="1"/>
    <col min="3" max="13" width="10.875" bestFit="1" customWidth="1"/>
    <col min="14" max="14" width="14.75" bestFit="1" customWidth="1"/>
    <col min="15" max="15" width="14.75" customWidth="1"/>
    <col min="16" max="16" width="14.25" bestFit="1" customWidth="1"/>
  </cols>
  <sheetData>
    <row r="1" spans="1:17" s="85" customFormat="1" ht="14.25" x14ac:dyDescent="0.45">
      <c r="A1" s="84" t="s">
        <v>138</v>
      </c>
      <c r="B1" s="100">
        <v>12</v>
      </c>
      <c r="C1" s="84"/>
      <c r="D1" s="84"/>
      <c r="E1" s="84"/>
      <c r="F1" s="84"/>
      <c r="G1" s="84"/>
      <c r="H1" s="84"/>
      <c r="I1" s="84"/>
    </row>
    <row r="2" spans="1:17" s="85" customFormat="1" ht="14.25" x14ac:dyDescent="0.45">
      <c r="A2" s="84" t="s">
        <v>137</v>
      </c>
      <c r="B2" s="74">
        <v>26</v>
      </c>
      <c r="C2" s="84"/>
      <c r="D2" s="84"/>
      <c r="E2" s="84"/>
      <c r="F2" s="84"/>
      <c r="G2" s="84"/>
      <c r="H2" s="84"/>
      <c r="I2" s="84"/>
    </row>
    <row r="3" spans="1:17" s="85" customFormat="1" ht="14.25" x14ac:dyDescent="0.45">
      <c r="A3" s="92" t="s">
        <v>136</v>
      </c>
      <c r="B3" s="74"/>
      <c r="C3" s="84"/>
      <c r="D3" s="84"/>
      <c r="E3" s="84"/>
      <c r="F3" s="84"/>
      <c r="G3" s="84"/>
      <c r="H3" s="84"/>
      <c r="I3" s="84"/>
    </row>
    <row r="4" spans="1:17" s="85" customFormat="1" ht="14.25" x14ac:dyDescent="0.45">
      <c r="A4" s="84" t="s">
        <v>135</v>
      </c>
      <c r="B4" s="99" t="s">
        <v>134</v>
      </c>
      <c r="C4" s="99"/>
      <c r="D4" s="99"/>
      <c r="E4" s="99"/>
      <c r="F4" s="99"/>
      <c r="G4" s="99"/>
      <c r="H4" s="98"/>
      <c r="I4" s="98"/>
    </row>
    <row r="5" spans="1:17" s="85" customFormat="1" ht="14.25" x14ac:dyDescent="0.45">
      <c r="A5" s="84" t="s">
        <v>133</v>
      </c>
      <c r="B5" s="99" t="s">
        <v>132</v>
      </c>
      <c r="C5" s="99"/>
      <c r="D5" s="99"/>
      <c r="E5" s="99"/>
      <c r="F5" s="99"/>
      <c r="G5" s="99"/>
      <c r="H5" s="98"/>
      <c r="I5" s="98"/>
      <c r="K5" s="110"/>
      <c r="L5" s="110"/>
      <c r="M5" s="110"/>
      <c r="N5" s="110"/>
    </row>
    <row r="6" spans="1:17" s="85" customFormat="1" ht="14.25" x14ac:dyDescent="0.45">
      <c r="A6" s="87" t="s">
        <v>131</v>
      </c>
      <c r="B6" s="96">
        <v>2</v>
      </c>
      <c r="C6" s="87"/>
      <c r="D6" s="87"/>
      <c r="E6" s="87"/>
      <c r="F6" s="87"/>
      <c r="G6" s="87"/>
      <c r="H6" s="87"/>
      <c r="I6" s="87"/>
      <c r="J6" s="86"/>
      <c r="K6" s="86"/>
      <c r="L6" s="86"/>
      <c r="M6" s="86"/>
      <c r="N6" s="86"/>
      <c r="O6" s="94">
        <v>3</v>
      </c>
      <c r="P6" s="94">
        <v>3</v>
      </c>
    </row>
    <row r="7" spans="1:17" s="85" customFormat="1" ht="14.25" x14ac:dyDescent="0.45">
      <c r="A7" s="87" t="s">
        <v>130</v>
      </c>
      <c r="B7" s="96"/>
      <c r="C7" s="95" t="s">
        <v>0</v>
      </c>
      <c r="D7" s="95" t="s">
        <v>1</v>
      </c>
      <c r="E7" s="95" t="s">
        <v>2</v>
      </c>
      <c r="F7" s="95" t="s">
        <v>3</v>
      </c>
      <c r="G7" s="87"/>
      <c r="H7" s="87"/>
      <c r="I7" s="87"/>
      <c r="J7" s="86"/>
      <c r="K7" s="86"/>
      <c r="L7" s="86"/>
      <c r="M7" s="86"/>
      <c r="N7" s="86"/>
      <c r="O7" s="97" t="s">
        <v>129</v>
      </c>
      <c r="P7" s="97" t="s">
        <v>128</v>
      </c>
      <c r="Q7" s="93"/>
    </row>
    <row r="8" spans="1:17" s="85" customFormat="1" ht="14.25" x14ac:dyDescent="0.45">
      <c r="A8" s="87" t="s">
        <v>127</v>
      </c>
      <c r="B8" s="96" t="s">
        <v>126</v>
      </c>
      <c r="C8" s="95">
        <v>3</v>
      </c>
      <c r="D8" s="87">
        <v>5</v>
      </c>
      <c r="E8" s="87">
        <v>8</v>
      </c>
      <c r="F8" s="87">
        <v>10</v>
      </c>
      <c r="G8" s="87"/>
      <c r="H8" s="87"/>
      <c r="I8" s="87"/>
      <c r="J8" s="86"/>
      <c r="K8" s="86"/>
      <c r="L8" s="86"/>
      <c r="M8" s="86"/>
      <c r="N8" s="86"/>
      <c r="O8" s="94">
        <v>30</v>
      </c>
      <c r="P8" s="94">
        <v>50</v>
      </c>
      <c r="Q8" s="93"/>
    </row>
    <row r="9" spans="1:17" s="85" customFormat="1" ht="14.25" x14ac:dyDescent="0.45">
      <c r="A9" s="84" t="s">
        <v>125</v>
      </c>
      <c r="B9" s="74">
        <v>35000</v>
      </c>
      <c r="C9" s="84"/>
      <c r="D9" s="84"/>
      <c r="E9" s="84"/>
      <c r="F9" s="84"/>
      <c r="G9" s="84"/>
      <c r="H9" s="84"/>
      <c r="I9" s="84"/>
    </row>
    <row r="10" spans="1:17" s="85" customFormat="1" ht="14.25" x14ac:dyDescent="0.45">
      <c r="A10" s="84" t="s">
        <v>124</v>
      </c>
      <c r="B10" s="83">
        <v>0.08</v>
      </c>
      <c r="C10" s="84"/>
      <c r="D10" s="84"/>
      <c r="E10" s="84"/>
      <c r="F10" s="84"/>
      <c r="G10" s="84"/>
      <c r="H10" s="84"/>
      <c r="I10" s="84"/>
    </row>
    <row r="11" spans="1:17" s="85" customFormat="1" ht="14.25" x14ac:dyDescent="0.45">
      <c r="A11" s="84"/>
      <c r="B11" s="84"/>
      <c r="C11" s="84"/>
      <c r="D11" s="84"/>
      <c r="E11" s="84"/>
      <c r="F11" s="84"/>
      <c r="G11" s="84"/>
      <c r="H11" s="84"/>
      <c r="I11" s="84"/>
    </row>
    <row r="12" spans="1:17" s="85" customFormat="1" ht="14.25" x14ac:dyDescent="0.45">
      <c r="A12" s="92" t="s">
        <v>123</v>
      </c>
      <c r="B12" s="84"/>
      <c r="C12" s="84"/>
      <c r="D12" s="84"/>
      <c r="E12" s="84"/>
      <c r="F12" s="84"/>
      <c r="G12" s="84"/>
      <c r="H12" s="84"/>
      <c r="I12" s="84"/>
    </row>
    <row r="13" spans="1:17" s="85" customFormat="1" ht="14.25" x14ac:dyDescent="0.45">
      <c r="A13" s="102" t="s">
        <v>145</v>
      </c>
      <c r="B13" s="103">
        <v>0.06</v>
      </c>
      <c r="C13" s="102">
        <v>40000</v>
      </c>
      <c r="D13" s="102" t="s">
        <v>144</v>
      </c>
      <c r="E13" s="84"/>
      <c r="F13" s="84"/>
      <c r="G13" s="84"/>
      <c r="H13" s="84"/>
      <c r="I13" s="84"/>
    </row>
    <row r="14" spans="1:17" s="89" customFormat="1" ht="14.25" x14ac:dyDescent="0.45">
      <c r="A14" s="87" t="s">
        <v>122</v>
      </c>
      <c r="B14" s="91">
        <v>0.02</v>
      </c>
      <c r="C14" s="87"/>
      <c r="D14" s="87"/>
      <c r="E14" s="87"/>
      <c r="F14" s="87"/>
      <c r="G14" s="87"/>
      <c r="H14" s="87"/>
      <c r="I14" s="87"/>
      <c r="J14" s="86"/>
      <c r="K14" s="86"/>
      <c r="L14" s="86"/>
      <c r="M14" s="86"/>
      <c r="N14" s="86" t="s">
        <v>121</v>
      </c>
      <c r="O14" s="90">
        <v>0.15</v>
      </c>
      <c r="P14" s="90">
        <v>0.08</v>
      </c>
    </row>
    <row r="15" spans="1:17" s="85" customFormat="1" ht="14.25" x14ac:dyDescent="0.45">
      <c r="A15" s="87" t="s">
        <v>120</v>
      </c>
      <c r="B15" s="88">
        <v>1</v>
      </c>
      <c r="C15" s="87"/>
      <c r="D15" s="87"/>
      <c r="E15" s="87"/>
      <c r="F15" s="87"/>
      <c r="G15" s="87"/>
      <c r="H15" s="87"/>
      <c r="I15" s="87"/>
      <c r="J15" s="86"/>
      <c r="K15" s="86"/>
      <c r="L15" s="86"/>
      <c r="M15" s="86"/>
      <c r="N15" s="86"/>
      <c r="O15" s="86"/>
      <c r="P15" s="86"/>
    </row>
    <row r="16" spans="1:17" x14ac:dyDescent="0.5">
      <c r="A16" s="84"/>
      <c r="B16" s="83"/>
    </row>
    <row r="17" spans="1:23" x14ac:dyDescent="0.5">
      <c r="A17" s="78" t="s">
        <v>119</v>
      </c>
      <c r="B17" s="79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78"/>
      <c r="O17" s="79"/>
      <c r="P17" s="77"/>
    </row>
    <row r="18" spans="1:23" x14ac:dyDescent="0.5">
      <c r="A18" s="78" t="s">
        <v>118</v>
      </c>
      <c r="B18" s="82">
        <v>0.15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78"/>
      <c r="O18" s="82">
        <v>0.15</v>
      </c>
      <c r="P18" s="82">
        <v>0.15</v>
      </c>
    </row>
    <row r="19" spans="1:23" x14ac:dyDescent="0.5">
      <c r="A19" s="78"/>
      <c r="B19" s="79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78"/>
      <c r="O19" s="79">
        <v>-100000000</v>
      </c>
      <c r="P19" s="77">
        <f>-P17</f>
        <v>0</v>
      </c>
    </row>
    <row r="20" spans="1:23" x14ac:dyDescent="0.5">
      <c r="A20" s="78"/>
      <c r="B20" s="79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0"/>
      <c r="O20" s="79">
        <f>O19*O18</f>
        <v>-15000000</v>
      </c>
      <c r="P20" s="79">
        <f>P19*P18</f>
        <v>0</v>
      </c>
    </row>
    <row r="21" spans="1:23" x14ac:dyDescent="0.5">
      <c r="A21" s="78" t="s">
        <v>117</v>
      </c>
      <c r="B21" s="77">
        <v>12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78"/>
      <c r="O21" s="77"/>
      <c r="P21" s="76"/>
    </row>
    <row r="22" spans="1:23" x14ac:dyDescent="0.5">
      <c r="A22" s="75" t="s">
        <v>116</v>
      </c>
      <c r="B22" s="74">
        <v>150000</v>
      </c>
    </row>
    <row r="23" spans="1:23" x14ac:dyDescent="0.5">
      <c r="A23" s="75" t="s">
        <v>115</v>
      </c>
      <c r="B23" s="74">
        <v>50</v>
      </c>
    </row>
    <row r="24" spans="1:23" x14ac:dyDescent="0.5">
      <c r="A24" s="75" t="s">
        <v>114</v>
      </c>
      <c r="B24" s="74">
        <v>30</v>
      </c>
    </row>
    <row r="26" spans="1:23" x14ac:dyDescent="0.5">
      <c r="A26" s="73" t="s">
        <v>113</v>
      </c>
      <c r="B26" s="72" t="s">
        <v>112</v>
      </c>
      <c r="C26" s="70" t="s">
        <v>111</v>
      </c>
      <c r="D26" s="72" t="s">
        <v>110</v>
      </c>
      <c r="E26" s="70" t="s">
        <v>109</v>
      </c>
      <c r="F26" s="72" t="s">
        <v>108</v>
      </c>
      <c r="G26" s="70" t="s">
        <v>107</v>
      </c>
      <c r="H26" s="72" t="s">
        <v>106</v>
      </c>
      <c r="I26" s="70" t="s">
        <v>105</v>
      </c>
      <c r="J26" s="72" t="s">
        <v>104</v>
      </c>
      <c r="K26" s="70" t="s">
        <v>103</v>
      </c>
      <c r="L26" s="72" t="s">
        <v>102</v>
      </c>
      <c r="M26" s="71" t="s">
        <v>101</v>
      </c>
      <c r="O26" s="70" t="s">
        <v>100</v>
      </c>
      <c r="P26" s="70" t="s">
        <v>99</v>
      </c>
      <c r="Q26" s="33"/>
      <c r="R26" s="33"/>
      <c r="S26" s="33"/>
      <c r="T26" s="33"/>
      <c r="U26" s="33"/>
      <c r="V26" s="33"/>
      <c r="W26" s="33"/>
    </row>
    <row r="27" spans="1:23" x14ac:dyDescent="0.5">
      <c r="A27" s="58" t="s">
        <v>98</v>
      </c>
      <c r="B27">
        <f>$C$8*$B$2*$B$9*$B$6</f>
        <v>5460000</v>
      </c>
      <c r="C27">
        <f>$C$8*$B$2*$B$9*$B$6</f>
        <v>5460000</v>
      </c>
      <c r="D27">
        <f>$C$8*$B$2*$B$9*$B$6</f>
        <v>5460000</v>
      </c>
      <c r="E27">
        <f>$D$8*$B$2*$B$9*$B$6</f>
        <v>9100000</v>
      </c>
      <c r="F27">
        <f>$D$8*$B$2*$B$9*$B$6</f>
        <v>9100000</v>
      </c>
      <c r="G27">
        <f>$D$8*$B$2*$B$9*$B$6</f>
        <v>9100000</v>
      </c>
      <c r="H27">
        <f>$E$8*$B$2*$B$9*$B$6</f>
        <v>14560000</v>
      </c>
      <c r="I27">
        <f>$E$8*$B$2*$B$9*$B$6</f>
        <v>14560000</v>
      </c>
      <c r="J27">
        <f>$E$8*$B$2*$B$9*$B$6</f>
        <v>14560000</v>
      </c>
      <c r="K27">
        <f>$F$8*$B$2*$B$9*$B$6</f>
        <v>18200000</v>
      </c>
      <c r="L27">
        <f>$F$8*$B$2*$B$9*$B$6</f>
        <v>18200000</v>
      </c>
      <c r="M27">
        <f>$F$8*$B$2*$B$9*$B$6</f>
        <v>18200000</v>
      </c>
      <c r="N27" s="69">
        <f>SUM(B27:M27)</f>
        <v>141960000</v>
      </c>
      <c r="O27" s="35">
        <f>O8*B1*B2*O6*B9</f>
        <v>982800000</v>
      </c>
      <c r="P27" s="35">
        <f>P6*P8*B9*B1*B2</f>
        <v>1638000000</v>
      </c>
      <c r="Q27" s="33"/>
      <c r="R27" s="33"/>
      <c r="S27" s="33"/>
      <c r="T27" s="33"/>
      <c r="U27" s="33"/>
      <c r="V27" s="33"/>
      <c r="W27" s="33"/>
    </row>
    <row r="28" spans="1:23" x14ac:dyDescent="0.5">
      <c r="A28" s="47" t="s">
        <v>97</v>
      </c>
      <c r="B28">
        <f>B27*$B$10</f>
        <v>436800</v>
      </c>
      <c r="C28">
        <f t="shared" ref="C28:M28" si="0">C27*$B$10</f>
        <v>436800</v>
      </c>
      <c r="D28">
        <f t="shared" si="0"/>
        <v>436800</v>
      </c>
      <c r="E28">
        <f t="shared" si="0"/>
        <v>728000</v>
      </c>
      <c r="F28">
        <f t="shared" si="0"/>
        <v>728000</v>
      </c>
      <c r="G28">
        <f t="shared" si="0"/>
        <v>728000</v>
      </c>
      <c r="H28">
        <f t="shared" si="0"/>
        <v>1164800</v>
      </c>
      <c r="I28">
        <f t="shared" si="0"/>
        <v>1164800</v>
      </c>
      <c r="J28">
        <f t="shared" si="0"/>
        <v>1164800</v>
      </c>
      <c r="K28">
        <f t="shared" si="0"/>
        <v>1456000</v>
      </c>
      <c r="L28">
        <f t="shared" si="0"/>
        <v>1456000</v>
      </c>
      <c r="M28">
        <f t="shared" si="0"/>
        <v>1456000</v>
      </c>
      <c r="N28" s="68">
        <f>SUM(B28:M28)</f>
        <v>11356800</v>
      </c>
      <c r="O28" s="48">
        <f>O27*B10</f>
        <v>78624000</v>
      </c>
      <c r="P28" s="48">
        <f>P27*B10</f>
        <v>131040000</v>
      </c>
      <c r="Q28" s="33"/>
      <c r="R28" s="33"/>
      <c r="S28" s="33"/>
      <c r="T28" s="33"/>
      <c r="U28" s="33"/>
      <c r="V28" s="33"/>
      <c r="W28" s="33"/>
    </row>
    <row r="29" spans="1:23" x14ac:dyDescent="0.5">
      <c r="A29" s="47"/>
      <c r="N29" s="67"/>
      <c r="O29" s="35"/>
      <c r="P29" s="35"/>
      <c r="Q29" s="33"/>
      <c r="R29" s="33"/>
      <c r="S29" s="33"/>
      <c r="T29" s="33"/>
      <c r="U29" s="33"/>
      <c r="V29" s="33"/>
      <c r="W29" s="33"/>
    </row>
    <row r="30" spans="1:23" x14ac:dyDescent="0.5">
      <c r="A30" s="58" t="s">
        <v>96</v>
      </c>
      <c r="B30">
        <f>$C$13*$B$15*$B$2</f>
        <v>1040000</v>
      </c>
      <c r="C30">
        <f>$C$13*$B$15*(1+$B$14)*$B$2</f>
        <v>1060800</v>
      </c>
      <c r="D30">
        <f t="shared" ref="D30:M30" si="1">C30*(1+$B$14)</f>
        <v>1082016</v>
      </c>
      <c r="E30" s="62">
        <f t="shared" si="1"/>
        <v>1103656.32</v>
      </c>
      <c r="F30" s="62">
        <f t="shared" si="1"/>
        <v>1125729.4464</v>
      </c>
      <c r="G30" s="62">
        <f t="shared" si="1"/>
        <v>1148244.0353280001</v>
      </c>
      <c r="H30" s="62">
        <f t="shared" si="1"/>
        <v>1171208.9160345602</v>
      </c>
      <c r="I30" s="62">
        <f t="shared" si="1"/>
        <v>1194633.0943552514</v>
      </c>
      <c r="J30" s="62">
        <f t="shared" si="1"/>
        <v>1218525.7562423565</v>
      </c>
      <c r="K30" s="62">
        <f t="shared" si="1"/>
        <v>1242896.2713672037</v>
      </c>
      <c r="L30" s="62">
        <f t="shared" si="1"/>
        <v>1267754.1967945478</v>
      </c>
      <c r="M30" s="62">
        <f t="shared" si="1"/>
        <v>1293109.2807304389</v>
      </c>
      <c r="N30" s="66">
        <f>SUM(B30:M30)</f>
        <v>13948573.317252358</v>
      </c>
      <c r="O30" s="35">
        <f>N30*(1+O14)</f>
        <v>16040859.314840211</v>
      </c>
      <c r="P30" s="35">
        <f>O30*(1+P14)</f>
        <v>17324128.060027428</v>
      </c>
      <c r="Q30" s="33"/>
      <c r="R30" s="33"/>
      <c r="S30" s="33"/>
      <c r="T30" s="33"/>
      <c r="U30" s="33"/>
      <c r="V30" s="33"/>
      <c r="W30" s="33"/>
    </row>
    <row r="31" spans="1:23" x14ac:dyDescent="0.5">
      <c r="A31" s="47" t="s">
        <v>95</v>
      </c>
      <c r="B31">
        <f>$C$13*$B$13*$B$2</f>
        <v>62400</v>
      </c>
      <c r="C31">
        <f t="shared" ref="C31:M31" si="2">$C$13*$B$13*$B$2</f>
        <v>62400</v>
      </c>
      <c r="D31">
        <f t="shared" si="2"/>
        <v>62400</v>
      </c>
      <c r="E31">
        <f t="shared" si="2"/>
        <v>62400</v>
      </c>
      <c r="F31">
        <f t="shared" si="2"/>
        <v>62400</v>
      </c>
      <c r="G31">
        <f t="shared" si="2"/>
        <v>62400</v>
      </c>
      <c r="H31">
        <f t="shared" si="2"/>
        <v>62400</v>
      </c>
      <c r="I31">
        <f t="shared" si="2"/>
        <v>62400</v>
      </c>
      <c r="J31">
        <f t="shared" si="2"/>
        <v>62400</v>
      </c>
      <c r="K31">
        <f t="shared" si="2"/>
        <v>62400</v>
      </c>
      <c r="L31">
        <f t="shared" si="2"/>
        <v>62400</v>
      </c>
      <c r="M31">
        <f t="shared" si="2"/>
        <v>62400</v>
      </c>
      <c r="N31" s="65">
        <f>SUM(B31:M31)</f>
        <v>748800</v>
      </c>
      <c r="O31" s="48">
        <f>N31*(1+O14)</f>
        <v>861119.99999999988</v>
      </c>
      <c r="P31" s="48">
        <f>O31*(1+P14)</f>
        <v>930009.59999999998</v>
      </c>
    </row>
    <row r="32" spans="1:23" x14ac:dyDescent="0.5">
      <c r="A32" s="47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4">
        <f>+N30+N27</f>
        <v>155908573.31725237</v>
      </c>
      <c r="O32" s="48"/>
      <c r="P32" s="48"/>
    </row>
    <row r="33" spans="1:16" x14ac:dyDescent="0.5">
      <c r="A33" s="47" t="s">
        <v>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63"/>
      <c r="O33" s="35">
        <f>B22*B23</f>
        <v>7500000</v>
      </c>
      <c r="P33" s="35">
        <f>B22*B24</f>
        <v>4500000</v>
      </c>
    </row>
    <row r="34" spans="1:16" ht="16.149999999999999" thickBot="1" x14ac:dyDescent="0.55000000000000004">
      <c r="A34" s="54" t="s">
        <v>93</v>
      </c>
      <c r="B34" s="61">
        <f>SUM(B28+B31)</f>
        <v>499200</v>
      </c>
      <c r="C34" s="61">
        <f t="shared" ref="C34:N34" si="3">SUM(C28+C31)</f>
        <v>499200</v>
      </c>
      <c r="D34" s="61">
        <f t="shared" si="3"/>
        <v>499200</v>
      </c>
      <c r="E34" s="61">
        <f t="shared" si="3"/>
        <v>790400</v>
      </c>
      <c r="F34" s="61">
        <f t="shared" si="3"/>
        <v>790400</v>
      </c>
      <c r="G34" s="61">
        <f t="shared" si="3"/>
        <v>790400</v>
      </c>
      <c r="H34" s="61">
        <f t="shared" si="3"/>
        <v>1227200</v>
      </c>
      <c r="I34" s="61">
        <f t="shared" si="3"/>
        <v>1227200</v>
      </c>
      <c r="J34" s="61">
        <f t="shared" si="3"/>
        <v>1227200</v>
      </c>
      <c r="K34" s="61">
        <f t="shared" si="3"/>
        <v>1518400</v>
      </c>
      <c r="L34" s="61">
        <f t="shared" si="3"/>
        <v>1518400</v>
      </c>
      <c r="M34" s="61">
        <f t="shared" si="3"/>
        <v>1518400</v>
      </c>
      <c r="N34" s="111">
        <f t="shared" si="3"/>
        <v>12105600</v>
      </c>
      <c r="O34" s="51">
        <f>O28+O31+O33</f>
        <v>86985120</v>
      </c>
      <c r="P34" s="51">
        <f>P28+P31+P33</f>
        <v>136470009.59999999</v>
      </c>
    </row>
    <row r="35" spans="1:16" ht="16.149999999999999" thickTop="1" x14ac:dyDescent="0.5">
      <c r="A35" s="60" t="s">
        <v>92</v>
      </c>
      <c r="N35" s="39"/>
      <c r="O35" s="35"/>
      <c r="P35" s="35"/>
    </row>
    <row r="36" spans="1:16" x14ac:dyDescent="0.5">
      <c r="A36" s="47" t="s">
        <v>91</v>
      </c>
      <c r="N36" s="39"/>
      <c r="O36" s="35"/>
      <c r="P36" s="35"/>
    </row>
    <row r="37" spans="1:16" x14ac:dyDescent="0.5">
      <c r="A37" s="38" t="s">
        <v>69</v>
      </c>
      <c r="B37" s="57">
        <f>'[1]Hiring '!B24</f>
        <v>40000</v>
      </c>
      <c r="C37" s="57">
        <f>'[1]Hiring '!C24</f>
        <v>40000</v>
      </c>
      <c r="D37" s="57">
        <f>'[1]Hiring '!D24</f>
        <v>40000</v>
      </c>
      <c r="E37" s="57">
        <f>'[1]Hiring '!E24</f>
        <v>80000</v>
      </c>
      <c r="F37" s="57">
        <f>'[1]Hiring '!F24</f>
        <v>80000</v>
      </c>
      <c r="G37" s="57">
        <f>'[1]Hiring '!G24</f>
        <v>155000</v>
      </c>
      <c r="H37" s="57">
        <v>195000</v>
      </c>
      <c r="I37" s="57">
        <v>235000</v>
      </c>
      <c r="J37" s="57">
        <f>'[1]Hiring '!J24</f>
        <v>235000</v>
      </c>
      <c r="K37" s="57">
        <v>255000</v>
      </c>
      <c r="L37" s="57">
        <v>255000</v>
      </c>
      <c r="M37" s="57">
        <v>255000</v>
      </c>
      <c r="N37" s="59">
        <f>SUM(B37:M37)</f>
        <v>1865000</v>
      </c>
      <c r="O37" s="35">
        <f>SUM('[1]Hiring '!N24:Y24)</f>
        <v>10708500.000000002</v>
      </c>
      <c r="P37" s="35">
        <f>SUM('[1]Hiring '!Z24:AK24)</f>
        <v>17532900</v>
      </c>
    </row>
    <row r="38" spans="1:16" x14ac:dyDescent="0.5">
      <c r="A38" s="38" t="s">
        <v>90</v>
      </c>
      <c r="B38">
        <f>[1]Assumptions!$B$7</f>
        <v>10000</v>
      </c>
      <c r="C38">
        <f>[1]Assumptions!$B$7</f>
        <v>10000</v>
      </c>
      <c r="D38">
        <f>[1]Assumptions!$B$7</f>
        <v>10000</v>
      </c>
      <c r="E38">
        <f>[1]Assumptions!$B$7</f>
        <v>10000</v>
      </c>
      <c r="F38">
        <f>[1]Assumptions!$B$7</f>
        <v>10000</v>
      </c>
      <c r="G38">
        <f>[1]Assumptions!$B$7</f>
        <v>10000</v>
      </c>
      <c r="H38">
        <f>[1]Assumptions!$B$7</f>
        <v>10000</v>
      </c>
      <c r="I38">
        <f>[1]Assumptions!$B$7</f>
        <v>10000</v>
      </c>
      <c r="J38">
        <f>[1]Assumptions!$B$7</f>
        <v>10000</v>
      </c>
      <c r="K38">
        <f>[1]Assumptions!$B$7</f>
        <v>10000</v>
      </c>
      <c r="L38">
        <f>[1]Assumptions!$B$7</f>
        <v>10000</v>
      </c>
      <c r="M38">
        <f>[1]Assumptions!$B$7</f>
        <v>10000</v>
      </c>
      <c r="N38" s="59">
        <f>SUM(B38:M38)</f>
        <v>120000</v>
      </c>
      <c r="O38" s="35">
        <f>[1]Assumptions!$B$7*PNL!$B$1</f>
        <v>120000</v>
      </c>
      <c r="P38" s="35">
        <f>[1]Assumptions!$B$7*PNL!$B$1</f>
        <v>120000</v>
      </c>
    </row>
    <row r="39" spans="1:16" x14ac:dyDescent="0.5">
      <c r="A39" s="38"/>
      <c r="N39" s="55">
        <f>SUM(N37:N38)</f>
        <v>1985000</v>
      </c>
      <c r="O39" s="48">
        <f>SUM(O37:O38)</f>
        <v>10828500.000000002</v>
      </c>
      <c r="P39" s="48">
        <f>SUM(P37:P38)</f>
        <v>17652900</v>
      </c>
    </row>
    <row r="40" spans="1:16" x14ac:dyDescent="0.5">
      <c r="A40" s="47" t="s">
        <v>89</v>
      </c>
      <c r="N40" s="39"/>
      <c r="O40" s="35"/>
      <c r="P40" s="35"/>
    </row>
    <row r="41" spans="1:16" x14ac:dyDescent="0.5">
      <c r="A41" s="38" t="s">
        <v>69</v>
      </c>
      <c r="B41" s="57">
        <f>'[1]Hiring '!B14</f>
        <v>190000</v>
      </c>
      <c r="C41" s="57">
        <f>'[1]Hiring '!C14</f>
        <v>190000</v>
      </c>
      <c r="D41" s="57">
        <f>'[1]Hiring '!D14</f>
        <v>190000</v>
      </c>
      <c r="E41" s="57">
        <f>'[1]Hiring '!E14</f>
        <v>300000</v>
      </c>
      <c r="F41" s="57">
        <f>'[1]Hiring '!F14</f>
        <v>300000</v>
      </c>
      <c r="G41" s="57">
        <f>'[1]Hiring '!G14</f>
        <v>300000</v>
      </c>
      <c r="H41" s="57">
        <f>'[1]Hiring '!H14</f>
        <v>300000</v>
      </c>
      <c r="I41" s="57">
        <f>'[1]Hiring '!I14</f>
        <v>300000</v>
      </c>
      <c r="J41" s="57">
        <f>'[1]Hiring '!J14</f>
        <v>300000</v>
      </c>
      <c r="K41" s="57">
        <f>'[1]Hiring '!K14</f>
        <v>300000</v>
      </c>
      <c r="L41" s="57">
        <f>'[1]Hiring '!L14</f>
        <v>300000</v>
      </c>
      <c r="M41" s="57">
        <f>'[1]Hiring '!M14</f>
        <v>300000</v>
      </c>
      <c r="N41" s="59">
        <f>SUM(B41:M41)</f>
        <v>3270000</v>
      </c>
      <c r="O41" s="35">
        <f>SUM('[1]Hiring '!N14:Y14)</f>
        <v>6226000</v>
      </c>
      <c r="P41" s="35">
        <f>SUM('[1]Hiring '!Z14:AK14)</f>
        <v>12559800.000000002</v>
      </c>
    </row>
    <row r="42" spans="1:16" x14ac:dyDescent="0.5">
      <c r="A42" s="38" t="s">
        <v>88</v>
      </c>
      <c r="B42">
        <f>'[1]Hiring '!B49*[1]Assumptions!$B$8</f>
        <v>5400</v>
      </c>
      <c r="C42">
        <f>'[1]Hiring '!C49*[1]Assumptions!$B$8</f>
        <v>5400</v>
      </c>
      <c r="D42">
        <f>'[1]Hiring '!D49*[1]Assumptions!$B$8</f>
        <v>5400</v>
      </c>
      <c r="E42">
        <f>'[1]Hiring '!E49*[1]Assumptions!$B$8</f>
        <v>6300</v>
      </c>
      <c r="F42">
        <f>'[1]Hiring '!F49*[1]Assumptions!$B$8</f>
        <v>6900</v>
      </c>
      <c r="G42">
        <f>'[1]Hiring '!G49*[1]Assumptions!$B$8</f>
        <v>7500</v>
      </c>
      <c r="H42">
        <f>'[1]Hiring '!H49*[1]Assumptions!$B$8</f>
        <v>8400</v>
      </c>
      <c r="I42">
        <f>'[1]Hiring '!I49*[1]Assumptions!$B$8</f>
        <v>8400</v>
      </c>
      <c r="J42">
        <f>'[1]Hiring '!J49*[1]Assumptions!$B$8</f>
        <v>8700</v>
      </c>
      <c r="K42">
        <f>'[1]Hiring '!K49*[1]Assumptions!$B$8</f>
        <v>9000</v>
      </c>
      <c r="L42">
        <f>'[1]Hiring '!L49*[1]Assumptions!$B$8</f>
        <v>9300</v>
      </c>
      <c r="M42">
        <f>'[1]Hiring '!M49*[1]Assumptions!$B$8</f>
        <v>9300</v>
      </c>
      <c r="N42" s="59">
        <f>SUM(B42:M42)</f>
        <v>90000</v>
      </c>
      <c r="O42" s="35">
        <f>SUM('[1]Hiring '!N13:Y13)*[1]Assumptions!B8*B1</f>
        <v>230400</v>
      </c>
      <c r="P42" s="35">
        <f>SUM('[1]Hiring '!Z13:AK13)*[1]Assumptions!B8*PNL!B1</f>
        <v>388800</v>
      </c>
    </row>
    <row r="43" spans="1:16" x14ac:dyDescent="0.5">
      <c r="A43" s="38" t="s">
        <v>73</v>
      </c>
      <c r="B43">
        <f>('[1]Hiring '!B49*[1]Assumptions!$B$14)-'[1]Hiring '!B31*[1]Assumptions!B14</f>
        <v>480000</v>
      </c>
      <c r="C43">
        <v>0</v>
      </c>
      <c r="D43">
        <v>0</v>
      </c>
      <c r="E43">
        <f>('[1]Hiring '!E49-'[1]Hiring '!B49)*[1]Assumptions!B14</f>
        <v>90000</v>
      </c>
      <c r="F43">
        <f>('[1]Hiring '!F49-'[1]Hiring '!E49)*[1]Assumptions!$B$14</f>
        <v>60000</v>
      </c>
      <c r="G43">
        <f>('[1]Hiring '!G49-'[1]Hiring '!F49)*[1]Assumptions!$B$14</f>
        <v>60000</v>
      </c>
      <c r="H43">
        <v>90000</v>
      </c>
      <c r="I43">
        <f>('[1]Hiring '!I49-'[1]Hiring '!H49)*[1]Assumptions!$B$14</f>
        <v>0</v>
      </c>
      <c r="J43">
        <v>0</v>
      </c>
      <c r="K43">
        <v>60000</v>
      </c>
      <c r="L43">
        <v>60000</v>
      </c>
      <c r="M43">
        <f>('[1]Hiring '!M49-'[1]Hiring '!L49)*[1]Assumptions!$B$14</f>
        <v>0</v>
      </c>
      <c r="N43" s="59">
        <f>SUM(B43:M43)</f>
        <v>900000</v>
      </c>
      <c r="O43" s="35">
        <f>7*[1]Assumptions!B14</f>
        <v>210000</v>
      </c>
      <c r="P43" s="35">
        <f>15*[1]Assumptions!B14</f>
        <v>450000</v>
      </c>
    </row>
    <row r="44" spans="1:16" x14ac:dyDescent="0.5">
      <c r="A44" s="38" t="s">
        <v>87</v>
      </c>
      <c r="B44">
        <f>[1]Assumptions!$B$13*[1]Assumptions!$B$18</f>
        <v>4000</v>
      </c>
      <c r="C44">
        <f>[1]Assumptions!$B$13*[1]Assumptions!$B$18</f>
        <v>4000</v>
      </c>
      <c r="D44">
        <f>[1]Assumptions!$B$13*[1]Assumptions!$B$18</f>
        <v>4000</v>
      </c>
      <c r="E44">
        <f>[1]Assumptions!$B$13*[1]Assumptions!$B$18</f>
        <v>4000</v>
      </c>
      <c r="F44">
        <f>[1]Assumptions!$B$13*[1]Assumptions!$B$18</f>
        <v>4000</v>
      </c>
      <c r="G44">
        <f>[1]Assumptions!$B$13*[1]Assumptions!$B$18</f>
        <v>4000</v>
      </c>
      <c r="H44">
        <f>[1]Assumptions!$B$13*[1]Assumptions!$B$19</f>
        <v>8000</v>
      </c>
      <c r="I44">
        <f>[1]Assumptions!$B$13*[1]Assumptions!$B$19</f>
        <v>8000</v>
      </c>
      <c r="J44">
        <f>[1]Assumptions!$B$13*[1]Assumptions!$B$19</f>
        <v>8000</v>
      </c>
      <c r="K44">
        <f>[1]Assumptions!$B$13*[1]Assumptions!$B$19</f>
        <v>8000</v>
      </c>
      <c r="L44">
        <f>[1]Assumptions!$B$13*[1]Assumptions!$B$19</f>
        <v>8000</v>
      </c>
      <c r="M44">
        <f>[1]Assumptions!$B$13*[1]Assumptions!$B$19</f>
        <v>8000</v>
      </c>
      <c r="N44" s="59">
        <f>SUM(B44:M44)</f>
        <v>72000</v>
      </c>
      <c r="O44" s="35">
        <f>N44+[1]Assumptions!$B$13*PNL!$B$1</f>
        <v>120000</v>
      </c>
      <c r="P44" s="35">
        <f>O44+[1]Assumptions!$B$13*PNL!$B$1</f>
        <v>168000</v>
      </c>
    </row>
    <row r="45" spans="1:16" x14ac:dyDescent="0.5">
      <c r="A45" s="38"/>
      <c r="N45" s="55">
        <f>SUM(N41:N44)</f>
        <v>4332000</v>
      </c>
      <c r="O45" s="48">
        <f>SUM(O41:O44)</f>
        <v>6786400</v>
      </c>
      <c r="P45" s="48">
        <f>SUM(P41:P44)</f>
        <v>13566600.000000002</v>
      </c>
    </row>
    <row r="46" spans="1:16" x14ac:dyDescent="0.5">
      <c r="A46" s="47" t="s">
        <v>22</v>
      </c>
      <c r="N46" s="39"/>
      <c r="O46" s="35"/>
      <c r="P46" s="35"/>
    </row>
    <row r="47" spans="1:16" x14ac:dyDescent="0.5">
      <c r="A47" s="38" t="s">
        <v>69</v>
      </c>
      <c r="B47" s="57">
        <f>'[1]Hiring '!B34</f>
        <v>280000</v>
      </c>
      <c r="C47" s="57">
        <f>'[1]Hiring '!C34</f>
        <v>280000</v>
      </c>
      <c r="D47" s="57">
        <f>'[1]Hiring '!D34</f>
        <v>280000</v>
      </c>
      <c r="E47" s="57">
        <f>'[1]Hiring '!E34</f>
        <v>280000</v>
      </c>
      <c r="F47" s="57">
        <v>280000</v>
      </c>
      <c r="G47" s="57">
        <f>'[1]Hiring '!G34</f>
        <v>312000</v>
      </c>
      <c r="H47" s="57">
        <v>338000</v>
      </c>
      <c r="I47" s="57">
        <v>338000</v>
      </c>
      <c r="J47" s="57">
        <v>338000</v>
      </c>
      <c r="K47" s="57">
        <v>338000</v>
      </c>
      <c r="L47" s="57">
        <v>338000</v>
      </c>
      <c r="M47" s="57">
        <v>338000</v>
      </c>
      <c r="N47" s="59">
        <f>SUM(B47:M47)</f>
        <v>3740000</v>
      </c>
      <c r="O47" s="35">
        <f>SUM('[1]Hiring '!N34:Y34)</f>
        <v>6481200</v>
      </c>
      <c r="P47" s="35">
        <f>SUM('[1]Hiring '!Z34:AK34)</f>
        <v>9873600.0000000019</v>
      </c>
    </row>
    <row r="48" spans="1:16" x14ac:dyDescent="0.5">
      <c r="A48" s="38" t="s">
        <v>86</v>
      </c>
      <c r="B48">
        <v>30000</v>
      </c>
      <c r="C48">
        <v>30000</v>
      </c>
      <c r="D48">
        <v>30000</v>
      </c>
      <c r="E48">
        <v>30000</v>
      </c>
      <c r="F48">
        <v>30000</v>
      </c>
      <c r="G48">
        <v>30000</v>
      </c>
      <c r="H48">
        <v>40000</v>
      </c>
      <c r="I48">
        <v>40000</v>
      </c>
      <c r="J48">
        <v>40000</v>
      </c>
      <c r="K48">
        <v>40000</v>
      </c>
      <c r="L48">
        <v>40000</v>
      </c>
      <c r="M48">
        <v>40000</v>
      </c>
      <c r="N48" s="59">
        <f>SUM(B48:M48)</f>
        <v>420000</v>
      </c>
      <c r="O48" s="35">
        <f>([1]Assumptions!$B$16*SUM('[1]Hiring '!O19,'[1]Hiring '!O20)+[1]Assumptions!$B$17*'[1]Hiring '!O27)*B1</f>
        <v>672000</v>
      </c>
      <c r="P48" s="35">
        <f>O48*(1+25%)</f>
        <v>840000</v>
      </c>
    </row>
    <row r="49" spans="1:16" x14ac:dyDescent="0.5">
      <c r="A49" s="38" t="s">
        <v>71</v>
      </c>
      <c r="B49">
        <f>[1]Assumptions!$B$9</f>
        <v>35000</v>
      </c>
      <c r="C49">
        <f>[1]Assumptions!$B$9</f>
        <v>35000</v>
      </c>
      <c r="D49">
        <f>[1]Assumptions!$B$9</f>
        <v>35000</v>
      </c>
      <c r="E49">
        <f>[1]Assumptions!$B$9</f>
        <v>35000</v>
      </c>
      <c r="F49">
        <f>[1]Assumptions!$B$9</f>
        <v>35000</v>
      </c>
      <c r="G49">
        <f>[1]Assumptions!$B$9</f>
        <v>35000</v>
      </c>
      <c r="H49">
        <f>[1]Assumptions!$B$10+PNL!$G$49</f>
        <v>60000</v>
      </c>
      <c r="I49">
        <f>[1]Assumptions!$B$10+PNL!$G$49</f>
        <v>60000</v>
      </c>
      <c r="J49">
        <f>[1]Assumptions!$B$10+PNL!$G$49</f>
        <v>60000</v>
      </c>
      <c r="K49">
        <f>[1]Assumptions!$B$10+PNL!$G$49</f>
        <v>60000</v>
      </c>
      <c r="L49">
        <f>[1]Assumptions!$B$10+PNL!$G$49</f>
        <v>60000</v>
      </c>
      <c r="M49">
        <f>[1]Assumptions!$B$10+PNL!$G$49</f>
        <v>60000</v>
      </c>
      <c r="N49" s="56">
        <f>SUM(B49:M50)</f>
        <v>660000</v>
      </c>
      <c r="O49" s="35">
        <f>N49+[1]Assumptions!B9*PNL!B1</f>
        <v>1080000</v>
      </c>
      <c r="P49" s="35">
        <f>O49*(1+50%)</f>
        <v>1620000</v>
      </c>
    </row>
    <row r="50" spans="1:16" x14ac:dyDescent="0.5">
      <c r="A50" s="58" t="s">
        <v>72</v>
      </c>
      <c r="B50">
        <f>[1]Assumptions!$B$15*[1]Assumptions!$B$18</f>
        <v>5000</v>
      </c>
      <c r="C50">
        <f>[1]Assumptions!$B$15*[1]Assumptions!$B$18</f>
        <v>5000</v>
      </c>
      <c r="D50">
        <f>[1]Assumptions!$B$15*[1]Assumptions!$B$18</f>
        <v>5000</v>
      </c>
      <c r="E50">
        <f>[1]Assumptions!$B$15*[1]Assumptions!$B$18</f>
        <v>5000</v>
      </c>
      <c r="F50">
        <f>[1]Assumptions!$B$15*[1]Assumptions!$B$18</f>
        <v>5000</v>
      </c>
      <c r="G50">
        <v>5000</v>
      </c>
      <c r="H50">
        <f>[1]Assumptions!$B$15*[1]Assumptions!$B$19</f>
        <v>10000</v>
      </c>
      <c r="I50">
        <f>[1]Assumptions!$B$15*[1]Assumptions!$B$19</f>
        <v>10000</v>
      </c>
      <c r="J50">
        <f>[1]Assumptions!$B$15*[1]Assumptions!$B$19</f>
        <v>10000</v>
      </c>
      <c r="K50">
        <f>[1]Assumptions!$B$15*[1]Assumptions!$B$19</f>
        <v>10000</v>
      </c>
      <c r="L50">
        <f>[1]Assumptions!$B$15*[1]Assumptions!$B$19</f>
        <v>10000</v>
      </c>
      <c r="M50">
        <f>[1]Assumptions!$B$15*[1]Assumptions!$B$19</f>
        <v>10000</v>
      </c>
      <c r="N50" s="39">
        <f>SUM(B50:M50)</f>
        <v>90000</v>
      </c>
      <c r="O50" s="35">
        <f>N50*(1+10%)</f>
        <v>99000.000000000015</v>
      </c>
      <c r="P50" s="35">
        <f>O50*(1+15%)</f>
        <v>113850.00000000001</v>
      </c>
    </row>
    <row r="51" spans="1:16" x14ac:dyDescent="0.5">
      <c r="A51" s="38"/>
      <c r="N51" s="55">
        <f>SUM(N47:N50)</f>
        <v>4910000</v>
      </c>
      <c r="O51" s="48">
        <f>SUM(O47:O50)</f>
        <v>8332200</v>
      </c>
      <c r="P51" s="48">
        <f>SUM(P47:P50)</f>
        <v>12447450.000000002</v>
      </c>
    </row>
    <row r="52" spans="1:16" x14ac:dyDescent="0.5">
      <c r="A52" s="47" t="s">
        <v>85</v>
      </c>
      <c r="N52" s="39"/>
      <c r="O52" s="35"/>
      <c r="P52" s="35"/>
    </row>
    <row r="53" spans="1:16" x14ac:dyDescent="0.5">
      <c r="A53" s="38" t="s">
        <v>84</v>
      </c>
      <c r="B53" s="57">
        <f>'[1]Hiring '!B46</f>
        <v>40000</v>
      </c>
      <c r="C53" s="57">
        <f>'[1]Hiring '!C46</f>
        <v>40000</v>
      </c>
      <c r="D53" s="57">
        <f>'[1]Hiring '!D46</f>
        <v>40000</v>
      </c>
      <c r="E53" s="57">
        <f>'[1]Hiring '!E46</f>
        <v>40000</v>
      </c>
      <c r="F53" s="57">
        <f>'[1]Hiring '!F46</f>
        <v>40000</v>
      </c>
      <c r="G53" s="57">
        <f>'[1]Hiring '!G46</f>
        <v>40000</v>
      </c>
      <c r="H53" s="57">
        <f>'[1]Hiring '!H46</f>
        <v>50000</v>
      </c>
      <c r="I53" s="57">
        <f>'[1]Hiring '!I46</f>
        <v>50000</v>
      </c>
      <c r="J53" s="57">
        <f>'[1]Hiring '!J46</f>
        <v>50000</v>
      </c>
      <c r="K53" s="57">
        <f>'[1]Hiring '!K46</f>
        <v>50000</v>
      </c>
      <c r="L53" s="57">
        <f>'[1]Hiring '!L46</f>
        <v>50000</v>
      </c>
      <c r="M53" s="57">
        <f>'[1]Hiring '!M46</f>
        <v>50000</v>
      </c>
      <c r="N53" s="56">
        <f>SUM(B53:M54)</f>
        <v>1020000</v>
      </c>
      <c r="O53" s="35">
        <f>SUM('[1]Hiring '!N46:Y46)</f>
        <v>1188000</v>
      </c>
      <c r="P53" s="35">
        <f>SUM('[1]Hiring '!O46:Z46)</f>
        <v>1298000</v>
      </c>
    </row>
    <row r="54" spans="1:16" x14ac:dyDescent="0.5">
      <c r="A54" s="38" t="s">
        <v>83</v>
      </c>
      <c r="B54" s="57">
        <f>'[1]Hiring '!B40</f>
        <v>40000</v>
      </c>
      <c r="C54" s="57">
        <f>'[1]Hiring '!C40</f>
        <v>40000</v>
      </c>
      <c r="D54" s="57">
        <f>'[1]Hiring '!D40</f>
        <v>40000</v>
      </c>
      <c r="E54" s="57">
        <f>'[1]Hiring '!E40</f>
        <v>40000</v>
      </c>
      <c r="F54" s="57">
        <f>'[1]Hiring '!F40</f>
        <v>40000</v>
      </c>
      <c r="G54" s="57">
        <f>'[1]Hiring '!G40</f>
        <v>40000</v>
      </c>
      <c r="H54" s="57">
        <f>'[1]Hiring '!H40</f>
        <v>40000</v>
      </c>
      <c r="I54" s="57">
        <f>'[1]Hiring '!I40</f>
        <v>40000</v>
      </c>
      <c r="J54" s="57">
        <f>'[1]Hiring '!J40</f>
        <v>40000</v>
      </c>
      <c r="K54" s="57">
        <f>'[1]Hiring '!K40</f>
        <v>40000</v>
      </c>
      <c r="L54" s="57">
        <f>'[1]Hiring '!L40</f>
        <v>40000</v>
      </c>
      <c r="M54" s="57">
        <f>'[1]Hiring '!M40</f>
        <v>40000</v>
      </c>
      <c r="N54" s="56">
        <f>SUM(B54:M55)</f>
        <v>480000</v>
      </c>
      <c r="O54" s="35">
        <f>SUM('[1]Hiring '!N40:Y40)</f>
        <v>924000</v>
      </c>
      <c r="P54" s="35">
        <f>SUM('[1]Hiring '!Z40:AK40)</f>
        <v>1742400</v>
      </c>
    </row>
    <row r="55" spans="1:16" x14ac:dyDescent="0.5">
      <c r="A55" s="38"/>
      <c r="N55" s="55">
        <f>SUM(N53:N54)</f>
        <v>1500000</v>
      </c>
      <c r="O55" s="48">
        <f>SUM(O53:O54)</f>
        <v>2112000</v>
      </c>
      <c r="P55" s="48">
        <f>SUM(P53:P54)</f>
        <v>3040400</v>
      </c>
    </row>
    <row r="56" spans="1:16" ht="16.149999999999999" thickBot="1" x14ac:dyDescent="0.55000000000000004">
      <c r="A56" s="54" t="s">
        <v>82</v>
      </c>
      <c r="B56" s="53">
        <f t="shared" ref="B56:M56" si="4">SUM(B37:B54)</f>
        <v>1159400</v>
      </c>
      <c r="C56" s="53">
        <f t="shared" si="4"/>
        <v>679400</v>
      </c>
      <c r="D56" s="53">
        <f t="shared" si="4"/>
        <v>679400</v>
      </c>
      <c r="E56" s="53">
        <f t="shared" si="4"/>
        <v>920300</v>
      </c>
      <c r="F56" s="53">
        <f t="shared" si="4"/>
        <v>890900</v>
      </c>
      <c r="G56" s="53">
        <f t="shared" si="4"/>
        <v>998500</v>
      </c>
      <c r="H56" s="53">
        <f t="shared" si="4"/>
        <v>1149400</v>
      </c>
      <c r="I56" s="53">
        <f t="shared" si="4"/>
        <v>1099400</v>
      </c>
      <c r="J56" s="53">
        <f t="shared" si="4"/>
        <v>1099700</v>
      </c>
      <c r="K56" s="53">
        <f t="shared" si="4"/>
        <v>1180000</v>
      </c>
      <c r="L56" s="53">
        <f t="shared" si="4"/>
        <v>1180300</v>
      </c>
      <c r="M56" s="53">
        <f t="shared" si="4"/>
        <v>1120300</v>
      </c>
      <c r="N56" s="52">
        <f>SUM(B56:M56)</f>
        <v>12157000</v>
      </c>
      <c r="O56" s="51">
        <f>SUM(O55,O51,O45,O39)</f>
        <v>28059100</v>
      </c>
      <c r="P56" s="51">
        <f>SUM(P55,P51,P45,P39)</f>
        <v>46707350</v>
      </c>
    </row>
    <row r="57" spans="1:16" ht="16.149999999999999" thickTop="1" x14ac:dyDescent="0.5">
      <c r="A57" s="38"/>
      <c r="N57" s="50"/>
      <c r="O57" s="44"/>
      <c r="P57" s="44"/>
    </row>
    <row r="58" spans="1:16" x14ac:dyDescent="0.5">
      <c r="A58" s="38" t="s">
        <v>81</v>
      </c>
      <c r="B58" s="49">
        <f t="shared" ref="B58:P58" si="5">B34-B56</f>
        <v>-660200</v>
      </c>
      <c r="C58" s="49">
        <f t="shared" si="5"/>
        <v>-180200</v>
      </c>
      <c r="D58" s="49">
        <f t="shared" si="5"/>
        <v>-180200</v>
      </c>
      <c r="E58" s="49">
        <f t="shared" si="5"/>
        <v>-129900</v>
      </c>
      <c r="F58" s="49">
        <f t="shared" si="5"/>
        <v>-100500</v>
      </c>
      <c r="G58" s="49">
        <f t="shared" si="5"/>
        <v>-208100</v>
      </c>
      <c r="H58" s="49">
        <f t="shared" si="5"/>
        <v>77800</v>
      </c>
      <c r="I58" s="49">
        <f t="shared" si="5"/>
        <v>127800</v>
      </c>
      <c r="J58" s="49">
        <f t="shared" si="5"/>
        <v>127500</v>
      </c>
      <c r="K58" s="49">
        <f t="shared" si="5"/>
        <v>338400</v>
      </c>
      <c r="L58" s="49">
        <f t="shared" si="5"/>
        <v>338100</v>
      </c>
      <c r="M58" s="49">
        <f t="shared" si="5"/>
        <v>398100</v>
      </c>
      <c r="N58" s="46">
        <f t="shared" si="5"/>
        <v>-51400</v>
      </c>
      <c r="O58" s="48">
        <f t="shared" si="5"/>
        <v>58926020</v>
      </c>
      <c r="P58" s="48">
        <f t="shared" si="5"/>
        <v>89762659.599999994</v>
      </c>
    </row>
    <row r="59" spans="1:16" x14ac:dyDescent="0.5">
      <c r="A59" s="3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6"/>
      <c r="O59" s="45"/>
      <c r="P59" s="45"/>
    </row>
    <row r="60" spans="1:16" x14ac:dyDescent="0.5">
      <c r="A60" s="38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9"/>
      <c r="O60" s="44"/>
      <c r="P60" s="44"/>
    </row>
    <row r="61" spans="1:16" x14ac:dyDescent="0.5">
      <c r="A61" s="38" t="s">
        <v>80</v>
      </c>
      <c r="B61" s="34">
        <f t="shared" ref="B61:M61" si="6">B58+B59</f>
        <v>-660200</v>
      </c>
      <c r="C61" s="34">
        <f t="shared" si="6"/>
        <v>-180200</v>
      </c>
      <c r="D61" s="34">
        <f t="shared" si="6"/>
        <v>-180200</v>
      </c>
      <c r="E61" s="34">
        <f t="shared" si="6"/>
        <v>-129900</v>
      </c>
      <c r="F61" s="34">
        <f t="shared" si="6"/>
        <v>-100500</v>
      </c>
      <c r="G61" s="34">
        <f t="shared" si="6"/>
        <v>-208100</v>
      </c>
      <c r="H61" s="34">
        <f t="shared" si="6"/>
        <v>77800</v>
      </c>
      <c r="I61" s="34">
        <f t="shared" si="6"/>
        <v>127800</v>
      </c>
      <c r="J61" s="34">
        <f t="shared" si="6"/>
        <v>127500</v>
      </c>
      <c r="K61" s="34">
        <f t="shared" si="6"/>
        <v>338400</v>
      </c>
      <c r="L61" s="34">
        <f t="shared" si="6"/>
        <v>338100</v>
      </c>
      <c r="M61" s="34">
        <f t="shared" si="6"/>
        <v>398100</v>
      </c>
      <c r="N61" s="43">
        <f>SUM(B61:M61)</f>
        <v>-51400</v>
      </c>
      <c r="O61" s="35">
        <f>SUM(O58:O59)</f>
        <v>58926020</v>
      </c>
      <c r="P61" s="35">
        <f>SUM(P58:P59)</f>
        <v>89762659.599999994</v>
      </c>
    </row>
    <row r="62" spans="1:16" x14ac:dyDescent="0.5">
      <c r="A62" s="38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 t="s">
        <v>79</v>
      </c>
      <c r="N62" s="39"/>
      <c r="O62" s="35"/>
      <c r="P62" s="35"/>
    </row>
    <row r="63" spans="1:16" x14ac:dyDescent="0.5">
      <c r="A63" s="38" t="s">
        <v>78</v>
      </c>
      <c r="B63" s="33">
        <f t="shared" ref="B63:M63" si="7">IF(B61&lt;0,0,B61*0.25)</f>
        <v>0</v>
      </c>
      <c r="C63" s="33">
        <f t="shared" si="7"/>
        <v>0</v>
      </c>
      <c r="D63" s="33">
        <f t="shared" si="7"/>
        <v>0</v>
      </c>
      <c r="E63" s="42">
        <f t="shared" si="7"/>
        <v>0</v>
      </c>
      <c r="F63" s="42">
        <f t="shared" si="7"/>
        <v>0</v>
      </c>
      <c r="G63" s="42">
        <f t="shared" si="7"/>
        <v>0</v>
      </c>
      <c r="H63" s="42">
        <f t="shared" si="7"/>
        <v>19450</v>
      </c>
      <c r="I63" s="42">
        <f t="shared" si="7"/>
        <v>31950</v>
      </c>
      <c r="J63" s="42">
        <f t="shared" si="7"/>
        <v>31875</v>
      </c>
      <c r="K63" s="42">
        <f t="shared" si="7"/>
        <v>84600</v>
      </c>
      <c r="L63" s="42">
        <f t="shared" si="7"/>
        <v>84525</v>
      </c>
      <c r="M63" s="42">
        <f t="shared" si="7"/>
        <v>99525</v>
      </c>
      <c r="N63" s="41">
        <f>SUM(B63:M63)</f>
        <v>351925</v>
      </c>
      <c r="O63" s="40">
        <f>IF(O61&lt;0,0,O61*0.3)</f>
        <v>17677806</v>
      </c>
      <c r="P63" s="40">
        <f>IF(P61&lt;0,0,P61*0.3)</f>
        <v>26928797.879999999</v>
      </c>
    </row>
    <row r="64" spans="1:16" x14ac:dyDescent="0.5">
      <c r="A64" s="38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9"/>
      <c r="O64" s="35"/>
      <c r="P64" s="35"/>
    </row>
    <row r="65" spans="1:16" x14ac:dyDescent="0.5">
      <c r="A65" s="38" t="s">
        <v>77</v>
      </c>
      <c r="B65" s="37">
        <f t="shared" ref="B65:M65" si="8">B61-B63</f>
        <v>-660200</v>
      </c>
      <c r="C65" s="37">
        <f t="shared" si="8"/>
        <v>-180200</v>
      </c>
      <c r="D65" s="37">
        <f t="shared" si="8"/>
        <v>-180200</v>
      </c>
      <c r="E65" s="37">
        <f t="shared" si="8"/>
        <v>-129900</v>
      </c>
      <c r="F65" s="37">
        <f t="shared" si="8"/>
        <v>-100500</v>
      </c>
      <c r="G65" s="37">
        <f t="shared" si="8"/>
        <v>-208100</v>
      </c>
      <c r="H65" s="37">
        <f t="shared" si="8"/>
        <v>58350</v>
      </c>
      <c r="I65" s="37">
        <f t="shared" si="8"/>
        <v>95850</v>
      </c>
      <c r="J65" s="37">
        <f t="shared" si="8"/>
        <v>95625</v>
      </c>
      <c r="K65" s="37">
        <f t="shared" si="8"/>
        <v>253800</v>
      </c>
      <c r="L65" s="37">
        <f t="shared" si="8"/>
        <v>253575</v>
      </c>
      <c r="M65" s="37">
        <f t="shared" si="8"/>
        <v>298575</v>
      </c>
      <c r="N65" s="36">
        <f>SUM(B65:M65)</f>
        <v>-403325</v>
      </c>
      <c r="O65" s="35">
        <f>O61-O63</f>
        <v>41248214</v>
      </c>
      <c r="P65" s="35">
        <f>P61-P63</f>
        <v>62833861.719999999</v>
      </c>
    </row>
    <row r="66" spans="1:16" x14ac:dyDescent="0.5">
      <c r="N66" s="33"/>
    </row>
    <row r="67" spans="1:16" x14ac:dyDescent="0.5">
      <c r="N67" s="34"/>
    </row>
    <row r="68" spans="1:16" x14ac:dyDescent="0.5">
      <c r="N68" s="33"/>
    </row>
    <row r="69" spans="1:16" x14ac:dyDescent="0.5">
      <c r="B69" t="s">
        <v>210</v>
      </c>
      <c r="C69" t="s">
        <v>129</v>
      </c>
      <c r="D69" t="s">
        <v>128</v>
      </c>
      <c r="N69" s="33"/>
    </row>
    <row r="70" spans="1:16" x14ac:dyDescent="0.5">
      <c r="A70" t="s">
        <v>178</v>
      </c>
      <c r="N70" s="33"/>
    </row>
    <row r="71" spans="1:16" x14ac:dyDescent="0.5">
      <c r="A71" s="137" t="s">
        <v>211</v>
      </c>
      <c r="B71" s="137">
        <v>13.5</v>
      </c>
      <c r="C71" s="137">
        <v>27</v>
      </c>
      <c r="D71" s="137">
        <v>54</v>
      </c>
      <c r="N71" s="33"/>
    </row>
    <row r="72" spans="1:16" x14ac:dyDescent="0.5">
      <c r="A72" s="137" t="s">
        <v>212</v>
      </c>
      <c r="B72" s="137">
        <v>0.54</v>
      </c>
      <c r="C72" s="137">
        <v>1.08</v>
      </c>
      <c r="D72" s="137">
        <v>2.7</v>
      </c>
      <c r="N72" s="33"/>
    </row>
    <row r="73" spans="1:16" x14ac:dyDescent="0.5">
      <c r="A73" s="137"/>
      <c r="B73" s="137"/>
      <c r="C73" s="137"/>
      <c r="D73" s="137"/>
      <c r="N73" s="33"/>
    </row>
    <row r="74" spans="1:16" x14ac:dyDescent="0.5">
      <c r="A74" s="137" t="s">
        <v>213</v>
      </c>
      <c r="B74" s="137">
        <v>6</v>
      </c>
      <c r="C74" s="137">
        <v>12</v>
      </c>
      <c r="D74" s="137">
        <v>24</v>
      </c>
      <c r="N74" s="33"/>
    </row>
    <row r="75" spans="1:16" x14ac:dyDescent="0.5">
      <c r="A75" s="137" t="s">
        <v>214</v>
      </c>
      <c r="B75" s="137">
        <v>0.36</v>
      </c>
      <c r="C75" s="137">
        <v>0.72</v>
      </c>
      <c r="D75" s="137">
        <v>1.44</v>
      </c>
      <c r="N75" s="33"/>
    </row>
    <row r="76" spans="1:16" x14ac:dyDescent="0.5">
      <c r="A76" s="137"/>
      <c r="B76" s="137"/>
      <c r="C76" s="137"/>
      <c r="D76" s="137"/>
      <c r="N76" s="33"/>
    </row>
    <row r="77" spans="1:16" x14ac:dyDescent="0.5">
      <c r="A77" s="137" t="s">
        <v>215</v>
      </c>
      <c r="B77" s="137"/>
      <c r="C77" s="137"/>
      <c r="D77" s="137"/>
      <c r="N77" s="33"/>
    </row>
    <row r="78" spans="1:16" x14ac:dyDescent="0.5">
      <c r="A78" s="137"/>
      <c r="B78" s="137"/>
      <c r="C78" s="137"/>
      <c r="D78" s="137"/>
      <c r="N78" s="33"/>
    </row>
    <row r="79" spans="1:16" x14ac:dyDescent="0.5">
      <c r="A79" s="137"/>
      <c r="B79" s="137"/>
      <c r="C79" s="137"/>
      <c r="D79" s="137"/>
      <c r="N79" s="33"/>
    </row>
    <row r="80" spans="1:16" x14ac:dyDescent="0.5">
      <c r="A80" s="137"/>
      <c r="B80" s="137"/>
      <c r="C80" s="137"/>
      <c r="D80" s="137"/>
      <c r="N80" s="33"/>
    </row>
    <row r="81" spans="1:14" x14ac:dyDescent="0.5">
      <c r="A81" s="137"/>
      <c r="B81" s="137"/>
      <c r="C81" s="137"/>
      <c r="D81" s="137"/>
      <c r="N81" s="33"/>
    </row>
    <row r="82" spans="1:14" x14ac:dyDescent="0.5">
      <c r="A82" s="137"/>
      <c r="B82" s="137"/>
      <c r="C82" s="137"/>
      <c r="D82" s="137"/>
      <c r="N82" s="33"/>
    </row>
    <row r="83" spans="1:14" x14ac:dyDescent="0.5">
      <c r="A83" s="137"/>
      <c r="B83" s="137"/>
      <c r="C83" s="137"/>
      <c r="D83" s="137"/>
      <c r="N83" s="33"/>
    </row>
    <row r="84" spans="1:14" x14ac:dyDescent="0.5">
      <c r="A84" s="137"/>
      <c r="B84" s="137"/>
      <c r="C84" s="137"/>
      <c r="D84" s="137"/>
      <c r="N84" s="33"/>
    </row>
    <row r="85" spans="1:14" x14ac:dyDescent="0.5">
      <c r="A85" s="137"/>
      <c r="B85" s="137"/>
      <c r="C85" s="137"/>
      <c r="D85" s="137"/>
      <c r="N85" s="33"/>
    </row>
    <row r="86" spans="1:14" x14ac:dyDescent="0.5">
      <c r="A86" s="137"/>
      <c r="B86" s="137"/>
      <c r="C86" s="137"/>
      <c r="D86" s="137"/>
      <c r="N86" s="33"/>
    </row>
    <row r="87" spans="1:14" x14ac:dyDescent="0.5">
      <c r="A87" s="137"/>
      <c r="B87" s="137"/>
      <c r="C87" s="137"/>
      <c r="D87" s="137"/>
      <c r="N87" s="33"/>
    </row>
    <row r="88" spans="1:14" x14ac:dyDescent="0.5">
      <c r="A88" s="137"/>
      <c r="B88" s="137"/>
      <c r="C88" s="137"/>
      <c r="D88" s="137"/>
      <c r="N88" s="33"/>
    </row>
    <row r="89" spans="1:14" x14ac:dyDescent="0.5">
      <c r="A89" s="137"/>
      <c r="B89" s="137"/>
      <c r="C89" s="137"/>
      <c r="D89" s="137"/>
      <c r="N89" s="33"/>
    </row>
    <row r="90" spans="1:14" x14ac:dyDescent="0.5">
      <c r="A90" s="137"/>
      <c r="B90" s="137"/>
      <c r="C90" s="137"/>
      <c r="D90" s="137"/>
      <c r="N90" s="33"/>
    </row>
    <row r="91" spans="1:14" x14ac:dyDescent="0.5">
      <c r="A91" s="137"/>
      <c r="B91" s="137"/>
      <c r="C91" s="137"/>
      <c r="D91" s="137"/>
      <c r="N91" s="33"/>
    </row>
    <row r="92" spans="1:14" x14ac:dyDescent="0.5">
      <c r="A92" s="137"/>
      <c r="B92" s="137"/>
      <c r="C92" s="137"/>
      <c r="D92" s="137"/>
      <c r="N92" s="33"/>
    </row>
    <row r="93" spans="1:14" x14ac:dyDescent="0.5">
      <c r="A93" s="137"/>
      <c r="B93" s="137"/>
      <c r="C93" s="137"/>
      <c r="D93" s="137"/>
      <c r="N93" s="33"/>
    </row>
    <row r="94" spans="1:14" x14ac:dyDescent="0.5">
      <c r="A94" s="137"/>
      <c r="B94" s="137"/>
      <c r="C94" s="137"/>
      <c r="D94" s="137"/>
      <c r="N94" s="33"/>
    </row>
    <row r="95" spans="1:14" x14ac:dyDescent="0.5">
      <c r="A95" s="137"/>
      <c r="B95" s="137"/>
      <c r="C95" s="137"/>
      <c r="D95" s="137"/>
      <c r="N95" s="33"/>
    </row>
    <row r="96" spans="1:14" x14ac:dyDescent="0.5">
      <c r="A96" s="137"/>
      <c r="B96" s="137"/>
      <c r="C96" s="137"/>
      <c r="D96" s="137"/>
      <c r="N96" s="33"/>
    </row>
    <row r="97" spans="1:14" x14ac:dyDescent="0.5">
      <c r="A97" s="137"/>
      <c r="B97" s="137"/>
      <c r="C97" s="137"/>
      <c r="D97" s="137"/>
      <c r="N97" s="33"/>
    </row>
    <row r="98" spans="1:14" x14ac:dyDescent="0.5">
      <c r="A98" s="137"/>
      <c r="B98" s="137"/>
      <c r="C98" s="137"/>
      <c r="D98" s="137"/>
      <c r="N98" s="33"/>
    </row>
    <row r="99" spans="1:14" x14ac:dyDescent="0.5">
      <c r="A99" s="137"/>
      <c r="B99" s="137"/>
      <c r="C99" s="137"/>
      <c r="D99" s="137"/>
      <c r="N99" s="33"/>
    </row>
    <row r="100" spans="1:14" x14ac:dyDescent="0.5">
      <c r="A100" s="137"/>
      <c r="B100" s="137"/>
      <c r="C100" s="137"/>
      <c r="D100" s="137"/>
      <c r="N100" s="33"/>
    </row>
    <row r="101" spans="1:14" x14ac:dyDescent="0.5">
      <c r="A101" s="137"/>
      <c r="B101" s="137"/>
      <c r="C101" s="137"/>
      <c r="D101" s="137"/>
      <c r="N101" s="33"/>
    </row>
    <row r="102" spans="1:14" x14ac:dyDescent="0.5">
      <c r="A102" s="137"/>
      <c r="B102" s="137"/>
      <c r="C102" s="137"/>
      <c r="D102" s="137"/>
      <c r="N102" s="33"/>
    </row>
    <row r="103" spans="1:14" x14ac:dyDescent="0.5">
      <c r="A103" s="137"/>
      <c r="B103" s="137"/>
      <c r="C103" s="137"/>
      <c r="D103" s="137"/>
      <c r="N103" s="33"/>
    </row>
    <row r="104" spans="1:14" x14ac:dyDescent="0.5">
      <c r="A104" s="137"/>
      <c r="B104" s="137"/>
      <c r="C104" s="137"/>
      <c r="D104" s="137"/>
      <c r="N104" s="33"/>
    </row>
    <row r="105" spans="1:14" x14ac:dyDescent="0.5">
      <c r="A105" s="137"/>
      <c r="B105" s="137"/>
      <c r="C105" s="137"/>
      <c r="D105" s="137"/>
      <c r="N105" s="33"/>
    </row>
    <row r="106" spans="1:14" x14ac:dyDescent="0.5">
      <c r="A106" s="137"/>
      <c r="B106" s="137"/>
      <c r="C106" s="137"/>
      <c r="D106" s="137"/>
      <c r="N106" s="33"/>
    </row>
    <row r="107" spans="1:14" x14ac:dyDescent="0.5">
      <c r="A107" s="137"/>
      <c r="B107" s="137"/>
      <c r="C107" s="137"/>
      <c r="D107" s="137"/>
      <c r="N107" s="33"/>
    </row>
    <row r="108" spans="1:14" x14ac:dyDescent="0.5">
      <c r="A108" s="137"/>
      <c r="B108" s="137"/>
      <c r="C108" s="137"/>
      <c r="D108" s="137"/>
      <c r="N108" s="33"/>
    </row>
    <row r="109" spans="1:14" x14ac:dyDescent="0.5">
      <c r="A109" s="137"/>
      <c r="B109" s="137"/>
      <c r="C109" s="137"/>
      <c r="D109" s="137"/>
      <c r="N109" s="33"/>
    </row>
    <row r="110" spans="1:14" x14ac:dyDescent="0.5">
      <c r="A110" s="137"/>
      <c r="B110" s="137"/>
      <c r="C110" s="137"/>
      <c r="D110" s="137"/>
      <c r="N110" s="33"/>
    </row>
    <row r="111" spans="1:14" x14ac:dyDescent="0.5">
      <c r="A111" s="137"/>
      <c r="B111" s="137"/>
      <c r="C111" s="137"/>
      <c r="D111" s="137"/>
      <c r="N111" s="33"/>
    </row>
    <row r="112" spans="1:14" x14ac:dyDescent="0.5">
      <c r="A112" s="137"/>
      <c r="B112" s="137"/>
      <c r="C112" s="137"/>
      <c r="D112" s="137"/>
      <c r="N112" s="33"/>
    </row>
    <row r="113" spans="1:14" x14ac:dyDescent="0.5">
      <c r="A113" s="137"/>
      <c r="B113" s="137"/>
      <c r="C113" s="137"/>
      <c r="D113" s="137"/>
      <c r="N113" s="33"/>
    </row>
    <row r="114" spans="1:14" x14ac:dyDescent="0.5">
      <c r="A114" s="137"/>
      <c r="B114" s="137"/>
      <c r="C114" s="137"/>
      <c r="D114" s="137"/>
      <c r="N114" s="33"/>
    </row>
    <row r="115" spans="1:14" x14ac:dyDescent="0.5">
      <c r="A115" s="137"/>
      <c r="B115" s="137"/>
      <c r="C115" s="137"/>
      <c r="D115" s="137"/>
      <c r="N115" s="33"/>
    </row>
    <row r="116" spans="1:14" x14ac:dyDescent="0.5">
      <c r="A116" s="137"/>
      <c r="B116" s="137"/>
      <c r="C116" s="137"/>
      <c r="D116" s="137"/>
      <c r="N116" s="33"/>
    </row>
    <row r="117" spans="1:14" x14ac:dyDescent="0.5">
      <c r="A117" s="137"/>
      <c r="B117" s="137"/>
      <c r="C117" s="137"/>
      <c r="D117" s="137"/>
      <c r="N117" s="33"/>
    </row>
    <row r="118" spans="1:14" x14ac:dyDescent="0.5">
      <c r="A118" s="137"/>
      <c r="B118" s="137"/>
      <c r="C118" s="137"/>
      <c r="D118" s="137"/>
      <c r="N118" s="33"/>
    </row>
    <row r="119" spans="1:14" x14ac:dyDescent="0.5">
      <c r="A119" s="137"/>
      <c r="B119" s="137"/>
      <c r="C119" s="137"/>
      <c r="D119" s="137"/>
      <c r="N119" s="33"/>
    </row>
    <row r="120" spans="1:14" x14ac:dyDescent="0.5">
      <c r="A120" s="137"/>
      <c r="B120" s="137"/>
      <c r="C120" s="137"/>
      <c r="D120" s="137"/>
      <c r="N120" s="33"/>
    </row>
    <row r="121" spans="1:14" x14ac:dyDescent="0.5">
      <c r="A121" s="137"/>
      <c r="B121" s="137"/>
      <c r="C121" s="137"/>
      <c r="D121" s="137"/>
      <c r="N121" s="33"/>
    </row>
    <row r="122" spans="1:14" x14ac:dyDescent="0.5">
      <c r="A122" s="137"/>
      <c r="B122" s="137"/>
      <c r="C122" s="137"/>
      <c r="D122" s="137"/>
      <c r="N122" s="33"/>
    </row>
    <row r="123" spans="1:14" x14ac:dyDescent="0.5">
      <c r="A123" s="137"/>
      <c r="B123" s="137"/>
      <c r="C123" s="137"/>
      <c r="D123" s="137"/>
      <c r="N123" s="33"/>
    </row>
    <row r="124" spans="1:14" x14ac:dyDescent="0.5">
      <c r="A124" s="137"/>
      <c r="B124" s="137"/>
      <c r="C124" s="137"/>
      <c r="D124" s="137"/>
      <c r="N124" s="33"/>
    </row>
    <row r="125" spans="1:14" x14ac:dyDescent="0.5">
      <c r="A125" s="137"/>
      <c r="B125" s="137"/>
      <c r="C125" s="137"/>
      <c r="D125" s="137"/>
      <c r="N125" s="33"/>
    </row>
    <row r="126" spans="1:14" x14ac:dyDescent="0.5">
      <c r="A126" s="137"/>
      <c r="B126" s="137"/>
      <c r="C126" s="137"/>
      <c r="D126" s="137"/>
      <c r="N126" s="33"/>
    </row>
    <row r="127" spans="1:14" x14ac:dyDescent="0.5">
      <c r="A127" s="137"/>
      <c r="B127" s="137"/>
      <c r="C127" s="137"/>
      <c r="D127" s="137"/>
      <c r="N127" s="33"/>
    </row>
    <row r="128" spans="1:14" x14ac:dyDescent="0.5">
      <c r="A128" s="137"/>
      <c r="B128" s="137"/>
      <c r="C128" s="137"/>
      <c r="D128" s="137"/>
      <c r="N128" s="33"/>
    </row>
    <row r="129" spans="1:14" x14ac:dyDescent="0.5">
      <c r="A129" s="137"/>
      <c r="B129" s="137"/>
      <c r="C129" s="137"/>
      <c r="D129" s="137"/>
      <c r="N129" s="33"/>
    </row>
    <row r="130" spans="1:14" x14ac:dyDescent="0.5">
      <c r="A130" s="137"/>
      <c r="B130" s="137"/>
      <c r="C130" s="137"/>
      <c r="D130" s="137"/>
      <c r="N130" s="33"/>
    </row>
    <row r="131" spans="1:14" x14ac:dyDescent="0.5">
      <c r="A131" s="137"/>
      <c r="B131" s="137"/>
      <c r="C131" s="137"/>
      <c r="D131" s="137"/>
      <c r="N131" s="33"/>
    </row>
    <row r="132" spans="1:14" x14ac:dyDescent="0.5">
      <c r="A132" s="137"/>
      <c r="B132" s="137"/>
      <c r="C132" s="137"/>
      <c r="D132" s="137"/>
      <c r="N132" s="33"/>
    </row>
    <row r="133" spans="1:14" x14ac:dyDescent="0.5">
      <c r="A133" s="137"/>
      <c r="B133" s="137"/>
      <c r="C133" s="137"/>
      <c r="D133" s="137"/>
      <c r="N133" s="33"/>
    </row>
    <row r="134" spans="1:14" x14ac:dyDescent="0.5">
      <c r="A134" s="137"/>
      <c r="B134" s="137"/>
      <c r="C134" s="137"/>
      <c r="D134" s="137"/>
      <c r="N134" s="33"/>
    </row>
    <row r="135" spans="1:14" x14ac:dyDescent="0.5">
      <c r="A135" s="137"/>
      <c r="B135" s="137"/>
      <c r="C135" s="137"/>
      <c r="D135" s="137"/>
      <c r="N135" s="33"/>
    </row>
    <row r="136" spans="1:14" x14ac:dyDescent="0.5">
      <c r="A136" s="137"/>
      <c r="B136" s="137"/>
      <c r="C136" s="137"/>
      <c r="D136" s="137"/>
      <c r="N136" s="33"/>
    </row>
    <row r="137" spans="1:14" x14ac:dyDescent="0.5">
      <c r="A137" s="137"/>
      <c r="B137" s="137"/>
      <c r="C137" s="137"/>
      <c r="D137" s="137"/>
      <c r="N137" s="33"/>
    </row>
    <row r="138" spans="1:14" x14ac:dyDescent="0.5">
      <c r="A138" s="137"/>
      <c r="B138" s="137"/>
      <c r="C138" s="137"/>
      <c r="D138" s="137"/>
      <c r="N138" s="33"/>
    </row>
    <row r="139" spans="1:14" x14ac:dyDescent="0.5">
      <c r="A139" s="137"/>
      <c r="B139" s="137"/>
      <c r="C139" s="137"/>
      <c r="D139" s="137"/>
      <c r="N139" s="33"/>
    </row>
    <row r="140" spans="1:14" x14ac:dyDescent="0.5">
      <c r="A140" s="137"/>
      <c r="B140" s="137"/>
      <c r="C140" s="137"/>
      <c r="D140" s="137"/>
      <c r="N140" s="33"/>
    </row>
    <row r="141" spans="1:14" x14ac:dyDescent="0.5">
      <c r="A141" s="137"/>
      <c r="B141" s="137"/>
      <c r="C141" s="137"/>
      <c r="D141" s="137"/>
      <c r="N141" s="33"/>
    </row>
    <row r="142" spans="1:14" x14ac:dyDescent="0.5">
      <c r="A142" s="137"/>
      <c r="B142" s="137"/>
      <c r="C142" s="137"/>
      <c r="D142" s="137"/>
      <c r="N142" s="33"/>
    </row>
    <row r="143" spans="1:14" x14ac:dyDescent="0.5">
      <c r="A143" s="137"/>
      <c r="B143" s="137"/>
      <c r="C143" s="137"/>
      <c r="D143" s="137"/>
      <c r="N143" s="33"/>
    </row>
    <row r="144" spans="1:14" x14ac:dyDescent="0.5">
      <c r="A144" s="137"/>
      <c r="B144" s="137"/>
      <c r="C144" s="137"/>
      <c r="D144" s="137"/>
      <c r="N144" s="33"/>
    </row>
    <row r="145" spans="1:14" x14ac:dyDescent="0.5">
      <c r="A145" s="137"/>
      <c r="B145" s="137"/>
      <c r="C145" s="137"/>
      <c r="D145" s="137"/>
      <c r="N145" s="33"/>
    </row>
    <row r="146" spans="1:14" x14ac:dyDescent="0.5">
      <c r="A146" s="137"/>
      <c r="B146" s="137"/>
      <c r="C146" s="137"/>
      <c r="D146" s="137"/>
      <c r="N146" s="33"/>
    </row>
    <row r="147" spans="1:14" x14ac:dyDescent="0.5">
      <c r="A147" s="137"/>
      <c r="B147" s="137"/>
      <c r="C147" s="137"/>
      <c r="D147" s="137"/>
      <c r="N147" s="33"/>
    </row>
    <row r="148" spans="1:14" x14ac:dyDescent="0.5">
      <c r="A148" s="137"/>
      <c r="B148" s="137"/>
      <c r="C148" s="137"/>
      <c r="D148" s="137"/>
      <c r="N148" s="33"/>
    </row>
    <row r="149" spans="1:14" x14ac:dyDescent="0.5">
      <c r="A149" s="137"/>
      <c r="B149" s="137"/>
      <c r="C149" s="137"/>
      <c r="D149" s="137"/>
      <c r="N149" s="33"/>
    </row>
    <row r="150" spans="1:14" x14ac:dyDescent="0.5">
      <c r="A150" s="137"/>
      <c r="B150" s="137"/>
      <c r="C150" s="137"/>
      <c r="D150" s="137"/>
      <c r="N150" s="33"/>
    </row>
    <row r="151" spans="1:14" x14ac:dyDescent="0.5">
      <c r="A151" s="137"/>
      <c r="B151" s="137"/>
      <c r="C151" s="137"/>
      <c r="D151" s="137"/>
      <c r="N151" s="33"/>
    </row>
    <row r="152" spans="1:14" x14ac:dyDescent="0.5">
      <c r="A152" s="137"/>
      <c r="B152" s="137"/>
      <c r="C152" s="137"/>
      <c r="D152" s="137"/>
      <c r="N152" s="33"/>
    </row>
    <row r="153" spans="1:14" x14ac:dyDescent="0.5">
      <c r="A153" s="137"/>
      <c r="B153" s="137"/>
      <c r="C153" s="137"/>
      <c r="D153" s="137"/>
      <c r="N153" s="33"/>
    </row>
    <row r="154" spans="1:14" x14ac:dyDescent="0.5">
      <c r="A154" s="137"/>
      <c r="B154" s="137"/>
      <c r="C154" s="137"/>
      <c r="D154" s="137"/>
      <c r="N154" s="33"/>
    </row>
    <row r="155" spans="1:14" x14ac:dyDescent="0.5">
      <c r="A155" s="137"/>
      <c r="B155" s="137"/>
      <c r="C155" s="137"/>
      <c r="D155" s="137"/>
      <c r="N155" s="33"/>
    </row>
    <row r="156" spans="1:14" x14ac:dyDescent="0.5">
      <c r="N156" s="33"/>
    </row>
    <row r="157" spans="1:14" x14ac:dyDescent="0.5">
      <c r="N157" s="33"/>
    </row>
    <row r="158" spans="1:14" x14ac:dyDescent="0.5">
      <c r="N158" s="33"/>
    </row>
    <row r="159" spans="1:14" x14ac:dyDescent="0.5">
      <c r="N159" s="33"/>
    </row>
    <row r="160" spans="1:14" x14ac:dyDescent="0.5">
      <c r="N160" s="33"/>
    </row>
    <row r="161" spans="14:14" x14ac:dyDescent="0.5">
      <c r="N161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38"/>
  <sheetViews>
    <sheetView topLeftCell="A2" zoomScale="80" zoomScaleNormal="80" workbookViewId="0">
      <selection activeCell="B4" sqref="B4"/>
    </sheetView>
  </sheetViews>
  <sheetFormatPr defaultRowHeight="15.75" x14ac:dyDescent="0.5"/>
  <cols>
    <col min="1" max="1" width="24" style="2" customWidth="1"/>
    <col min="2" max="5" width="16.75" style="2" bestFit="1" customWidth="1"/>
    <col min="6" max="6" width="17.375" style="2" bestFit="1" customWidth="1"/>
    <col min="7" max="8" width="16.125" style="2" bestFit="1" customWidth="1"/>
    <col min="9" max="9" width="35.5" style="2" customWidth="1"/>
    <col min="10" max="13" width="16.125" style="2" bestFit="1" customWidth="1"/>
    <col min="14" max="16384" width="9" style="2"/>
  </cols>
  <sheetData>
    <row r="2" spans="1:14" x14ac:dyDescent="0.5">
      <c r="A2" s="1"/>
      <c r="B2"/>
      <c r="C2"/>
      <c r="D2"/>
      <c r="E2"/>
      <c r="F2"/>
    </row>
    <row r="3" spans="1:14" x14ac:dyDescent="0.5">
      <c r="A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/>
      <c r="H3" t="s">
        <v>5</v>
      </c>
      <c r="I3" s="4"/>
      <c r="J3" s="4"/>
      <c r="K3" s="4"/>
      <c r="L3" s="4"/>
      <c r="M3" s="4"/>
    </row>
    <row r="4" spans="1:14" x14ac:dyDescent="0.5">
      <c r="A4" s="3" t="s">
        <v>6</v>
      </c>
      <c r="B4" s="17">
        <f>SUM(PNL!B30,PNL!C30,PNL!D30,PNL!B27,PNL!C27,PNL!D27)</f>
        <v>19562816</v>
      </c>
      <c r="C4" s="17">
        <f>SUM(PNL!E30,PNL!F30,PNL!G30,PNL!E27,PNL!F27,PNL!G27)</f>
        <v>30677629.801727999</v>
      </c>
      <c r="D4" s="17">
        <f>SUM(PNL!H27,PNL!I27,PNL!J27,PNL!H30,PNL!I30,PNL!J30)</f>
        <v>47264367.766632162</v>
      </c>
      <c r="E4" s="17">
        <f>SUM(PNL!K27,PNL!L27,PNL!M27,PNL!K30,PNL!L30,PNL!M30)</f>
        <v>58403759.748892196</v>
      </c>
      <c r="F4" s="18">
        <f>SUM(B4:E4)</f>
        <v>155908573.31725234</v>
      </c>
      <c r="G4" s="4" t="s">
        <v>7</v>
      </c>
      <c r="H4" s="133" t="s">
        <v>8</v>
      </c>
      <c r="I4" s="133"/>
      <c r="J4" s="133"/>
      <c r="K4" s="133"/>
      <c r="L4" s="133"/>
      <c r="M4" s="4"/>
    </row>
    <row r="5" spans="1:14" x14ac:dyDescent="0.5">
      <c r="A5" s="3" t="s">
        <v>9</v>
      </c>
      <c r="B5" s="17">
        <f>SUM(PNL!C28,PNL!B28,PNL!D28,PNL!B31,PNL!C31,PNL!D31)</f>
        <v>1497600</v>
      </c>
      <c r="C5" s="101">
        <f>SUM(PNL!E28,PNL!F28,PNL!G28,PNL!E31,PNL!F31,PNL!G31)</f>
        <v>2371200</v>
      </c>
      <c r="D5" s="101">
        <f>SUM(PNL!H28,PNL!I28,PNL!J28,PNL!H31,PNL!I32,PNL!I31,PNL!J31)</f>
        <v>3681600</v>
      </c>
      <c r="E5" s="101">
        <f>SUM(PNL!K28,PNL!L28,PNL!M28,PNL!K31,PNL!L31,PNL!M31)</f>
        <v>4555200</v>
      </c>
      <c r="F5" s="18">
        <f>SUM(B5:E5)</f>
        <v>12105600</v>
      </c>
      <c r="G5" s="4"/>
      <c r="H5" s="133"/>
      <c r="I5" s="133"/>
      <c r="J5" s="133"/>
      <c r="K5" s="133"/>
      <c r="L5" s="133"/>
      <c r="M5" s="4"/>
    </row>
    <row r="6" spans="1:14" x14ac:dyDescent="0.5">
      <c r="A6" s="3" t="s">
        <v>10</v>
      </c>
      <c r="B6" s="19">
        <f>B5/B4</f>
        <v>7.6553395993705614E-2</v>
      </c>
      <c r="C6" s="19">
        <f t="shared" ref="C6:F6" si="0">C5/C4</f>
        <v>7.7294106986923614E-2</v>
      </c>
      <c r="D6" s="19">
        <f t="shared" si="0"/>
        <v>7.7893774400578084E-2</v>
      </c>
      <c r="E6" s="19">
        <f t="shared" si="0"/>
        <v>7.7994978740840451E-2</v>
      </c>
      <c r="F6" s="19">
        <f t="shared" si="0"/>
        <v>7.7645505583370203E-2</v>
      </c>
      <c r="G6" s="4"/>
      <c r="H6"/>
      <c r="I6" s="4"/>
      <c r="J6" s="4"/>
      <c r="K6" s="4"/>
      <c r="L6" s="4"/>
      <c r="M6" s="4"/>
    </row>
    <row r="7" spans="1:14" x14ac:dyDescent="0.5">
      <c r="A7" s="3" t="s">
        <v>11</v>
      </c>
      <c r="B7" s="20"/>
      <c r="C7" s="20"/>
      <c r="D7" s="20"/>
      <c r="E7" s="20"/>
      <c r="F7" s="20"/>
      <c r="G7" s="4"/>
      <c r="H7" t="s">
        <v>12</v>
      </c>
      <c r="I7" s="4"/>
      <c r="J7" s="134" t="s">
        <v>13</v>
      </c>
      <c r="K7" s="134"/>
      <c r="L7" s="134"/>
      <c r="M7" s="134"/>
    </row>
    <row r="8" spans="1:14" x14ac:dyDescent="0.5">
      <c r="A8" s="3" t="s">
        <v>10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5"/>
      <c r="H8" t="s">
        <v>14</v>
      </c>
      <c r="I8" s="4"/>
      <c r="J8" s="134"/>
      <c r="K8" s="134"/>
      <c r="L8" s="134"/>
      <c r="M8" s="134"/>
      <c r="N8" s="6"/>
    </row>
    <row r="9" spans="1:14" x14ac:dyDescent="0.5">
      <c r="A9" s="3" t="s">
        <v>15</v>
      </c>
      <c r="B9" s="17">
        <f>SUM(PNL!B56:D56)</f>
        <v>2518200</v>
      </c>
      <c r="C9" s="17">
        <f>SUM(PNL!E56:G56)</f>
        <v>2809700</v>
      </c>
      <c r="D9" s="17">
        <f>SUM(PNL!H56:J56)</f>
        <v>3348500</v>
      </c>
      <c r="E9" s="17">
        <f>SUM(PNL!K56:M56)</f>
        <v>3480600</v>
      </c>
      <c r="F9" s="22">
        <f>SUM(B9:E9)</f>
        <v>12157000</v>
      </c>
      <c r="G9" s="5"/>
      <c r="H9"/>
      <c r="I9" s="5"/>
      <c r="J9" s="5"/>
      <c r="K9" s="5"/>
      <c r="L9" s="5"/>
      <c r="M9" s="5"/>
      <c r="N9" s="6"/>
    </row>
    <row r="10" spans="1:14" x14ac:dyDescent="0.5">
      <c r="A10" s="3" t="s">
        <v>10</v>
      </c>
      <c r="B10" s="21">
        <f>B9/B4</f>
        <v>0.1287237992730699</v>
      </c>
      <c r="C10" s="21">
        <f t="shared" ref="C10:F10" si="1">C9/C4</f>
        <v>9.1587910088208185E-2</v>
      </c>
      <c r="D10" s="21">
        <f t="shared" si="1"/>
        <v>7.0846181980751766E-2</v>
      </c>
      <c r="E10" s="21">
        <f t="shared" si="1"/>
        <v>5.9595478355586859E-2</v>
      </c>
      <c r="F10" s="26">
        <f t="shared" si="1"/>
        <v>7.7975185978144956E-2</v>
      </c>
      <c r="G10" s="5"/>
      <c r="H10" t="s">
        <v>16</v>
      </c>
      <c r="I10" s="5"/>
      <c r="J10" s="5"/>
      <c r="K10" s="5"/>
      <c r="L10" s="5"/>
      <c r="M10" s="5"/>
      <c r="N10" s="6"/>
    </row>
    <row r="11" spans="1:14" x14ac:dyDescent="0.5">
      <c r="A11" s="3" t="s">
        <v>17</v>
      </c>
      <c r="B11" s="11">
        <v>18</v>
      </c>
      <c r="C11" s="11">
        <v>25</v>
      </c>
      <c r="D11" s="11">
        <v>29</v>
      </c>
      <c r="E11" s="11">
        <v>31</v>
      </c>
      <c r="F11" s="11">
        <v>31</v>
      </c>
      <c r="H11" s="7" t="s">
        <v>18</v>
      </c>
      <c r="I11" s="8"/>
      <c r="J11" s="5"/>
      <c r="K11" s="5"/>
      <c r="L11" s="5"/>
      <c r="M11" s="5"/>
      <c r="N11" s="6"/>
    </row>
    <row r="12" spans="1:14" x14ac:dyDescent="0.5">
      <c r="A12" s="9" t="s">
        <v>19</v>
      </c>
      <c r="B12" s="25">
        <v>2</v>
      </c>
      <c r="C12" s="25">
        <v>3</v>
      </c>
      <c r="D12" s="25">
        <v>3</v>
      </c>
      <c r="E12" s="25">
        <v>3</v>
      </c>
      <c r="F12" s="11"/>
      <c r="G12" s="5"/>
      <c r="H12" s="135" t="s">
        <v>20</v>
      </c>
      <c r="I12" s="135"/>
      <c r="J12" s="5"/>
      <c r="K12" s="5"/>
      <c r="L12" s="5"/>
      <c r="M12" s="5"/>
      <c r="N12" s="6"/>
    </row>
    <row r="13" spans="1:14" x14ac:dyDescent="0.5">
      <c r="A13" s="9" t="s">
        <v>21</v>
      </c>
      <c r="B13" s="25">
        <v>3</v>
      </c>
      <c r="C13" s="25">
        <v>7</v>
      </c>
      <c r="D13" s="25">
        <v>9</v>
      </c>
      <c r="E13" s="25">
        <v>11</v>
      </c>
      <c r="F13" s="11"/>
      <c r="G13" s="5"/>
      <c r="H13" s="5"/>
      <c r="I13" s="5"/>
      <c r="J13" s="5"/>
      <c r="K13" s="5"/>
      <c r="L13" s="5"/>
      <c r="M13" s="5"/>
      <c r="N13" s="6"/>
    </row>
    <row r="14" spans="1:14" x14ac:dyDescent="0.5">
      <c r="A14" s="9" t="s">
        <v>22</v>
      </c>
      <c r="B14" s="25">
        <v>10</v>
      </c>
      <c r="C14" s="25">
        <v>12</v>
      </c>
      <c r="D14" s="25">
        <v>13</v>
      </c>
      <c r="E14" s="25">
        <v>13</v>
      </c>
      <c r="F14" s="11"/>
      <c r="G14" s="5"/>
      <c r="H14" s="10" t="s">
        <v>23</v>
      </c>
      <c r="I14" s="11" t="s">
        <v>24</v>
      </c>
      <c r="J14" s="5"/>
      <c r="K14" s="5"/>
      <c r="L14" s="5"/>
      <c r="M14" s="5"/>
      <c r="N14" s="6"/>
    </row>
    <row r="15" spans="1:14" x14ac:dyDescent="0.5">
      <c r="A15" s="9" t="s">
        <v>25</v>
      </c>
      <c r="B15" s="25">
        <v>1</v>
      </c>
      <c r="C15" s="25">
        <v>1</v>
      </c>
      <c r="D15" s="25">
        <v>1</v>
      </c>
      <c r="E15" s="25">
        <v>1</v>
      </c>
      <c r="F15" s="11"/>
      <c r="G15" s="5"/>
      <c r="H15" s="12" t="s">
        <v>26</v>
      </c>
      <c r="I15">
        <v>75000</v>
      </c>
      <c r="J15" s="5"/>
      <c r="K15" s="5"/>
      <c r="L15" s="5"/>
      <c r="M15" s="5"/>
      <c r="N15" s="6"/>
    </row>
    <row r="16" spans="1:14" x14ac:dyDescent="0.5">
      <c r="A16" s="9" t="s">
        <v>27</v>
      </c>
      <c r="B16" s="25">
        <v>2</v>
      </c>
      <c r="C16" s="25">
        <v>2</v>
      </c>
      <c r="D16" s="25">
        <v>3</v>
      </c>
      <c r="E16" s="25">
        <v>3</v>
      </c>
      <c r="F16" s="11" t="s">
        <v>28</v>
      </c>
      <c r="G16" s="5"/>
      <c r="H16" s="12" t="s">
        <v>29</v>
      </c>
      <c r="I16">
        <v>100000</v>
      </c>
      <c r="J16" s="5"/>
      <c r="K16" s="5"/>
      <c r="L16" s="5"/>
      <c r="M16" s="5"/>
      <c r="N16" s="6"/>
    </row>
    <row r="17" spans="1:14" x14ac:dyDescent="0.5">
      <c r="A17" s="3"/>
      <c r="B17" s="11"/>
      <c r="C17" s="11"/>
      <c r="D17" s="11"/>
      <c r="E17" s="11"/>
      <c r="F17" s="11"/>
      <c r="G17" s="5"/>
      <c r="H17" s="12" t="s">
        <v>30</v>
      </c>
      <c r="I17">
        <v>50000</v>
      </c>
      <c r="J17" s="5"/>
      <c r="K17" s="5"/>
      <c r="L17" s="5"/>
      <c r="M17" s="5"/>
      <c r="N17" s="6"/>
    </row>
    <row r="18" spans="1:14" x14ac:dyDescent="0.5">
      <c r="A18" s="3" t="s">
        <v>31</v>
      </c>
      <c r="B18" s="23">
        <f>B5-B9</f>
        <v>-1020600</v>
      </c>
      <c r="C18" s="23">
        <f t="shared" ref="C18:E18" si="2">C5-C9</f>
        <v>-438500</v>
      </c>
      <c r="D18" s="23">
        <f t="shared" si="2"/>
        <v>333100</v>
      </c>
      <c r="E18" s="23">
        <f t="shared" si="2"/>
        <v>1074600</v>
      </c>
      <c r="F18" s="23">
        <f>SUM(B18:E18)</f>
        <v>-51400</v>
      </c>
      <c r="G18" s="5"/>
      <c r="H18" s="12" t="s">
        <v>32</v>
      </c>
      <c r="I18">
        <v>35000</v>
      </c>
      <c r="J18" s="5"/>
      <c r="K18" s="5"/>
      <c r="L18" s="5"/>
      <c r="M18" s="5"/>
      <c r="N18" s="6"/>
    </row>
    <row r="19" spans="1:14" x14ac:dyDescent="0.5">
      <c r="A19" s="3" t="s">
        <v>10</v>
      </c>
      <c r="B19" s="19">
        <f>B18/B4</f>
        <v>-5.2170403279364279E-2</v>
      </c>
      <c r="C19" s="19">
        <f t="shared" ref="C19:F19" si="3">C18/C4</f>
        <v>-1.4293803101284582E-2</v>
      </c>
      <c r="D19" s="19">
        <f t="shared" si="3"/>
        <v>7.0475924198263144E-3</v>
      </c>
      <c r="E19" s="19">
        <f t="shared" si="3"/>
        <v>1.8399500385253589E-2</v>
      </c>
      <c r="F19" s="19">
        <f t="shared" si="3"/>
        <v>-3.2968039477475125E-4</v>
      </c>
      <c r="G19" s="5"/>
      <c r="H19" s="12" t="s">
        <v>33</v>
      </c>
      <c r="I19">
        <v>35000</v>
      </c>
      <c r="J19" s="5"/>
      <c r="K19" s="5"/>
      <c r="L19" s="5"/>
      <c r="M19" s="5"/>
      <c r="N19" s="6"/>
    </row>
    <row r="20" spans="1:14" x14ac:dyDescent="0.5">
      <c r="A20" s="3" t="s">
        <v>34</v>
      </c>
      <c r="B20" s="17">
        <f>B9</f>
        <v>2518200</v>
      </c>
      <c r="C20" s="17">
        <f t="shared" ref="C20:E20" si="4">C9</f>
        <v>2809700</v>
      </c>
      <c r="D20" s="17">
        <f t="shared" si="4"/>
        <v>3348500</v>
      </c>
      <c r="E20" s="17">
        <f t="shared" si="4"/>
        <v>3480600</v>
      </c>
      <c r="F20" s="18">
        <f>F9</f>
        <v>12157000</v>
      </c>
      <c r="G20" s="5"/>
      <c r="H20" s="12" t="s">
        <v>35</v>
      </c>
      <c r="I20">
        <v>30000</v>
      </c>
      <c r="J20" s="5"/>
      <c r="K20" s="5"/>
      <c r="L20" s="5"/>
      <c r="M20" s="5"/>
      <c r="N20" s="6"/>
    </row>
    <row r="21" spans="1:14" x14ac:dyDescent="0.5">
      <c r="A21" s="3" t="s">
        <v>36</v>
      </c>
      <c r="B21" s="24"/>
      <c r="C21" s="24"/>
      <c r="D21" s="24"/>
      <c r="E21" s="24"/>
      <c r="F21" s="14">
        <v>500000</v>
      </c>
      <c r="G21" s="5"/>
      <c r="H21" s="13" t="s">
        <v>37</v>
      </c>
      <c r="I21">
        <v>100000</v>
      </c>
      <c r="J21" s="5"/>
      <c r="K21" s="5"/>
      <c r="L21" s="5"/>
      <c r="M21" s="5"/>
      <c r="N21" s="6"/>
    </row>
    <row r="22" spans="1:14" ht="21" x14ac:dyDescent="0.65">
      <c r="A22" s="3" t="s">
        <v>38</v>
      </c>
      <c r="B22" s="1"/>
      <c r="C22" s="1"/>
      <c r="D22" s="1"/>
      <c r="E22" s="1"/>
      <c r="F22" s="27">
        <f>SUM(F20:F21)</f>
        <v>12657000</v>
      </c>
      <c r="G22" s="5"/>
      <c r="H22" s="12" t="s">
        <v>39</v>
      </c>
      <c r="I22">
        <v>18000</v>
      </c>
      <c r="J22" s="5"/>
      <c r="K22" s="5"/>
      <c r="L22" s="5"/>
      <c r="M22" s="5"/>
      <c r="N22" s="6"/>
    </row>
    <row r="23" spans="1:14" x14ac:dyDescent="0.5">
      <c r="A23" s="15"/>
      <c r="B23" s="5"/>
      <c r="C23" s="5"/>
      <c r="D23" s="5"/>
      <c r="E23" s="5"/>
      <c r="F23" s="5"/>
      <c r="G23" s="5"/>
      <c r="H23" s="12" t="s">
        <v>40</v>
      </c>
      <c r="I23">
        <v>20000</v>
      </c>
      <c r="J23" s="5"/>
      <c r="K23" s="5"/>
      <c r="L23" s="5"/>
      <c r="M23" s="5"/>
      <c r="N23" s="6"/>
    </row>
    <row r="24" spans="1:14" x14ac:dyDescent="0.5">
      <c r="B24" s="28"/>
      <c r="C24" s="5"/>
      <c r="D24" s="5"/>
      <c r="E24" s="5"/>
      <c r="F24" s="5"/>
      <c r="G24" s="5"/>
      <c r="H24" s="12" t="s">
        <v>41</v>
      </c>
      <c r="I24">
        <v>12000</v>
      </c>
      <c r="J24" s="5"/>
      <c r="K24" s="5"/>
      <c r="L24" s="5"/>
      <c r="M24" s="5"/>
      <c r="N24" s="6"/>
    </row>
    <row r="25" spans="1:14" x14ac:dyDescent="0.5">
      <c r="B25" s="5"/>
      <c r="C25" s="5"/>
      <c r="D25" s="5"/>
      <c r="E25" s="5"/>
      <c r="F25" s="5"/>
      <c r="G25" s="5"/>
      <c r="H25" s="13" t="s">
        <v>42</v>
      </c>
      <c r="I25">
        <v>10000</v>
      </c>
      <c r="J25" s="5"/>
      <c r="K25" s="5"/>
      <c r="L25" s="5"/>
      <c r="M25" s="5"/>
      <c r="N25" s="6"/>
    </row>
    <row r="26" spans="1:14" x14ac:dyDescent="0.5">
      <c r="A26" s="15"/>
      <c r="B26" s="3"/>
      <c r="C26" s="3"/>
      <c r="D26" s="3"/>
      <c r="E26" s="3"/>
      <c r="F26" s="5"/>
      <c r="G26" s="5"/>
      <c r="H26" s="12" t="s">
        <v>43</v>
      </c>
      <c r="I26">
        <v>40000</v>
      </c>
      <c r="J26" s="5"/>
      <c r="K26" s="5"/>
      <c r="L26" s="5"/>
      <c r="M26" s="5"/>
    </row>
    <row r="27" spans="1:14" x14ac:dyDescent="0.5">
      <c r="B27" s="17"/>
      <c r="C27" s="101"/>
      <c r="D27" s="101"/>
      <c r="E27" s="101"/>
      <c r="F27" s="4"/>
      <c r="G27" s="4"/>
      <c r="H27" s="12" t="s">
        <v>44</v>
      </c>
      <c r="I27">
        <v>20000</v>
      </c>
      <c r="J27" s="4"/>
      <c r="K27" s="4"/>
      <c r="L27" s="4"/>
      <c r="M27" s="4"/>
    </row>
    <row r="28" spans="1:14" x14ac:dyDescent="0.5">
      <c r="B28" s="3"/>
      <c r="C28" s="3"/>
      <c r="D28" s="3"/>
      <c r="E28" s="3"/>
      <c r="F28" s="4"/>
      <c r="G28" s="4"/>
      <c r="H28" s="12" t="s">
        <v>45</v>
      </c>
      <c r="I28">
        <v>30000</v>
      </c>
      <c r="J28" s="4"/>
      <c r="K28" s="4"/>
      <c r="L28" s="4"/>
      <c r="M28" s="4"/>
    </row>
    <row r="29" spans="1:14" x14ac:dyDescent="0.5">
      <c r="B29" s="4"/>
      <c r="C29" s="4"/>
      <c r="D29" s="4"/>
      <c r="E29" s="4"/>
      <c r="F29" s="4"/>
      <c r="G29" s="4"/>
      <c r="H29" s="12" t="s">
        <v>46</v>
      </c>
      <c r="I29">
        <v>10000</v>
      </c>
      <c r="J29" s="4"/>
      <c r="K29" s="4"/>
      <c r="L29" s="4"/>
      <c r="M29" s="4"/>
    </row>
    <row r="30" spans="1:14" x14ac:dyDescent="0.5">
      <c r="B30" s="4"/>
      <c r="C30" s="4"/>
      <c r="D30" s="4"/>
      <c r="E30" s="4"/>
      <c r="F30" s="4"/>
      <c r="G30" s="4"/>
      <c r="H30" s="12"/>
      <c r="I30"/>
      <c r="J30" s="4"/>
      <c r="K30" s="4"/>
      <c r="L30" s="4"/>
      <c r="M30" s="4"/>
    </row>
    <row r="31" spans="1:14" x14ac:dyDescent="0.5">
      <c r="A31" s="16"/>
      <c r="B31" s="16"/>
      <c r="C31" s="16"/>
      <c r="D31" s="4"/>
      <c r="E31" s="4"/>
      <c r="F31" s="4"/>
      <c r="G31" s="4"/>
      <c r="H31" s="12"/>
      <c r="I31"/>
      <c r="J31" s="4"/>
      <c r="K31" s="4"/>
      <c r="L31" s="4"/>
      <c r="M31" s="4"/>
    </row>
    <row r="32" spans="1:14" x14ac:dyDescent="0.5">
      <c r="A32" s="16"/>
      <c r="B32" s="16"/>
      <c r="C32" s="16"/>
      <c r="D32" s="4"/>
      <c r="E32" s="4"/>
      <c r="F32" s="4"/>
      <c r="G32" s="4"/>
      <c r="H32" s="12"/>
      <c r="I32"/>
      <c r="J32" s="4"/>
      <c r="K32" s="4"/>
      <c r="L32" s="4"/>
      <c r="M32" s="4"/>
    </row>
    <row r="33" spans="1:13" x14ac:dyDescent="0.5">
      <c r="A33" s="16"/>
      <c r="B33" s="16"/>
      <c r="C33" s="16"/>
      <c r="D33" s="4"/>
      <c r="E33" s="4"/>
      <c r="F33" s="4"/>
      <c r="G33" s="4"/>
      <c r="H33" s="12"/>
      <c r="I33"/>
      <c r="J33" s="4"/>
      <c r="K33" s="4"/>
      <c r="L33" s="4"/>
      <c r="M33" s="4"/>
    </row>
    <row r="34" spans="1:13" x14ac:dyDescent="0.5">
      <c r="A34" s="16"/>
      <c r="B34" s="16"/>
      <c r="C34" s="16"/>
      <c r="H34" s="12"/>
      <c r="I34"/>
    </row>
    <row r="35" spans="1:13" x14ac:dyDescent="0.5">
      <c r="A35" s="16"/>
      <c r="B35" s="16"/>
      <c r="C35" s="16"/>
    </row>
    <row r="36" spans="1:13" x14ac:dyDescent="0.5">
      <c r="A36" s="16"/>
      <c r="B36" s="16"/>
      <c r="C36" s="16"/>
    </row>
    <row r="37" spans="1:13" x14ac:dyDescent="0.5">
      <c r="A37" s="16"/>
      <c r="B37" s="16"/>
      <c r="C37" s="16"/>
    </row>
    <row r="38" spans="1:13" x14ac:dyDescent="0.5">
      <c r="A38" s="16"/>
      <c r="B38" s="16"/>
      <c r="C38" s="16"/>
    </row>
  </sheetData>
  <mergeCells count="3">
    <mergeCell ref="H4:L5"/>
    <mergeCell ref="J7:M8"/>
    <mergeCell ref="H12:I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2"/>
  <sheetViews>
    <sheetView zoomScale="80" zoomScaleNormal="80" workbookViewId="0">
      <selection activeCell="E9" sqref="E9:J9"/>
    </sheetView>
  </sheetViews>
  <sheetFormatPr defaultRowHeight="14.25" x14ac:dyDescent="0.45"/>
  <cols>
    <col min="1" max="1" width="13.875" style="29" customWidth="1"/>
    <col min="2" max="2" width="12.5" style="29" customWidth="1"/>
    <col min="3" max="3" width="13.75" style="29" customWidth="1"/>
    <col min="4" max="4" width="19.375" style="29" customWidth="1"/>
    <col min="5" max="11" width="12.5" style="29" bestFit="1" customWidth="1"/>
    <col min="12" max="12" width="12.875" style="29" bestFit="1" customWidth="1"/>
    <col min="13" max="15" width="12.5" style="29" bestFit="1" customWidth="1"/>
    <col min="16" max="16" width="12.875" style="29" bestFit="1" customWidth="1"/>
    <col min="17" max="17" width="14.125" style="29" customWidth="1"/>
    <col min="18" max="18" width="10.875" style="29" bestFit="1" customWidth="1"/>
    <col min="19" max="16384" width="9" style="29"/>
  </cols>
  <sheetData>
    <row r="1" spans="1:18" x14ac:dyDescent="0.45">
      <c r="D1" s="136" t="s">
        <v>47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8" x14ac:dyDescent="0.45">
      <c r="D2" s="136" t="s">
        <v>48</v>
      </c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18" x14ac:dyDescent="0.45">
      <c r="A3" s="109" t="s">
        <v>139</v>
      </c>
      <c r="B3" s="109" t="s">
        <v>140</v>
      </c>
      <c r="C3" s="109" t="s">
        <v>141</v>
      </c>
      <c r="D3" s="104"/>
      <c r="E3" s="109" t="s">
        <v>49</v>
      </c>
      <c r="F3" s="109" t="s">
        <v>50</v>
      </c>
      <c r="G3" s="109" t="s">
        <v>51</v>
      </c>
      <c r="H3" s="109" t="s">
        <v>52</v>
      </c>
      <c r="I3" s="109" t="s">
        <v>53</v>
      </c>
      <c r="J3" s="109" t="s">
        <v>54</v>
      </c>
      <c r="K3" s="109" t="s">
        <v>55</v>
      </c>
      <c r="L3" s="109" t="s">
        <v>56</v>
      </c>
      <c r="M3" s="109" t="s">
        <v>57</v>
      </c>
      <c r="N3" s="109" t="s">
        <v>58</v>
      </c>
      <c r="O3" s="109" t="s">
        <v>59</v>
      </c>
      <c r="P3" s="109" t="s">
        <v>60</v>
      </c>
    </row>
    <row r="4" spans="1:18" x14ac:dyDescent="0.45">
      <c r="A4" s="30">
        <v>419876</v>
      </c>
      <c r="B4" s="30">
        <v>290977</v>
      </c>
      <c r="C4" s="30">
        <v>229751</v>
      </c>
      <c r="D4" s="104" t="s">
        <v>61</v>
      </c>
      <c r="E4" s="112">
        <v>300000</v>
      </c>
      <c r="F4" s="30">
        <f>E26</f>
        <v>1577035.1851851856</v>
      </c>
      <c r="G4" s="30">
        <f t="shared" ref="G4:P4" si="0">F26</f>
        <v>164959.25925926119</v>
      </c>
      <c r="H4" s="30">
        <f t="shared" si="0"/>
        <v>2397419.6296296297</v>
      </c>
      <c r="I4" s="30">
        <f t="shared" si="0"/>
        <v>968881.09629629925</v>
      </c>
      <c r="J4" s="30">
        <f t="shared" si="0"/>
        <v>220519.45896296576</v>
      </c>
      <c r="K4" s="30">
        <f t="shared" si="0"/>
        <v>659950.25554963574</v>
      </c>
      <c r="L4" s="30">
        <f t="shared" si="0"/>
        <v>407436.89029025659</v>
      </c>
      <c r="M4" s="30">
        <f t="shared" si="0"/>
        <v>399330.70217013918</v>
      </c>
      <c r="N4" s="30">
        <f t="shared" si="0"/>
        <v>2663064.2791765016</v>
      </c>
      <c r="O4" s="30">
        <f t="shared" si="0"/>
        <v>614739.67587114498</v>
      </c>
      <c r="P4" s="30">
        <f t="shared" si="0"/>
        <v>1254314.3212404177</v>
      </c>
    </row>
    <row r="5" spans="1:18" x14ac:dyDescent="0.45">
      <c r="A5" s="30"/>
      <c r="B5" s="30"/>
      <c r="C5" s="30"/>
      <c r="D5" s="104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1:18" x14ac:dyDescent="0.45">
      <c r="A6" s="30"/>
      <c r="B6" s="30"/>
      <c r="C6" s="30"/>
      <c r="D6" s="105" t="s">
        <v>62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8" x14ac:dyDescent="0.45">
      <c r="A7" s="30"/>
      <c r="B7" s="30"/>
      <c r="C7" s="30"/>
      <c r="D7" s="104" t="s">
        <v>63</v>
      </c>
      <c r="E7" s="112">
        <v>5000000</v>
      </c>
      <c r="F7" s="30"/>
      <c r="G7" s="30"/>
      <c r="H7" s="30">
        <v>1700000</v>
      </c>
      <c r="I7" s="30"/>
      <c r="J7" s="30"/>
      <c r="K7" s="29">
        <v>3000000</v>
      </c>
      <c r="L7" s="30">
        <v>2000000</v>
      </c>
      <c r="M7" s="30"/>
      <c r="N7" s="30"/>
      <c r="O7" s="30"/>
      <c r="P7" s="30"/>
      <c r="Q7" s="30">
        <f>SUM(E7:P7)</f>
        <v>11700000</v>
      </c>
    </row>
    <row r="8" spans="1:18" x14ac:dyDescent="0.45">
      <c r="A8" s="30"/>
      <c r="B8" s="30">
        <v>1500000</v>
      </c>
      <c r="C8" s="30"/>
      <c r="D8" s="104" t="s">
        <v>64</v>
      </c>
      <c r="E8" s="30"/>
      <c r="F8" s="30"/>
      <c r="G8" s="112">
        <f>700000+500000</f>
        <v>1200000</v>
      </c>
      <c r="I8" s="30"/>
      <c r="J8" s="30"/>
      <c r="K8" s="30"/>
      <c r="L8" s="30"/>
      <c r="M8" s="30"/>
      <c r="N8" s="30"/>
      <c r="O8" s="30"/>
      <c r="P8" s="30"/>
    </row>
    <row r="9" spans="1:18" ht="14.65" thickBot="1" x14ac:dyDescent="0.5">
      <c r="A9" s="30">
        <v>2815520</v>
      </c>
      <c r="B9" s="30">
        <v>4001568</v>
      </c>
      <c r="C9" s="30">
        <v>2199818</v>
      </c>
      <c r="D9" s="104" t="s">
        <v>65</v>
      </c>
      <c r="E9" s="112">
        <v>2200000</v>
      </c>
      <c r="F9" s="30">
        <f>2000000+SUM(PNL!B27,PNL!B30)/2</f>
        <v>5250000</v>
      </c>
      <c r="G9" s="30">
        <f>SUM(PNL!B27,PNL!B30)/2+SUM(PNL!C27,PNL!C30)/2</f>
        <v>6510400</v>
      </c>
      <c r="H9" s="30">
        <f>SUM(PNL!C27,PNL!C30)/2+SUM(PNL!D27,PNL!D30)/2</f>
        <v>6531408</v>
      </c>
      <c r="I9" s="30">
        <f>SUM(PNL!D27,PNL!D30)/2+SUM(PNL!E27,PNL!E30)/2</f>
        <v>8372836.1600000001</v>
      </c>
      <c r="J9" s="30">
        <f>SUM(PNL!E27,PNL!E30)/2+SUM(PNL!F27,PNL!F30)/2</f>
        <v>10214692.883200001</v>
      </c>
      <c r="K9" s="30">
        <f>SUM(PNL!F27,PNL!F30)/2+SUM(PNL!G27,PNL!G30)/2</f>
        <v>10236986.740864001</v>
      </c>
      <c r="L9" s="30">
        <f>SUM(PNL!G27,PNL!G30)/2+SUM(PNL!H27,PNL!H30)/2</f>
        <v>12989726.475681281</v>
      </c>
      <c r="M9" s="30">
        <f>SUM(PNL!H27,PNL!H30)/2+SUM(PNL!I27,PNL!I30)/2</f>
        <v>15742921.005194906</v>
      </c>
      <c r="N9" s="30">
        <f>SUM(PNL!I27,PNL!I30)/2+SUM(PNL!J27,PNL!J30)/2</f>
        <v>15766579.425298804</v>
      </c>
      <c r="O9" s="30">
        <f>SUM(PNL!J27,PNL!J30)/2+SUM(PNL!K27,PNL!K30)/2</f>
        <v>17610711.013804778</v>
      </c>
      <c r="P9" s="30">
        <f>SUM(PNL!K27,PNL!K30)/2+SUM(PNL!L27,PNL!L30)/2</f>
        <v>19455325.234080873</v>
      </c>
      <c r="Q9" s="30">
        <f>SUM(PNL!L27,PNL!L30)/2+SUM(PNL!M27,PNL!M30)/2</f>
        <v>19480431.73876249</v>
      </c>
      <c r="R9" s="30">
        <f>SUM(PNL!M27,PNL!M30)/2</f>
        <v>9746554.6403652187</v>
      </c>
    </row>
    <row r="10" spans="1:18" x14ac:dyDescent="0.45">
      <c r="A10" s="31">
        <f>SUM(A7:A9)</f>
        <v>2815520</v>
      </c>
      <c r="B10" s="31">
        <f t="shared" ref="B10:C10" si="1">SUM(B7:B9)</f>
        <v>5501568</v>
      </c>
      <c r="C10" s="31">
        <f t="shared" si="1"/>
        <v>2199818</v>
      </c>
      <c r="D10" s="106" t="s">
        <v>66</v>
      </c>
      <c r="E10" s="31">
        <f t="shared" ref="E10:P10" si="2">SUM(E7:E9)</f>
        <v>7200000</v>
      </c>
      <c r="F10" s="31">
        <f t="shared" si="2"/>
        <v>5250000</v>
      </c>
      <c r="G10" s="31">
        <f t="shared" si="2"/>
        <v>7710400</v>
      </c>
      <c r="H10" s="31">
        <f t="shared" si="2"/>
        <v>8231408</v>
      </c>
      <c r="I10" s="31">
        <f t="shared" si="2"/>
        <v>8372836.1600000001</v>
      </c>
      <c r="J10" s="31">
        <f>SUM(J7:J9)</f>
        <v>10214692.883200001</v>
      </c>
      <c r="K10" s="31">
        <f t="shared" si="2"/>
        <v>13236986.740864001</v>
      </c>
      <c r="L10" s="31">
        <f t="shared" si="2"/>
        <v>14989726.475681281</v>
      </c>
      <c r="M10" s="31">
        <f t="shared" si="2"/>
        <v>15742921.005194906</v>
      </c>
      <c r="N10" s="31">
        <f t="shared" si="2"/>
        <v>15766579.425298804</v>
      </c>
      <c r="O10" s="31">
        <f t="shared" si="2"/>
        <v>17610711.013804778</v>
      </c>
      <c r="P10" s="31">
        <f t="shared" si="2"/>
        <v>19455325.234080873</v>
      </c>
    </row>
    <row r="11" spans="1:18" x14ac:dyDescent="0.45">
      <c r="A11" s="30"/>
      <c r="B11" s="30"/>
      <c r="C11" s="30"/>
      <c r="D11" s="104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2" spans="1:18" x14ac:dyDescent="0.45">
      <c r="A12" s="30"/>
      <c r="B12" s="30"/>
      <c r="C12" s="30"/>
      <c r="D12" s="105" t="s">
        <v>67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8" x14ac:dyDescent="0.45">
      <c r="A13" s="30">
        <v>2944418</v>
      </c>
      <c r="B13" s="30">
        <v>4062794</v>
      </c>
      <c r="C13" s="30">
        <v>3805851</v>
      </c>
      <c r="D13" s="104" t="s">
        <v>68</v>
      </c>
      <c r="E13" s="30">
        <f>SUM(PNL!B27,PNL!B30)/1.08*0.8</f>
        <v>4814814.8148148144</v>
      </c>
      <c r="F13" s="30">
        <f>SUM(PNL!C27,PNL!C30)/1.08*0.8+SUM(PNL!B27,PNL!B30)/1.08-Cashflow!E13</f>
        <v>6033925.9259259244</v>
      </c>
      <c r="G13" s="30">
        <f>SUM(PNL!D27,PNL!D30)/1.08*0.8+SUM(PNL!C27,PNL!C30)/1.08-Cashflow!F13</f>
        <v>4849789.6296296315</v>
      </c>
      <c r="H13" s="30">
        <f>SUM(PNL!E27,PNL!E30)/1.08*0.8+SUM(PNL!D27,PNL!D30)/1.08-Cashflow!G13</f>
        <v>8765896.5333333313</v>
      </c>
      <c r="I13" s="30">
        <f>SUM(PNL!F27,PNL!F30)/1.08*0.8+SUM(PNL!E27,PNL!E30)/1.08-Cashflow!H13</f>
        <v>8256547.7973333336</v>
      </c>
      <c r="J13" s="30">
        <f>SUM(PNL!G27,PNL!G30)/1.08*0.8+SUM(PNL!F27,PNL!F30)/1.08-Cashflow!I13</f>
        <v>8803012.086613331</v>
      </c>
      <c r="K13" s="30">
        <f>SUM(PNL!H27,PNL!H30)/1.08*0.8+SUM(PNL!G27,PNL!G30)/1.08-Cashflow!J13</f>
        <v>12338850.10612338</v>
      </c>
      <c r="L13" s="30">
        <f>SUM(PNL!I27,PNL!I30)/1.08*0.8+SUM(PNL!H27,PNL!H30)/1.08-Cashflow!K13</f>
        <v>13897182.663801398</v>
      </c>
      <c r="M13" s="30">
        <f>SUM(PNL!J27,PNL!J30)/1.08*0.8+SUM(PNL!I27,PNL!I30)/1.08-Cashflow!L13</f>
        <v>12378237.428188544</v>
      </c>
      <c r="N13" s="30">
        <f>SUM(PNL!K27,PNL!K30)/1.08*0.8+SUM(PNL!J27,PNL!J30)/1.08-Cashflow!M13</f>
        <v>16633654.028604161</v>
      </c>
      <c r="O13" s="30">
        <f>SUM(PNL!L27,PNL!L30)/1.08*0.8+SUM(PNL!K27,PNL!K30)/1.08-Cashflow!N13</f>
        <v>15789586.368435506</v>
      </c>
      <c r="P13" s="30">
        <f>SUM(PNL!M27,PNL!M30)/1.08*0.8+SUM(PNL!L27,PNL!L30)/1.08-Cashflow!O13</f>
        <v>16675452.169878285</v>
      </c>
    </row>
    <row r="14" spans="1:18" x14ac:dyDescent="0.45">
      <c r="A14" s="30">
        <f>108797+52000</f>
        <v>160797</v>
      </c>
      <c r="B14" s="30">
        <v>196700</v>
      </c>
      <c r="C14" s="30">
        <v>194800</v>
      </c>
      <c r="D14" s="104" t="s">
        <v>69</v>
      </c>
      <c r="E14" s="30">
        <f>SUM(PNL!B37,PNL!B41,PNL!B47,PNL!B53)</f>
        <v>550000</v>
      </c>
      <c r="F14" s="30">
        <f>SUM(PNL!C37,PNL!C41,PNL!C47,PNL!C53)</f>
        <v>550000</v>
      </c>
      <c r="G14" s="30">
        <f>SUM(PNL!D37,PNL!D41,PNL!D47,PNL!D53)</f>
        <v>550000</v>
      </c>
      <c r="H14" s="30">
        <f>SUM(PNL!E37,PNL!E41,PNL!E47,PNL!E53)</f>
        <v>700000</v>
      </c>
      <c r="I14" s="30">
        <f>SUM(PNL!F37,PNL!F41,PNL!F47,PNL!F53)</f>
        <v>700000</v>
      </c>
      <c r="J14" s="30">
        <f>SUM(PNL!G37,PNL!G41,PNL!G47,PNL!G53)</f>
        <v>807000</v>
      </c>
      <c r="K14" s="30">
        <f>SUM(PNL!H37,PNL!H41,PNL!H47,PNL!H53)</f>
        <v>883000</v>
      </c>
      <c r="L14" s="30">
        <f>SUM(PNL!I37,PNL!I41,PNL!I47,PNL!I53)</f>
        <v>923000</v>
      </c>
      <c r="M14" s="30">
        <f>SUM(PNL!J37,PNL!J41,PNL!J47,PNL!J53)</f>
        <v>923000</v>
      </c>
      <c r="N14" s="30">
        <f>SUM(PNL!K37,PNL!K41,PNL!K47,PNL!K53)</f>
        <v>943000</v>
      </c>
      <c r="O14" s="30">
        <f>SUM(PNL!L37,PNL!L41,PNL!L47,PNL!L53)</f>
        <v>943000</v>
      </c>
      <c r="P14" s="30">
        <f>SUM(PNL!M37,PNL!M41,PNL!M47,PNL!M53)</f>
        <v>943000</v>
      </c>
    </row>
    <row r="15" spans="1:18" x14ac:dyDescent="0.45">
      <c r="A15" s="30"/>
      <c r="B15" s="30"/>
      <c r="C15" s="30"/>
      <c r="D15" s="104" t="s">
        <v>70</v>
      </c>
      <c r="E15" s="30">
        <v>10000</v>
      </c>
      <c r="F15" s="30">
        <v>10000</v>
      </c>
      <c r="G15" s="30">
        <v>10000</v>
      </c>
      <c r="H15" s="30">
        <v>10000</v>
      </c>
      <c r="I15" s="30">
        <v>10000</v>
      </c>
      <c r="J15" s="30">
        <v>10000</v>
      </c>
      <c r="K15" s="30">
        <v>10000</v>
      </c>
      <c r="L15" s="30">
        <v>10000</v>
      </c>
      <c r="M15" s="30">
        <v>10000</v>
      </c>
      <c r="N15" s="30">
        <v>10000</v>
      </c>
      <c r="O15" s="30">
        <v>10000</v>
      </c>
      <c r="P15" s="30">
        <v>10000</v>
      </c>
    </row>
    <row r="16" spans="1:18" x14ac:dyDescent="0.45">
      <c r="A16" s="30">
        <v>20000</v>
      </c>
      <c r="B16" s="30">
        <v>20000</v>
      </c>
      <c r="C16" s="30">
        <v>20000</v>
      </c>
      <c r="D16" s="104" t="s">
        <v>71</v>
      </c>
      <c r="E16" s="30">
        <v>35000</v>
      </c>
      <c r="F16" s="30">
        <v>35000</v>
      </c>
      <c r="G16" s="30">
        <v>35000</v>
      </c>
      <c r="H16" s="30">
        <v>35000</v>
      </c>
      <c r="I16" s="30">
        <v>35000</v>
      </c>
      <c r="J16" s="30">
        <v>35000</v>
      </c>
      <c r="K16" s="30">
        <v>60000</v>
      </c>
      <c r="L16" s="30">
        <v>60000</v>
      </c>
      <c r="M16" s="30">
        <v>60000</v>
      </c>
      <c r="N16" s="30">
        <v>60000</v>
      </c>
      <c r="O16" s="30">
        <v>60000</v>
      </c>
      <c r="P16" s="30">
        <v>60000</v>
      </c>
    </row>
    <row r="17" spans="1:17" x14ac:dyDescent="0.45">
      <c r="A17" s="30"/>
      <c r="B17" s="30"/>
      <c r="C17" s="30"/>
      <c r="D17" s="104" t="s">
        <v>72</v>
      </c>
      <c r="E17" s="30">
        <v>5000</v>
      </c>
      <c r="F17" s="30">
        <v>5000</v>
      </c>
      <c r="G17" s="30">
        <v>5000</v>
      </c>
      <c r="H17" s="30">
        <v>5000</v>
      </c>
      <c r="I17" s="30">
        <v>5000</v>
      </c>
      <c r="J17" s="30">
        <v>5000</v>
      </c>
      <c r="K17" s="30">
        <v>10000</v>
      </c>
      <c r="L17" s="30">
        <v>10000</v>
      </c>
      <c r="M17" s="30">
        <v>10000</v>
      </c>
      <c r="N17" s="30">
        <v>10000</v>
      </c>
      <c r="O17" s="30">
        <v>10000</v>
      </c>
      <c r="P17" s="30">
        <v>10000</v>
      </c>
    </row>
    <row r="18" spans="1:17" x14ac:dyDescent="0.45">
      <c r="A18" s="30"/>
      <c r="B18" s="30"/>
      <c r="C18" s="30"/>
      <c r="D18" s="104" t="s">
        <v>73</v>
      </c>
      <c r="E18" s="30">
        <f>PNL!B43</f>
        <v>480000</v>
      </c>
      <c r="F18" s="30">
        <f>PNL!C43</f>
        <v>0</v>
      </c>
      <c r="G18" s="30">
        <f>PNL!D43</f>
        <v>0</v>
      </c>
      <c r="H18" s="30">
        <f>PNL!E43</f>
        <v>90000</v>
      </c>
      <c r="I18" s="30">
        <f>PNL!F43</f>
        <v>60000</v>
      </c>
      <c r="J18" s="30">
        <f>PNL!G43</f>
        <v>60000</v>
      </c>
      <c r="K18" s="30">
        <f>PNL!H43</f>
        <v>90000</v>
      </c>
      <c r="L18" s="30">
        <f>PNL!I43</f>
        <v>0</v>
      </c>
      <c r="M18" s="30">
        <f>PNL!J43</f>
        <v>0</v>
      </c>
      <c r="N18" s="30">
        <f>PNL!K43</f>
        <v>60000</v>
      </c>
      <c r="O18" s="30">
        <f>PNL!L43</f>
        <v>60000</v>
      </c>
      <c r="P18" s="30">
        <f>PNL!M43</f>
        <v>0</v>
      </c>
      <c r="Q18" s="30">
        <f>SUM(E18:P18)</f>
        <v>900000</v>
      </c>
    </row>
    <row r="19" spans="1:17" x14ac:dyDescent="0.45">
      <c r="A19" s="30"/>
      <c r="B19" s="30"/>
      <c r="C19" s="30"/>
      <c r="D19" s="107" t="s">
        <v>88</v>
      </c>
      <c r="E19" s="30">
        <f>PNL!B42</f>
        <v>5400</v>
      </c>
      <c r="F19" s="30">
        <f>PNL!C42</f>
        <v>5400</v>
      </c>
      <c r="G19" s="30">
        <f>PNL!D42</f>
        <v>5400</v>
      </c>
      <c r="H19" s="30">
        <f>PNL!E42</f>
        <v>6300</v>
      </c>
      <c r="I19" s="30">
        <f>PNL!F42</f>
        <v>6900</v>
      </c>
      <c r="J19" s="30">
        <f>PNL!G42</f>
        <v>7500</v>
      </c>
      <c r="K19" s="30">
        <f>PNL!H42</f>
        <v>8400</v>
      </c>
      <c r="L19" s="30">
        <f>PNL!I42</f>
        <v>8400</v>
      </c>
      <c r="M19" s="30">
        <f>PNL!J42</f>
        <v>8700</v>
      </c>
      <c r="N19" s="30">
        <f>PNL!K42</f>
        <v>9000</v>
      </c>
      <c r="O19" s="30">
        <f>PNL!L42</f>
        <v>9300</v>
      </c>
      <c r="P19" s="30">
        <f>PNL!M42</f>
        <v>9300</v>
      </c>
    </row>
    <row r="20" spans="1:17" x14ac:dyDescent="0.45">
      <c r="A20" s="30"/>
      <c r="B20" s="30"/>
      <c r="C20" s="30"/>
      <c r="D20" s="107" t="s">
        <v>143</v>
      </c>
      <c r="E20" s="30">
        <f>PNL!B44</f>
        <v>4000</v>
      </c>
      <c r="F20" s="30">
        <f>PNL!C44</f>
        <v>4000</v>
      </c>
      <c r="G20" s="30">
        <f>PNL!D44</f>
        <v>4000</v>
      </c>
      <c r="H20" s="30">
        <f>PNL!E44</f>
        <v>4000</v>
      </c>
      <c r="I20" s="30">
        <f>PNL!F44</f>
        <v>4000</v>
      </c>
      <c r="J20" s="30">
        <f>PNL!G44</f>
        <v>4000</v>
      </c>
      <c r="K20" s="30">
        <f>PNL!H44</f>
        <v>8000</v>
      </c>
      <c r="L20" s="30">
        <f>PNL!I44</f>
        <v>8000</v>
      </c>
      <c r="M20" s="30">
        <f>PNL!J44</f>
        <v>8000</v>
      </c>
      <c r="N20" s="30">
        <f>PNL!K44</f>
        <v>8000</v>
      </c>
      <c r="O20" s="30">
        <f>PNL!L44</f>
        <v>8000</v>
      </c>
      <c r="P20" s="30">
        <f>PNL!M44</f>
        <v>8000</v>
      </c>
    </row>
    <row r="21" spans="1:17" x14ac:dyDescent="0.45">
      <c r="A21" s="30"/>
      <c r="B21" s="30"/>
      <c r="C21" s="30">
        <v>14000</v>
      </c>
      <c r="D21" s="104" t="s">
        <v>74</v>
      </c>
      <c r="E21" s="30">
        <f>1500000*1.25%</f>
        <v>18750</v>
      </c>
      <c r="F21" s="30">
        <f t="shared" ref="F21:G21" si="3">1500000*1.25%</f>
        <v>18750</v>
      </c>
      <c r="G21" s="30">
        <f t="shared" si="3"/>
        <v>18750</v>
      </c>
      <c r="H21" s="30">
        <f>3500000*1.25%</f>
        <v>43750</v>
      </c>
      <c r="I21" s="30">
        <f t="shared" ref="I21:J21" si="4">3500000*1.25%</f>
        <v>43750</v>
      </c>
      <c r="J21" s="30">
        <f t="shared" si="4"/>
        <v>43750</v>
      </c>
      <c r="K21" s="30">
        <f>6500000*1.25%</f>
        <v>81250</v>
      </c>
      <c r="L21" s="30">
        <f>6500000*1.25%</f>
        <v>81250</v>
      </c>
      <c r="M21" s="30">
        <f t="shared" ref="M21:P21" si="5">6500000*1.25%</f>
        <v>81250</v>
      </c>
      <c r="N21" s="30">
        <f t="shared" si="5"/>
        <v>81250</v>
      </c>
      <c r="O21" s="30">
        <f t="shared" si="5"/>
        <v>81250</v>
      </c>
      <c r="P21" s="30">
        <f t="shared" si="5"/>
        <v>81250</v>
      </c>
    </row>
    <row r="22" spans="1:17" ht="14.65" thickBot="1" x14ac:dyDescent="0.5">
      <c r="A22" s="30"/>
      <c r="B22" s="30">
        <v>700000</v>
      </c>
      <c r="C22" s="30"/>
      <c r="D22" s="108" t="s">
        <v>142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7" x14ac:dyDescent="0.45">
      <c r="A23" s="31">
        <f>SUM(A13:A21)</f>
        <v>3125215</v>
      </c>
      <c r="B23" s="31">
        <f t="shared" ref="B23:C23" si="6">SUM(B13:B21)</f>
        <v>4279494</v>
      </c>
      <c r="C23" s="31">
        <f t="shared" si="6"/>
        <v>4034651</v>
      </c>
      <c r="D23" s="106" t="s">
        <v>75</v>
      </c>
      <c r="E23" s="31">
        <f t="shared" ref="E23:P23" si="7">SUM(E13:E22)</f>
        <v>5922964.8148148144</v>
      </c>
      <c r="F23" s="31">
        <f t="shared" si="7"/>
        <v>6662075.9259259244</v>
      </c>
      <c r="G23" s="31">
        <f t="shared" si="7"/>
        <v>5477939.6296296315</v>
      </c>
      <c r="H23" s="31">
        <f t="shared" si="7"/>
        <v>9659946.5333333313</v>
      </c>
      <c r="I23" s="31">
        <f t="shared" si="7"/>
        <v>9121197.7973333336</v>
      </c>
      <c r="J23" s="31">
        <f t="shared" si="7"/>
        <v>9775262.086613331</v>
      </c>
      <c r="K23" s="31">
        <f t="shared" si="7"/>
        <v>13489500.10612338</v>
      </c>
      <c r="L23" s="31">
        <f t="shared" si="7"/>
        <v>14997832.663801398</v>
      </c>
      <c r="M23" s="31">
        <f t="shared" si="7"/>
        <v>13479187.428188544</v>
      </c>
      <c r="N23" s="31">
        <f t="shared" si="7"/>
        <v>17814904.028604161</v>
      </c>
      <c r="O23" s="31">
        <f t="shared" si="7"/>
        <v>16971136.368435506</v>
      </c>
      <c r="P23" s="31">
        <f t="shared" si="7"/>
        <v>17797002.169878285</v>
      </c>
    </row>
    <row r="24" spans="1:17" x14ac:dyDescent="0.45">
      <c r="A24" s="30"/>
      <c r="B24" s="30"/>
      <c r="C24" s="30"/>
      <c r="D24" s="104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7" ht="14.65" thickBot="1" x14ac:dyDescent="0.5">
      <c r="A25" s="30"/>
      <c r="B25" s="30"/>
      <c r="C25" s="30"/>
      <c r="D25" s="104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7" x14ac:dyDescent="0.45">
      <c r="A26" s="31">
        <f>A4+A10-A23</f>
        <v>110181</v>
      </c>
      <c r="B26" s="31">
        <f t="shared" ref="B26:C26" si="8">B4+B10-B23</f>
        <v>1513051</v>
      </c>
      <c r="C26" s="31">
        <f t="shared" si="8"/>
        <v>-1605082</v>
      </c>
      <c r="D26" s="106" t="s">
        <v>76</v>
      </c>
      <c r="E26" s="31">
        <f t="shared" ref="E26:P26" si="9">E4+E10-E23</f>
        <v>1577035.1851851856</v>
      </c>
      <c r="F26" s="31">
        <f t="shared" si="9"/>
        <v>164959.25925926119</v>
      </c>
      <c r="G26" s="31">
        <f t="shared" si="9"/>
        <v>2397419.6296296297</v>
      </c>
      <c r="H26" s="31">
        <f t="shared" si="9"/>
        <v>968881.09629629925</v>
      </c>
      <c r="I26" s="113">
        <f t="shared" si="9"/>
        <v>220519.45896296576</v>
      </c>
      <c r="J26" s="31">
        <f t="shared" si="9"/>
        <v>659950.25554963574</v>
      </c>
      <c r="K26" s="31">
        <f t="shared" si="9"/>
        <v>407436.89029025659</v>
      </c>
      <c r="L26" s="31">
        <f t="shared" si="9"/>
        <v>399330.70217013918</v>
      </c>
      <c r="M26" s="31">
        <f t="shared" si="9"/>
        <v>2663064.2791765016</v>
      </c>
      <c r="N26" s="31">
        <f t="shared" si="9"/>
        <v>614739.67587114498</v>
      </c>
      <c r="O26" s="31">
        <f t="shared" si="9"/>
        <v>1254314.3212404177</v>
      </c>
      <c r="P26" s="31">
        <f t="shared" si="9"/>
        <v>2912637.3854430057</v>
      </c>
    </row>
    <row r="27" spans="1:17" x14ac:dyDescent="0.45"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7" x14ac:dyDescent="0.45"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7" x14ac:dyDescent="0.45"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7" x14ac:dyDescent="0.45"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7" x14ac:dyDescent="0.45"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7" x14ac:dyDescent="0.45"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5:16" x14ac:dyDescent="0.45"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5:16" x14ac:dyDescent="0.45"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5:16" x14ac:dyDescent="0.45"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5:16" x14ac:dyDescent="0.45"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5:16" x14ac:dyDescent="0.45"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5:16" x14ac:dyDescent="0.45"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5:16" x14ac:dyDescent="0.45"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5:16" x14ac:dyDescent="0.45"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5:16" x14ac:dyDescent="0.45"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5:16" x14ac:dyDescent="0.45"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5:16" x14ac:dyDescent="0.45"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5:16" x14ac:dyDescent="0.45"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5:16" x14ac:dyDescent="0.45"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5:16" x14ac:dyDescent="0.45"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5:16" x14ac:dyDescent="0.45"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5:16" x14ac:dyDescent="0.45"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5:16" x14ac:dyDescent="0.45"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  <row r="50" spans="5:16" x14ac:dyDescent="0.45"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</row>
    <row r="51" spans="5:16" x14ac:dyDescent="0.45"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</row>
    <row r="52" spans="5:16" x14ac:dyDescent="0.45"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</row>
    <row r="53" spans="5:16" x14ac:dyDescent="0.45"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</row>
    <row r="54" spans="5:16" x14ac:dyDescent="0.45"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5:16" x14ac:dyDescent="0.45"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</row>
    <row r="56" spans="5:16" x14ac:dyDescent="0.45"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5:16" x14ac:dyDescent="0.45"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</row>
    <row r="58" spans="5:16" x14ac:dyDescent="0.45"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</row>
    <row r="59" spans="5:16" x14ac:dyDescent="0.45"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</row>
    <row r="60" spans="5:16" x14ac:dyDescent="0.45"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5:16" x14ac:dyDescent="0.45"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</row>
    <row r="62" spans="5:16" x14ac:dyDescent="0.45"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</row>
    <row r="63" spans="5:16" x14ac:dyDescent="0.45"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</row>
    <row r="64" spans="5:16" x14ac:dyDescent="0.45"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</row>
    <row r="65" spans="5:16" x14ac:dyDescent="0.45"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</row>
    <row r="66" spans="5:16" x14ac:dyDescent="0.45"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</row>
    <row r="67" spans="5:16" x14ac:dyDescent="0.45"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</row>
    <row r="68" spans="5:16" x14ac:dyDescent="0.45"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</row>
    <row r="69" spans="5:16" x14ac:dyDescent="0.45"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</row>
    <row r="70" spans="5:16" x14ac:dyDescent="0.45"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5:16" x14ac:dyDescent="0.45"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</row>
    <row r="72" spans="5:16" x14ac:dyDescent="0.45"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</row>
    <row r="73" spans="5:16" x14ac:dyDescent="0.45"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</row>
    <row r="74" spans="5:16" x14ac:dyDescent="0.45"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</row>
    <row r="75" spans="5:16" x14ac:dyDescent="0.45"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</row>
    <row r="76" spans="5:16" x14ac:dyDescent="0.45"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</row>
    <row r="77" spans="5:16" x14ac:dyDescent="0.45"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</row>
    <row r="78" spans="5:16" x14ac:dyDescent="0.45"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</row>
    <row r="79" spans="5:16" x14ac:dyDescent="0.45"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</row>
    <row r="80" spans="5:16" x14ac:dyDescent="0.45"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</row>
    <row r="81" spans="5:16" x14ac:dyDescent="0.45"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</row>
    <row r="82" spans="5:16" x14ac:dyDescent="0.45"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</row>
  </sheetData>
  <mergeCells count="2">
    <mergeCell ref="D1:P1"/>
    <mergeCell ref="D2:P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3"/>
  <sheetViews>
    <sheetView topLeftCell="A76" workbookViewId="0">
      <selection activeCell="D95" sqref="D95"/>
    </sheetView>
  </sheetViews>
  <sheetFormatPr defaultRowHeight="15.75" x14ac:dyDescent="0.5"/>
  <cols>
    <col min="2" max="2" width="22.25" customWidth="1"/>
    <col min="3" max="3" width="13.375" customWidth="1"/>
    <col min="4" max="5" width="10.875" customWidth="1"/>
    <col min="6" max="6" width="10.375" bestFit="1" customWidth="1"/>
    <col min="7" max="7" width="11.25" customWidth="1"/>
    <col min="8" max="8" width="12" customWidth="1"/>
    <col min="15" max="15" width="10.625" customWidth="1"/>
    <col min="16" max="16" width="9.625" bestFit="1" customWidth="1"/>
    <col min="17" max="17" width="10.375" customWidth="1"/>
    <col min="18" max="18" width="10.875" customWidth="1"/>
  </cols>
  <sheetData>
    <row r="1" spans="1:18" x14ac:dyDescent="0.5">
      <c r="A1" s="122"/>
      <c r="B1" s="122"/>
      <c r="C1" s="122"/>
      <c r="D1" s="122"/>
      <c r="E1" s="122"/>
      <c r="F1" s="122"/>
      <c r="G1" s="122"/>
      <c r="H1" s="122"/>
    </row>
    <row r="2" spans="1:18" x14ac:dyDescent="0.5">
      <c r="A2" s="122"/>
      <c r="B2" s="122"/>
      <c r="C2" s="122"/>
      <c r="D2" s="122" t="s">
        <v>147</v>
      </c>
      <c r="E2" s="122" t="s">
        <v>146</v>
      </c>
      <c r="F2" s="122" t="s">
        <v>146</v>
      </c>
      <c r="G2" s="122" t="s">
        <v>146</v>
      </c>
      <c r="H2" s="122" t="s">
        <v>146</v>
      </c>
    </row>
    <row r="3" spans="1:18" ht="23.25" x14ac:dyDescent="0.5">
      <c r="A3" s="122"/>
      <c r="B3" s="122"/>
      <c r="C3" s="122"/>
      <c r="D3" s="123">
        <v>42795</v>
      </c>
      <c r="E3" s="123">
        <v>43160</v>
      </c>
      <c r="F3" s="123">
        <v>43525</v>
      </c>
      <c r="G3" s="123">
        <f>+F3+366</f>
        <v>43891</v>
      </c>
      <c r="H3" s="123">
        <f>+G3+366</f>
        <v>44257</v>
      </c>
      <c r="M3" s="114" t="s">
        <v>61</v>
      </c>
      <c r="N3" s="115"/>
      <c r="O3" s="115" t="s">
        <v>178</v>
      </c>
      <c r="P3" s="116" t="s">
        <v>179</v>
      </c>
      <c r="Q3" s="116" t="s">
        <v>180</v>
      </c>
      <c r="R3" s="116" t="s">
        <v>181</v>
      </c>
    </row>
    <row r="4" spans="1:18" x14ac:dyDescent="0.5">
      <c r="A4" s="122"/>
      <c r="B4" s="124" t="s">
        <v>98</v>
      </c>
      <c r="C4" s="122"/>
      <c r="D4" s="122"/>
      <c r="E4" s="122"/>
      <c r="F4" s="122">
        <f>+PNL!N27</f>
        <v>141960000</v>
      </c>
      <c r="G4" s="122">
        <f>+PNL!O27</f>
        <v>982800000</v>
      </c>
      <c r="H4" s="122">
        <f>+PNL!P27</f>
        <v>1638000000</v>
      </c>
      <c r="M4" s="117" t="s">
        <v>182</v>
      </c>
      <c r="N4" s="115"/>
      <c r="O4" s="118">
        <v>2739720</v>
      </c>
      <c r="P4" s="118">
        <v>218591.21</v>
      </c>
      <c r="Q4" s="118">
        <v>2455620</v>
      </c>
      <c r="R4" s="118">
        <f>O4-(P4+Q4)</f>
        <v>65508.790000000037</v>
      </c>
    </row>
    <row r="5" spans="1:18" x14ac:dyDescent="0.5">
      <c r="A5" s="122"/>
      <c r="B5" s="125" t="s">
        <v>97</v>
      </c>
      <c r="C5" s="122"/>
      <c r="D5" s="122">
        <v>952143</v>
      </c>
      <c r="E5" s="122">
        <f>+O15</f>
        <v>41498196</v>
      </c>
      <c r="F5" s="122">
        <f>+PNL!N28</f>
        <v>11356800</v>
      </c>
      <c r="G5" s="122">
        <f>+PNL!O28</f>
        <v>78624000</v>
      </c>
      <c r="H5" s="122">
        <f>+PNL!P28</f>
        <v>131040000</v>
      </c>
      <c r="M5" s="117" t="s">
        <v>183</v>
      </c>
      <c r="N5" s="115"/>
      <c r="O5" s="118">
        <v>3576600</v>
      </c>
      <c r="P5" s="118">
        <v>252802.41</v>
      </c>
      <c r="Q5" s="118">
        <v>3329000</v>
      </c>
      <c r="R5" s="118">
        <f t="shared" ref="R5:R12" si="0">O5-(P5+Q5)</f>
        <v>-5202.410000000149</v>
      </c>
    </row>
    <row r="6" spans="1:18" x14ac:dyDescent="0.5">
      <c r="A6" s="122"/>
      <c r="B6" s="125"/>
      <c r="C6" s="122"/>
      <c r="D6" s="122"/>
      <c r="E6" s="122"/>
      <c r="F6" s="122"/>
      <c r="G6" s="122"/>
      <c r="H6" s="122"/>
      <c r="M6" s="117" t="s">
        <v>184</v>
      </c>
      <c r="N6" s="115"/>
      <c r="O6" s="118">
        <v>3973651</v>
      </c>
      <c r="P6" s="118">
        <v>307033.90999999997</v>
      </c>
      <c r="Q6" s="118">
        <f>2959600+60200+39000+74000+73000+73000+73000</f>
        <v>3351800</v>
      </c>
      <c r="R6" s="118">
        <f t="shared" si="0"/>
        <v>314817.08999999985</v>
      </c>
    </row>
    <row r="7" spans="1:18" x14ac:dyDescent="0.5">
      <c r="A7" s="122"/>
      <c r="B7" s="124" t="s">
        <v>96</v>
      </c>
      <c r="C7" s="122"/>
      <c r="D7" s="122"/>
      <c r="E7" s="122"/>
      <c r="F7" s="126">
        <f>+PNL!N30</f>
        <v>13948573.317252358</v>
      </c>
      <c r="G7" s="126">
        <f>+PNL!O30</f>
        <v>16040859.314840211</v>
      </c>
      <c r="H7" s="126">
        <f>+PNL!P30</f>
        <v>17324128.060027428</v>
      </c>
      <c r="M7" s="117" t="s">
        <v>185</v>
      </c>
      <c r="N7" s="115"/>
      <c r="O7" s="118">
        <v>2960348</v>
      </c>
      <c r="P7" s="118">
        <v>291164.95</v>
      </c>
      <c r="Q7" s="118">
        <v>3594261</v>
      </c>
      <c r="R7" s="118">
        <f t="shared" si="0"/>
        <v>-925077.95000000019</v>
      </c>
    </row>
    <row r="8" spans="1:18" x14ac:dyDescent="0.5">
      <c r="A8" s="122"/>
      <c r="B8" s="125" t="s">
        <v>95</v>
      </c>
      <c r="C8" s="122"/>
      <c r="D8" s="122"/>
      <c r="E8" s="122">
        <v>0</v>
      </c>
      <c r="F8" s="126">
        <f>+PNL!N31</f>
        <v>748800</v>
      </c>
      <c r="G8" s="126">
        <f>+PNL!O31</f>
        <v>861119.99999999988</v>
      </c>
      <c r="H8" s="126">
        <f>+PNL!P31</f>
        <v>930009.59999999998</v>
      </c>
      <c r="M8" s="117" t="s">
        <v>186</v>
      </c>
      <c r="N8" s="115"/>
      <c r="O8" s="118">
        <v>2086900</v>
      </c>
      <c r="P8" s="118">
        <v>262014.8</v>
      </c>
      <c r="Q8" s="118">
        <v>1789780</v>
      </c>
      <c r="R8" s="118">
        <f t="shared" si="0"/>
        <v>35105.199999999953</v>
      </c>
    </row>
    <row r="9" spans="1:18" x14ac:dyDescent="0.5">
      <c r="A9" s="122"/>
      <c r="B9" s="125"/>
      <c r="C9" s="122"/>
      <c r="D9" s="122"/>
      <c r="E9" s="122"/>
      <c r="F9" s="122"/>
      <c r="G9" s="122"/>
      <c r="H9" s="122"/>
      <c r="M9" s="117" t="s">
        <v>187</v>
      </c>
      <c r="N9" s="115"/>
      <c r="O9" s="118">
        <v>2298530</v>
      </c>
      <c r="P9" s="118">
        <v>292291.46999999997</v>
      </c>
      <c r="Q9" s="118">
        <v>3187498</v>
      </c>
      <c r="R9" s="118">
        <f t="shared" si="0"/>
        <v>-1181259.4699999997</v>
      </c>
    </row>
    <row r="10" spans="1:18" x14ac:dyDescent="0.5">
      <c r="A10" s="122"/>
      <c r="B10" s="124" t="s">
        <v>94</v>
      </c>
      <c r="C10" s="122"/>
      <c r="D10" s="122"/>
      <c r="E10" s="122">
        <v>0</v>
      </c>
      <c r="F10" s="126">
        <f>+PNL!N33</f>
        <v>0</v>
      </c>
      <c r="G10" s="126">
        <f>+PNL!O33</f>
        <v>7500000</v>
      </c>
      <c r="H10" s="126">
        <f>+PNL!P33</f>
        <v>4500000</v>
      </c>
      <c r="M10" s="117" t="s">
        <v>188</v>
      </c>
      <c r="N10" s="115"/>
      <c r="O10" s="118">
        <v>5298668</v>
      </c>
      <c r="P10" s="118">
        <v>342694.34</v>
      </c>
      <c r="Q10" s="118">
        <v>3484550</v>
      </c>
      <c r="R10" s="118">
        <f t="shared" si="0"/>
        <v>1471423.6600000001</v>
      </c>
    </row>
    <row r="11" spans="1:18" x14ac:dyDescent="0.5">
      <c r="A11" s="122"/>
      <c r="B11" s="127" t="s">
        <v>93</v>
      </c>
      <c r="C11" s="122"/>
      <c r="D11" s="126">
        <f>+D5+D8+D10</f>
        <v>952143</v>
      </c>
      <c r="E11" s="126">
        <f>+E5+E8+E10</f>
        <v>41498196</v>
      </c>
      <c r="F11" s="126">
        <f>+F5+F8+F10</f>
        <v>12105600</v>
      </c>
      <c r="G11" s="126">
        <f>+G5+G8+G10</f>
        <v>86985120</v>
      </c>
      <c r="H11" s="126">
        <f>+H5+H8+H10</f>
        <v>136470009.59999999</v>
      </c>
      <c r="M11" s="117" t="s">
        <v>189</v>
      </c>
      <c r="N11" s="115"/>
      <c r="O11" s="118">
        <v>4710600</v>
      </c>
      <c r="P11" s="118">
        <v>306809.14</v>
      </c>
      <c r="Q11" s="118">
        <v>2575900</v>
      </c>
      <c r="R11" s="118">
        <f t="shared" si="0"/>
        <v>1827890.8599999999</v>
      </c>
    </row>
    <row r="12" spans="1:18" x14ac:dyDescent="0.5">
      <c r="A12" s="122"/>
      <c r="B12" s="127" t="s">
        <v>92</v>
      </c>
      <c r="C12" s="122"/>
      <c r="D12" s="122"/>
      <c r="E12" s="122"/>
      <c r="F12" s="122"/>
      <c r="G12" s="122"/>
      <c r="H12" s="122"/>
      <c r="M12" s="117" t="s">
        <v>190</v>
      </c>
      <c r="N12" s="115"/>
      <c r="O12" s="118">
        <f>3352030+126600</f>
        <v>3478630</v>
      </c>
      <c r="P12" s="118">
        <v>57627.040000000001</v>
      </c>
      <c r="Q12" s="118">
        <v>1818475</v>
      </c>
      <c r="R12" s="118">
        <f t="shared" si="0"/>
        <v>1602527.96</v>
      </c>
    </row>
    <row r="13" spans="1:18" ht="31.5" customHeight="1" x14ac:dyDescent="0.5">
      <c r="A13" s="122"/>
      <c r="B13" s="128" t="s">
        <v>148</v>
      </c>
      <c r="C13" s="122"/>
      <c r="D13" s="122">
        <f>2161007-97398</f>
        <v>2063609</v>
      </c>
      <c r="E13" s="122">
        <f>+P15+Q15+4900000</f>
        <v>42123884.359999992</v>
      </c>
      <c r="F13" s="129">
        <f>+PNL!N56-2500000</f>
        <v>9657000</v>
      </c>
      <c r="G13" s="129">
        <f>+PNL!O56+35000000</f>
        <v>63059100</v>
      </c>
      <c r="H13" s="129">
        <f>+PNL!P56+50000000</f>
        <v>96707350</v>
      </c>
      <c r="M13" s="119" t="s">
        <v>191</v>
      </c>
      <c r="N13" s="120"/>
      <c r="O13" s="121">
        <f>SUM(O4:O12)</f>
        <v>31123647</v>
      </c>
      <c r="P13" s="121">
        <f t="shared" ref="P13:R13" si="1">SUM(P4:P12)</f>
        <v>2331029.27</v>
      </c>
      <c r="Q13" s="121">
        <f t="shared" si="1"/>
        <v>25586884</v>
      </c>
      <c r="R13" s="121">
        <f t="shared" si="1"/>
        <v>3205733.7299999995</v>
      </c>
    </row>
    <row r="14" spans="1:18" x14ac:dyDescent="0.5">
      <c r="A14" s="122"/>
      <c r="B14" s="122"/>
      <c r="C14" s="122"/>
      <c r="D14" s="122"/>
      <c r="E14" s="122"/>
      <c r="F14" s="122"/>
      <c r="G14" s="122"/>
      <c r="H14" s="122"/>
    </row>
    <row r="15" spans="1:18" x14ac:dyDescent="0.5">
      <c r="A15" s="122"/>
      <c r="B15" s="122" t="s">
        <v>81</v>
      </c>
      <c r="C15" s="122"/>
      <c r="D15" s="129">
        <f>+D11-D13</f>
        <v>-1111466</v>
      </c>
      <c r="E15" s="129">
        <f>+E11-E13</f>
        <v>-625688.35999999195</v>
      </c>
      <c r="F15" s="129">
        <f>+F11-F13</f>
        <v>2448600</v>
      </c>
      <c r="G15" s="129">
        <f t="shared" ref="G15:H15" si="2">+G11-G13</f>
        <v>23926020</v>
      </c>
      <c r="H15" s="129">
        <f t="shared" si="2"/>
        <v>39762659.599999994</v>
      </c>
      <c r="M15" s="117" t="s">
        <v>192</v>
      </c>
      <c r="O15">
        <f>+O13/9*12</f>
        <v>41498196</v>
      </c>
      <c r="P15">
        <f t="shared" ref="P15:R15" si="3">+P13/9*12</f>
        <v>3108039.0266666664</v>
      </c>
      <c r="Q15">
        <f t="shared" si="3"/>
        <v>34115845.333333328</v>
      </c>
      <c r="R15">
        <f t="shared" si="3"/>
        <v>4274311.6399999987</v>
      </c>
    </row>
    <row r="16" spans="1:18" x14ac:dyDescent="0.5">
      <c r="A16" s="122"/>
      <c r="B16" s="122"/>
      <c r="C16" s="122"/>
      <c r="D16" s="122"/>
      <c r="E16" s="122"/>
      <c r="F16" s="122"/>
      <c r="G16" s="122"/>
      <c r="H16" s="122"/>
    </row>
    <row r="17" spans="1:8" x14ac:dyDescent="0.5">
      <c r="A17" s="122"/>
      <c r="B17" s="122" t="s">
        <v>78</v>
      </c>
      <c r="C17" s="122"/>
      <c r="D17" s="126">
        <v>0</v>
      </c>
      <c r="E17" s="126">
        <v>0</v>
      </c>
      <c r="F17" s="126">
        <f>+PNL!N63</f>
        <v>351925</v>
      </c>
      <c r="G17" s="126">
        <f>+PNL!O63</f>
        <v>17677806</v>
      </c>
      <c r="H17" s="126">
        <f>+PNL!P63</f>
        <v>26928797.879999999</v>
      </c>
    </row>
    <row r="18" spans="1:8" x14ac:dyDescent="0.5">
      <c r="A18" s="122"/>
      <c r="B18" s="122"/>
      <c r="C18" s="122"/>
      <c r="D18" s="122"/>
      <c r="E18" s="122"/>
      <c r="F18" s="122"/>
      <c r="G18" s="122"/>
      <c r="H18" s="122"/>
    </row>
    <row r="19" spans="1:8" x14ac:dyDescent="0.5">
      <c r="A19" s="122"/>
      <c r="B19" s="122" t="s">
        <v>77</v>
      </c>
      <c r="C19" s="122"/>
      <c r="D19" s="126">
        <f>+D15-D17</f>
        <v>-1111466</v>
      </c>
      <c r="E19" s="126">
        <f>+E15-E17</f>
        <v>-625688.35999999195</v>
      </c>
      <c r="F19" s="126">
        <f>+F15-F17</f>
        <v>2096675</v>
      </c>
      <c r="G19" s="126">
        <f t="shared" ref="G19:H19" si="4">+G15-G17</f>
        <v>6248214</v>
      </c>
      <c r="H19" s="126">
        <f t="shared" si="4"/>
        <v>12833861.719999995</v>
      </c>
    </row>
    <row r="20" spans="1:8" x14ac:dyDescent="0.5">
      <c r="A20" s="122"/>
      <c r="B20" s="122"/>
      <c r="C20" s="122"/>
      <c r="D20" s="122"/>
      <c r="E20" s="122"/>
      <c r="F20" s="122"/>
      <c r="G20" s="122"/>
      <c r="H20" s="122"/>
    </row>
    <row r="21" spans="1:8" x14ac:dyDescent="0.5">
      <c r="A21" s="122"/>
      <c r="B21" s="122"/>
      <c r="C21" s="122"/>
      <c r="D21" s="122"/>
      <c r="E21" s="122"/>
      <c r="F21" s="122"/>
      <c r="G21" s="122"/>
      <c r="H21" s="122"/>
    </row>
    <row r="22" spans="1:8" x14ac:dyDescent="0.5">
      <c r="A22" s="122"/>
      <c r="B22" s="125" t="s">
        <v>149</v>
      </c>
      <c r="C22" s="122"/>
      <c r="D22" s="122"/>
      <c r="E22" s="122"/>
      <c r="F22" s="122"/>
      <c r="G22" s="122"/>
      <c r="H22" s="122"/>
    </row>
    <row r="23" spans="1:8" x14ac:dyDescent="0.5">
      <c r="A23" s="122"/>
      <c r="B23" s="122" t="s">
        <v>63</v>
      </c>
      <c r="C23" s="122"/>
      <c r="D23" s="122">
        <v>150000</v>
      </c>
      <c r="E23" s="122">
        <f>+D23</f>
        <v>150000</v>
      </c>
      <c r="F23" s="122">
        <f>+E23</f>
        <v>150000</v>
      </c>
      <c r="G23" s="122">
        <f t="shared" ref="G23:H23" si="5">+F23</f>
        <v>150000</v>
      </c>
      <c r="H23" s="122">
        <f t="shared" si="5"/>
        <v>150000</v>
      </c>
    </row>
    <row r="24" spans="1:8" x14ac:dyDescent="0.5">
      <c r="A24" s="122"/>
      <c r="B24" s="122" t="s">
        <v>150</v>
      </c>
      <c r="C24" s="122"/>
      <c r="D24" s="122">
        <v>3686782</v>
      </c>
      <c r="E24" s="126">
        <f>+D24+E19</f>
        <v>3061093.640000008</v>
      </c>
      <c r="F24" s="126">
        <f>+E24+F19</f>
        <v>5157768.640000008</v>
      </c>
      <c r="G24" s="126">
        <f t="shared" ref="G24:H24" si="6">+F24+G19</f>
        <v>11405982.640000008</v>
      </c>
      <c r="H24" s="126">
        <f t="shared" si="6"/>
        <v>24239844.360000003</v>
      </c>
    </row>
    <row r="25" spans="1:8" x14ac:dyDescent="0.5">
      <c r="A25" s="122"/>
      <c r="B25" s="122"/>
      <c r="C25" s="122"/>
      <c r="D25" s="122"/>
      <c r="E25" s="122"/>
      <c r="F25" s="122"/>
      <c r="G25" s="122"/>
      <c r="H25" s="122"/>
    </row>
    <row r="26" spans="1:8" x14ac:dyDescent="0.5">
      <c r="A26" s="122"/>
      <c r="B26" s="122" t="s">
        <v>151</v>
      </c>
      <c r="C26" s="122"/>
      <c r="D26" s="122">
        <v>16889</v>
      </c>
      <c r="E26" s="122">
        <f>+D26</f>
        <v>16889</v>
      </c>
      <c r="F26" s="122">
        <f>+D26</f>
        <v>16889</v>
      </c>
      <c r="G26" s="122">
        <f t="shared" ref="G26:H26" si="7">+F26</f>
        <v>16889</v>
      </c>
      <c r="H26" s="122">
        <f t="shared" si="7"/>
        <v>16889</v>
      </c>
    </row>
    <row r="27" spans="1:8" x14ac:dyDescent="0.5">
      <c r="A27" s="122"/>
      <c r="B27" s="122"/>
      <c r="C27" s="122"/>
      <c r="D27" s="122"/>
      <c r="E27" s="122"/>
      <c r="F27" s="122"/>
      <c r="G27" s="122"/>
      <c r="H27" s="122"/>
    </row>
    <row r="28" spans="1:8" x14ac:dyDescent="0.5">
      <c r="A28" s="122"/>
      <c r="B28" s="122" t="s">
        <v>152</v>
      </c>
      <c r="C28" s="122"/>
      <c r="D28" s="122">
        <v>95600</v>
      </c>
      <c r="E28" s="122">
        <f>+D28-95600</f>
        <v>0</v>
      </c>
      <c r="F28" s="122">
        <v>0</v>
      </c>
      <c r="G28" s="122">
        <f>+F28</f>
        <v>0</v>
      </c>
      <c r="H28" s="122">
        <f>+G28</f>
        <v>0</v>
      </c>
    </row>
    <row r="29" spans="1:8" x14ac:dyDescent="0.5">
      <c r="A29" s="122"/>
      <c r="B29" s="122" t="s">
        <v>153</v>
      </c>
      <c r="C29" s="122"/>
      <c r="D29" s="122">
        <v>572420</v>
      </c>
      <c r="E29" s="122">
        <f>+E13/12*1.25</f>
        <v>4387904.6208333327</v>
      </c>
      <c r="F29" s="122">
        <f>+F13/12*8</f>
        <v>6438000</v>
      </c>
      <c r="G29" s="122">
        <f>+G13/12*6</f>
        <v>31529550</v>
      </c>
      <c r="H29" s="122">
        <f>+H13/12*4</f>
        <v>32235783.333333332</v>
      </c>
    </row>
    <row r="30" spans="1:8" x14ac:dyDescent="0.5">
      <c r="A30" s="122"/>
      <c r="B30" s="122" t="s">
        <v>154</v>
      </c>
      <c r="C30" s="122"/>
      <c r="D30" s="122">
        <v>279872</v>
      </c>
      <c r="E30" s="122">
        <v>300000</v>
      </c>
      <c r="F30" s="122">
        <v>1000000</v>
      </c>
      <c r="G30" s="122">
        <v>1400000</v>
      </c>
      <c r="H30" s="122">
        <v>1500000</v>
      </c>
    </row>
    <row r="31" spans="1:8" x14ac:dyDescent="0.5">
      <c r="A31" s="122"/>
      <c r="B31" s="122"/>
      <c r="C31" s="122"/>
      <c r="D31" s="122"/>
      <c r="E31" s="122"/>
      <c r="F31" s="122"/>
      <c r="G31" s="122"/>
      <c r="H31" s="122"/>
    </row>
    <row r="32" spans="1:8" ht="16.149999999999999" thickBot="1" x14ac:dyDescent="0.55000000000000004">
      <c r="A32" s="122"/>
      <c r="B32" s="130" t="s">
        <v>155</v>
      </c>
      <c r="C32" s="130"/>
      <c r="D32" s="130">
        <f>SUM(D23:D31)</f>
        <v>4801563</v>
      </c>
      <c r="E32" s="130">
        <f>SUM(E23:E31)</f>
        <v>7915887.2608333407</v>
      </c>
      <c r="F32" s="130">
        <f t="shared" ref="F32:H32" si="8">SUM(F23:F31)</f>
        <v>12762657.640000008</v>
      </c>
      <c r="G32" s="130">
        <f t="shared" si="8"/>
        <v>44502421.640000008</v>
      </c>
      <c r="H32" s="130">
        <f t="shared" si="8"/>
        <v>58142516.693333335</v>
      </c>
    </row>
    <row r="33" spans="1:8" ht="16.149999999999999" thickTop="1" x14ac:dyDescent="0.5">
      <c r="A33" s="122"/>
      <c r="B33" s="122"/>
      <c r="C33" s="122"/>
      <c r="D33" s="122"/>
      <c r="E33" s="122"/>
      <c r="F33" s="122"/>
      <c r="G33" s="122"/>
      <c r="H33" s="122"/>
    </row>
    <row r="34" spans="1:8" x14ac:dyDescent="0.5">
      <c r="A34" s="122"/>
      <c r="B34" s="122" t="s">
        <v>156</v>
      </c>
      <c r="C34" s="122"/>
      <c r="D34" s="122">
        <v>34215</v>
      </c>
      <c r="E34" s="122">
        <f>+D34+400000</f>
        <v>434215</v>
      </c>
      <c r="F34" s="122">
        <f>+E34+500000</f>
        <v>934215</v>
      </c>
      <c r="G34" s="122">
        <f>+F34+300000</f>
        <v>1234215</v>
      </c>
      <c r="H34" s="122">
        <f>+G34+300000</f>
        <v>1534215</v>
      </c>
    </row>
    <row r="35" spans="1:8" x14ac:dyDescent="0.5">
      <c r="A35" s="122"/>
      <c r="B35" s="122" t="s">
        <v>157</v>
      </c>
      <c r="C35" s="122"/>
      <c r="D35" s="122">
        <v>979596</v>
      </c>
      <c r="E35" s="122">
        <f>+D35</f>
        <v>979596</v>
      </c>
      <c r="F35" s="122">
        <f>+E35</f>
        <v>979596</v>
      </c>
      <c r="G35" s="122">
        <f t="shared" ref="G35:H35" si="9">+F35</f>
        <v>979596</v>
      </c>
      <c r="H35" s="122">
        <f t="shared" si="9"/>
        <v>979596</v>
      </c>
    </row>
    <row r="36" spans="1:8" x14ac:dyDescent="0.5">
      <c r="A36" s="122"/>
      <c r="B36" s="122"/>
      <c r="C36" s="122"/>
      <c r="D36" s="122"/>
      <c r="E36" s="122"/>
      <c r="F36" s="122"/>
      <c r="G36" s="122"/>
      <c r="H36" s="122"/>
    </row>
    <row r="37" spans="1:8" x14ac:dyDescent="0.5">
      <c r="A37" s="122"/>
      <c r="B37" s="122" t="s">
        <v>158</v>
      </c>
      <c r="C37" s="122"/>
      <c r="D37" s="122">
        <v>2893050</v>
      </c>
      <c r="E37" s="122">
        <v>5000000</v>
      </c>
      <c r="F37" s="122">
        <f>(+F4+F7)/18-750000</f>
        <v>7911587.4065140206</v>
      </c>
      <c r="G37" s="122">
        <f>(+G4+G7)/24-5000000</f>
        <v>36618369.138118342</v>
      </c>
      <c r="H37" s="122">
        <f>(+H4+H7)/24-20000000</f>
        <v>48971838.669167802</v>
      </c>
    </row>
    <row r="38" spans="1:8" x14ac:dyDescent="0.5">
      <c r="A38" s="122"/>
      <c r="B38" s="122" t="s">
        <v>159</v>
      </c>
      <c r="C38" s="122"/>
      <c r="D38" s="122">
        <v>514514</v>
      </c>
      <c r="E38" s="126">
        <f>+E65</f>
        <v>752076.2608333407</v>
      </c>
      <c r="F38" s="126">
        <f>+F65</f>
        <v>1837259.2334859874</v>
      </c>
      <c r="G38" s="126">
        <f>+G65</f>
        <v>4020241.5018816665</v>
      </c>
      <c r="H38" s="126">
        <f>+H65</f>
        <v>4956867.0241655335</v>
      </c>
    </row>
    <row r="39" spans="1:8" x14ac:dyDescent="0.5">
      <c r="A39" s="122"/>
      <c r="B39" s="122" t="s">
        <v>160</v>
      </c>
      <c r="C39" s="122"/>
      <c r="D39" s="122">
        <v>371188</v>
      </c>
      <c r="E39" s="122">
        <v>700000</v>
      </c>
      <c r="F39" s="122">
        <v>1000000</v>
      </c>
      <c r="G39" s="122">
        <v>1500000</v>
      </c>
      <c r="H39" s="122">
        <v>1500000</v>
      </c>
    </row>
    <row r="40" spans="1:8" x14ac:dyDescent="0.5">
      <c r="A40" s="122"/>
      <c r="B40" s="122" t="s">
        <v>161</v>
      </c>
      <c r="C40" s="122"/>
      <c r="D40" s="122">
        <v>9000</v>
      </c>
      <c r="E40" s="122">
        <v>50000</v>
      </c>
      <c r="F40" s="122">
        <v>100000</v>
      </c>
      <c r="G40" s="122">
        <v>150000</v>
      </c>
      <c r="H40" s="122">
        <v>200000</v>
      </c>
    </row>
    <row r="41" spans="1:8" x14ac:dyDescent="0.5">
      <c r="A41" s="122"/>
      <c r="B41" s="122"/>
      <c r="C41" s="122"/>
      <c r="D41" s="122"/>
      <c r="E41" s="122"/>
      <c r="F41" s="122"/>
      <c r="G41" s="122"/>
      <c r="H41" s="122"/>
    </row>
    <row r="42" spans="1:8" ht="16.149999999999999" thickBot="1" x14ac:dyDescent="0.55000000000000004">
      <c r="A42" s="122"/>
      <c r="B42" s="130" t="s">
        <v>162</v>
      </c>
      <c r="C42" s="130"/>
      <c r="D42" s="130">
        <f>SUM(D34:D41)</f>
        <v>4801563</v>
      </c>
      <c r="E42" s="130">
        <f>SUM(E34:E41)</f>
        <v>7915887.2608333407</v>
      </c>
      <c r="F42" s="130">
        <f t="shared" ref="F42:H42" si="10">SUM(F34:F41)</f>
        <v>12762657.640000008</v>
      </c>
      <c r="G42" s="130">
        <f t="shared" si="10"/>
        <v>44502421.640000008</v>
      </c>
      <c r="H42" s="130">
        <f t="shared" si="10"/>
        <v>58142516.693333335</v>
      </c>
    </row>
    <row r="43" spans="1:8" ht="16.149999999999999" thickTop="1" x14ac:dyDescent="0.5">
      <c r="A43" s="122"/>
      <c r="B43" s="122"/>
      <c r="C43" s="122"/>
      <c r="D43" s="122"/>
      <c r="E43" s="122"/>
      <c r="F43" s="122"/>
      <c r="G43" s="122"/>
      <c r="H43" s="122"/>
    </row>
    <row r="44" spans="1:8" x14ac:dyDescent="0.5">
      <c r="A44" s="122"/>
      <c r="B44" s="122" t="s">
        <v>163</v>
      </c>
      <c r="C44" s="122"/>
      <c r="D44" s="122">
        <f>+D32-D42</f>
        <v>0</v>
      </c>
      <c r="E44" s="122">
        <f>+E32-E42</f>
        <v>0</v>
      </c>
      <c r="F44" s="122">
        <f t="shared" ref="F44:H44" si="11">+F32-F42</f>
        <v>0</v>
      </c>
      <c r="G44" s="122">
        <f t="shared" si="11"/>
        <v>0</v>
      </c>
      <c r="H44" s="122">
        <f t="shared" si="11"/>
        <v>0</v>
      </c>
    </row>
    <row r="45" spans="1:8" x14ac:dyDescent="0.5">
      <c r="A45" s="122"/>
      <c r="B45" s="122"/>
      <c r="C45" s="122"/>
      <c r="D45" s="122"/>
      <c r="E45" s="122"/>
      <c r="F45" s="122"/>
      <c r="G45" s="122"/>
      <c r="H45" s="122"/>
    </row>
    <row r="46" spans="1:8" x14ac:dyDescent="0.5">
      <c r="A46" s="122"/>
      <c r="B46" s="122"/>
      <c r="C46" s="122"/>
      <c r="D46" s="122"/>
      <c r="E46" s="122"/>
      <c r="F46" s="122"/>
      <c r="G46" s="122"/>
      <c r="H46" s="122"/>
    </row>
    <row r="47" spans="1:8" x14ac:dyDescent="0.5">
      <c r="A47" s="122"/>
      <c r="B47" s="122" t="s">
        <v>164</v>
      </c>
      <c r="C47" s="122"/>
      <c r="D47" s="122"/>
      <c r="E47" s="122"/>
      <c r="F47" s="122"/>
      <c r="G47" s="122"/>
      <c r="H47" s="122"/>
    </row>
    <row r="48" spans="1:8" x14ac:dyDescent="0.5">
      <c r="A48" s="122"/>
      <c r="B48" s="122" t="s">
        <v>165</v>
      </c>
      <c r="C48" s="122"/>
      <c r="D48" s="122"/>
      <c r="E48" s="122">
        <f>+D38</f>
        <v>514514</v>
      </c>
      <c r="F48" s="126">
        <f>+E65</f>
        <v>752076.2608333407</v>
      </c>
      <c r="G48" s="126">
        <f>+F65</f>
        <v>1837259.2334859874</v>
      </c>
      <c r="H48" s="126">
        <f>+G65</f>
        <v>4020241.5018816665</v>
      </c>
    </row>
    <row r="49" spans="1:8" x14ac:dyDescent="0.5">
      <c r="A49" s="122"/>
      <c r="B49" s="122" t="s">
        <v>166</v>
      </c>
      <c r="C49" s="122"/>
      <c r="D49" s="122"/>
      <c r="E49" s="122"/>
      <c r="F49" s="122"/>
      <c r="G49" s="122"/>
      <c r="H49" s="122"/>
    </row>
    <row r="50" spans="1:8" x14ac:dyDescent="0.5">
      <c r="A50" s="122"/>
      <c r="B50" s="122" t="s">
        <v>167</v>
      </c>
      <c r="C50" s="122"/>
      <c r="D50" s="122"/>
      <c r="E50" s="126">
        <f>+E19</f>
        <v>-625688.35999999195</v>
      </c>
      <c r="F50" s="126">
        <f>+F19</f>
        <v>2096675</v>
      </c>
      <c r="G50" s="126">
        <f>+G19</f>
        <v>6248214</v>
      </c>
      <c r="H50" s="126">
        <f>+H19</f>
        <v>12833861.719999995</v>
      </c>
    </row>
    <row r="51" spans="1:8" x14ac:dyDescent="0.5">
      <c r="A51" s="122"/>
      <c r="B51" s="122" t="s">
        <v>169</v>
      </c>
      <c r="C51" s="122"/>
      <c r="D51" s="122"/>
      <c r="E51" s="122">
        <f t="shared" ref="E51:H52" si="12">+E29-D29</f>
        <v>3815484.6208333327</v>
      </c>
      <c r="F51" s="122">
        <f t="shared" si="12"/>
        <v>2050095.3791666673</v>
      </c>
      <c r="G51" s="122">
        <f t="shared" si="12"/>
        <v>25091550</v>
      </c>
      <c r="H51" s="122">
        <f t="shared" si="12"/>
        <v>706233.33333333209</v>
      </c>
    </row>
    <row r="52" spans="1:8" x14ac:dyDescent="0.5">
      <c r="A52" s="122"/>
      <c r="B52" s="122" t="s">
        <v>170</v>
      </c>
      <c r="C52" s="122"/>
      <c r="D52" s="122"/>
      <c r="E52" s="122">
        <f t="shared" si="12"/>
        <v>20128</v>
      </c>
      <c r="F52" s="122">
        <f t="shared" si="12"/>
        <v>700000</v>
      </c>
      <c r="G52" s="122">
        <f t="shared" si="12"/>
        <v>400000</v>
      </c>
      <c r="H52" s="122">
        <f t="shared" si="12"/>
        <v>100000</v>
      </c>
    </row>
    <row r="53" spans="1:8" x14ac:dyDescent="0.5">
      <c r="A53" s="122"/>
      <c r="B53" s="122"/>
      <c r="C53" s="122"/>
      <c r="D53" s="122"/>
      <c r="E53" s="122"/>
      <c r="F53" s="122"/>
      <c r="G53" s="122"/>
      <c r="H53" s="122"/>
    </row>
    <row r="54" spans="1:8" ht="16.149999999999999" thickBot="1" x14ac:dyDescent="0.55000000000000004">
      <c r="A54" s="122"/>
      <c r="B54" s="130" t="s">
        <v>171</v>
      </c>
      <c r="C54" s="130"/>
      <c r="D54" s="130"/>
      <c r="E54" s="131">
        <f>SUM(E50:E53)</f>
        <v>3209924.2608333407</v>
      </c>
      <c r="F54" s="131">
        <f>SUM(F50:F53)</f>
        <v>4846770.3791666673</v>
      </c>
      <c r="G54" s="131">
        <f>SUM(G50:G53)</f>
        <v>31739764</v>
      </c>
      <c r="H54" s="131">
        <f>SUM(H50:H53)</f>
        <v>13640095.053333327</v>
      </c>
    </row>
    <row r="55" spans="1:8" ht="16.149999999999999" thickTop="1" x14ac:dyDescent="0.5">
      <c r="A55" s="122"/>
      <c r="B55" s="122"/>
      <c r="C55" s="122"/>
      <c r="D55" s="122"/>
      <c r="E55" s="122"/>
      <c r="F55" s="122"/>
      <c r="G55" s="122"/>
      <c r="H55" s="122"/>
    </row>
    <row r="56" spans="1:8" x14ac:dyDescent="0.5">
      <c r="A56" s="122"/>
      <c r="B56" s="122" t="s">
        <v>168</v>
      </c>
      <c r="C56" s="122"/>
      <c r="D56" s="122"/>
      <c r="E56" s="122"/>
      <c r="F56" s="122"/>
      <c r="G56" s="122"/>
      <c r="H56" s="122"/>
    </row>
    <row r="57" spans="1:8" x14ac:dyDescent="0.5">
      <c r="A57" s="122"/>
      <c r="B57" s="122" t="s">
        <v>152</v>
      </c>
      <c r="C57" s="122"/>
      <c r="D57" s="122"/>
      <c r="E57" s="122">
        <f>-(E28-D28)</f>
        <v>95600</v>
      </c>
      <c r="F57" s="122">
        <f>-(F28-E28)</f>
        <v>0</v>
      </c>
      <c r="G57" s="122">
        <f>-(G28-F28)</f>
        <v>0</v>
      </c>
      <c r="H57" s="122">
        <f>-(H28-G28)</f>
        <v>0</v>
      </c>
    </row>
    <row r="58" spans="1:8" x14ac:dyDescent="0.5">
      <c r="A58" s="122"/>
      <c r="B58" s="122" t="s">
        <v>172</v>
      </c>
      <c r="C58" s="122"/>
      <c r="D58" s="122"/>
      <c r="E58" s="122">
        <f>+E34-D34</f>
        <v>400000</v>
      </c>
      <c r="F58" s="122">
        <f>+F34-E34</f>
        <v>500000</v>
      </c>
      <c r="G58" s="122">
        <f>+G34-F34</f>
        <v>300000</v>
      </c>
      <c r="H58" s="122">
        <f>+H34-G34</f>
        <v>300000</v>
      </c>
    </row>
    <row r="59" spans="1:8" x14ac:dyDescent="0.5">
      <c r="A59" s="122"/>
      <c r="B59" s="122" t="s">
        <v>173</v>
      </c>
      <c r="C59" s="122"/>
      <c r="D59" s="122"/>
      <c r="E59" s="122">
        <f>+E37-D37</f>
        <v>2106950</v>
      </c>
      <c r="F59" s="122">
        <f>+F37-E37</f>
        <v>2911587.4065140206</v>
      </c>
      <c r="G59" s="122">
        <f>+G37-F37</f>
        <v>28706781.731604323</v>
      </c>
      <c r="H59" s="122">
        <f>+H37-G37</f>
        <v>12353469.53104946</v>
      </c>
    </row>
    <row r="60" spans="1:8" x14ac:dyDescent="0.5">
      <c r="A60" s="122"/>
      <c r="B60" s="122" t="s">
        <v>174</v>
      </c>
      <c r="C60" s="122"/>
      <c r="D60" s="122"/>
      <c r="E60" s="122">
        <f t="shared" ref="E60:H61" si="13">+E39-D39</f>
        <v>328812</v>
      </c>
      <c r="F60" s="122">
        <f t="shared" si="13"/>
        <v>300000</v>
      </c>
      <c r="G60" s="122">
        <f t="shared" si="13"/>
        <v>500000</v>
      </c>
      <c r="H60" s="122">
        <f t="shared" si="13"/>
        <v>0</v>
      </c>
    </row>
    <row r="61" spans="1:8" x14ac:dyDescent="0.5">
      <c r="A61" s="122"/>
      <c r="B61" s="122" t="s">
        <v>175</v>
      </c>
      <c r="C61" s="122"/>
      <c r="D61" s="122"/>
      <c r="E61" s="122">
        <f t="shared" si="13"/>
        <v>41000</v>
      </c>
      <c r="F61" s="122">
        <f t="shared" si="13"/>
        <v>50000</v>
      </c>
      <c r="G61" s="122">
        <f t="shared" si="13"/>
        <v>50000</v>
      </c>
      <c r="H61" s="122">
        <f t="shared" si="13"/>
        <v>50000</v>
      </c>
    </row>
    <row r="62" spans="1:8" x14ac:dyDescent="0.5">
      <c r="A62" s="122"/>
      <c r="B62" s="122"/>
      <c r="C62" s="122"/>
      <c r="D62" s="122"/>
      <c r="E62" s="122"/>
      <c r="F62" s="122"/>
      <c r="G62" s="122"/>
      <c r="H62" s="122"/>
    </row>
    <row r="63" spans="1:8" ht="16.149999999999999" thickBot="1" x14ac:dyDescent="0.55000000000000004">
      <c r="A63" s="122"/>
      <c r="B63" s="130" t="s">
        <v>176</v>
      </c>
      <c r="C63" s="130"/>
      <c r="D63" s="130"/>
      <c r="E63" s="130">
        <f>SUM(E57:E61)</f>
        <v>2972362</v>
      </c>
      <c r="F63" s="130">
        <f>SUM(F57:F61)</f>
        <v>3761587.4065140206</v>
      </c>
      <c r="G63" s="130">
        <f>SUM(G57:G61)</f>
        <v>29556781.731604323</v>
      </c>
      <c r="H63" s="130">
        <f>SUM(H57:H61)</f>
        <v>12703469.53104946</v>
      </c>
    </row>
    <row r="64" spans="1:8" ht="16.149999999999999" thickTop="1" x14ac:dyDescent="0.5">
      <c r="A64" s="122"/>
      <c r="B64" s="122"/>
      <c r="C64" s="122"/>
      <c r="D64" s="122"/>
      <c r="E64" s="122"/>
      <c r="F64" s="122"/>
      <c r="G64" s="122"/>
      <c r="H64" s="122"/>
    </row>
    <row r="65" spans="1:8" x14ac:dyDescent="0.5">
      <c r="A65" s="122"/>
      <c r="B65" s="122" t="s">
        <v>177</v>
      </c>
      <c r="C65" s="122"/>
      <c r="D65" s="122"/>
      <c r="E65" s="126">
        <f>+E48+E54-E63</f>
        <v>752076.2608333407</v>
      </c>
      <c r="F65" s="126">
        <f>+F48+F54-F63</f>
        <v>1837259.2334859874</v>
      </c>
      <c r="G65" s="126">
        <f>+G48+G54-G63</f>
        <v>4020241.5018816665</v>
      </c>
      <c r="H65" s="126">
        <f>+H48+H54-H63</f>
        <v>4956867.0241655335</v>
      </c>
    </row>
    <row r="66" spans="1:8" x14ac:dyDescent="0.5">
      <c r="A66" s="122"/>
      <c r="B66" s="122"/>
      <c r="C66" s="122"/>
      <c r="D66" s="122"/>
      <c r="E66" s="122"/>
      <c r="F66" s="122"/>
      <c r="G66" s="122"/>
      <c r="H66" s="122"/>
    </row>
    <row r="67" spans="1:8" x14ac:dyDescent="0.5">
      <c r="A67" s="122"/>
      <c r="B67" s="122" t="s">
        <v>193</v>
      </c>
      <c r="C67" s="122"/>
      <c r="D67" s="122"/>
      <c r="E67" s="126">
        <f>+E54-E63</f>
        <v>237562.2608333407</v>
      </c>
      <c r="F67" s="126">
        <f t="shared" ref="F67:H67" si="14">+F54-F63</f>
        <v>1085182.9726526467</v>
      </c>
      <c r="G67" s="126">
        <f t="shared" si="14"/>
        <v>2182982.2683956772</v>
      </c>
      <c r="H67" s="126">
        <f t="shared" si="14"/>
        <v>936625.522283867</v>
      </c>
    </row>
    <row r="68" spans="1:8" x14ac:dyDescent="0.5">
      <c r="A68" s="122"/>
      <c r="B68" s="122"/>
      <c r="C68" s="122"/>
      <c r="D68" s="122"/>
      <c r="E68" s="122"/>
      <c r="F68" s="122"/>
      <c r="G68" s="122"/>
      <c r="H68" s="122"/>
    </row>
    <row r="69" spans="1:8" x14ac:dyDescent="0.5">
      <c r="A69" s="122"/>
      <c r="B69" s="122" t="s">
        <v>194</v>
      </c>
      <c r="C69" s="122"/>
      <c r="D69" s="122"/>
      <c r="E69" s="126">
        <f>+F67</f>
        <v>1085182.9726526467</v>
      </c>
      <c r="F69" s="122"/>
      <c r="G69" s="122"/>
      <c r="H69" s="122"/>
    </row>
    <row r="70" spans="1:8" x14ac:dyDescent="0.5">
      <c r="A70" s="122"/>
      <c r="B70" s="122" t="s">
        <v>195</v>
      </c>
      <c r="C70" s="122"/>
      <c r="D70" s="122"/>
      <c r="E70" s="122" t="s">
        <v>196</v>
      </c>
      <c r="F70" s="122" t="s">
        <v>197</v>
      </c>
      <c r="G70" s="122"/>
      <c r="H70" s="122"/>
    </row>
    <row r="71" spans="1:8" x14ac:dyDescent="0.5">
      <c r="A71" s="122"/>
      <c r="B71" s="122"/>
      <c r="C71" s="122"/>
      <c r="D71" s="122"/>
      <c r="E71" s="132">
        <v>0.05</v>
      </c>
      <c r="F71" s="132">
        <v>0.1</v>
      </c>
      <c r="G71" s="122"/>
      <c r="H71" s="122"/>
    </row>
    <row r="72" spans="1:8" x14ac:dyDescent="0.5">
      <c r="A72" s="122"/>
      <c r="B72" s="122" t="s">
        <v>198</v>
      </c>
      <c r="C72" s="122"/>
      <c r="D72" s="122"/>
      <c r="E72" s="132">
        <v>0.01</v>
      </c>
      <c r="F72" s="122"/>
      <c r="G72" s="122"/>
      <c r="H72" s="122"/>
    </row>
    <row r="73" spans="1:8" x14ac:dyDescent="0.5">
      <c r="A73" s="122"/>
      <c r="B73" s="122" t="s">
        <v>199</v>
      </c>
      <c r="C73" s="122"/>
      <c r="D73" s="122"/>
      <c r="E73" s="132">
        <v>0.15</v>
      </c>
      <c r="F73" s="122"/>
      <c r="G73" s="122"/>
      <c r="H73" s="122"/>
    </row>
    <row r="74" spans="1:8" x14ac:dyDescent="0.5">
      <c r="A74" s="122"/>
      <c r="B74" s="122"/>
      <c r="C74" s="122"/>
      <c r="D74" s="122"/>
      <c r="E74" s="122"/>
      <c r="F74" s="122"/>
      <c r="G74" s="122"/>
      <c r="H74" s="122"/>
    </row>
    <row r="75" spans="1:8" x14ac:dyDescent="0.5">
      <c r="A75" s="122"/>
      <c r="B75" s="122" t="s">
        <v>200</v>
      </c>
      <c r="C75" s="122" t="s">
        <v>201</v>
      </c>
      <c r="D75" s="122" t="s">
        <v>202</v>
      </c>
      <c r="E75" s="122" t="s">
        <v>203</v>
      </c>
      <c r="F75" s="122"/>
      <c r="G75" s="122"/>
      <c r="H75" s="122"/>
    </row>
    <row r="76" spans="1:8" x14ac:dyDescent="0.5">
      <c r="A76" s="122"/>
      <c r="B76" s="122">
        <v>1</v>
      </c>
      <c r="C76" s="122">
        <f>+(E69*D76)+E69</f>
        <v>1302219.5671831761</v>
      </c>
      <c r="D76" s="132">
        <v>0.2</v>
      </c>
      <c r="E76" s="122">
        <f>+C76/((1+$E$73)^B76)</f>
        <v>1132364.8410288489</v>
      </c>
      <c r="F76" s="122"/>
      <c r="G76" s="122"/>
      <c r="H76" s="122"/>
    </row>
    <row r="77" spans="1:8" x14ac:dyDescent="0.5">
      <c r="A77" s="122"/>
      <c r="B77" s="122">
        <f>+B76+1</f>
        <v>2</v>
      </c>
      <c r="C77" s="122">
        <f>(C76*D77)+C76</f>
        <v>1562663.4806198112</v>
      </c>
      <c r="D77" s="132">
        <f>+D76</f>
        <v>0.2</v>
      </c>
      <c r="E77" s="122">
        <f t="shared" ref="E77:E85" si="15">+C77/((1+$E$73)^B77)</f>
        <v>1181598.094986625</v>
      </c>
      <c r="F77" s="122"/>
      <c r="G77" s="122"/>
      <c r="H77" s="122"/>
    </row>
    <row r="78" spans="1:8" x14ac:dyDescent="0.5">
      <c r="A78" s="122"/>
      <c r="B78" s="122">
        <f t="shared" ref="B78:B85" si="16">+B77+1</f>
        <v>3</v>
      </c>
      <c r="C78" s="122">
        <f t="shared" ref="C78:C85" si="17">(C77*D78)+C77</f>
        <v>1875196.1767437735</v>
      </c>
      <c r="D78" s="132">
        <f t="shared" ref="D78:D85" si="18">+D77</f>
        <v>0.2</v>
      </c>
      <c r="E78" s="122">
        <f t="shared" si="15"/>
        <v>1232971.9252034349</v>
      </c>
      <c r="F78" s="122"/>
      <c r="G78" s="122"/>
      <c r="H78" s="122"/>
    </row>
    <row r="79" spans="1:8" x14ac:dyDescent="0.5">
      <c r="A79" s="122"/>
      <c r="B79" s="122">
        <f t="shared" si="16"/>
        <v>4</v>
      </c>
      <c r="C79" s="122">
        <f t="shared" si="17"/>
        <v>2250235.4120925283</v>
      </c>
      <c r="D79" s="132">
        <f t="shared" si="18"/>
        <v>0.2</v>
      </c>
      <c r="E79" s="122">
        <f t="shared" si="15"/>
        <v>1286579.40021228</v>
      </c>
      <c r="F79" s="122"/>
      <c r="G79" s="122"/>
      <c r="H79" s="122"/>
    </row>
    <row r="80" spans="1:8" x14ac:dyDescent="0.5">
      <c r="A80" s="122"/>
      <c r="B80" s="122">
        <f t="shared" si="16"/>
        <v>5</v>
      </c>
      <c r="C80" s="122">
        <f t="shared" si="17"/>
        <v>2700282.4945110339</v>
      </c>
      <c r="D80" s="132">
        <f t="shared" si="18"/>
        <v>0.2</v>
      </c>
      <c r="E80" s="122">
        <f t="shared" si="15"/>
        <v>1342517.6350041181</v>
      </c>
      <c r="F80" s="122"/>
      <c r="G80" s="122"/>
      <c r="H80" s="122"/>
    </row>
    <row r="81" spans="1:8" x14ac:dyDescent="0.5">
      <c r="A81" s="122"/>
      <c r="B81" s="122">
        <f t="shared" si="16"/>
        <v>6</v>
      </c>
      <c r="C81" s="122">
        <f t="shared" si="17"/>
        <v>2970310.743962137</v>
      </c>
      <c r="D81" s="132">
        <f>+D80/2</f>
        <v>0.1</v>
      </c>
      <c r="E81" s="122">
        <f t="shared" si="15"/>
        <v>1284147.3030474174</v>
      </c>
      <c r="F81" s="122"/>
      <c r="G81" s="122"/>
      <c r="H81" s="122"/>
    </row>
    <row r="82" spans="1:8" x14ac:dyDescent="0.5">
      <c r="A82" s="122"/>
      <c r="B82" s="122">
        <f t="shared" si="16"/>
        <v>7</v>
      </c>
      <c r="C82" s="122">
        <f t="shared" si="17"/>
        <v>3267341.8183583505</v>
      </c>
      <c r="D82" s="132">
        <f t="shared" si="18"/>
        <v>0.1</v>
      </c>
      <c r="E82" s="122">
        <f t="shared" si="15"/>
        <v>1228314.8116105734</v>
      </c>
      <c r="F82" s="122"/>
      <c r="G82" s="122"/>
      <c r="H82" s="122"/>
    </row>
    <row r="83" spans="1:8" x14ac:dyDescent="0.5">
      <c r="A83" s="122"/>
      <c r="B83" s="122">
        <f t="shared" si="16"/>
        <v>8</v>
      </c>
      <c r="C83" s="122">
        <f t="shared" si="17"/>
        <v>3594076.0001941854</v>
      </c>
      <c r="D83" s="132">
        <f t="shared" si="18"/>
        <v>0.1</v>
      </c>
      <c r="E83" s="122">
        <f t="shared" si="15"/>
        <v>1174909.8198014181</v>
      </c>
      <c r="F83" s="122"/>
      <c r="G83" s="122"/>
      <c r="H83" s="122"/>
    </row>
    <row r="84" spans="1:8" x14ac:dyDescent="0.5">
      <c r="A84" s="122"/>
      <c r="B84" s="122">
        <f t="shared" si="16"/>
        <v>9</v>
      </c>
      <c r="C84" s="122">
        <f t="shared" si="17"/>
        <v>3953483.600213604</v>
      </c>
      <c r="D84" s="132">
        <f t="shared" si="18"/>
        <v>0.1</v>
      </c>
      <c r="E84" s="122">
        <f t="shared" si="15"/>
        <v>1123826.7841578783</v>
      </c>
      <c r="F84" s="122"/>
      <c r="G84" s="122"/>
      <c r="H84" s="122"/>
    </row>
    <row r="85" spans="1:8" x14ac:dyDescent="0.5">
      <c r="A85" s="122"/>
      <c r="B85" s="122">
        <f t="shared" si="16"/>
        <v>10</v>
      </c>
      <c r="C85" s="122">
        <f t="shared" si="17"/>
        <v>4348831.9602349643</v>
      </c>
      <c r="D85" s="132">
        <f t="shared" si="18"/>
        <v>0.1</v>
      </c>
      <c r="E85" s="122">
        <f t="shared" si="15"/>
        <v>1074964.7500640575</v>
      </c>
      <c r="F85" s="122"/>
      <c r="G85" s="122"/>
      <c r="H85" s="122"/>
    </row>
    <row r="86" spans="1:8" x14ac:dyDescent="0.5">
      <c r="A86" s="122"/>
      <c r="B86" s="122" t="s">
        <v>205</v>
      </c>
      <c r="C86" s="122">
        <f>(C85*E72)+C85</f>
        <v>4392320.279837314</v>
      </c>
      <c r="D86" s="122"/>
      <c r="E86" s="122"/>
      <c r="F86" s="122"/>
      <c r="G86" s="122"/>
      <c r="H86" s="122"/>
    </row>
    <row r="87" spans="1:8" x14ac:dyDescent="0.5">
      <c r="A87" s="122"/>
      <c r="B87" s="122"/>
      <c r="C87" s="122"/>
      <c r="D87" s="122" t="s">
        <v>204</v>
      </c>
      <c r="E87" s="122">
        <f>SUM(E76:E85)</f>
        <v>12062195.365116652</v>
      </c>
      <c r="F87" s="122"/>
      <c r="G87" s="122"/>
      <c r="H87" s="122"/>
    </row>
    <row r="88" spans="1:8" x14ac:dyDescent="0.5">
      <c r="A88" s="122"/>
      <c r="B88" s="122"/>
      <c r="C88" s="122"/>
      <c r="D88" s="122" t="s">
        <v>206</v>
      </c>
      <c r="E88" s="122">
        <f>((C86)/(E73-E72))/(1+E72)^B85</f>
        <v>28402216.072643954</v>
      </c>
      <c r="F88" s="122"/>
      <c r="G88" s="122"/>
      <c r="H88" s="122"/>
    </row>
    <row r="89" spans="1:8" x14ac:dyDescent="0.5">
      <c r="A89" s="122"/>
      <c r="B89" s="122"/>
      <c r="C89" s="122"/>
      <c r="D89" s="122"/>
      <c r="E89" s="122"/>
      <c r="F89" s="122"/>
      <c r="G89" s="122"/>
      <c r="H89" s="122"/>
    </row>
    <row r="90" spans="1:8" x14ac:dyDescent="0.5">
      <c r="A90" s="122"/>
      <c r="B90" s="122"/>
      <c r="C90" s="122"/>
      <c r="D90" s="122" t="s">
        <v>207</v>
      </c>
      <c r="E90" s="122">
        <f>+E87+E88</f>
        <v>40464411.437760606</v>
      </c>
      <c r="F90" s="122"/>
      <c r="G90" s="122"/>
      <c r="H90" s="122"/>
    </row>
    <row r="91" spans="1:8" x14ac:dyDescent="0.5">
      <c r="A91" s="122"/>
      <c r="B91" s="122"/>
      <c r="C91" s="122"/>
      <c r="D91" s="122"/>
      <c r="E91" s="122"/>
      <c r="F91" s="122"/>
      <c r="G91" s="122"/>
      <c r="H91" s="122"/>
    </row>
    <row r="92" spans="1:8" x14ac:dyDescent="0.5">
      <c r="A92" s="122"/>
      <c r="B92" s="122" t="s">
        <v>208</v>
      </c>
      <c r="C92" s="122"/>
      <c r="D92" s="122"/>
      <c r="E92" s="122">
        <f>+E90</f>
        <v>40464411.437760606</v>
      </c>
      <c r="F92" s="122"/>
      <c r="G92" s="122"/>
      <c r="H92" s="122"/>
    </row>
    <row r="93" spans="1:8" x14ac:dyDescent="0.5">
      <c r="A93" s="122"/>
      <c r="B93" s="122"/>
      <c r="C93" s="39" t="s">
        <v>209</v>
      </c>
      <c r="D93" s="39"/>
      <c r="E93" s="39">
        <v>40000000</v>
      </c>
      <c r="F93" s="122"/>
      <c r="G93" s="122"/>
      <c r="H93" s="1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PNL</vt:lpstr>
      <vt:lpstr>Quarterly PNL</vt:lpstr>
      <vt:lpstr>Cashflow</vt:lpstr>
      <vt:lpstr>Valuation</vt:lpstr>
      <vt:lpstr>Cashflow!Print_Area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 KA</cp:lastModifiedBy>
  <dcterms:created xsi:type="dcterms:W3CDTF">2017-06-27T13:05:12Z</dcterms:created>
  <dcterms:modified xsi:type="dcterms:W3CDTF">2019-05-07T11:27:50Z</dcterms:modified>
</cp:coreProperties>
</file>