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tangle_man\Documents\szkolnyzlom\aue\lab\lab7\"/>
    </mc:Choice>
  </mc:AlternateContent>
  <xr:revisionPtr revIDLastSave="0" documentId="13_ncr:1_{BCDB5A87-906A-4861-8615-4DAB35F9F3E9}" xr6:coauthVersionLast="47" xr6:coauthVersionMax="47" xr10:uidLastSave="{00000000-0000-0000-0000-000000000000}"/>
  <bookViews>
    <workbookView xWindow="-120" yWindow="-120" windowWidth="29040" windowHeight="15720" xr2:uid="{8BAEA9EF-1B2B-45CC-B618-7B9AA682D32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3" i="1" l="1"/>
  <c r="AC22" i="1"/>
  <c r="AC21" i="1"/>
  <c r="E41" i="1" s="1"/>
  <c r="D40" i="1"/>
  <c r="E40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8" i="1"/>
  <c r="D18" i="1"/>
  <c r="D19" i="1"/>
  <c r="F9" i="1"/>
  <c r="G9" i="1"/>
  <c r="E9" i="1"/>
  <c r="F8" i="1"/>
  <c r="G8" i="1"/>
  <c r="K35" i="1" s="1"/>
  <c r="E8" i="1"/>
  <c r="C35" i="1" s="1"/>
  <c r="W37" i="1"/>
  <c r="W36" i="1"/>
  <c r="W32" i="1"/>
  <c r="V38" i="1"/>
  <c r="V32" i="1"/>
  <c r="V36" i="1"/>
  <c r="U30" i="1"/>
  <c r="U29" i="1"/>
  <c r="U28" i="1"/>
  <c r="U33" i="1"/>
  <c r="U35" i="1" s="1"/>
  <c r="U32" i="1"/>
  <c r="V24" i="1"/>
  <c r="W24" i="1"/>
  <c r="U27" i="1"/>
  <c r="U24" i="1"/>
  <c r="U23" i="1"/>
  <c r="U22" i="1"/>
  <c r="U34" i="1"/>
  <c r="U36" i="1" s="1"/>
  <c r="U26" i="1"/>
  <c r="U25" i="1"/>
  <c r="K36" i="1"/>
  <c r="K34" i="1"/>
  <c r="L35" i="1"/>
  <c r="M35" i="1" s="1"/>
  <c r="H35" i="1"/>
  <c r="I35" i="1" s="1"/>
  <c r="D35" i="1"/>
  <c r="E35" i="1" s="1"/>
  <c r="G36" i="1"/>
  <c r="G35" i="1"/>
  <c r="G34" i="1"/>
  <c r="C36" i="1"/>
  <c r="C34" i="1"/>
  <c r="E36" i="1" l="1"/>
  <c r="E34" i="1"/>
  <c r="I36" i="1"/>
  <c r="I34" i="1"/>
  <c r="M34" i="1"/>
  <c r="M36" i="1"/>
  <c r="V37" i="1" l="1"/>
  <c r="V29" i="1"/>
  <c r="AC41" i="1"/>
  <c r="W26" i="1"/>
  <c r="W28" i="1" s="1"/>
  <c r="AC40" i="1"/>
  <c r="V25" i="1"/>
  <c r="W25" i="1"/>
  <c r="V27" i="1"/>
  <c r="G42" i="1" s="1"/>
  <c r="V22" i="1"/>
  <c r="V23" i="1" s="1"/>
  <c r="W22" i="1"/>
  <c r="W23" i="1" s="1"/>
  <c r="U18" i="1"/>
  <c r="U17" i="1"/>
  <c r="D42" i="1"/>
  <c r="AC37" i="1"/>
  <c r="AC36" i="1"/>
  <c r="AC32" i="1"/>
  <c r="AC31" i="1"/>
  <c r="AC27" i="1"/>
  <c r="AC26" i="1"/>
  <c r="K41" i="1"/>
  <c r="H41" i="1"/>
  <c r="L32" i="1"/>
  <c r="M32" i="1" s="1"/>
  <c r="H32" i="1"/>
  <c r="I32" i="1" s="1"/>
  <c r="D32" i="1"/>
  <c r="L31" i="1"/>
  <c r="M31" i="1" s="1"/>
  <c r="H31" i="1"/>
  <c r="I31" i="1" s="1"/>
  <c r="D31" i="1"/>
  <c r="L30" i="1"/>
  <c r="M30" i="1" s="1"/>
  <c r="H30" i="1"/>
  <c r="I30" i="1" s="1"/>
  <c r="D30" i="1"/>
  <c r="L29" i="1"/>
  <c r="M29" i="1" s="1"/>
  <c r="H29" i="1"/>
  <c r="I29" i="1" s="1"/>
  <c r="D29" i="1"/>
  <c r="L28" i="1"/>
  <c r="M28" i="1" s="1"/>
  <c r="H28" i="1"/>
  <c r="I28" i="1" s="1"/>
  <c r="D28" i="1"/>
  <c r="L27" i="1"/>
  <c r="M27" i="1" s="1"/>
  <c r="H27" i="1"/>
  <c r="I27" i="1" s="1"/>
  <c r="D27" i="1"/>
  <c r="L26" i="1"/>
  <c r="M26" i="1" s="1"/>
  <c r="H26" i="1"/>
  <c r="I26" i="1" s="1"/>
  <c r="D26" i="1"/>
  <c r="L25" i="1"/>
  <c r="M25" i="1" s="1"/>
  <c r="H25" i="1"/>
  <c r="I25" i="1" s="1"/>
  <c r="D25" i="1"/>
  <c r="L24" i="1"/>
  <c r="M24" i="1" s="1"/>
  <c r="H24" i="1"/>
  <c r="I24" i="1" s="1"/>
  <c r="D24" i="1"/>
  <c r="L23" i="1"/>
  <c r="M23" i="1" s="1"/>
  <c r="H23" i="1"/>
  <c r="I23" i="1" s="1"/>
  <c r="D23" i="1"/>
  <c r="L22" i="1"/>
  <c r="M22" i="1" s="1"/>
  <c r="H22" i="1"/>
  <c r="I22" i="1" s="1"/>
  <c r="D22" i="1"/>
  <c r="L21" i="1"/>
  <c r="M21" i="1" s="1"/>
  <c r="H21" i="1"/>
  <c r="I21" i="1" s="1"/>
  <c r="D21" i="1"/>
  <c r="L20" i="1"/>
  <c r="M20" i="1" s="1"/>
  <c r="H20" i="1"/>
  <c r="I20" i="1" s="1"/>
  <c r="D20" i="1"/>
  <c r="L19" i="1"/>
  <c r="M19" i="1" s="1"/>
  <c r="H19" i="1"/>
  <c r="I19" i="1" s="1"/>
  <c r="L18" i="1"/>
  <c r="M18" i="1" s="1"/>
  <c r="H18" i="1"/>
  <c r="I18" i="1" s="1"/>
  <c r="K44" i="1"/>
  <c r="H44" i="1"/>
  <c r="E44" i="1"/>
  <c r="K43" i="1"/>
  <c r="H43" i="1"/>
  <c r="E43" i="1"/>
  <c r="D41" i="1"/>
  <c r="K40" i="1"/>
  <c r="H40" i="1"/>
  <c r="AC38" i="1"/>
  <c r="AC35" i="1" s="1"/>
  <c r="AC34" i="1" s="1"/>
  <c r="K42" i="1" s="1"/>
  <c r="AC33" i="1"/>
  <c r="AC30" i="1" s="1"/>
  <c r="AC28" i="1"/>
  <c r="AC25" i="1" s="1"/>
  <c r="AC29" i="1" l="1"/>
  <c r="H42" i="1" s="1"/>
  <c r="I42" i="1" s="1"/>
  <c r="W29" i="1"/>
  <c r="W31" i="1" s="1"/>
  <c r="J43" i="1" s="1"/>
  <c r="L43" i="1" s="1"/>
  <c r="W38" i="1"/>
  <c r="V26" i="1"/>
  <c r="W27" i="1"/>
  <c r="J42" i="1" s="1"/>
  <c r="L42" i="1" s="1"/>
  <c r="V39" i="1"/>
  <c r="G44" i="1" s="1"/>
  <c r="J40" i="1"/>
  <c r="L40" i="1" s="1"/>
  <c r="U16" i="1"/>
  <c r="U31" i="1" s="1"/>
  <c r="D43" i="1" s="1"/>
  <c r="F43" i="1" s="1"/>
  <c r="V28" i="1"/>
  <c r="V31" i="1" s="1"/>
  <c r="G43" i="1" s="1"/>
  <c r="I43" i="1" s="1"/>
  <c r="AC24" i="1"/>
  <c r="E42" i="1" s="1"/>
  <c r="F42" i="1" s="1"/>
  <c r="E45" i="1"/>
  <c r="H45" i="1"/>
  <c r="W39" i="1"/>
  <c r="J41" i="1"/>
  <c r="L41" i="1"/>
  <c r="F41" i="1"/>
  <c r="K45" i="1"/>
  <c r="J45" i="1" l="1"/>
  <c r="G41" i="1"/>
  <c r="I41" i="1" s="1"/>
  <c r="G40" i="1"/>
  <c r="I40" i="1" s="1"/>
  <c r="J44" i="1"/>
  <c r="L44" i="1" s="1"/>
  <c r="G45" i="1"/>
  <c r="I45" i="1" s="1"/>
  <c r="L45" i="1"/>
  <c r="I44" i="1"/>
  <c r="U37" i="1" l="1"/>
  <c r="F40" i="1"/>
  <c r="U39" i="1" l="1"/>
  <c r="D44" i="1" s="1"/>
  <c r="F44" i="1" s="1"/>
  <c r="D45" i="1" l="1"/>
  <c r="F45" i="1" s="1"/>
</calcChain>
</file>

<file path=xl/sharedStrings.xml><?xml version="1.0" encoding="utf-8"?>
<sst xmlns="http://schemas.openxmlformats.org/spreadsheetml/2006/main" count="139" uniqueCount="93">
  <si>
    <t>Układ</t>
  </si>
  <si>
    <t>A:CS</t>
  </si>
  <si>
    <t>B:CG</t>
  </si>
  <si>
    <t>C:CD</t>
  </si>
  <si>
    <t>A: CS</t>
  </si>
  <si>
    <t>B: CG</t>
  </si>
  <si>
    <t>C: CD</t>
  </si>
  <si>
    <t>Vin [mV]</t>
  </si>
  <si>
    <t>teoretyczne</t>
  </si>
  <si>
    <t>pomierzone</t>
  </si>
  <si>
    <t>Vo [mV]</t>
  </si>
  <si>
    <t>Ku</t>
  </si>
  <si>
    <t>fL3dB [kHz]</t>
  </si>
  <si>
    <t>Rin[kΩ]</t>
  </si>
  <si>
    <t>fH3dB [kHz]</t>
  </si>
  <si>
    <t>Rout[kΩ]</t>
  </si>
  <si>
    <t>f0 [kHz]</t>
  </si>
  <si>
    <t>fL[kHz]</t>
  </si>
  <si>
    <t>BW [kHz]</t>
  </si>
  <si>
    <t>fH[kHz]</t>
  </si>
  <si>
    <t>Ku(f0) [V/V]</t>
  </si>
  <si>
    <t>BW[kHz]</t>
  </si>
  <si>
    <t>Vo do pomiaru Rin [mV]</t>
  </si>
  <si>
    <t>Vo do pomiaru Rout [mV]</t>
  </si>
  <si>
    <t>Rin(A)=</t>
  </si>
  <si>
    <t>Rin(B)=</t>
  </si>
  <si>
    <t>Rin(C)=</t>
  </si>
  <si>
    <t>f</t>
  </si>
  <si>
    <t>Vo</t>
  </si>
  <si>
    <t>Rout(A)=</t>
  </si>
  <si>
    <t>Wynik w [m]=</t>
  </si>
  <si>
    <t>[kHz]</t>
  </si>
  <si>
    <t>[mV]</t>
  </si>
  <si>
    <t>[V/V]</t>
  </si>
  <si>
    <t>[dB]</t>
  </si>
  <si>
    <t>(1-Vo/Vo')=</t>
  </si>
  <si>
    <t>RL || Rbuff =</t>
  </si>
  <si>
    <t>RL||Rbuff||Rrów =</t>
  </si>
  <si>
    <t>Vo/Vo'=</t>
  </si>
  <si>
    <t>Rout(B)=</t>
  </si>
  <si>
    <t>teoretyczne :</t>
  </si>
  <si>
    <t>A</t>
  </si>
  <si>
    <t>B</t>
  </si>
  <si>
    <t>C</t>
  </si>
  <si>
    <t>Rin[kΩ]=</t>
  </si>
  <si>
    <t>Rout[kΩ]=</t>
  </si>
  <si>
    <t>Tl1=</t>
  </si>
  <si>
    <t>Tl2=</t>
  </si>
  <si>
    <t>Rout(C)=</t>
  </si>
  <si>
    <t>Tl3=</t>
  </si>
  <si>
    <t>fL[kHz]=</t>
  </si>
  <si>
    <t>Ku=</t>
  </si>
  <si>
    <t>CM1=</t>
  </si>
  <si>
    <t>CM2=</t>
  </si>
  <si>
    <t>TH1=</t>
  </si>
  <si>
    <t>TH2=</t>
  </si>
  <si>
    <t>TH3=</t>
  </si>
  <si>
    <t>fH[kHz]=</t>
  </si>
  <si>
    <t>Kn</t>
  </si>
  <si>
    <t>Vt</t>
  </si>
  <si>
    <t>Cds</t>
  </si>
  <si>
    <t>Cgs</t>
  </si>
  <si>
    <t>Cgd</t>
  </si>
  <si>
    <t>Rgen</t>
  </si>
  <si>
    <t>RBuF</t>
  </si>
  <si>
    <t>C0</t>
  </si>
  <si>
    <t>Rszer</t>
  </si>
  <si>
    <t>Rrów</t>
  </si>
  <si>
    <t>Cg</t>
  </si>
  <si>
    <t>Cs</t>
  </si>
  <si>
    <t>Cd</t>
  </si>
  <si>
    <t>Rg1</t>
  </si>
  <si>
    <t>Rg2</t>
  </si>
  <si>
    <t>Rs</t>
  </si>
  <si>
    <t>Rd</t>
  </si>
  <si>
    <t>Rl</t>
  </si>
  <si>
    <t>Vdd</t>
  </si>
  <si>
    <t>CS</t>
  </si>
  <si>
    <t>CG</t>
  </si>
  <si>
    <t>CD</t>
  </si>
  <si>
    <t>x</t>
  </si>
  <si>
    <t>Id[A]</t>
  </si>
  <si>
    <t>Vgs[V]</t>
  </si>
  <si>
    <t>Vg[V]</t>
  </si>
  <si>
    <t>gm[S]</t>
  </si>
  <si>
    <t>RL||Rbuff||Rd=</t>
  </si>
  <si>
    <t>RL||Rbuff||Rs=</t>
  </si>
  <si>
    <t>fl</t>
  </si>
  <si>
    <t>fśrod</t>
  </si>
  <si>
    <t>fh</t>
  </si>
  <si>
    <t>VALUES</t>
  </si>
  <si>
    <t>K</t>
  </si>
  <si>
    <t xml:space="preserve">Δ [%]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</si>
</sst>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000"/>
    <numFmt numFmtId="166" formatCode="0.00000"/>
    <numFmt numFmtId="167" formatCode="0.000"/>
  </numFmts>
  <fonts count="9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Roboto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11" borderId="0" applyNumberFormat="0" applyBorder="0" applyAlignment="0" applyProtection="0"/>
    <xf numFmtId="0" fontId="8" fillId="12" borderId="47" applyNumberFormat="0" applyAlignment="0" applyProtection="0"/>
  </cellStyleXfs>
  <cellXfs count="133">
    <xf numFmtId="0" fontId="0" fillId="0" borderId="0" xfId="0"/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4" fillId="0" borderId="0" xfId="0" applyFont="1"/>
    <xf numFmtId="0" fontId="4" fillId="3" borderId="3" xfId="0" applyFont="1" applyFill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4" fillId="5" borderId="0" xfId="0" applyFont="1" applyFill="1"/>
    <xf numFmtId="0" fontId="2" fillId="2" borderId="7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2" borderId="1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11" fontId="4" fillId="0" borderId="0" xfId="0" applyNumberFormat="1" applyFont="1"/>
    <xf numFmtId="164" fontId="4" fillId="0" borderId="0" xfId="0" applyNumberFormat="1" applyFont="1" applyAlignment="1">
      <alignment vertical="center" wrapText="1"/>
    </xf>
    <xf numFmtId="164" fontId="4" fillId="0" borderId="3" xfId="0" applyNumberFormat="1" applyFont="1" applyBorder="1" applyAlignment="1">
      <alignment horizontal="right" wrapText="1"/>
    </xf>
    <xf numFmtId="164" fontId="4" fillId="0" borderId="0" xfId="0" applyNumberFormat="1" applyFont="1"/>
    <xf numFmtId="0" fontId="6" fillId="0" borderId="0" xfId="0" applyFont="1"/>
    <xf numFmtId="0" fontId="1" fillId="6" borderId="8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8" borderId="9" xfId="0" applyFont="1" applyFill="1" applyBorder="1" applyAlignment="1">
      <alignment horizontal="center" wrapText="1"/>
    </xf>
    <xf numFmtId="0" fontId="0" fillId="0" borderId="28" xfId="0" applyBorder="1"/>
    <xf numFmtId="0" fontId="2" fillId="0" borderId="28" xfId="0" applyFont="1" applyBorder="1" applyAlignment="1">
      <alignment wrapText="1"/>
    </xf>
    <xf numFmtId="166" fontId="0" fillId="0" borderId="28" xfId="0" applyNumberFormat="1" applyBorder="1"/>
    <xf numFmtId="166" fontId="2" fillId="0" borderId="28" xfId="0" applyNumberFormat="1" applyFont="1" applyBorder="1" applyAlignment="1">
      <alignment wrapText="1"/>
    </xf>
    <xf numFmtId="11" fontId="0" fillId="0" borderId="28" xfId="0" applyNumberFormat="1" applyBorder="1"/>
    <xf numFmtId="11" fontId="2" fillId="0" borderId="28" xfId="0" applyNumberFormat="1" applyFont="1" applyBorder="1" applyAlignment="1">
      <alignment wrapText="1"/>
    </xf>
    <xf numFmtId="2" fontId="0" fillId="0" borderId="28" xfId="0" applyNumberFormat="1" applyBorder="1"/>
    <xf numFmtId="164" fontId="0" fillId="0" borderId="28" xfId="0" applyNumberFormat="1" applyBorder="1"/>
    <xf numFmtId="164" fontId="2" fillId="0" borderId="28" xfId="0" applyNumberFormat="1" applyFont="1" applyBorder="1" applyAlignment="1">
      <alignment wrapText="1"/>
    </xf>
    <xf numFmtId="0" fontId="0" fillId="0" borderId="29" xfId="0" applyBorder="1"/>
    <xf numFmtId="0" fontId="0" fillId="6" borderId="30" xfId="0" applyFill="1" applyBorder="1"/>
    <xf numFmtId="0" fontId="2" fillId="7" borderId="30" xfId="0" applyFont="1" applyFill="1" applyBorder="1" applyAlignment="1">
      <alignment wrapText="1"/>
    </xf>
    <xf numFmtId="0" fontId="2" fillId="8" borderId="31" xfId="0" applyFont="1" applyFill="1" applyBorder="1" applyAlignment="1">
      <alignment wrapText="1"/>
    </xf>
    <xf numFmtId="0" fontId="0" fillId="9" borderId="32" xfId="0" applyFill="1" applyBorder="1"/>
    <xf numFmtId="0" fontId="2" fillId="0" borderId="33" xfId="0" applyFont="1" applyBorder="1" applyAlignment="1">
      <alignment wrapText="1"/>
    </xf>
    <xf numFmtId="166" fontId="2" fillId="0" borderId="33" xfId="0" applyNumberFormat="1" applyFont="1" applyBorder="1" applyAlignment="1">
      <alignment wrapText="1"/>
    </xf>
    <xf numFmtId="11" fontId="0" fillId="0" borderId="33" xfId="0" applyNumberFormat="1" applyBorder="1"/>
    <xf numFmtId="11" fontId="2" fillId="0" borderId="33" xfId="0" applyNumberFormat="1" applyFont="1" applyBorder="1" applyAlignment="1">
      <alignment wrapText="1"/>
    </xf>
    <xf numFmtId="164" fontId="2" fillId="0" borderId="33" xfId="0" applyNumberFormat="1" applyFont="1" applyBorder="1" applyAlignment="1">
      <alignment wrapText="1"/>
    </xf>
    <xf numFmtId="164" fontId="0" fillId="0" borderId="33" xfId="0" applyNumberFormat="1" applyBorder="1"/>
    <xf numFmtId="0" fontId="0" fillId="9" borderId="34" xfId="0" applyFill="1" applyBorder="1"/>
    <xf numFmtId="164" fontId="0" fillId="0" borderId="35" xfId="0" applyNumberFormat="1" applyBorder="1"/>
    <xf numFmtId="164" fontId="0" fillId="0" borderId="36" xfId="0" applyNumberFormat="1" applyBorder="1"/>
    <xf numFmtId="0" fontId="2" fillId="2" borderId="37" xfId="0" applyFont="1" applyFill="1" applyBorder="1" applyAlignment="1">
      <alignment wrapText="1"/>
    </xf>
    <xf numFmtId="0" fontId="2" fillId="2" borderId="38" xfId="0" applyFont="1" applyFill="1" applyBorder="1" applyAlignment="1">
      <alignment wrapText="1"/>
    </xf>
    <xf numFmtId="0" fontId="2" fillId="2" borderId="26" xfId="0" applyFont="1" applyFill="1" applyBorder="1" applyAlignment="1">
      <alignment wrapText="1"/>
    </xf>
    <xf numFmtId="0" fontId="2" fillId="2" borderId="27" xfId="0" applyFont="1" applyFill="1" applyBorder="1" applyAlignment="1">
      <alignment wrapText="1"/>
    </xf>
    <xf numFmtId="0" fontId="2" fillId="2" borderId="39" xfId="0" applyFont="1" applyFill="1" applyBorder="1" applyAlignment="1">
      <alignment horizontal="center" wrapText="1"/>
    </xf>
    <xf numFmtId="0" fontId="2" fillId="2" borderId="40" xfId="0" applyFont="1" applyFill="1" applyBorder="1" applyAlignment="1">
      <alignment horizontal="center" wrapText="1"/>
    </xf>
    <xf numFmtId="11" fontId="0" fillId="0" borderId="6" xfId="0" applyNumberFormat="1" applyBorder="1"/>
    <xf numFmtId="11" fontId="2" fillId="0" borderId="9" xfId="0" applyNumberFormat="1" applyFont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67" fontId="2" fillId="0" borderId="11" xfId="0" applyNumberFormat="1" applyFont="1" applyBorder="1" applyAlignment="1">
      <alignment horizontal="right" wrapText="1"/>
    </xf>
    <xf numFmtId="167" fontId="2" fillId="0" borderId="14" xfId="0" applyNumberFormat="1" applyFont="1" applyBorder="1" applyAlignment="1">
      <alignment horizontal="right" wrapText="1"/>
    </xf>
    <xf numFmtId="167" fontId="2" fillId="0" borderId="4" xfId="0" applyNumberFormat="1" applyFont="1" applyBorder="1" applyAlignment="1">
      <alignment horizontal="center" wrapText="1"/>
    </xf>
    <xf numFmtId="167" fontId="2" fillId="0" borderId="13" xfId="0" applyNumberFormat="1" applyFont="1" applyBorder="1" applyAlignment="1">
      <alignment horizontal="center" wrapText="1"/>
    </xf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10" borderId="26" xfId="0" applyFill="1" applyBorder="1"/>
    <xf numFmtId="0" fontId="0" fillId="10" borderId="43" xfId="0" applyFill="1" applyBorder="1"/>
    <xf numFmtId="0" fontId="0" fillId="10" borderId="27" xfId="0" applyFill="1" applyBorder="1"/>
    <xf numFmtId="0" fontId="0" fillId="10" borderId="41" xfId="0" applyFill="1" applyBorder="1"/>
    <xf numFmtId="0" fontId="0" fillId="10" borderId="0" xfId="0" applyFill="1"/>
    <xf numFmtId="0" fontId="0" fillId="10" borderId="45" xfId="0" applyFill="1" applyBorder="1"/>
    <xf numFmtId="0" fontId="2" fillId="8" borderId="20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3" fillId="2" borderId="23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2" borderId="25" xfId="0" applyFont="1" applyFill="1" applyBorder="1" applyAlignment="1">
      <alignment horizontal="center" wrapText="1"/>
    </xf>
    <xf numFmtId="0" fontId="2" fillId="13" borderId="18" xfId="0" applyFont="1" applyFill="1" applyBorder="1" applyAlignment="1">
      <alignment horizontal="center" wrapText="1"/>
    </xf>
    <xf numFmtId="0" fontId="2" fillId="13" borderId="19" xfId="0" applyFont="1" applyFill="1" applyBorder="1" applyAlignment="1">
      <alignment horizontal="center" wrapText="1"/>
    </xf>
    <xf numFmtId="0" fontId="2" fillId="13" borderId="15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14" borderId="20" xfId="0" applyFont="1" applyFill="1" applyBorder="1" applyAlignment="1">
      <alignment horizontal="center" wrapText="1"/>
    </xf>
    <xf numFmtId="0" fontId="2" fillId="14" borderId="19" xfId="0" applyFont="1" applyFill="1" applyBorder="1" applyAlignment="1">
      <alignment horizontal="center" wrapText="1"/>
    </xf>
    <xf numFmtId="0" fontId="2" fillId="14" borderId="21" xfId="0" applyFont="1" applyFill="1" applyBorder="1" applyAlignment="1">
      <alignment horizontal="center" wrapText="1"/>
    </xf>
    <xf numFmtId="0" fontId="2" fillId="2" borderId="48" xfId="0" applyFont="1" applyFill="1" applyBorder="1" applyAlignment="1">
      <alignment wrapText="1"/>
    </xf>
    <xf numFmtId="0" fontId="2" fillId="2" borderId="43" xfId="0" applyFont="1" applyFill="1" applyBorder="1" applyAlignment="1">
      <alignment wrapText="1"/>
    </xf>
    <xf numFmtId="0" fontId="2" fillId="2" borderId="49" xfId="0" applyFont="1" applyFill="1" applyBorder="1" applyAlignment="1">
      <alignment wrapText="1"/>
    </xf>
    <xf numFmtId="2" fontId="2" fillId="0" borderId="28" xfId="0" applyNumberFormat="1" applyFont="1" applyBorder="1" applyAlignment="1">
      <alignment horizontal="right" wrapText="1"/>
    </xf>
    <xf numFmtId="164" fontId="2" fillId="0" borderId="28" xfId="0" applyNumberFormat="1" applyFont="1" applyBorder="1" applyAlignment="1">
      <alignment horizontal="right" wrapText="1"/>
    </xf>
    <xf numFmtId="11" fontId="2" fillId="0" borderId="28" xfId="0" applyNumberFormat="1" applyFont="1" applyBorder="1" applyAlignment="1">
      <alignment horizontal="right" wrapText="1"/>
    </xf>
    <xf numFmtId="0" fontId="2" fillId="0" borderId="28" xfId="0" applyFont="1" applyBorder="1" applyAlignment="1">
      <alignment horizontal="center" wrapText="1"/>
    </xf>
    <xf numFmtId="0" fontId="2" fillId="0" borderId="28" xfId="0" applyFont="1" applyBorder="1" applyAlignment="1">
      <alignment horizontal="right" wrapText="1"/>
    </xf>
    <xf numFmtId="165" fontId="2" fillId="0" borderId="28" xfId="0" applyNumberFormat="1" applyFont="1" applyBorder="1" applyAlignment="1">
      <alignment horizontal="right" wrapText="1"/>
    </xf>
    <xf numFmtId="0" fontId="2" fillId="2" borderId="18" xfId="0" applyFont="1" applyFill="1" applyBorder="1" applyAlignment="1">
      <alignment horizontal="center" wrapText="1"/>
    </xf>
    <xf numFmtId="0" fontId="2" fillId="2" borderId="37" xfId="0" applyFont="1" applyFill="1" applyBorder="1" applyAlignment="1">
      <alignment horizontal="center" wrapText="1"/>
    </xf>
    <xf numFmtId="0" fontId="2" fillId="2" borderId="49" xfId="0" applyFont="1" applyFill="1" applyBorder="1" applyAlignment="1">
      <alignment horizontal="center" wrapText="1"/>
    </xf>
    <xf numFmtId="10" fontId="2" fillId="0" borderId="28" xfId="0" applyNumberFormat="1" applyFont="1" applyBorder="1" applyAlignment="1">
      <alignment horizontal="right" wrapText="1"/>
    </xf>
    <xf numFmtId="0" fontId="2" fillId="2" borderId="50" xfId="0" applyFont="1" applyFill="1" applyBorder="1" applyAlignment="1">
      <alignment wrapText="1"/>
    </xf>
    <xf numFmtId="0" fontId="7" fillId="11" borderId="51" xfId="1" applyBorder="1" applyAlignment="1">
      <alignment horizontal="center" wrapText="1"/>
    </xf>
    <xf numFmtId="0" fontId="7" fillId="11" borderId="52" xfId="1" applyBorder="1" applyAlignment="1">
      <alignment horizontal="center" wrapText="1"/>
    </xf>
    <xf numFmtId="0" fontId="7" fillId="11" borderId="53" xfId="1" applyBorder="1" applyAlignment="1">
      <alignment horizontal="center" wrapText="1"/>
    </xf>
    <xf numFmtId="10" fontId="2" fillId="0" borderId="33" xfId="0" applyNumberFormat="1" applyFont="1" applyBorder="1" applyAlignment="1">
      <alignment horizontal="right" wrapText="1"/>
    </xf>
    <xf numFmtId="10" fontId="2" fillId="0" borderId="35" xfId="0" applyNumberFormat="1" applyFont="1" applyBorder="1" applyAlignment="1">
      <alignment horizontal="right" wrapText="1"/>
    </xf>
    <xf numFmtId="10" fontId="2" fillId="0" borderId="36" xfId="0" applyNumberFormat="1" applyFont="1" applyBorder="1" applyAlignment="1">
      <alignment horizontal="right" wrapText="1"/>
    </xf>
    <xf numFmtId="10" fontId="2" fillId="0" borderId="55" xfId="0" applyNumberFormat="1" applyFont="1" applyBorder="1" applyAlignment="1">
      <alignment horizontal="right" wrapText="1"/>
    </xf>
    <xf numFmtId="10" fontId="2" fillId="0" borderId="56" xfId="0" applyNumberFormat="1" applyFont="1" applyBorder="1" applyAlignment="1">
      <alignment horizontal="right" wrapText="1"/>
    </xf>
    <xf numFmtId="0" fontId="2" fillId="15" borderId="57" xfId="0" applyFont="1" applyFill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8" fillId="12" borderId="59" xfId="2" applyBorder="1" applyAlignment="1">
      <alignment horizontal="center" wrapText="1"/>
    </xf>
    <xf numFmtId="0" fontId="8" fillId="12" borderId="60" xfId="2" applyBorder="1" applyAlignment="1">
      <alignment horizontal="center" wrapText="1"/>
    </xf>
    <xf numFmtId="0" fontId="2" fillId="13" borderId="61" xfId="0" applyFont="1" applyFill="1" applyBorder="1" applyAlignment="1">
      <alignment horizontal="center" wrapText="1"/>
    </xf>
    <xf numFmtId="0" fontId="2" fillId="15" borderId="6" xfId="0" applyFont="1" applyFill="1" applyBorder="1" applyAlignment="1">
      <alignment horizontal="center" wrapText="1"/>
    </xf>
    <xf numFmtId="2" fontId="2" fillId="0" borderId="54" xfId="0" applyNumberFormat="1" applyFont="1" applyBorder="1" applyAlignment="1">
      <alignment horizontal="right" wrapText="1"/>
    </xf>
    <xf numFmtId="2" fontId="2" fillId="0" borderId="55" xfId="0" applyNumberFormat="1" applyFont="1" applyBorder="1" applyAlignment="1">
      <alignment horizontal="right" wrapText="1"/>
    </xf>
    <xf numFmtId="2" fontId="2" fillId="0" borderId="32" xfId="0" applyNumberFormat="1" applyFont="1" applyBorder="1" applyAlignment="1">
      <alignment horizontal="right" wrapText="1"/>
    </xf>
    <xf numFmtId="2" fontId="2" fillId="0" borderId="34" xfId="0" applyNumberFormat="1" applyFont="1" applyBorder="1" applyAlignment="1">
      <alignment horizontal="right" wrapText="1"/>
    </xf>
    <xf numFmtId="2" fontId="2" fillId="0" borderId="35" xfId="0" applyNumberFormat="1" applyFont="1" applyBorder="1" applyAlignment="1">
      <alignment horizontal="right" wrapText="1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3200" b="0" i="0" baseline="0">
                <a:effectLst/>
              </a:rPr>
              <a:t>Charakterystyka układu CS</a:t>
            </a:r>
            <a:endParaRPr lang="pl-PL" sz="2400">
              <a:effectLst/>
            </a:endParaRPr>
          </a:p>
        </c:rich>
      </c:tx>
      <c:layout>
        <c:manualLayout>
          <c:xMode val="edge"/>
          <c:yMode val="edge"/>
          <c:x val="0.28144123710575941"/>
          <c:y val="1.9619151587554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079216733073047"/>
          <c:y val="0.11174045856100319"/>
          <c:w val="0.86611842770355274"/>
          <c:h val="0.74832511492157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Arkusz1!$B$15</c:f>
              <c:strCache>
                <c:ptCount val="1"/>
                <c:pt idx="0">
                  <c:v>A:CS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Arkusz1!$B$18:$B$32</c:f>
              <c:numCache>
                <c:formatCode>General</c:formatCode>
                <c:ptCount val="15"/>
                <c:pt idx="0">
                  <c:v>0.04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10</c:v>
                </c:pt>
                <c:pt idx="8">
                  <c:v>40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700</c:v>
                </c:pt>
                <c:pt idx="13">
                  <c:v>1000</c:v>
                </c:pt>
                <c:pt idx="14">
                  <c:v>2000</c:v>
                </c:pt>
              </c:numCache>
            </c:numRef>
          </c:xVal>
          <c:yVal>
            <c:numRef>
              <c:f>Arkusz1!$E$18:$E$32</c:f>
              <c:numCache>
                <c:formatCode>0.000</c:formatCode>
                <c:ptCount val="15"/>
                <c:pt idx="0">
                  <c:v>13.597638842257247</c:v>
                </c:pt>
                <c:pt idx="1">
                  <c:v>19.228421881328966</c:v>
                </c:pt>
                <c:pt idx="2">
                  <c:v>21.437640146122511</c:v>
                </c:pt>
                <c:pt idx="3">
                  <c:v>23.579538945863391</c:v>
                </c:pt>
                <c:pt idx="4">
                  <c:v>24.217067306297864</c:v>
                </c:pt>
                <c:pt idx="5">
                  <c:v>24.375959962234752</c:v>
                </c:pt>
                <c:pt idx="6">
                  <c:v>24.428284756846775</c:v>
                </c:pt>
                <c:pt idx="7">
                  <c:v>24.557734092273471</c:v>
                </c:pt>
                <c:pt idx="8">
                  <c:v>24.349678884278127</c:v>
                </c:pt>
                <c:pt idx="9">
                  <c:v>23.40523430789915</c:v>
                </c:pt>
                <c:pt idx="10">
                  <c:v>21.176109733518132</c:v>
                </c:pt>
                <c:pt idx="11">
                  <c:v>16.901960800285135</c:v>
                </c:pt>
                <c:pt idx="12">
                  <c:v>12.464985807958008</c:v>
                </c:pt>
                <c:pt idx="13">
                  <c:v>9.2479599579791216</c:v>
                </c:pt>
                <c:pt idx="14">
                  <c:v>1.5836249209524964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7-47A3-A71E-80FC84F91DBE}"/>
            </c:ext>
          </c:extLst>
        </c:ser>
        <c:ser>
          <c:idx val="1"/>
          <c:order val="1"/>
          <c:tx>
            <c:v>Pasmo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Arkusz1!$C$34:$C$36</c:f>
              <c:numCache>
                <c:formatCode>General</c:formatCode>
                <c:ptCount val="3"/>
                <c:pt idx="0">
                  <c:v>0.104</c:v>
                </c:pt>
                <c:pt idx="1">
                  <c:v>4.3266615305567866</c:v>
                </c:pt>
                <c:pt idx="2">
                  <c:v>180</c:v>
                </c:pt>
              </c:numCache>
            </c:numRef>
          </c:xVal>
          <c:yVal>
            <c:numRef>
              <c:f>Arkusz1!$E$34:$E$36</c:f>
              <c:numCache>
                <c:formatCode>General</c:formatCode>
                <c:ptCount val="3"/>
                <c:pt idx="0">
                  <c:v>21.506185634517259</c:v>
                </c:pt>
                <c:pt idx="1">
                  <c:v>24.506185634517259</c:v>
                </c:pt>
                <c:pt idx="2">
                  <c:v>21.506185634517259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7-47A3-A71E-80FC84F9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0" i="0" baseline="0">
                    <a:effectLst/>
                  </a:rPr>
                  <a:t>f [kHz]</a:t>
                </a:r>
                <a:endParaRPr lang="pl-PL">
                  <a:effectLst/>
                </a:endParaRPr>
              </a:p>
            </c:rich>
          </c:tx>
          <c:layout>
            <c:manualLayout>
              <c:xMode val="edge"/>
              <c:yMode val="edge"/>
              <c:x val="0.47157747388884491"/>
              <c:y val="0.9128811831223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0" i="0" baseline="0">
                    <a:effectLst/>
                  </a:rPr>
                  <a:t>Ku [db]</a:t>
                </a:r>
                <a:endParaRPr lang="pl-P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3200" b="0" i="0" baseline="0">
                <a:effectLst/>
              </a:rPr>
              <a:t>Charakterystyka układu CG</a:t>
            </a:r>
            <a:endParaRPr lang="pl-PL" sz="2400">
              <a:effectLst/>
            </a:endParaRPr>
          </a:p>
        </c:rich>
      </c:tx>
      <c:layout>
        <c:manualLayout>
          <c:xMode val="edge"/>
          <c:yMode val="edge"/>
          <c:x val="0.28144123710575941"/>
          <c:y val="1.9619151587554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527631561356233"/>
          <c:y val="0.11174045856100319"/>
          <c:w val="0.85097481300437183"/>
          <c:h val="0.75275062908303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Arkusz1!$F$15</c:f>
              <c:strCache>
                <c:ptCount val="1"/>
                <c:pt idx="0">
                  <c:v>B: CG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Arkusz1!$B$18:$B$32</c:f>
              <c:numCache>
                <c:formatCode>General</c:formatCode>
                <c:ptCount val="15"/>
                <c:pt idx="0">
                  <c:v>0.04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10</c:v>
                </c:pt>
                <c:pt idx="8">
                  <c:v>40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700</c:v>
                </c:pt>
                <c:pt idx="13">
                  <c:v>1000</c:v>
                </c:pt>
                <c:pt idx="14">
                  <c:v>2000</c:v>
                </c:pt>
              </c:numCache>
            </c:numRef>
          </c:xVal>
          <c:yVal>
            <c:numRef>
              <c:f>Arkusz1!$I$18:$I$32</c:f>
              <c:numCache>
                <c:formatCode>0.000</c:formatCode>
                <c:ptCount val="15"/>
                <c:pt idx="0">
                  <c:v>14.107136059948388</c:v>
                </c:pt>
                <c:pt idx="1">
                  <c:v>15.009596475715705</c:v>
                </c:pt>
                <c:pt idx="2">
                  <c:v>15.272256781141353</c:v>
                </c:pt>
                <c:pt idx="3">
                  <c:v>15.473201149903639</c:v>
                </c:pt>
                <c:pt idx="4">
                  <c:v>15.527206855315255</c:v>
                </c:pt>
                <c:pt idx="5">
                  <c:v>15.545134394472278</c:v>
                </c:pt>
                <c:pt idx="6">
                  <c:v>15.545134394472278</c:v>
                </c:pt>
                <c:pt idx="7">
                  <c:v>15.580878846719692</c:v>
                </c:pt>
                <c:pt idx="8">
                  <c:v>15.418857554669383</c:v>
                </c:pt>
                <c:pt idx="9">
                  <c:v>14.797499842045639</c:v>
                </c:pt>
                <c:pt idx="10">
                  <c:v>14.639928361835441</c:v>
                </c:pt>
                <c:pt idx="11">
                  <c:v>9.5780961492015937</c:v>
                </c:pt>
                <c:pt idx="12">
                  <c:v>5.3521248035406295</c:v>
                </c:pt>
                <c:pt idx="13">
                  <c:v>2.0023030576653564</c:v>
                </c:pt>
                <c:pt idx="14">
                  <c:v>-6.1285005510137482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1-48F0-98FF-E1E23BF29924}"/>
            </c:ext>
          </c:extLst>
        </c:ser>
        <c:ser>
          <c:idx val="1"/>
          <c:order val="1"/>
          <c:tx>
            <c:v>Pasmo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Arkusz1!$G$34:$G$36</c:f>
              <c:numCache>
                <c:formatCode>General</c:formatCode>
                <c:ptCount val="3"/>
                <c:pt idx="0">
                  <c:v>2.5499999999999998E-2</c:v>
                </c:pt>
                <c:pt idx="1">
                  <c:v>2.4531612258471722</c:v>
                </c:pt>
                <c:pt idx="2">
                  <c:v>236</c:v>
                </c:pt>
              </c:numCache>
            </c:numRef>
          </c:xVal>
          <c:yVal>
            <c:numRef>
              <c:f>Arkusz1!$I$34:$I$36</c:f>
              <c:numCache>
                <c:formatCode>General</c:formatCode>
                <c:ptCount val="3"/>
                <c:pt idx="0">
                  <c:v>12.563025007672874</c:v>
                </c:pt>
                <c:pt idx="1">
                  <c:v>15.563025007672874</c:v>
                </c:pt>
                <c:pt idx="2">
                  <c:v>12.563025007672874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1-48F0-98FF-E1E23BF2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0" i="0" baseline="0">
                    <a:effectLst/>
                  </a:rPr>
                  <a:t>f [kHz]</a:t>
                </a:r>
                <a:endParaRPr lang="pl-PL">
                  <a:effectLst/>
                </a:endParaRPr>
              </a:p>
            </c:rich>
          </c:tx>
          <c:layout>
            <c:manualLayout>
              <c:xMode val="edge"/>
              <c:yMode val="edge"/>
              <c:x val="0.47157747388884491"/>
              <c:y val="0.9128811831223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0" i="0" baseline="0">
                    <a:effectLst/>
                  </a:rPr>
                  <a:t>Ku [db]</a:t>
                </a:r>
                <a:endParaRPr lang="pl-P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3200" b="0" i="0" baseline="0">
                <a:effectLst/>
              </a:rPr>
              <a:t>Charakterystyka układu CD</a:t>
            </a:r>
            <a:endParaRPr lang="pl-PL" sz="2400">
              <a:effectLst/>
            </a:endParaRPr>
          </a:p>
        </c:rich>
      </c:tx>
      <c:layout>
        <c:manualLayout>
          <c:xMode val="edge"/>
          <c:yMode val="edge"/>
          <c:x val="0.28144123710575941"/>
          <c:y val="1.9619151587554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5904820632799954E-2"/>
          <c:y val="0.11174045856100319"/>
          <c:w val="0.90113205916387584"/>
          <c:h val="0.75275062908303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Arkusz1!$J$15</c:f>
              <c:strCache>
                <c:ptCount val="1"/>
                <c:pt idx="0">
                  <c:v>C: 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Arkusz1!$B$18:$B$32</c:f>
              <c:numCache>
                <c:formatCode>General</c:formatCode>
                <c:ptCount val="15"/>
                <c:pt idx="0">
                  <c:v>0.04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10</c:v>
                </c:pt>
                <c:pt idx="8">
                  <c:v>40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  <c:pt idx="12">
                  <c:v>700</c:v>
                </c:pt>
                <c:pt idx="13">
                  <c:v>1000</c:v>
                </c:pt>
                <c:pt idx="14">
                  <c:v>2000</c:v>
                </c:pt>
              </c:numCache>
            </c:numRef>
          </c:xVal>
          <c:yVal>
            <c:numRef>
              <c:f>Arkusz1!$M$18:$M$32</c:f>
              <c:numCache>
                <c:formatCode>0.000</c:formatCode>
                <c:ptCount val="15"/>
                <c:pt idx="0">
                  <c:v>-8.1716350704482021</c:v>
                </c:pt>
                <c:pt idx="1">
                  <c:v>-5.2298577790494907</c:v>
                </c:pt>
                <c:pt idx="2">
                  <c:v>-4.1271927521914211</c:v>
                </c:pt>
                <c:pt idx="3">
                  <c:v>-3.1111896785902955</c:v>
                </c:pt>
                <c:pt idx="4">
                  <c:v>-2.8336616089105271</c:v>
                </c:pt>
                <c:pt idx="5">
                  <c:v>-2.743088424935813</c:v>
                </c:pt>
                <c:pt idx="6">
                  <c:v>-2.7250865746825612</c:v>
                </c:pt>
                <c:pt idx="7">
                  <c:v>-2.6891944176675322</c:v>
                </c:pt>
                <c:pt idx="8">
                  <c:v>-2.743088424935813</c:v>
                </c:pt>
                <c:pt idx="9">
                  <c:v>-2.7792044422010602</c:v>
                </c:pt>
                <c:pt idx="10">
                  <c:v>-2.8154712574704277</c:v>
                </c:pt>
                <c:pt idx="11">
                  <c:v>-3.0736695786151875</c:v>
                </c:pt>
                <c:pt idx="12">
                  <c:v>-3.8567120578581515</c:v>
                </c:pt>
                <c:pt idx="13">
                  <c:v>-5.016550997411886</c:v>
                </c:pt>
                <c:pt idx="14">
                  <c:v>-10.001103467491726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4-45ED-B0E8-76E3F4E011D0}"/>
            </c:ext>
          </c:extLst>
        </c:ser>
        <c:ser>
          <c:idx val="1"/>
          <c:order val="1"/>
          <c:tx>
            <c:v>Pasmo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Arkusz1!$K$34:$K$36</c:f>
              <c:numCache>
                <c:formatCode>General</c:formatCode>
                <c:ptCount val="3"/>
                <c:pt idx="0">
                  <c:v>6.2E-2</c:v>
                </c:pt>
                <c:pt idx="1">
                  <c:v>8.4805660188456766</c:v>
                </c:pt>
                <c:pt idx="2">
                  <c:v>1160</c:v>
                </c:pt>
              </c:numCache>
            </c:numRef>
          </c:xVal>
          <c:yVal>
            <c:numRef>
              <c:f>Arkusz1!$M$34:$M$36</c:f>
              <c:numCache>
                <c:formatCode>General</c:formatCode>
                <c:ptCount val="3"/>
                <c:pt idx="0">
                  <c:v>-5.2701854965503623</c:v>
                </c:pt>
                <c:pt idx="1">
                  <c:v>-2.2701854965503623</c:v>
                </c:pt>
                <c:pt idx="2">
                  <c:v>-5.2701854965503623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4-45ED-B0E8-76E3F4E0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9200"/>
        <c:axId val="408517120"/>
      </c:scatterChart>
      <c:valAx>
        <c:axId val="408519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0" i="0" baseline="0">
                    <a:effectLst/>
                  </a:rPr>
                  <a:t>f [kHz]</a:t>
                </a:r>
                <a:endParaRPr lang="pl-PL">
                  <a:effectLst/>
                </a:endParaRPr>
              </a:p>
            </c:rich>
          </c:tx>
          <c:layout>
            <c:manualLayout>
              <c:xMode val="edge"/>
              <c:yMode val="edge"/>
              <c:x val="0.47157747388884491"/>
              <c:y val="0.9128811831223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7120"/>
        <c:crosses val="autoZero"/>
        <c:crossBetween val="midCat"/>
      </c:valAx>
      <c:valAx>
        <c:axId val="4085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0" i="0" baseline="0">
                    <a:effectLst/>
                  </a:rPr>
                  <a:t>Ku [db]</a:t>
                </a:r>
                <a:endParaRPr lang="pl-P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5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483577</xdr:colOff>
      <xdr:row>45</xdr:row>
      <xdr:rowOff>73269</xdr:rowOff>
    </xdr:from>
    <xdr:to>
      <xdr:col>15</xdr:col>
      <xdr:colOff>68036</xdr:colOff>
      <xdr:row>75</xdr:row>
      <xdr:rowOff>184209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62F244F-779E-4ADC-834C-56D7C7917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653142</xdr:colOff>
      <xdr:row>45</xdr:row>
      <xdr:rowOff>136071</xdr:rowOff>
    </xdr:from>
    <xdr:to>
      <xdr:col>32</xdr:col>
      <xdr:colOff>218759</xdr:colOff>
      <xdr:row>76</xdr:row>
      <xdr:rowOff>56511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7D236A5-A294-4C61-A428-052F20D8F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85</xdr:row>
      <xdr:rowOff>0</xdr:rowOff>
    </xdr:from>
    <xdr:to>
      <xdr:col>18</xdr:col>
      <xdr:colOff>300403</xdr:colOff>
      <xdr:row>115</xdr:row>
      <xdr:rowOff>110940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EEB3FAE-5776-4B73-84D2-D429D2878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96AC-5C2C-451D-A045-F8F616FF3D77}">
  <dimension ref="B2:AC45"/>
  <sheetViews>
    <sheetView tabSelected="1" topLeftCell="F16" zoomScale="132" zoomScaleNormal="42" workbookViewId="0">
      <selection activeCell="V34" activeCellId="1" sqref="V30:W30 V34:W35"/>
    </sheetView>
  </sheetViews>
  <sheetFormatPr defaultRowHeight="15" x14ac:dyDescent="0.25"/>
  <cols>
    <col min="2" max="3" width="9.28515625" bestFit="1" customWidth="1"/>
    <col min="4" max="4" width="11.42578125" customWidth="1"/>
    <col min="5" max="5" width="11.28515625" customWidth="1"/>
    <col min="6" max="6" width="9.7109375" customWidth="1"/>
    <col min="7" max="7" width="10.7109375" customWidth="1"/>
    <col min="8" max="8" width="11.42578125" customWidth="1"/>
    <col min="9" max="9" width="9.28515625" bestFit="1" customWidth="1"/>
    <col min="10" max="10" width="11.140625" customWidth="1"/>
    <col min="11" max="11" width="10.5703125" customWidth="1"/>
    <col min="12" max="12" width="9.28515625" bestFit="1" customWidth="1"/>
    <col min="13" max="13" width="10.7109375" customWidth="1"/>
    <col min="16" max="16" width="13.42578125" customWidth="1"/>
    <col min="17" max="18" width="12.5703125" bestFit="1" customWidth="1"/>
    <col min="20" max="20" width="13.140625" customWidth="1"/>
    <col min="21" max="21" width="12.140625" customWidth="1"/>
    <col min="22" max="22" width="17.42578125" customWidth="1"/>
    <col min="23" max="23" width="14" customWidth="1"/>
    <col min="26" max="26" width="4.85546875" customWidth="1"/>
    <col min="27" max="27" width="3.85546875" customWidth="1"/>
    <col min="28" max="28" width="17.5703125" customWidth="1"/>
    <col min="29" max="29" width="14.42578125" customWidth="1"/>
  </cols>
  <sheetData>
    <row r="2" spans="2:23" ht="15.75" thickBot="1" x14ac:dyDescent="0.3"/>
    <row r="3" spans="2:23" ht="16.5" thickBot="1" x14ac:dyDescent="0.3">
      <c r="B3" s="86" t="s">
        <v>0</v>
      </c>
      <c r="C3" s="87"/>
      <c r="D3" s="88"/>
      <c r="E3" s="31" t="s">
        <v>1</v>
      </c>
      <c r="F3" s="32" t="s">
        <v>2</v>
      </c>
      <c r="G3" s="33" t="s">
        <v>3</v>
      </c>
      <c r="H3" s="14"/>
      <c r="S3" s="14"/>
      <c r="T3" s="14"/>
      <c r="U3" s="14"/>
      <c r="V3" s="14"/>
      <c r="W3" s="14"/>
    </row>
    <row r="4" spans="2:23" ht="16.5" thickBot="1" x14ac:dyDescent="0.3">
      <c r="B4" s="83" t="s">
        <v>7</v>
      </c>
      <c r="C4" s="84"/>
      <c r="D4" s="85"/>
      <c r="E4" s="2">
        <v>20</v>
      </c>
      <c r="F4" s="2">
        <v>81</v>
      </c>
      <c r="G4" s="23">
        <v>661</v>
      </c>
      <c r="H4" s="14"/>
      <c r="S4" s="14"/>
      <c r="T4" s="14"/>
      <c r="U4" s="14"/>
      <c r="V4" s="14"/>
      <c r="W4" s="14"/>
    </row>
    <row r="5" spans="2:23" ht="16.5" thickBot="1" x14ac:dyDescent="0.3">
      <c r="B5" s="83" t="s">
        <v>10</v>
      </c>
      <c r="C5" s="84"/>
      <c r="D5" s="85"/>
      <c r="E5" s="2">
        <v>340</v>
      </c>
      <c r="F5" s="2">
        <v>487</v>
      </c>
      <c r="G5" s="23">
        <v>485</v>
      </c>
      <c r="H5" s="14"/>
      <c r="M5" s="14"/>
      <c r="S5" s="14"/>
      <c r="T5" s="14"/>
      <c r="U5" s="14"/>
      <c r="V5" s="14"/>
      <c r="W5" s="14"/>
    </row>
    <row r="6" spans="2:23" ht="16.5" thickBot="1" x14ac:dyDescent="0.3">
      <c r="B6" s="83" t="s">
        <v>12</v>
      </c>
      <c r="C6" s="84"/>
      <c r="D6" s="85"/>
      <c r="E6" s="2">
        <v>0.104</v>
      </c>
      <c r="F6" s="2">
        <v>2.5499999999999998E-2</v>
      </c>
      <c r="G6" s="23">
        <v>6.2E-2</v>
      </c>
      <c r="H6" s="14"/>
      <c r="M6" s="14"/>
      <c r="S6" s="14"/>
      <c r="T6" s="14"/>
      <c r="U6" s="14"/>
      <c r="V6" s="14"/>
      <c r="W6" s="14"/>
    </row>
    <row r="7" spans="2:23" ht="16.5" thickBot="1" x14ac:dyDescent="0.3">
      <c r="B7" s="83" t="s">
        <v>14</v>
      </c>
      <c r="C7" s="84"/>
      <c r="D7" s="85"/>
      <c r="E7" s="2">
        <v>180</v>
      </c>
      <c r="F7" s="2">
        <v>236</v>
      </c>
      <c r="G7" s="23">
        <v>1160</v>
      </c>
      <c r="H7" s="14"/>
      <c r="M7" s="14"/>
      <c r="S7" s="14"/>
      <c r="T7" s="14"/>
      <c r="U7" s="14"/>
      <c r="V7" s="14"/>
      <c r="W7" s="14"/>
    </row>
    <row r="8" spans="2:23" ht="16.5" thickBot="1" x14ac:dyDescent="0.3">
      <c r="B8" s="83" t="s">
        <v>16</v>
      </c>
      <c r="C8" s="84"/>
      <c r="D8" s="85"/>
      <c r="E8" s="2">
        <f>SQRT(E6*E7)</f>
        <v>4.3266615305567866</v>
      </c>
      <c r="F8" s="2">
        <f t="shared" ref="F8:G8" si="0">SQRT(F6*F7)</f>
        <v>2.4531612258471722</v>
      </c>
      <c r="G8" s="2">
        <f t="shared" si="0"/>
        <v>8.4805660188456766</v>
      </c>
      <c r="H8" s="14"/>
      <c r="M8" s="30"/>
      <c r="S8" s="14"/>
      <c r="T8" s="14"/>
      <c r="U8" s="14"/>
      <c r="V8" s="14"/>
      <c r="W8" s="14"/>
    </row>
    <row r="9" spans="2:23" ht="16.5" thickBot="1" x14ac:dyDescent="0.3">
      <c r="B9" s="83" t="s">
        <v>18</v>
      </c>
      <c r="C9" s="84"/>
      <c r="D9" s="85"/>
      <c r="E9" s="2">
        <f>E7-E6</f>
        <v>179.89599999999999</v>
      </c>
      <c r="F9" s="2">
        <f t="shared" ref="F9:G9" si="1">F7-F6</f>
        <v>235.97450000000001</v>
      </c>
      <c r="G9" s="2">
        <f t="shared" si="1"/>
        <v>1159.9380000000001</v>
      </c>
      <c r="H9" s="14"/>
      <c r="S9" s="14"/>
      <c r="T9" s="14"/>
      <c r="U9" s="14"/>
      <c r="V9" s="14"/>
      <c r="W9" s="14"/>
    </row>
    <row r="10" spans="2:23" ht="16.5" thickBot="1" x14ac:dyDescent="0.3">
      <c r="B10" s="83" t="s">
        <v>20</v>
      </c>
      <c r="C10" s="84"/>
      <c r="D10" s="85"/>
      <c r="E10" s="2">
        <v>16.8</v>
      </c>
      <c r="F10" s="2">
        <v>6</v>
      </c>
      <c r="G10" s="23">
        <v>0.77</v>
      </c>
      <c r="H10" s="14"/>
      <c r="S10" s="14"/>
      <c r="T10" s="14"/>
      <c r="U10" s="14"/>
      <c r="V10" s="14"/>
      <c r="W10" s="14"/>
    </row>
    <row r="11" spans="2:23" ht="16.5" thickBot="1" x14ac:dyDescent="0.3">
      <c r="B11" s="83" t="s">
        <v>22</v>
      </c>
      <c r="C11" s="84"/>
      <c r="D11" s="85"/>
      <c r="E11" s="2">
        <v>166</v>
      </c>
      <c r="F11" s="2">
        <v>344</v>
      </c>
      <c r="G11" s="23">
        <v>241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 t="s">
        <v>90</v>
      </c>
      <c r="U11" s="14"/>
      <c r="V11" s="14"/>
      <c r="W11" s="14"/>
    </row>
    <row r="12" spans="2:23" ht="16.5" thickBot="1" x14ac:dyDescent="0.3">
      <c r="B12" s="90" t="s">
        <v>23</v>
      </c>
      <c r="C12" s="91"/>
      <c r="D12" s="92"/>
      <c r="E12" s="24">
        <v>110</v>
      </c>
      <c r="F12" s="24">
        <v>150</v>
      </c>
      <c r="G12" s="25">
        <v>264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59" t="s">
        <v>81</v>
      </c>
      <c r="U12" s="63">
        <v>1.2578000000000001E-4</v>
      </c>
      <c r="V12" s="63">
        <v>1.2507999999999999E-4</v>
      </c>
      <c r="W12" s="63">
        <v>1.2373000000000001E-4</v>
      </c>
    </row>
    <row r="13" spans="2:23" x14ac:dyDescent="0.2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Q13" s="14"/>
      <c r="R13" s="14"/>
      <c r="S13" s="14"/>
    </row>
    <row r="14" spans="2:23" ht="15.75" thickBot="1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Q14" s="14"/>
      <c r="R14" s="14"/>
      <c r="S14" s="14"/>
      <c r="T14" s="14"/>
      <c r="U14" s="14"/>
      <c r="V14" s="14"/>
      <c r="W14" s="14"/>
    </row>
    <row r="15" spans="2:23" ht="15.75" thickBot="1" x14ac:dyDescent="0.3">
      <c r="B15" s="93" t="s">
        <v>1</v>
      </c>
      <c r="C15" s="94"/>
      <c r="D15" s="94"/>
      <c r="E15" s="95"/>
      <c r="F15" s="81" t="s">
        <v>5</v>
      </c>
      <c r="G15" s="82"/>
      <c r="H15" s="82"/>
      <c r="I15" s="96"/>
      <c r="J15" s="97" t="s">
        <v>6</v>
      </c>
      <c r="K15" s="98"/>
      <c r="L15" s="98"/>
      <c r="M15" s="99"/>
      <c r="N15" s="15"/>
      <c r="Q15" s="14"/>
      <c r="R15" s="14"/>
      <c r="S15" s="14"/>
      <c r="T15" s="14"/>
      <c r="U15" s="14"/>
      <c r="V15" s="14"/>
      <c r="W15" s="14"/>
    </row>
    <row r="16" spans="2:23" ht="15.75" thickBot="1" x14ac:dyDescent="0.3">
      <c r="B16" s="18" t="s">
        <v>27</v>
      </c>
      <c r="C16" s="3" t="s">
        <v>28</v>
      </c>
      <c r="D16" s="3" t="s">
        <v>11</v>
      </c>
      <c r="E16" s="3" t="s">
        <v>11</v>
      </c>
      <c r="F16" s="3" t="s">
        <v>27</v>
      </c>
      <c r="G16" s="3" t="s">
        <v>28</v>
      </c>
      <c r="H16" s="3" t="s">
        <v>11</v>
      </c>
      <c r="I16" s="3" t="s">
        <v>11</v>
      </c>
      <c r="J16" s="3" t="s">
        <v>27</v>
      </c>
      <c r="K16" s="3" t="s">
        <v>28</v>
      </c>
      <c r="L16" s="3" t="s">
        <v>11</v>
      </c>
      <c r="M16" s="19" t="s">
        <v>11</v>
      </c>
      <c r="N16" s="15"/>
      <c r="Q16" s="14"/>
      <c r="R16" s="14"/>
      <c r="S16" s="14"/>
      <c r="T16" s="10" t="s">
        <v>30</v>
      </c>
      <c r="U16" s="64">
        <f>U28*1000</f>
        <v>2.6785690261909405</v>
      </c>
      <c r="V16" s="14"/>
      <c r="W16" s="14"/>
    </row>
    <row r="17" spans="2:29" ht="15.75" thickBot="1" x14ac:dyDescent="0.3">
      <c r="B17" s="18" t="s">
        <v>31</v>
      </c>
      <c r="C17" s="3" t="s">
        <v>32</v>
      </c>
      <c r="D17" s="3" t="s">
        <v>33</v>
      </c>
      <c r="E17" s="3" t="s">
        <v>34</v>
      </c>
      <c r="F17" s="3" t="s">
        <v>31</v>
      </c>
      <c r="G17" s="3" t="s">
        <v>32</v>
      </c>
      <c r="H17" s="3" t="s">
        <v>33</v>
      </c>
      <c r="I17" s="3" t="s">
        <v>34</v>
      </c>
      <c r="J17" s="3" t="s">
        <v>31</v>
      </c>
      <c r="K17" s="3" t="s">
        <v>32</v>
      </c>
      <c r="L17" s="3" t="s">
        <v>33</v>
      </c>
      <c r="M17" s="19" t="s">
        <v>34</v>
      </c>
      <c r="N17" s="15"/>
      <c r="Q17" s="14"/>
      <c r="R17" s="14"/>
      <c r="S17" s="14"/>
      <c r="T17" s="11" t="s">
        <v>30</v>
      </c>
      <c r="U17" s="12">
        <f>U29*1000</f>
        <v>2.2176035808129808</v>
      </c>
      <c r="V17" s="14"/>
      <c r="W17" s="14"/>
    </row>
    <row r="18" spans="2:29" ht="15.75" thickBot="1" x14ac:dyDescent="0.3">
      <c r="B18" s="18">
        <v>0.04</v>
      </c>
      <c r="C18" s="4">
        <v>-95.7</v>
      </c>
      <c r="D18" s="4">
        <f>C18/$E$4</f>
        <v>-4.7850000000000001</v>
      </c>
      <c r="E18" s="68">
        <f>20*LOG10(ABS(D18))</f>
        <v>13.597638842257247</v>
      </c>
      <c r="F18" s="5">
        <v>0.04</v>
      </c>
      <c r="G18" s="4">
        <v>411</v>
      </c>
      <c r="H18" s="4">
        <f t="shared" ref="H18:H32" si="2">G18/$F$4</f>
        <v>5.0740740740740744</v>
      </c>
      <c r="I18" s="68">
        <f t="shared" ref="I18:I32" si="3">20*LOG10(H18)</f>
        <v>14.107136059948388</v>
      </c>
      <c r="J18" s="5">
        <v>0.04</v>
      </c>
      <c r="K18" s="4">
        <v>258</v>
      </c>
      <c r="L18" s="68">
        <f t="shared" ref="L18:L32" si="4">K18/$G$4</f>
        <v>0.39031770045385777</v>
      </c>
      <c r="M18" s="66">
        <f t="shared" ref="M18:M32" si="5">20*LOG10(L18)</f>
        <v>-8.1716350704482021</v>
      </c>
      <c r="N18" s="15"/>
      <c r="Q18" s="14"/>
      <c r="R18" s="14"/>
      <c r="S18" s="14"/>
      <c r="T18" s="13" t="s">
        <v>30</v>
      </c>
      <c r="U18" s="65">
        <f>U30*1000</f>
        <v>104.66800000000001</v>
      </c>
      <c r="V18" s="14"/>
      <c r="W18" s="14"/>
    </row>
    <row r="19" spans="2:29" ht="15.75" thickBot="1" x14ac:dyDescent="0.3">
      <c r="B19" s="18">
        <v>7.0000000000000007E-2</v>
      </c>
      <c r="C19" s="4">
        <v>-183</v>
      </c>
      <c r="D19" s="4">
        <f>C19/$E$4</f>
        <v>-9.15</v>
      </c>
      <c r="E19" s="68">
        <f t="shared" ref="E19:E32" si="6">20*LOG10(ABS(D19))</f>
        <v>19.228421881328966</v>
      </c>
      <c r="F19" s="5">
        <v>7.0000000000000007E-2</v>
      </c>
      <c r="G19" s="4">
        <v>456</v>
      </c>
      <c r="H19" s="4">
        <f t="shared" si="2"/>
        <v>5.6296296296296298</v>
      </c>
      <c r="I19" s="68">
        <f t="shared" si="3"/>
        <v>15.009596475715705</v>
      </c>
      <c r="J19" s="5">
        <v>7.0000000000000007E-2</v>
      </c>
      <c r="K19" s="4">
        <v>362</v>
      </c>
      <c r="L19" s="68">
        <f t="shared" si="4"/>
        <v>0.54765506807866871</v>
      </c>
      <c r="M19" s="66">
        <f t="shared" si="5"/>
        <v>-5.2298577790494907</v>
      </c>
      <c r="N19" s="15"/>
      <c r="O19" s="43"/>
      <c r="P19" s="44" t="s">
        <v>77</v>
      </c>
      <c r="Q19" s="45" t="s">
        <v>78</v>
      </c>
      <c r="R19" s="46" t="s">
        <v>79</v>
      </c>
      <c r="S19" s="14"/>
      <c r="T19" s="14"/>
      <c r="U19" s="14"/>
      <c r="V19" s="14"/>
      <c r="W19" s="14"/>
    </row>
    <row r="20" spans="2:29" ht="15.75" thickBot="1" x14ac:dyDescent="0.3">
      <c r="B20" s="18">
        <v>0.1</v>
      </c>
      <c r="C20" s="4">
        <v>-236</v>
      </c>
      <c r="D20" s="4">
        <f t="shared" ref="D18:D32" si="7">C20/$E$4</f>
        <v>-11.8</v>
      </c>
      <c r="E20" s="68">
        <f t="shared" si="6"/>
        <v>21.437640146122511</v>
      </c>
      <c r="F20" s="5">
        <v>0.1</v>
      </c>
      <c r="G20" s="4">
        <v>470</v>
      </c>
      <c r="H20" s="4">
        <f t="shared" si="2"/>
        <v>5.8024691358024691</v>
      </c>
      <c r="I20" s="68">
        <f t="shared" si="3"/>
        <v>15.272256781141353</v>
      </c>
      <c r="J20" s="5">
        <v>0.1</v>
      </c>
      <c r="K20" s="4">
        <v>411</v>
      </c>
      <c r="L20" s="68">
        <f t="shared" si="4"/>
        <v>0.62178517397881994</v>
      </c>
      <c r="M20" s="66">
        <f t="shared" si="5"/>
        <v>-4.1271927521914211</v>
      </c>
      <c r="N20" s="15"/>
      <c r="O20" s="47" t="s">
        <v>58</v>
      </c>
      <c r="P20" s="38">
        <v>3.1231999999999999E-4</v>
      </c>
      <c r="Q20" s="39">
        <v>3.2346000000000002E-4</v>
      </c>
      <c r="R20" s="51">
        <v>3.0915000000000001E-4</v>
      </c>
      <c r="S20" s="14"/>
      <c r="T20" s="14"/>
      <c r="U20" s="14"/>
      <c r="V20" s="14"/>
      <c r="W20" s="14"/>
    </row>
    <row r="21" spans="2:29" ht="15.75" thickBot="1" x14ac:dyDescent="0.3">
      <c r="B21" s="18">
        <v>0.2</v>
      </c>
      <c r="C21" s="4">
        <v>-302</v>
      </c>
      <c r="D21" s="4">
        <f t="shared" si="7"/>
        <v>-15.1</v>
      </c>
      <c r="E21" s="68">
        <f t="shared" si="6"/>
        <v>23.579538945863391</v>
      </c>
      <c r="F21" s="5">
        <v>0.2</v>
      </c>
      <c r="G21" s="4">
        <v>481</v>
      </c>
      <c r="H21" s="4">
        <f t="shared" si="2"/>
        <v>5.9382716049382713</v>
      </c>
      <c r="I21" s="68">
        <f t="shared" si="3"/>
        <v>15.473201149903639</v>
      </c>
      <c r="J21" s="5">
        <v>0.2</v>
      </c>
      <c r="K21" s="4">
        <v>462</v>
      </c>
      <c r="L21" s="68">
        <f t="shared" si="4"/>
        <v>0.69894099848714064</v>
      </c>
      <c r="M21" s="66">
        <f t="shared" si="5"/>
        <v>-3.1111896785902955</v>
      </c>
      <c r="N21" s="15"/>
      <c r="O21" s="47" t="s">
        <v>59</v>
      </c>
      <c r="P21" s="36">
        <v>1.272</v>
      </c>
      <c r="Q21" s="37">
        <v>1.264</v>
      </c>
      <c r="R21" s="49">
        <v>1.252</v>
      </c>
      <c r="S21" s="14"/>
      <c r="T21" s="10" t="s">
        <v>40</v>
      </c>
      <c r="U21" s="61" t="s">
        <v>41</v>
      </c>
      <c r="V21" s="61" t="s">
        <v>42</v>
      </c>
      <c r="W21" s="62" t="s">
        <v>43</v>
      </c>
      <c r="AB21" s="1" t="s">
        <v>24</v>
      </c>
      <c r="AC21" s="26">
        <f>((E11/(E5-E11))*P28-P25)/1000</f>
        <v>282.37011494252869</v>
      </c>
    </row>
    <row r="22" spans="2:29" ht="15.75" thickBot="1" x14ac:dyDescent="0.3">
      <c r="B22" s="18">
        <v>0.4</v>
      </c>
      <c r="C22" s="4">
        <v>-325</v>
      </c>
      <c r="D22" s="4">
        <f t="shared" si="7"/>
        <v>-16.25</v>
      </c>
      <c r="E22" s="68">
        <f t="shared" si="6"/>
        <v>24.217067306297864</v>
      </c>
      <c r="F22" s="5">
        <v>0.4</v>
      </c>
      <c r="G22" s="4">
        <v>484</v>
      </c>
      <c r="H22" s="4">
        <f t="shared" si="2"/>
        <v>5.9753086419753085</v>
      </c>
      <c r="I22" s="68">
        <f t="shared" si="3"/>
        <v>15.527206855315255</v>
      </c>
      <c r="J22" s="5">
        <v>0.4</v>
      </c>
      <c r="K22" s="4">
        <v>477</v>
      </c>
      <c r="L22" s="68">
        <f t="shared" si="4"/>
        <v>0.72163388804841144</v>
      </c>
      <c r="M22" s="66">
        <f t="shared" si="5"/>
        <v>-2.8336616089105271</v>
      </c>
      <c r="N22" s="15"/>
      <c r="O22" s="47" t="s">
        <v>60</v>
      </c>
      <c r="P22" s="38">
        <v>1.236E-11</v>
      </c>
      <c r="Q22" s="38">
        <v>1.234E-11</v>
      </c>
      <c r="R22" s="50">
        <v>1.1419999999999999E-11</v>
      </c>
      <c r="S22" s="14"/>
      <c r="T22" s="57" t="s">
        <v>83</v>
      </c>
      <c r="U22" s="41">
        <f>P38*(P34/(P33+P34))</f>
        <v>4.6663419386264007</v>
      </c>
      <c r="V22" s="41">
        <f t="shared" ref="V22:W22" si="8">Q38*(Q34/(Q33+Q34))</f>
        <v>4.6697930142302724</v>
      </c>
      <c r="W22" s="41">
        <f t="shared" si="8"/>
        <v>4.6694194802040316</v>
      </c>
      <c r="AB22" s="1" t="s">
        <v>25</v>
      </c>
      <c r="AC22" s="27">
        <f>(F11/(F5-F11)*Q28-Q25)/1000</f>
        <v>2.3040559440559436</v>
      </c>
    </row>
    <row r="23" spans="2:29" ht="15.75" thickBot="1" x14ac:dyDescent="0.3">
      <c r="B23" s="18">
        <v>0.7</v>
      </c>
      <c r="C23" s="4">
        <v>-331</v>
      </c>
      <c r="D23" s="4">
        <f t="shared" si="7"/>
        <v>-16.55</v>
      </c>
      <c r="E23" s="68">
        <f t="shared" si="6"/>
        <v>24.375959962234752</v>
      </c>
      <c r="F23" s="5">
        <v>0.7</v>
      </c>
      <c r="G23" s="4">
        <v>485</v>
      </c>
      <c r="H23" s="4">
        <f t="shared" si="2"/>
        <v>5.9876543209876543</v>
      </c>
      <c r="I23" s="68">
        <f t="shared" si="3"/>
        <v>15.545134394472278</v>
      </c>
      <c r="J23" s="5">
        <v>0.7</v>
      </c>
      <c r="K23" s="4">
        <v>482</v>
      </c>
      <c r="L23" s="68">
        <f t="shared" si="4"/>
        <v>0.72919818456883512</v>
      </c>
      <c r="M23" s="66">
        <f t="shared" si="5"/>
        <v>-2.743088424935813</v>
      </c>
      <c r="N23" s="15"/>
      <c r="O23" s="47" t="s">
        <v>61</v>
      </c>
      <c r="P23" s="38">
        <v>9.33E-12</v>
      </c>
      <c r="Q23" s="39">
        <v>9.7400000000000001E-12</v>
      </c>
      <c r="R23" s="51">
        <v>8.9899999999999995E-12</v>
      </c>
      <c r="S23" s="14"/>
      <c r="T23" s="58" t="s">
        <v>82</v>
      </c>
      <c r="U23" s="38">
        <f>U22-U12*P35</f>
        <v>1.9029553386264006</v>
      </c>
      <c r="V23" s="38">
        <f>V22-V12*Q35</f>
        <v>1.8855122142302725</v>
      </c>
      <c r="W23" s="38">
        <f>W22-W12*R35</f>
        <v>1.9090031802040315</v>
      </c>
      <c r="AB23" s="1" t="s">
        <v>26</v>
      </c>
      <c r="AC23" s="27">
        <f>(G11/(G5-G11)*R28-R25)/1000</f>
        <v>298.13155737704915</v>
      </c>
    </row>
    <row r="24" spans="2:29" ht="15.75" thickBot="1" x14ac:dyDescent="0.3">
      <c r="B24" s="18">
        <v>1</v>
      </c>
      <c r="C24" s="4">
        <v>-333</v>
      </c>
      <c r="D24" s="4">
        <f t="shared" si="7"/>
        <v>-16.649999999999999</v>
      </c>
      <c r="E24" s="68">
        <f t="shared" si="6"/>
        <v>24.428284756846775</v>
      </c>
      <c r="F24" s="5">
        <v>1</v>
      </c>
      <c r="G24" s="4">
        <v>485</v>
      </c>
      <c r="H24" s="4">
        <f t="shared" si="2"/>
        <v>5.9876543209876543</v>
      </c>
      <c r="I24" s="68">
        <f t="shared" si="3"/>
        <v>15.545134394472278</v>
      </c>
      <c r="J24" s="5">
        <v>1</v>
      </c>
      <c r="K24" s="4">
        <v>483</v>
      </c>
      <c r="L24" s="68">
        <f t="shared" si="4"/>
        <v>0.73071104387291985</v>
      </c>
      <c r="M24" s="66">
        <f t="shared" si="5"/>
        <v>-2.7250865746825612</v>
      </c>
      <c r="N24" s="15"/>
      <c r="O24" s="47" t="s">
        <v>62</v>
      </c>
      <c r="P24" s="38">
        <v>1.7E-12</v>
      </c>
      <c r="Q24" s="39">
        <v>1.8399999999999998E-12</v>
      </c>
      <c r="R24" s="51">
        <v>1.9300000000000001E-12</v>
      </c>
      <c r="S24" s="14"/>
      <c r="T24" s="59" t="s">
        <v>81</v>
      </c>
      <c r="U24" s="38">
        <f>P20*(U23-P21)^2</f>
        <v>1.243360409590298E-4</v>
      </c>
      <c r="V24" s="38">
        <f t="shared" ref="V24:W24" si="9">Q20*(V23-Q21)^2</f>
        <v>1.2494529829620664E-4</v>
      </c>
      <c r="W24" s="38">
        <f t="shared" si="9"/>
        <v>1.3344558022546695E-4</v>
      </c>
      <c r="AB24" s="1" t="s">
        <v>29</v>
      </c>
      <c r="AC24" s="7">
        <f>(AC26*AC25)/(AC28-(AC26/AC27))/1000</f>
        <v>47.758748785552356</v>
      </c>
    </row>
    <row r="25" spans="2:29" ht="15.75" thickBot="1" x14ac:dyDescent="0.3">
      <c r="B25" s="18">
        <v>10</v>
      </c>
      <c r="C25" s="4">
        <v>-338</v>
      </c>
      <c r="D25" s="4">
        <f t="shared" si="7"/>
        <v>-16.899999999999999</v>
      </c>
      <c r="E25" s="68">
        <f t="shared" si="6"/>
        <v>24.557734092273471</v>
      </c>
      <c r="F25" s="5">
        <v>10</v>
      </c>
      <c r="G25" s="4">
        <v>487</v>
      </c>
      <c r="H25" s="4">
        <f t="shared" si="2"/>
        <v>6.0123456790123457</v>
      </c>
      <c r="I25" s="68">
        <f t="shared" si="3"/>
        <v>15.580878846719692</v>
      </c>
      <c r="J25" s="5">
        <v>10</v>
      </c>
      <c r="K25" s="4">
        <v>485</v>
      </c>
      <c r="L25" s="68">
        <f t="shared" si="4"/>
        <v>0.73373676248108921</v>
      </c>
      <c r="M25" s="66">
        <f t="shared" si="5"/>
        <v>-2.6891944176675322</v>
      </c>
      <c r="N25" s="15"/>
      <c r="O25" s="47" t="s">
        <v>63</v>
      </c>
      <c r="P25" s="40">
        <v>4600</v>
      </c>
      <c r="Q25" s="35">
        <v>4600</v>
      </c>
      <c r="R25" s="48">
        <v>4600</v>
      </c>
      <c r="S25" s="14"/>
      <c r="T25" s="60" t="s">
        <v>84</v>
      </c>
      <c r="U25" s="38">
        <f>2*SQRT(P20*U12)</f>
        <v>3.9640186477866117E-4</v>
      </c>
      <c r="V25" s="38">
        <f>2*SQRT(Q20*V12)</f>
        <v>4.0228535543815162E-4</v>
      </c>
      <c r="W25" s="38">
        <f>2*SQRT(R20*W12)</f>
        <v>3.9115791951589067E-4</v>
      </c>
      <c r="AB25" s="1" t="s">
        <v>35</v>
      </c>
      <c r="AC25" s="8">
        <f>1-AC28</f>
        <v>-2.0909090909090908</v>
      </c>
    </row>
    <row r="26" spans="2:29" ht="15.75" thickBot="1" x14ac:dyDescent="0.3">
      <c r="B26" s="18">
        <v>40</v>
      </c>
      <c r="C26" s="4">
        <v>-330</v>
      </c>
      <c r="D26" s="4">
        <f t="shared" si="7"/>
        <v>-16.5</v>
      </c>
      <c r="E26" s="68">
        <f t="shared" si="6"/>
        <v>24.349678884278127</v>
      </c>
      <c r="F26" s="5">
        <v>40</v>
      </c>
      <c r="G26" s="4">
        <v>478</v>
      </c>
      <c r="H26" s="4">
        <f t="shared" si="2"/>
        <v>5.9012345679012341</v>
      </c>
      <c r="I26" s="68">
        <f t="shared" si="3"/>
        <v>15.418857554669383</v>
      </c>
      <c r="J26" s="5">
        <v>40</v>
      </c>
      <c r="K26" s="4">
        <v>482</v>
      </c>
      <c r="L26" s="68">
        <f t="shared" si="4"/>
        <v>0.72919818456883512</v>
      </c>
      <c r="M26" s="66">
        <f t="shared" si="5"/>
        <v>-2.743088424935813</v>
      </c>
      <c r="N26" s="15"/>
      <c r="O26" s="47" t="s">
        <v>64</v>
      </c>
      <c r="P26" s="38">
        <v>1000000</v>
      </c>
      <c r="Q26" s="38">
        <v>1000000</v>
      </c>
      <c r="R26" s="50">
        <v>1000000</v>
      </c>
      <c r="S26" s="14"/>
      <c r="T26" s="100" t="s">
        <v>44</v>
      </c>
      <c r="U26" s="103">
        <f>((P33*P34)/(P33+P34))/1000</f>
        <v>292.73518428316288</v>
      </c>
      <c r="V26" s="104">
        <f>(1/((1/Q35)+(1/(1/(V25)))))/1000</f>
        <v>2.236091028900002</v>
      </c>
      <c r="W26" s="104">
        <f>(1/((1/R33)+(1/R34)))/1000</f>
        <v>293.58974981782853</v>
      </c>
      <c r="AB26" s="1" t="s">
        <v>36</v>
      </c>
      <c r="AC26" s="28">
        <f>1/((1/P37)+(1/P26))</f>
        <v>1000000</v>
      </c>
    </row>
    <row r="27" spans="2:29" ht="15.75" thickBot="1" x14ac:dyDescent="0.3">
      <c r="B27" s="18">
        <v>100</v>
      </c>
      <c r="C27" s="4">
        <v>-296</v>
      </c>
      <c r="D27" s="4">
        <f t="shared" si="7"/>
        <v>-14.8</v>
      </c>
      <c r="E27" s="68">
        <f t="shared" si="6"/>
        <v>23.40523430789915</v>
      </c>
      <c r="F27" s="5">
        <v>100</v>
      </c>
      <c r="G27" s="4">
        <v>445</v>
      </c>
      <c r="H27" s="4">
        <f t="shared" si="2"/>
        <v>5.4938271604938276</v>
      </c>
      <c r="I27" s="68">
        <f t="shared" si="3"/>
        <v>14.797499842045639</v>
      </c>
      <c r="J27" s="5">
        <v>100</v>
      </c>
      <c r="K27" s="4">
        <v>480</v>
      </c>
      <c r="L27" s="68">
        <f t="shared" si="4"/>
        <v>0.72617246596066565</v>
      </c>
      <c r="M27" s="66">
        <f t="shared" si="5"/>
        <v>-2.7792044422010602</v>
      </c>
      <c r="N27" s="15"/>
      <c r="O27" s="47" t="s">
        <v>65</v>
      </c>
      <c r="P27" s="34" t="s">
        <v>80</v>
      </c>
      <c r="Q27" s="35" t="s">
        <v>80</v>
      </c>
      <c r="R27" s="51">
        <v>3.5000000000000002E-11</v>
      </c>
      <c r="S27" s="14"/>
      <c r="T27" s="57" t="s">
        <v>45</v>
      </c>
      <c r="U27" s="103">
        <f>P36/1000</f>
        <v>46.68</v>
      </c>
      <c r="V27" s="104">
        <f>Q36/1000</f>
        <v>46.83</v>
      </c>
      <c r="W27" s="104">
        <f>(1/((1/R35)+(1/(1/(W25)))))/1000</f>
        <v>2.2936786253973209</v>
      </c>
      <c r="AB27" s="1" t="s">
        <v>37</v>
      </c>
      <c r="AC27" s="28">
        <f>1/((1/P37)+(1/P26)+(1/P29))</f>
        <v>21334.899197494618</v>
      </c>
    </row>
    <row r="28" spans="2:29" ht="15.75" thickBot="1" x14ac:dyDescent="0.3">
      <c r="B28" s="18">
        <v>200</v>
      </c>
      <c r="C28" s="4">
        <v>-229</v>
      </c>
      <c r="D28" s="4">
        <f t="shared" si="7"/>
        <v>-11.45</v>
      </c>
      <c r="E28" s="68">
        <f t="shared" si="6"/>
        <v>21.176109733518132</v>
      </c>
      <c r="F28" s="5">
        <v>200</v>
      </c>
      <c r="G28" s="4">
        <v>437</v>
      </c>
      <c r="H28" s="4">
        <f t="shared" si="2"/>
        <v>5.3950617283950617</v>
      </c>
      <c r="I28" s="68">
        <f t="shared" si="3"/>
        <v>14.639928361835441</v>
      </c>
      <c r="J28" s="5">
        <v>200</v>
      </c>
      <c r="K28" s="4">
        <v>478</v>
      </c>
      <c r="L28" s="68">
        <f t="shared" si="4"/>
        <v>0.72314674735249618</v>
      </c>
      <c r="M28" s="66">
        <f t="shared" si="5"/>
        <v>-2.8154712574704277</v>
      </c>
      <c r="N28" s="15"/>
      <c r="O28" s="47" t="s">
        <v>66</v>
      </c>
      <c r="P28" s="41">
        <v>300800</v>
      </c>
      <c r="Q28" s="42">
        <v>2870</v>
      </c>
      <c r="R28" s="52">
        <v>306500</v>
      </c>
      <c r="S28" s="14"/>
      <c r="T28" s="57" t="s">
        <v>46</v>
      </c>
      <c r="U28" s="105">
        <f>(9.15*10^-12)*(P25+U26*10^6)</f>
        <v>2.6785690261909405E-3</v>
      </c>
      <c r="V28" s="105">
        <f>Q31*(Q25+1/((1/Q35)+(1/(1/(V25)))))</f>
        <v>6.6993692083220013E-3</v>
      </c>
      <c r="W28" s="105">
        <f>(R30)*(50+W26*1000)</f>
        <v>2.6926765058294879E-3</v>
      </c>
      <c r="AB28" s="1" t="s">
        <v>38</v>
      </c>
      <c r="AC28" s="6">
        <f>E5/E12</f>
        <v>3.0909090909090908</v>
      </c>
    </row>
    <row r="29" spans="2:29" ht="15.75" thickBot="1" x14ac:dyDescent="0.3">
      <c r="B29" s="18">
        <v>400</v>
      </c>
      <c r="C29" s="4">
        <v>-140</v>
      </c>
      <c r="D29" s="4">
        <f t="shared" si="7"/>
        <v>-7</v>
      </c>
      <c r="E29" s="68">
        <f t="shared" si="6"/>
        <v>16.901960800285135</v>
      </c>
      <c r="F29" s="5">
        <v>400</v>
      </c>
      <c r="G29" s="4">
        <v>244</v>
      </c>
      <c r="H29" s="4">
        <f t="shared" si="2"/>
        <v>3.0123456790123457</v>
      </c>
      <c r="I29" s="68">
        <f t="shared" si="3"/>
        <v>9.5780961492015937</v>
      </c>
      <c r="J29" s="5">
        <v>400</v>
      </c>
      <c r="K29" s="4">
        <v>464</v>
      </c>
      <c r="L29" s="68">
        <f t="shared" si="4"/>
        <v>0.70196671709531011</v>
      </c>
      <c r="M29" s="66">
        <f t="shared" si="5"/>
        <v>-3.0736695786151875</v>
      </c>
      <c r="N29" s="15"/>
      <c r="O29" s="47" t="s">
        <v>67</v>
      </c>
      <c r="P29" s="41">
        <v>21800</v>
      </c>
      <c r="Q29" s="42">
        <v>20490</v>
      </c>
      <c r="R29" s="52">
        <v>3142</v>
      </c>
      <c r="S29" s="14"/>
      <c r="T29" s="57" t="s">
        <v>47</v>
      </c>
      <c r="U29" s="105">
        <f>((P35*(1/U25))/(P35+(1/U25)))*P31</f>
        <v>2.2176035808129809E-3</v>
      </c>
      <c r="V29" s="105">
        <f>Q32*(Q36+1/((1/Q37)+(1/Q26)))</f>
        <v>0.104683</v>
      </c>
      <c r="W29" s="105">
        <f>(R31)*((1/((W25)+(1/R35)))+(1/((1/R37)+(1/R26))))</f>
        <v>1.5483271855016944E-2</v>
      </c>
      <c r="AB29" s="1" t="s">
        <v>39</v>
      </c>
      <c r="AC29" s="9">
        <f>(AC31*AC30)/(AC33-(AC31/AC32))/1000</f>
        <v>48.25560832474288</v>
      </c>
    </row>
    <row r="30" spans="2:29" ht="15.75" thickBot="1" x14ac:dyDescent="0.3">
      <c r="B30" s="18">
        <v>700</v>
      </c>
      <c r="C30" s="4">
        <v>-84</v>
      </c>
      <c r="D30" s="4">
        <f t="shared" si="7"/>
        <v>-4.2</v>
      </c>
      <c r="E30" s="68">
        <f t="shared" si="6"/>
        <v>12.464985807958008</v>
      </c>
      <c r="F30" s="5">
        <v>700</v>
      </c>
      <c r="G30" s="4">
        <v>150</v>
      </c>
      <c r="H30" s="4">
        <f t="shared" si="2"/>
        <v>1.8518518518518519</v>
      </c>
      <c r="I30" s="68">
        <f t="shared" si="3"/>
        <v>5.3521248035406295</v>
      </c>
      <c r="J30" s="5">
        <v>700</v>
      </c>
      <c r="K30" s="4">
        <v>424</v>
      </c>
      <c r="L30" s="68">
        <f t="shared" si="4"/>
        <v>0.64145234493192138</v>
      </c>
      <c r="M30" s="66">
        <f t="shared" si="5"/>
        <v>-3.8567120578581515</v>
      </c>
      <c r="N30" s="15"/>
      <c r="O30" s="47" t="s">
        <v>68</v>
      </c>
      <c r="P30" s="41">
        <v>9.1499999999999992E-9</v>
      </c>
      <c r="Q30" s="42">
        <v>9.1999999999999997E-9</v>
      </c>
      <c r="R30" s="52">
        <v>9.1700000000000004E-9</v>
      </c>
      <c r="S30" s="14"/>
      <c r="T30" s="57" t="s">
        <v>49</v>
      </c>
      <c r="U30" s="105">
        <f>100*10^-9*(P36+((P37*P26)/(P37+P26)))</f>
        <v>0.10466800000000001</v>
      </c>
      <c r="V30" s="106"/>
      <c r="W30" s="106"/>
      <c r="AB30" s="1" t="s">
        <v>35</v>
      </c>
      <c r="AC30" s="6">
        <f>1-AC33</f>
        <v>-2.2466666666666666</v>
      </c>
    </row>
    <row r="31" spans="2:29" ht="15.75" thickBot="1" x14ac:dyDescent="0.3">
      <c r="B31" s="18">
        <v>1000</v>
      </c>
      <c r="C31" s="4">
        <v>-58</v>
      </c>
      <c r="D31" s="4">
        <f t="shared" si="7"/>
        <v>-2.9</v>
      </c>
      <c r="E31" s="68">
        <f t="shared" si="6"/>
        <v>9.2479599579791216</v>
      </c>
      <c r="F31" s="5">
        <v>1000</v>
      </c>
      <c r="G31" s="4">
        <v>102</v>
      </c>
      <c r="H31" s="4">
        <f t="shared" si="2"/>
        <v>1.2592592592592593</v>
      </c>
      <c r="I31" s="68">
        <f t="shared" si="3"/>
        <v>2.0023030576653564</v>
      </c>
      <c r="J31" s="5">
        <v>1000</v>
      </c>
      <c r="K31" s="4">
        <v>371</v>
      </c>
      <c r="L31" s="68">
        <f t="shared" si="4"/>
        <v>0.56127080181543121</v>
      </c>
      <c r="M31" s="66">
        <f t="shared" si="5"/>
        <v>-5.016550997411886</v>
      </c>
      <c r="N31" s="15"/>
      <c r="O31" s="47" t="s">
        <v>69</v>
      </c>
      <c r="P31" s="41">
        <v>9.7999999999999993E-7</v>
      </c>
      <c r="Q31" s="41">
        <v>9.7999999999999993E-7</v>
      </c>
      <c r="R31" s="52">
        <v>1.001E-6</v>
      </c>
      <c r="S31" s="14"/>
      <c r="T31" s="57" t="s">
        <v>50</v>
      </c>
      <c r="U31" s="105">
        <f>(1/(2*3.14))*((1/U16)+(1/U17)+(1/U18))</f>
        <v>0.1327746671004488</v>
      </c>
      <c r="V31" s="107">
        <f>(1/(2*3.14)*(1/V28+1/V29))/1000</f>
        <v>2.5289878031166443E-2</v>
      </c>
      <c r="W31" s="107">
        <f>((1/(2*PI()))*((1/W28)+(1/W29)))/1000</f>
        <v>6.938575073068963E-2</v>
      </c>
      <c r="AB31" s="1" t="s">
        <v>36</v>
      </c>
      <c r="AC31" s="29">
        <f>1/((1/Q37)+(1/Q26))</f>
        <v>1000000</v>
      </c>
    </row>
    <row r="32" spans="2:29" ht="15.75" thickBot="1" x14ac:dyDescent="0.3">
      <c r="B32" s="20">
        <v>2000</v>
      </c>
      <c r="C32" s="21">
        <v>-24</v>
      </c>
      <c r="D32" s="21">
        <f t="shared" si="7"/>
        <v>-1.2</v>
      </c>
      <c r="E32" s="68">
        <f t="shared" si="6"/>
        <v>1.5836249209524964</v>
      </c>
      <c r="F32" s="22">
        <v>2000</v>
      </c>
      <c r="G32" s="21">
        <v>40</v>
      </c>
      <c r="H32" s="21">
        <f t="shared" si="2"/>
        <v>0.49382716049382713</v>
      </c>
      <c r="I32" s="69">
        <f t="shared" si="3"/>
        <v>-6.1285005510137482</v>
      </c>
      <c r="J32" s="22">
        <v>2000</v>
      </c>
      <c r="K32" s="21">
        <v>209</v>
      </c>
      <c r="L32" s="69">
        <f t="shared" si="4"/>
        <v>0.31618759455370649</v>
      </c>
      <c r="M32" s="67">
        <f t="shared" si="5"/>
        <v>-10.001103467491726</v>
      </c>
      <c r="N32" s="15"/>
      <c r="O32" s="47" t="s">
        <v>70</v>
      </c>
      <c r="P32" s="41">
        <v>9.9999999999999995E-8</v>
      </c>
      <c r="Q32" s="41">
        <v>9.9999999999999995E-8</v>
      </c>
      <c r="R32" s="53">
        <v>9.9999999999999995E-8</v>
      </c>
      <c r="S32" s="14"/>
      <c r="T32" s="57" t="s">
        <v>51</v>
      </c>
      <c r="U32" s="105">
        <f>-(U26*1000/(U26*1000+P25))*U25*(1/((1/P37)+(1/P26)+(1/P36)))</f>
        <v>-17.405288703435691</v>
      </c>
      <c r="V32" s="104">
        <f>V26*1000/(V26*1000+Q25)*V25*(1/((1/Q36)+(1/Q37)+(1/Q26)))</f>
        <v>5.8865910097484484</v>
      </c>
      <c r="W32" s="108">
        <f>W26*1000/(W26*1000+50)*((W25*1/((1/R35)+(1/R26)+(1/R37)))/(1+W25*1/((1/R35)+(1/R26)+(1/R37))))</f>
        <v>0.76401849277058076</v>
      </c>
      <c r="AB32" s="1" t="s">
        <v>37</v>
      </c>
      <c r="AC32" s="29">
        <f>1/((1/Q37)+(1/Q26)+(1/Q29))</f>
        <v>20078.589697106294</v>
      </c>
    </row>
    <row r="33" spans="2:29" ht="15.75" thickBot="1" x14ac:dyDescent="0.3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4"/>
      <c r="O33" s="47" t="s">
        <v>71</v>
      </c>
      <c r="P33" s="41">
        <v>752800</v>
      </c>
      <c r="Q33" s="42">
        <v>755500</v>
      </c>
      <c r="R33" s="52">
        <v>754500</v>
      </c>
      <c r="S33" s="14"/>
      <c r="T33" s="101" t="s">
        <v>91</v>
      </c>
      <c r="U33" s="41">
        <f>-U25*(1/((1/P37)+(1/P26)+(1/P36)))</f>
        <v>-17.678792991045881</v>
      </c>
      <c r="V33" s="34"/>
      <c r="W33" s="34"/>
      <c r="AB33" s="1" t="s">
        <v>38</v>
      </c>
      <c r="AC33" s="6">
        <f>F5/F12</f>
        <v>3.2466666666666666</v>
      </c>
    </row>
    <row r="34" spans="2:29" ht="15.75" thickBot="1" x14ac:dyDescent="0.3">
      <c r="B34" s="75" t="s">
        <v>87</v>
      </c>
      <c r="C34" s="70">
        <f>E6</f>
        <v>0.104</v>
      </c>
      <c r="D34" s="70"/>
      <c r="E34" s="70">
        <f>E35-3</f>
        <v>21.506185634517259</v>
      </c>
      <c r="F34" s="78" t="s">
        <v>87</v>
      </c>
      <c r="G34" s="70">
        <f>F6</f>
        <v>2.5499999999999998E-2</v>
      </c>
      <c r="H34" s="70"/>
      <c r="I34" s="78">
        <f>I35-3</f>
        <v>12.563025007672874</v>
      </c>
      <c r="J34" s="70" t="s">
        <v>87</v>
      </c>
      <c r="K34" s="78">
        <f>G6</f>
        <v>6.2E-2</v>
      </c>
      <c r="L34" s="70"/>
      <c r="M34" s="71">
        <f>M35-3</f>
        <v>-5.2701854965503623</v>
      </c>
      <c r="N34" s="14"/>
      <c r="O34" s="47" t="s">
        <v>72</v>
      </c>
      <c r="P34" s="41">
        <v>479000</v>
      </c>
      <c r="Q34" s="42">
        <v>481300</v>
      </c>
      <c r="R34" s="52">
        <v>480600</v>
      </c>
      <c r="S34" s="14"/>
      <c r="T34" s="57" t="s">
        <v>52</v>
      </c>
      <c r="U34" s="105">
        <f>(P24)*(1-(U33))</f>
        <v>3.1753948084777998E-11</v>
      </c>
      <c r="V34" s="106"/>
      <c r="W34" s="106"/>
      <c r="AB34" s="1" t="s">
        <v>48</v>
      </c>
      <c r="AC34" s="9">
        <f>(AC36*AC35)/(AC38-(AC36/AC37))/1000</f>
        <v>3.2863622340648981</v>
      </c>
    </row>
    <row r="35" spans="2:29" ht="15.75" thickBot="1" x14ac:dyDescent="0.3">
      <c r="B35" s="76" t="s">
        <v>88</v>
      </c>
      <c r="C35">
        <f>E8</f>
        <v>4.3266615305567866</v>
      </c>
      <c r="D35">
        <f>E10</f>
        <v>16.8</v>
      </c>
      <c r="E35">
        <f t="shared" ref="E35" si="10">20*LOG(D35)</f>
        <v>24.506185634517259</v>
      </c>
      <c r="F35" s="79" t="s">
        <v>88</v>
      </c>
      <c r="G35">
        <f>F8</f>
        <v>2.4531612258471722</v>
      </c>
      <c r="H35">
        <f>F10</f>
        <v>6</v>
      </c>
      <c r="I35" s="79">
        <f t="shared" ref="I35" si="11">20*LOG(H35)</f>
        <v>15.563025007672874</v>
      </c>
      <c r="J35" t="s">
        <v>88</v>
      </c>
      <c r="K35" s="79">
        <f>G8</f>
        <v>8.4805660188456766</v>
      </c>
      <c r="L35">
        <f>G10</f>
        <v>0.77</v>
      </c>
      <c r="M35" s="72">
        <f t="shared" ref="M35" si="12">20*LOG(L35)</f>
        <v>-2.2701854965503623</v>
      </c>
      <c r="O35" s="47" t="s">
        <v>73</v>
      </c>
      <c r="P35" s="41">
        <v>21970</v>
      </c>
      <c r="Q35" s="41">
        <v>22260</v>
      </c>
      <c r="R35" s="53">
        <v>22310</v>
      </c>
      <c r="T35" s="57" t="s">
        <v>53</v>
      </c>
      <c r="U35" s="105">
        <f>(P24)*(1-(1/U33))</f>
        <v>1.7961604109998364E-12</v>
      </c>
      <c r="V35" s="106"/>
      <c r="W35" s="106"/>
      <c r="AB35" s="1" t="s">
        <v>35</v>
      </c>
      <c r="AC35" s="6">
        <f>1-AC38</f>
        <v>-0.83712121212121215</v>
      </c>
    </row>
    <row r="36" spans="2:29" ht="15.75" thickBot="1" x14ac:dyDescent="0.3">
      <c r="B36" s="77" t="s">
        <v>89</v>
      </c>
      <c r="C36" s="73">
        <f>E7</f>
        <v>180</v>
      </c>
      <c r="D36" s="73"/>
      <c r="E36" s="73">
        <f>E35-3</f>
        <v>21.506185634517259</v>
      </c>
      <c r="F36" s="80" t="s">
        <v>89</v>
      </c>
      <c r="G36" s="73">
        <f>F7</f>
        <v>236</v>
      </c>
      <c r="H36" s="73"/>
      <c r="I36" s="80">
        <f>I35-3</f>
        <v>12.563025007672874</v>
      </c>
      <c r="J36" s="73" t="s">
        <v>89</v>
      </c>
      <c r="K36" s="80">
        <f>G7</f>
        <v>1160</v>
      </c>
      <c r="L36" s="73"/>
      <c r="M36" s="74">
        <f>M35-3</f>
        <v>-5.2701854965503623</v>
      </c>
      <c r="O36" s="47" t="s">
        <v>74</v>
      </c>
      <c r="P36" s="41">
        <v>46680</v>
      </c>
      <c r="Q36" s="41">
        <v>46830</v>
      </c>
      <c r="R36" s="53" t="s">
        <v>80</v>
      </c>
      <c r="T36" s="57" t="s">
        <v>54</v>
      </c>
      <c r="U36" s="105">
        <f>(U34+P23)*(1/((1/U26)+(1/P25)))</f>
        <v>1.130715165223506E-8</v>
      </c>
      <c r="V36" s="105">
        <f>Q23*(1/((1/Q25)+(1/Q35)+(1/(1/(V25)))))</f>
        <v>1.465542545224952E-8</v>
      </c>
      <c r="W36" s="105">
        <f>(R24)*(1/((1/R25)+(1/R33)+(1/R34)))</f>
        <v>8.7410442527788127E-9</v>
      </c>
      <c r="AB36" s="1" t="s">
        <v>36</v>
      </c>
      <c r="AC36" s="29">
        <f>1/((1/R37)+(1/R26))</f>
        <v>13174.125425568658</v>
      </c>
    </row>
    <row r="37" spans="2:29" ht="15.75" thickBot="1" x14ac:dyDescent="0.3">
      <c r="O37" s="47" t="s">
        <v>75</v>
      </c>
      <c r="P37" s="41">
        <v>9.9999999999999902E+24</v>
      </c>
      <c r="Q37" s="41">
        <v>9.9999999999999901E+35</v>
      </c>
      <c r="R37" s="53">
        <v>13350</v>
      </c>
      <c r="T37" s="57" t="s">
        <v>55</v>
      </c>
      <c r="U37" s="105">
        <f>(U35+3*10^-12+P22)*(1/((1/P36)+(1/P37)+(1/P26)))</f>
        <v>7.6513315243003817E-7</v>
      </c>
      <c r="V37" s="105">
        <f>(Q24+3*10^-12)*(1/((1/Q36)+(1/Q37)+(1/Q26)))</f>
        <v>2.1651767717776522E-7</v>
      </c>
      <c r="W37" s="105">
        <f>(R22+R27+3*10^-12)*(1/((W25)+(1/R35)+(1/R37)+(1/R26)))</f>
        <v>9.654470073358803E-8</v>
      </c>
      <c r="AB37" s="1" t="s">
        <v>37</v>
      </c>
      <c r="AC37" s="29">
        <f>1/((1/R37)+(1/R26)+(1/R29))</f>
        <v>2536.9443423296111</v>
      </c>
    </row>
    <row r="38" spans="2:29" ht="15.75" thickBot="1" x14ac:dyDescent="0.3">
      <c r="C38" s="89"/>
      <c r="D38" s="114" t="s">
        <v>4</v>
      </c>
      <c r="E38" s="115"/>
      <c r="F38" s="116"/>
      <c r="G38" s="114" t="s">
        <v>5</v>
      </c>
      <c r="H38" s="115"/>
      <c r="I38" s="116"/>
      <c r="J38" s="114" t="s">
        <v>6</v>
      </c>
      <c r="K38" s="115"/>
      <c r="L38" s="116"/>
      <c r="O38" s="54" t="s">
        <v>76</v>
      </c>
      <c r="P38" s="55">
        <v>12</v>
      </c>
      <c r="Q38" s="55">
        <v>12</v>
      </c>
      <c r="R38" s="56">
        <v>12</v>
      </c>
      <c r="T38" s="57" t="s">
        <v>56</v>
      </c>
      <c r="U38" s="106"/>
      <c r="V38" s="105">
        <f>Q22*((1/((1/Q25)+(1/Q35)))+(1/((1/Q36)+(1/Q37)+(1/Q26))))/(1+V25*(1/((1/Q25)+(1/Q35))))</f>
        <v>2.3645170595439786E-7</v>
      </c>
      <c r="W38" s="105">
        <f>(R23)*(((1/((1/R25)+(1/R33)+(1/R34)))+(1/((1/R35)+(1/R37)+(1/R26))))/(1+W25*(1/((1/R35)+(1/R37)+(1/R26)))))</f>
        <v>2.71654001430646E-8</v>
      </c>
      <c r="AB38" s="1" t="s">
        <v>38</v>
      </c>
      <c r="AC38" s="6">
        <f>G5/G12</f>
        <v>1.8371212121212122</v>
      </c>
    </row>
    <row r="39" spans="2:29" ht="15.75" thickBot="1" x14ac:dyDescent="0.3">
      <c r="C39" s="113"/>
      <c r="D39" s="122" t="s">
        <v>8</v>
      </c>
      <c r="E39" s="123" t="s">
        <v>9</v>
      </c>
      <c r="F39" s="125" t="s">
        <v>92</v>
      </c>
      <c r="G39" s="127" t="s">
        <v>8</v>
      </c>
      <c r="H39" s="126" t="s">
        <v>9</v>
      </c>
      <c r="I39" s="125" t="s">
        <v>92</v>
      </c>
      <c r="J39" s="127" t="s">
        <v>8</v>
      </c>
      <c r="K39" s="126" t="s">
        <v>9</v>
      </c>
      <c r="L39" s="124" t="s">
        <v>92</v>
      </c>
      <c r="T39" s="102" t="s">
        <v>57</v>
      </c>
      <c r="U39" s="107">
        <f>(1/(2*PI()*(U36+U37)))/1000</f>
        <v>204.98026989983632</v>
      </c>
      <c r="V39" s="107">
        <f>(1/(2*3.14*(V36+V37+V38)))/1000</f>
        <v>340.52014749141506</v>
      </c>
      <c r="W39" s="107">
        <f>(1/(2*PI()*(W36+W37+W38)))/1000</f>
        <v>1201.6124355615718</v>
      </c>
    </row>
    <row r="40" spans="2:29" ht="15.75" thickBot="1" x14ac:dyDescent="0.3">
      <c r="C40" s="109" t="s">
        <v>11</v>
      </c>
      <c r="D40" s="128">
        <f>-ABS(U32)</f>
        <v>-17.405288703435691</v>
      </c>
      <c r="E40" s="129">
        <f>-E10</f>
        <v>-16.8</v>
      </c>
      <c r="F40" s="120">
        <f t="shared" ref="F40:F45" si="13">ABS(1-E40/D40)</f>
        <v>3.4776136940274371E-2</v>
      </c>
      <c r="G40" s="129">
        <f>V32</f>
        <v>5.8865910097484484</v>
      </c>
      <c r="H40" s="129">
        <f>F10</f>
        <v>6</v>
      </c>
      <c r="I40" s="120">
        <f t="shared" ref="I40:I45" si="14">ABS(1-H40/G40)</f>
        <v>1.9265647989429091E-2</v>
      </c>
      <c r="J40" s="129">
        <f>W32</f>
        <v>0.76401849277058076</v>
      </c>
      <c r="K40" s="129">
        <f>G10</f>
        <v>0.77</v>
      </c>
      <c r="L40" s="121">
        <f t="shared" ref="L40:L45" si="15">ABS(1-K40/J40)</f>
        <v>7.8290084415737482E-3</v>
      </c>
      <c r="AB40" s="1" t="s">
        <v>85</v>
      </c>
      <c r="AC40" s="28">
        <f>1/((1/P37)+(1/P26)+(1/P36))</f>
        <v>44598.157985248596</v>
      </c>
    </row>
    <row r="41" spans="2:29" ht="15.75" thickBot="1" x14ac:dyDescent="0.3">
      <c r="C41" s="110" t="s">
        <v>13</v>
      </c>
      <c r="D41" s="130">
        <f>U26</f>
        <v>292.73518428316288</v>
      </c>
      <c r="E41" s="103">
        <f>AC21</f>
        <v>282.37011494252869</v>
      </c>
      <c r="F41" s="112">
        <f t="shared" si="13"/>
        <v>3.5407665006226385E-2</v>
      </c>
      <c r="G41" s="103">
        <f>V26</f>
        <v>2.236091028900002</v>
      </c>
      <c r="H41" s="103">
        <f>AC22</f>
        <v>2.3040559440559436</v>
      </c>
      <c r="I41" s="112">
        <f t="shared" si="14"/>
        <v>3.039452074067639E-2</v>
      </c>
      <c r="J41" s="103">
        <f>W26</f>
        <v>293.58974981782853</v>
      </c>
      <c r="K41" s="103">
        <f>AC23</f>
        <v>298.13155737704915</v>
      </c>
      <c r="L41" s="117">
        <f t="shared" si="15"/>
        <v>1.5469911882273868E-2</v>
      </c>
      <c r="AB41" s="1" t="s">
        <v>86</v>
      </c>
      <c r="AC41" s="28">
        <f>1/((1/R35)+(1/R26)+(1/R37))</f>
        <v>8282.9923161260103</v>
      </c>
    </row>
    <row r="42" spans="2:29" ht="15.75" thickBot="1" x14ac:dyDescent="0.3">
      <c r="C42" s="110" t="s">
        <v>15</v>
      </c>
      <c r="D42" s="130">
        <f>U27</f>
        <v>46.68</v>
      </c>
      <c r="E42" s="103">
        <f>AC24</f>
        <v>47.758748785552356</v>
      </c>
      <c r="F42" s="112">
        <f t="shared" si="13"/>
        <v>2.3109442706777061E-2</v>
      </c>
      <c r="G42" s="103">
        <f>V27</f>
        <v>46.83</v>
      </c>
      <c r="H42" s="103">
        <f>AC29</f>
        <v>48.25560832474288</v>
      </c>
      <c r="I42" s="112">
        <f t="shared" si="14"/>
        <v>3.0442202108539096E-2</v>
      </c>
      <c r="J42" s="103">
        <f>W27</f>
        <v>2.2936786253973209</v>
      </c>
      <c r="K42" s="103">
        <f>AC34</f>
        <v>3.2863622340648981</v>
      </c>
      <c r="L42" s="117">
        <f t="shared" si="15"/>
        <v>0.43279106221588481</v>
      </c>
    </row>
    <row r="43" spans="2:29" ht="15.75" thickBot="1" x14ac:dyDescent="0.3">
      <c r="C43" s="110" t="s">
        <v>17</v>
      </c>
      <c r="D43" s="130">
        <f>U31</f>
        <v>0.1327746671004488</v>
      </c>
      <c r="E43" s="103">
        <f>E6</f>
        <v>0.104</v>
      </c>
      <c r="F43" s="112">
        <f t="shared" si="13"/>
        <v>0.21671805118275866</v>
      </c>
      <c r="G43" s="103">
        <f>V31</f>
        <v>2.5289878031166443E-2</v>
      </c>
      <c r="H43" s="103">
        <f>F6</f>
        <v>2.5499999999999998E-2</v>
      </c>
      <c r="I43" s="112">
        <f t="shared" si="14"/>
        <v>8.3085402220843818E-3</v>
      </c>
      <c r="J43" s="103">
        <f>W31</f>
        <v>6.938575073068963E-2</v>
      </c>
      <c r="K43" s="103">
        <f>G6</f>
        <v>6.2E-2</v>
      </c>
      <c r="L43" s="117">
        <f t="shared" si="15"/>
        <v>0.10644477652704676</v>
      </c>
    </row>
    <row r="44" spans="2:29" ht="15.75" thickBot="1" x14ac:dyDescent="0.3">
      <c r="C44" s="110" t="s">
        <v>19</v>
      </c>
      <c r="D44" s="130">
        <f>U39</f>
        <v>204.98026989983632</v>
      </c>
      <c r="E44" s="103">
        <f>E7</f>
        <v>180</v>
      </c>
      <c r="F44" s="112">
        <f t="shared" si="13"/>
        <v>0.12186670410787792</v>
      </c>
      <c r="G44" s="103">
        <f>V39</f>
        <v>340.52014749141506</v>
      </c>
      <c r="H44" s="103">
        <f>F7</f>
        <v>236</v>
      </c>
      <c r="I44" s="112">
        <f t="shared" si="14"/>
        <v>0.30694262369321379</v>
      </c>
      <c r="J44" s="103">
        <f>W39</f>
        <v>1201.6124355615718</v>
      </c>
      <c r="K44" s="103">
        <f>G7</f>
        <v>1160</v>
      </c>
      <c r="L44" s="117">
        <f t="shared" si="15"/>
        <v>3.463049676422858E-2</v>
      </c>
    </row>
    <row r="45" spans="2:29" ht="15.75" thickBot="1" x14ac:dyDescent="0.3">
      <c r="C45" s="111" t="s">
        <v>21</v>
      </c>
      <c r="D45" s="131">
        <f t="shared" ref="D45:E45" si="16">D44-D43</f>
        <v>204.84749523273587</v>
      </c>
      <c r="E45" s="132">
        <f t="shared" si="16"/>
        <v>179.89599999999999</v>
      </c>
      <c r="F45" s="118">
        <f t="shared" si="13"/>
        <v>0.12180522492787837</v>
      </c>
      <c r="G45" s="132">
        <f>(V39-V31)</f>
        <v>340.49485761338389</v>
      </c>
      <c r="H45" s="132">
        <f>H44-H43</f>
        <v>235.97450000000001</v>
      </c>
      <c r="I45" s="118">
        <f t="shared" si="14"/>
        <v>0.30696603862388394</v>
      </c>
      <c r="J45" s="132">
        <f>(W39-W31)</f>
        <v>1201.5430498108412</v>
      </c>
      <c r="K45" s="132">
        <f>K44-K43</f>
        <v>1159.9380000000001</v>
      </c>
      <c r="L45" s="119">
        <f t="shared" si="15"/>
        <v>3.4626349690417668E-2</v>
      </c>
    </row>
  </sheetData>
  <mergeCells count="17">
    <mergeCell ref="F15:I15"/>
    <mergeCell ref="J15:M15"/>
    <mergeCell ref="J38:L38"/>
    <mergeCell ref="B4:D4"/>
    <mergeCell ref="B10:D10"/>
    <mergeCell ref="B3:D3"/>
    <mergeCell ref="C38:C39"/>
    <mergeCell ref="D38:F38"/>
    <mergeCell ref="G38:I38"/>
    <mergeCell ref="B5:D5"/>
    <mergeCell ref="B6:D6"/>
    <mergeCell ref="B7:D7"/>
    <mergeCell ref="B8:D8"/>
    <mergeCell ref="B9:D9"/>
    <mergeCell ref="B11:D11"/>
    <mergeCell ref="B12:D12"/>
    <mergeCell ref="B15:E1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Flont</dc:creator>
  <cp:lastModifiedBy>Richard Tirov</cp:lastModifiedBy>
  <dcterms:created xsi:type="dcterms:W3CDTF">2022-11-21T16:29:39Z</dcterms:created>
  <dcterms:modified xsi:type="dcterms:W3CDTF">2024-11-08T16:51:58Z</dcterms:modified>
</cp:coreProperties>
</file>