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\source\repos\TROLlox78\parseEquationValue\"/>
    </mc:Choice>
  </mc:AlternateContent>
  <xr:revisionPtr revIDLastSave="0" documentId="13_ncr:1_{891CE3B5-538D-40CE-9D21-2E5CE953DBE0}" xr6:coauthVersionLast="47" xr6:coauthVersionMax="47" xr10:uidLastSave="{00000000-0000-0000-0000-000000000000}"/>
  <bookViews>
    <workbookView xWindow="885" yWindow="1485" windowWidth="12090" windowHeight="13965" xr2:uid="{8721A5AD-F8B0-4928-A1B0-A8C767E4C7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4" i="1" l="1"/>
  <c r="AF43" i="1"/>
  <c r="Z32" i="1"/>
  <c r="Z44" i="1"/>
  <c r="Z43" i="1"/>
  <c r="O8" i="1"/>
  <c r="O9" i="1"/>
  <c r="O10" i="1"/>
  <c r="O11" i="1"/>
  <c r="O12" i="1"/>
  <c r="O13" i="1"/>
  <c r="O14" i="1"/>
  <c r="O15" i="1"/>
  <c r="O16" i="1"/>
  <c r="O17" i="1"/>
  <c r="O18" i="1"/>
  <c r="O19" i="1"/>
  <c r="S39" i="1"/>
  <c r="L68" i="1"/>
  <c r="C66" i="1" l="1"/>
  <c r="E66" i="1" s="1"/>
  <c r="K22" i="1"/>
  <c r="L22" i="1" s="1"/>
  <c r="L23" i="1" s="1"/>
  <c r="R71" i="1"/>
  <c r="R70" i="1"/>
  <c r="R69" i="1"/>
  <c r="R68" i="1"/>
  <c r="P70" i="1"/>
  <c r="P69" i="1"/>
  <c r="P68" i="1"/>
  <c r="P67" i="1"/>
  <c r="P66" i="1"/>
  <c r="P65" i="1"/>
  <c r="P64" i="1"/>
  <c r="P63" i="1"/>
  <c r="P62" i="1"/>
  <c r="P61" i="1"/>
  <c r="P60" i="1"/>
  <c r="O71" i="1"/>
  <c r="O70" i="1"/>
  <c r="O69" i="1"/>
  <c r="O68" i="1"/>
  <c r="L71" i="1"/>
  <c r="L70" i="1"/>
  <c r="L69" i="1"/>
  <c r="F69" i="1"/>
  <c r="F68" i="1"/>
  <c r="F67" i="1"/>
  <c r="C69" i="1"/>
  <c r="C68" i="1"/>
  <c r="C67" i="1"/>
  <c r="F66" i="1"/>
  <c r="H66" i="1" s="1"/>
  <c r="AC64" i="1"/>
  <c r="P71" i="1" s="1"/>
  <c r="S31" i="1"/>
  <c r="S22" i="1"/>
  <c r="T22" i="1" s="1"/>
  <c r="T23" i="1" s="1"/>
  <c r="O22" i="1"/>
  <c r="P22" i="1" s="1"/>
  <c r="P23" i="1" s="1"/>
  <c r="G22" i="1"/>
  <c r="H22" i="1" s="1"/>
  <c r="H23" i="1" s="1"/>
  <c r="C22" i="1"/>
  <c r="D22" i="1" s="1"/>
  <c r="D23" i="1" s="1"/>
  <c r="Q68" i="1" l="1"/>
  <c r="Q69" i="1"/>
  <c r="Q70" i="1"/>
  <c r="Q71" i="1"/>
  <c r="D21" i="1"/>
  <c r="T21" i="1"/>
  <c r="P21" i="1"/>
  <c r="L21" i="1"/>
  <c r="H21" i="1"/>
  <c r="AF31" i="1" l="1"/>
  <c r="AF32" i="1"/>
  <c r="AF50" i="1"/>
  <c r="AF51" i="1"/>
  <c r="AF68" i="1"/>
  <c r="Z68" i="1"/>
  <c r="Z59" i="1"/>
  <c r="Z51" i="1"/>
  <c r="Z50" i="1"/>
  <c r="M67" i="1" s="1"/>
  <c r="Z38" i="1"/>
  <c r="Z31" i="1"/>
  <c r="T51" i="1"/>
  <c r="T46" i="1"/>
  <c r="T36" i="1"/>
  <c r="T39" i="1"/>
  <c r="T31" i="1"/>
  <c r="T32" i="1" s="1"/>
  <c r="T34" i="1" s="1"/>
  <c r="T33" i="1" s="1"/>
  <c r="T29" i="1" s="1"/>
  <c r="T35" i="1" s="1"/>
  <c r="S51" i="1"/>
  <c r="D65" i="1"/>
  <c r="S32" i="1"/>
  <c r="P35" i="1" s="1"/>
  <c r="S37" i="1" s="1"/>
  <c r="N31" i="1"/>
  <c r="L66" i="1" s="1"/>
  <c r="M31" i="1"/>
  <c r="F64" i="1" s="1"/>
  <c r="O31" i="1"/>
  <c r="O66" i="1" s="1"/>
  <c r="Q66" i="1" s="1"/>
  <c r="P31" i="1"/>
  <c r="R66" i="1" s="1"/>
  <c r="L31" i="1"/>
  <c r="C64" i="1" s="1"/>
  <c r="Z33" i="1" l="1"/>
  <c r="M62" i="1" s="1"/>
  <c r="M60" i="1"/>
  <c r="Z35" i="1"/>
  <c r="M61" i="1"/>
  <c r="S34" i="1"/>
  <c r="D62" i="1"/>
  <c r="AF34" i="1"/>
  <c r="S61" i="1"/>
  <c r="Z37" i="1"/>
  <c r="AF33" i="1"/>
  <c r="S62" i="1" s="1"/>
  <c r="S60" i="1"/>
  <c r="AF40" i="1"/>
  <c r="S65" i="1" s="1"/>
  <c r="S41" i="1"/>
  <c r="T50" i="1"/>
  <c r="T38" i="1"/>
  <c r="T45" i="1"/>
  <c r="T48" i="1" s="1"/>
  <c r="T49" i="1"/>
  <c r="T52" i="1" l="1"/>
  <c r="G67" i="1" s="1"/>
  <c r="H67" i="1" s="1"/>
  <c r="S42" i="1"/>
  <c r="S44" i="1" s="1"/>
  <c r="S46" i="1" s="1"/>
  <c r="S33" i="1"/>
  <c r="Z41" i="1"/>
  <c r="Z34" i="1"/>
  <c r="M63" i="1" s="1"/>
  <c r="AF41" i="1"/>
  <c r="S63" i="1"/>
  <c r="AF42" i="1"/>
  <c r="AF39" i="1"/>
  <c r="S64" i="1" s="1"/>
  <c r="T40" i="1"/>
  <c r="G64" i="1"/>
  <c r="H64" i="1" s="1"/>
  <c r="G68" i="1"/>
  <c r="H68" i="1" s="1"/>
  <c r="Z39" i="1"/>
  <c r="M64" i="1" s="1"/>
  <c r="Z47" i="1"/>
  <c r="Z48" i="1"/>
  <c r="S43" i="1"/>
  <c r="S38" i="1"/>
  <c r="S40" i="1" s="1"/>
  <c r="S29" i="1"/>
  <c r="S50" i="1" s="1"/>
  <c r="T53" i="1" l="1"/>
  <c r="G69" i="1" s="1"/>
  <c r="H69" i="1" s="1"/>
  <c r="AF47" i="1"/>
  <c r="AF54" i="1"/>
  <c r="AF55" i="1" s="1"/>
  <c r="Z36" i="1"/>
  <c r="Z40" i="1" s="1"/>
  <c r="M65" i="1" s="1"/>
  <c r="Z42" i="1"/>
  <c r="Z46" i="1" s="1"/>
  <c r="Z54" i="1" s="1"/>
  <c r="D64" i="1"/>
  <c r="E64" i="1" s="1"/>
  <c r="AI50" i="1"/>
  <c r="AF48" i="1"/>
  <c r="Z55" i="1"/>
  <c r="Z57" i="1" s="1"/>
  <c r="Z56" i="1"/>
  <c r="Z58" i="1" s="1"/>
  <c r="S45" i="1"/>
  <c r="S48" i="1" s="1"/>
  <c r="Z61" i="1"/>
  <c r="Z45" i="1"/>
  <c r="Z49" i="1"/>
  <c r="Z66" i="1"/>
  <c r="Z62" i="1"/>
  <c r="Z65" i="1"/>
  <c r="AI65" i="1"/>
  <c r="AF45" i="1"/>
  <c r="AF56" i="1"/>
  <c r="AH59" i="1" s="1"/>
  <c r="S49" i="1"/>
  <c r="S52" i="1" s="1"/>
  <c r="D67" i="1" s="1"/>
  <c r="E67" i="1" s="1"/>
  <c r="AI66" i="1" l="1"/>
  <c r="AI67" i="1" s="1"/>
  <c r="AF67" i="1" s="1"/>
  <c r="Z52" i="1"/>
  <c r="M68" i="1" s="1"/>
  <c r="N68" i="1" s="1"/>
  <c r="M66" i="1"/>
  <c r="N66" i="1" s="1"/>
  <c r="D68" i="1"/>
  <c r="E68" i="1" s="1"/>
  <c r="S53" i="1"/>
  <c r="D69" i="1" s="1"/>
  <c r="E69" i="1" s="1"/>
  <c r="AF46" i="1"/>
  <c r="AI35" i="1"/>
  <c r="AF59" i="1" s="1"/>
  <c r="Z64" i="1"/>
  <c r="Z67" i="1" s="1"/>
  <c r="Z69" i="1" s="1"/>
  <c r="M69" i="1" s="1"/>
  <c r="N69" i="1" s="1"/>
  <c r="Z60" i="1"/>
  <c r="M70" i="1" s="1"/>
  <c r="N70" i="1" s="1"/>
  <c r="T10" i="1"/>
  <c r="T11" i="1"/>
  <c r="T12" i="1"/>
  <c r="T18" i="1"/>
  <c r="T19" i="1"/>
  <c r="S9" i="1"/>
  <c r="T9" i="1" s="1"/>
  <c r="S10" i="1"/>
  <c r="S11" i="1"/>
  <c r="S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S19" i="1"/>
  <c r="S8" i="1"/>
  <c r="T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8" i="1"/>
  <c r="L8" i="1" s="1"/>
  <c r="G9" i="1"/>
  <c r="G10" i="1"/>
  <c r="G11" i="1"/>
  <c r="G12" i="1"/>
  <c r="G13" i="1"/>
  <c r="G14" i="1"/>
  <c r="G15" i="1"/>
  <c r="G16" i="1"/>
  <c r="G17" i="1"/>
  <c r="G18" i="1"/>
  <c r="G19" i="1"/>
  <c r="G8" i="1"/>
  <c r="C9" i="1"/>
  <c r="C10" i="1"/>
  <c r="C11" i="1"/>
  <c r="C12" i="1"/>
  <c r="C13" i="1"/>
  <c r="C14" i="1"/>
  <c r="C15" i="1"/>
  <c r="C16" i="1"/>
  <c r="C17" i="1"/>
  <c r="C18" i="1"/>
  <c r="C19" i="1"/>
  <c r="C8" i="1"/>
  <c r="AF62" i="1" l="1"/>
  <c r="AF61" i="1"/>
  <c r="AF64" i="1" s="1"/>
  <c r="AF58" i="1" s="1"/>
  <c r="AF49" i="1"/>
  <c r="AF66" i="1"/>
  <c r="AI49" i="1"/>
  <c r="Z70" i="1"/>
  <c r="M71" i="1" s="1"/>
  <c r="N71" i="1" s="1"/>
  <c r="S66" i="1" l="1"/>
  <c r="T66" i="1" s="1"/>
  <c r="AF57" i="1"/>
  <c r="AF60" i="1" s="1"/>
  <c r="S70" i="1" s="1"/>
  <c r="T70" i="1" s="1"/>
  <c r="AF65" i="1"/>
  <c r="AF69" i="1" s="1"/>
  <c r="S69" i="1" s="1"/>
  <c r="T69" i="1" s="1"/>
  <c r="AI48" i="1"/>
  <c r="AF52" i="1" s="1"/>
  <c r="S68" i="1" s="1"/>
  <c r="T68" i="1" s="1"/>
  <c r="AF70" i="1" l="1"/>
  <c r="S71" i="1" s="1"/>
  <c r="T71" i="1" s="1"/>
</calcChain>
</file>

<file path=xl/sharedStrings.xml><?xml version="1.0" encoding="utf-8"?>
<sst xmlns="http://schemas.openxmlformats.org/spreadsheetml/2006/main" count="350" uniqueCount="137">
  <si>
    <t>A</t>
  </si>
  <si>
    <t>f</t>
  </si>
  <si>
    <t>kHz</t>
  </si>
  <si>
    <t>Vo</t>
  </si>
  <si>
    <t>mV</t>
  </si>
  <si>
    <t>Ku</t>
  </si>
  <si>
    <t>dB</t>
  </si>
  <si>
    <t>V/V</t>
  </si>
  <si>
    <t>B</t>
  </si>
  <si>
    <t>C</t>
  </si>
  <si>
    <t>D</t>
  </si>
  <si>
    <t>E</t>
  </si>
  <si>
    <t>fl</t>
  </si>
  <si>
    <t>fh</t>
  </si>
  <si>
    <t>fśrod</t>
  </si>
  <si>
    <t>Vs</t>
  </si>
  <si>
    <t>Ku(fśrod)</t>
  </si>
  <si>
    <t>vo(Rin)</t>
  </si>
  <si>
    <t>Vb[V]</t>
  </si>
  <si>
    <t>IC[mA]</t>
  </si>
  <si>
    <t>VCE[V]</t>
  </si>
  <si>
    <t>vo/vs</t>
  </si>
  <si>
    <t>β</t>
  </si>
  <si>
    <t>Parametr</t>
  </si>
  <si>
    <t>Wartość</t>
  </si>
  <si>
    <t>Cµ</t>
  </si>
  <si>
    <t>fT</t>
  </si>
  <si>
    <t>VCC</t>
  </si>
  <si>
    <t>RAS, RBS, RCS, RDS, RES</t>
  </si>
  <si>
    <t>RAS', RDS', RES'</t>
  </si>
  <si>
    <t>RBS'</t>
  </si>
  <si>
    <t>RCS'</t>
  </si>
  <si>
    <t>RA1, RB1, RD1, RD4, RE1, RE4</t>
  </si>
  <si>
    <t>RA2, RB2, RD2, RD5, RE2, RE5</t>
  </si>
  <si>
    <t>RA3, RB3, RC4, RD6, RE6</t>
  </si>
  <si>
    <t>RA4, RB4, RC5, RD3, RD7, RE3, RE7</t>
  </si>
  <si>
    <t>RC1</t>
  </si>
  <si>
    <t>RC2</t>
  </si>
  <si>
    <t>RC3</t>
  </si>
  <si>
    <t>CA1, CC1, CD1, CE1</t>
  </si>
  <si>
    <t>CA3, CB1, CB3, CC4, CD2, CD4, CE2,Ce4</t>
  </si>
  <si>
    <t>CA2, CB2, CC2, CC3, CD3, CE3</t>
  </si>
  <si>
    <t>RBUFin</t>
  </si>
  <si>
    <t>CBUFin</t>
  </si>
  <si>
    <t>RBUFout</t>
  </si>
  <si>
    <t>Rin pomierzona</t>
  </si>
  <si>
    <t>gm[S]</t>
  </si>
  <si>
    <t>rpi[kΩ]</t>
  </si>
  <si>
    <t>Rin[Ω]</t>
  </si>
  <si>
    <t>Rout[Ω]</t>
  </si>
  <si>
    <t>K</t>
  </si>
  <si>
    <t>Cm1</t>
  </si>
  <si>
    <t>Cm2</t>
  </si>
  <si>
    <t>τh1</t>
  </si>
  <si>
    <t>τh2</t>
  </si>
  <si>
    <t>th3</t>
  </si>
  <si>
    <t>τl1</t>
  </si>
  <si>
    <t>τl2</t>
  </si>
  <si>
    <t>τl3</t>
  </si>
  <si>
    <t>Cpi</t>
  </si>
  <si>
    <t>re</t>
  </si>
  <si>
    <t>a</t>
  </si>
  <si>
    <t>VB1</t>
  </si>
  <si>
    <t>VB2</t>
  </si>
  <si>
    <t>IC1</t>
  </si>
  <si>
    <t>IC2</t>
  </si>
  <si>
    <t>VC1</t>
  </si>
  <si>
    <t>VC2</t>
  </si>
  <si>
    <t>VE1</t>
  </si>
  <si>
    <t>VE2</t>
  </si>
  <si>
    <t>VCE1</t>
  </si>
  <si>
    <t>VCE2</t>
  </si>
  <si>
    <t>gm1</t>
  </si>
  <si>
    <t>gm2</t>
  </si>
  <si>
    <t>rpi1</t>
  </si>
  <si>
    <t>rpi2</t>
  </si>
  <si>
    <t>re1</t>
  </si>
  <si>
    <t>re2</t>
  </si>
  <si>
    <t>Cpi1</t>
  </si>
  <si>
    <t>Cpi2</t>
  </si>
  <si>
    <t>Rin</t>
  </si>
  <si>
    <t>Rout</t>
  </si>
  <si>
    <t>alfa</t>
  </si>
  <si>
    <t>wzmocnienie</t>
  </si>
  <si>
    <t>CM1</t>
  </si>
  <si>
    <t>CM2</t>
  </si>
  <si>
    <t>tH1</t>
  </si>
  <si>
    <t>tH2</t>
  </si>
  <si>
    <t>tH3</t>
  </si>
  <si>
    <t>fH3dB</t>
  </si>
  <si>
    <t>pomoc1</t>
  </si>
  <si>
    <t>pomoc2</t>
  </si>
  <si>
    <t>pomoc3</t>
  </si>
  <si>
    <t>Rx</t>
  </si>
  <si>
    <t>tL1</t>
  </si>
  <si>
    <t>tL2</t>
  </si>
  <si>
    <t>tL3</t>
  </si>
  <si>
    <t>tL4</t>
  </si>
  <si>
    <t>fL3dB</t>
  </si>
  <si>
    <t>Rin2</t>
  </si>
  <si>
    <t>th4</t>
  </si>
  <si>
    <t>pom1</t>
  </si>
  <si>
    <t>pom2</t>
  </si>
  <si>
    <t>pom3</t>
  </si>
  <si>
    <t>Vb1[V]</t>
  </si>
  <si>
    <t>IC1[A]</t>
  </si>
  <si>
    <t>VCE1[V]</t>
  </si>
  <si>
    <t>gm1[S]</t>
  </si>
  <si>
    <t>rpi1[Ω]</t>
  </si>
  <si>
    <t>re1[Ω]</t>
  </si>
  <si>
    <t>Rin1[Ω]</t>
  </si>
  <si>
    <t>Vb2[V]</t>
  </si>
  <si>
    <t>IC2[A]</t>
  </si>
  <si>
    <t>VCE2[V]</t>
  </si>
  <si>
    <t>gm2[S]</t>
  </si>
  <si>
    <t>rpi2[Ω]</t>
  </si>
  <si>
    <t>re2[Ω]</t>
  </si>
  <si>
    <t>Rin2[Ω]</t>
  </si>
  <si>
    <t>jeden</t>
  </si>
  <si>
    <t>dwa</t>
  </si>
  <si>
    <t>trzy</t>
  </si>
  <si>
    <t>Rx[Ω]</t>
  </si>
  <si>
    <t>tH4</t>
  </si>
  <si>
    <t>Układ</t>
  </si>
  <si>
    <t>pomierzone</t>
  </si>
  <si>
    <t>obliczone</t>
  </si>
  <si>
    <t>x</t>
  </si>
  <si>
    <t>Rin[kΩ]</t>
  </si>
  <si>
    <t>Rout[kΩ]</t>
  </si>
  <si>
    <t>f3dBL [kHz]</t>
  </si>
  <si>
    <t>f3dBH [kHz]</t>
  </si>
  <si>
    <t>fśrod[kHz]</t>
  </si>
  <si>
    <t>fh3db</t>
  </si>
  <si>
    <t>IC1[mA]</t>
  </si>
  <si>
    <t>IC2[mA]</t>
  </si>
  <si>
    <t>fo</t>
  </si>
  <si>
    <t>Δ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</si>
</sst>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8" borderId="0" applyNumberFormat="0" applyBorder="0" applyAlignment="0" applyProtection="0"/>
    <xf numFmtId="0" fontId="2" fillId="9" borderId="20" applyNumberFormat="0" applyAlignment="0" applyProtection="0"/>
  </cellStyleXfs>
  <cellXfs count="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0" fontId="0" fillId="0" borderId="2" xfId="0" applyBorder="1"/>
    <xf numFmtId="0" fontId="0" fillId="2" borderId="3" xfId="0" applyFill="1" applyBorder="1" applyAlignment="1">
      <alignment wrapText="1"/>
    </xf>
    <xf numFmtId="11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0" fillId="0" borderId="11" xfId="0" applyBorder="1"/>
    <xf numFmtId="0" fontId="0" fillId="0" borderId="6" xfId="0" applyBorder="1"/>
    <xf numFmtId="164" fontId="0" fillId="0" borderId="0" xfId="0" applyNumberFormat="1"/>
    <xf numFmtId="164" fontId="0" fillId="0" borderId="7" xfId="0" applyNumberFormat="1" applyBorder="1"/>
    <xf numFmtId="0" fontId="0" fillId="0" borderId="7" xfId="0" applyBorder="1"/>
    <xf numFmtId="11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6" xfId="0" applyNumberFormat="1" applyBorder="1"/>
    <xf numFmtId="0" fontId="0" fillId="2" borderId="12" xfId="0" applyFill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11" fontId="0" fillId="0" borderId="17" xfId="0" applyNumberFormat="1" applyBorder="1" applyAlignment="1">
      <alignment horizontal="right" wrapText="1"/>
    </xf>
    <xf numFmtId="0" fontId="0" fillId="0" borderId="10" xfId="0" applyBorder="1"/>
    <xf numFmtId="0" fontId="0" fillId="0" borderId="8" xfId="0" applyBorder="1"/>
    <xf numFmtId="0" fontId="0" fillId="2" borderId="18" xfId="0" applyFill="1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7" borderId="11" xfId="0" applyFill="1" applyBorder="1"/>
    <xf numFmtId="0" fontId="0" fillId="7" borderId="6" xfId="0" applyFill="1" applyBorder="1"/>
    <xf numFmtId="0" fontId="0" fillId="7" borderId="9" xfId="0" applyFill="1" applyBorder="1"/>
    <xf numFmtId="0" fontId="0" fillId="0" borderId="0" xfId="0" applyAlignment="1">
      <alignment horizontal="center"/>
    </xf>
    <xf numFmtId="0" fontId="1" fillId="8" borderId="8" xfId="1" applyBorder="1" applyAlignment="1">
      <alignment horizontal="center"/>
    </xf>
    <xf numFmtId="0" fontId="1" fillId="8" borderId="9" xfId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1" fillId="8" borderId="22" xfId="1" applyBorder="1" applyAlignment="1">
      <alignment horizontal="center"/>
    </xf>
    <xf numFmtId="0" fontId="0" fillId="6" borderId="21" xfId="0" applyFill="1" applyBorder="1"/>
    <xf numFmtId="11" fontId="0" fillId="5" borderId="5" xfId="0" applyNumberFormat="1" applyFill="1" applyBorder="1"/>
    <xf numFmtId="0" fontId="0" fillId="2" borderId="11" xfId="0" applyFill="1" applyBorder="1"/>
    <xf numFmtId="0" fontId="0" fillId="0" borderId="23" xfId="0" applyBorder="1" applyAlignment="1">
      <alignment horizontal="center"/>
    </xf>
    <xf numFmtId="0" fontId="0" fillId="0" borderId="24" xfId="0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4" xfId="0" applyBorder="1"/>
    <xf numFmtId="165" fontId="0" fillId="0" borderId="2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7" xfId="0" applyBorder="1"/>
    <xf numFmtId="0" fontId="0" fillId="2" borderId="6" xfId="0" applyFill="1" applyBorder="1"/>
    <xf numFmtId="167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/>
    <xf numFmtId="0" fontId="0" fillId="0" borderId="25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2" fillId="9" borderId="20" xfId="2"/>
    <xf numFmtId="2" fontId="0" fillId="0" borderId="24" xfId="0" applyNumberFormat="1" applyBorder="1"/>
    <xf numFmtId="2" fontId="0" fillId="0" borderId="24" xfId="0" applyNumberFormat="1" applyFill="1" applyBorder="1" applyAlignment="1">
      <alignment horizontal="center"/>
    </xf>
    <xf numFmtId="2" fontId="0" fillId="0" borderId="27" xfId="0" applyNumberFormat="1" applyBorder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7942698595739E-2"/>
          <c:y val="0.10738061154079856"/>
          <c:w val="0.86501643602071887"/>
          <c:h val="0.77793586376273205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Arkusz1!$D$8:$D$19</c:f>
              <c:numCache>
                <c:formatCode>0.0</c:formatCode>
                <c:ptCount val="12"/>
                <c:pt idx="0">
                  <c:v>28.56</c:v>
                </c:pt>
                <c:pt idx="1">
                  <c:v>33.99</c:v>
                </c:pt>
                <c:pt idx="2">
                  <c:v>38.33</c:v>
                </c:pt>
                <c:pt idx="3">
                  <c:v>40.43</c:v>
                </c:pt>
                <c:pt idx="4">
                  <c:v>41.17</c:v>
                </c:pt>
                <c:pt idx="5">
                  <c:v>41.92</c:v>
                </c:pt>
                <c:pt idx="6">
                  <c:v>41.87</c:v>
                </c:pt>
                <c:pt idx="7">
                  <c:v>41.02</c:v>
                </c:pt>
                <c:pt idx="8">
                  <c:v>38.57</c:v>
                </c:pt>
                <c:pt idx="9">
                  <c:v>35.19</c:v>
                </c:pt>
                <c:pt idx="10">
                  <c:v>32.47</c:v>
                </c:pt>
                <c:pt idx="11">
                  <c:v>26.13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4-4E10-8ABF-74B2E402E6FE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Arkusz1!$B$21:$B$23</c:f>
              <c:numCache>
                <c:formatCode>General</c:formatCode>
                <c:ptCount val="3"/>
                <c:pt idx="0">
                  <c:v>4.8890000000000002</c:v>
                </c:pt>
                <c:pt idx="1">
                  <c:v>42.53</c:v>
                </c:pt>
                <c:pt idx="2">
                  <c:v>370</c:v>
                </c:pt>
              </c:numCache>
            </c:numRef>
          </c:xVal>
          <c:yVal>
            <c:numRef>
              <c:f>Arkusz1!$D$21:$D$23</c:f>
              <c:numCache>
                <c:formatCode>General</c:formatCode>
                <c:ptCount val="3"/>
                <c:pt idx="0">
                  <c:v>38.924291706928109</c:v>
                </c:pt>
                <c:pt idx="1">
                  <c:v>41.924291706928109</c:v>
                </c:pt>
                <c:pt idx="2">
                  <c:v>38.924291706928109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4-4E10-8ABF-74B2E402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20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11778437651802E-2"/>
          <c:y val="0.11174045856100319"/>
          <c:w val="0.85237546372632989"/>
          <c:h val="0.76583006347473537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Arkusz1!$H$8:$H$19</c:f>
              <c:numCache>
                <c:formatCode>0.0</c:formatCode>
                <c:ptCount val="12"/>
                <c:pt idx="0">
                  <c:v>12.36</c:v>
                </c:pt>
                <c:pt idx="1">
                  <c:v>17.190000000000001</c:v>
                </c:pt>
                <c:pt idx="2">
                  <c:v>20.34</c:v>
                </c:pt>
                <c:pt idx="3">
                  <c:v>21.58</c:v>
                </c:pt>
                <c:pt idx="4">
                  <c:v>21.93</c:v>
                </c:pt>
                <c:pt idx="5">
                  <c:v>22.27</c:v>
                </c:pt>
                <c:pt idx="6">
                  <c:v>22.24</c:v>
                </c:pt>
                <c:pt idx="7">
                  <c:v>22</c:v>
                </c:pt>
                <c:pt idx="8">
                  <c:v>21.4</c:v>
                </c:pt>
                <c:pt idx="9">
                  <c:v>19.97</c:v>
                </c:pt>
                <c:pt idx="10">
                  <c:v>18.350000000000001</c:v>
                </c:pt>
                <c:pt idx="11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E10-954D-2E8CF1AE97BF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Arkusz1!$F$21:$F$23</c:f>
              <c:numCache>
                <c:formatCode>General</c:formatCode>
                <c:ptCount val="3"/>
                <c:pt idx="0">
                  <c:v>3.028</c:v>
                </c:pt>
                <c:pt idx="1">
                  <c:v>51.03</c:v>
                </c:pt>
                <c:pt idx="2">
                  <c:v>860</c:v>
                </c:pt>
              </c:numCache>
            </c:numRef>
          </c:xVal>
          <c:yVal>
            <c:numRef>
              <c:f>Arkusz1!$H$21:$H$23</c:f>
              <c:numCache>
                <c:formatCode>General</c:formatCode>
                <c:ptCount val="3"/>
                <c:pt idx="0">
                  <c:v>19.345425913115285</c:v>
                </c:pt>
                <c:pt idx="1">
                  <c:v>22.345425913115285</c:v>
                </c:pt>
                <c:pt idx="2">
                  <c:v>19.345425913115285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9-4E10-954D-2E8CF1AE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2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50231268899708E-2"/>
          <c:y val="0.11174045856100319"/>
          <c:w val="0.83370990943435097"/>
          <c:h val="0.76583006347473537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Arkusz1!$L$8:$L$19</c:f>
              <c:numCache>
                <c:formatCode>0.0</c:formatCode>
                <c:ptCount val="12"/>
                <c:pt idx="0">
                  <c:v>22.835556083213</c:v>
                </c:pt>
                <c:pt idx="1">
                  <c:v>28.627275283179749</c:v>
                </c:pt>
                <c:pt idx="2">
                  <c:v>33.922655855538643</c:v>
                </c:pt>
                <c:pt idx="3">
                  <c:v>37.129800476904961</c:v>
                </c:pt>
                <c:pt idx="4">
                  <c:v>38.552658561389393</c:v>
                </c:pt>
                <c:pt idx="5">
                  <c:v>40.471747945550348</c:v>
                </c:pt>
                <c:pt idx="6">
                  <c:v>40.566884599153497</c:v>
                </c:pt>
                <c:pt idx="7">
                  <c:v>40.394881163915144</c:v>
                </c:pt>
                <c:pt idx="8">
                  <c:v>39.670637710826249</c:v>
                </c:pt>
                <c:pt idx="9">
                  <c:v>38.211991775413786</c:v>
                </c:pt>
                <c:pt idx="10">
                  <c:v>36.518480643592888</c:v>
                </c:pt>
                <c:pt idx="11">
                  <c:v>31.024459504760244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FE1-A081-E105D28588B7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Arkusz1!$J$21:$J$23</c:f>
              <c:numCache>
                <c:formatCode>General</c:formatCode>
                <c:ptCount val="3"/>
                <c:pt idx="0">
                  <c:v>7.3</c:v>
                </c:pt>
                <c:pt idx="1">
                  <c:v>78.3</c:v>
                </c:pt>
                <c:pt idx="2">
                  <c:v>840</c:v>
                </c:pt>
              </c:numCache>
            </c:numRef>
          </c:xVal>
          <c:yVal>
            <c:numRef>
              <c:f>Arkusz1!$L$21:$L$23</c:f>
              <c:numCache>
                <c:formatCode>General</c:formatCode>
                <c:ptCount val="3"/>
                <c:pt idx="0">
                  <c:v>37.172003435238352</c:v>
                </c:pt>
                <c:pt idx="1">
                  <c:v>40.172003435238352</c:v>
                </c:pt>
                <c:pt idx="2">
                  <c:v>37.172003435238352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E-4FE1-A081-E105D285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2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40232957755403E-2"/>
          <c:y val="0.11174045856100319"/>
          <c:w val="0.82141611841374951"/>
          <c:h val="0.78980902652619145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Arkusz1!$P$8:$P$19</c:f>
              <c:numCache>
                <c:formatCode>0.0</c:formatCode>
                <c:ptCount val="12"/>
                <c:pt idx="0">
                  <c:v>1.93</c:v>
                </c:pt>
                <c:pt idx="1">
                  <c:v>12.67</c:v>
                </c:pt>
                <c:pt idx="2">
                  <c:v>21.73</c:v>
                </c:pt>
                <c:pt idx="3">
                  <c:v>27.29</c:v>
                </c:pt>
                <c:pt idx="4">
                  <c:v>29.99</c:v>
                </c:pt>
                <c:pt idx="5">
                  <c:v>34.869999999999997</c:v>
                </c:pt>
                <c:pt idx="6">
                  <c:v>35.340000000000003</c:v>
                </c:pt>
                <c:pt idx="7">
                  <c:v>35.22</c:v>
                </c:pt>
                <c:pt idx="8">
                  <c:v>34.47</c:v>
                </c:pt>
                <c:pt idx="9">
                  <c:v>32.869999999999997</c:v>
                </c:pt>
                <c:pt idx="10">
                  <c:v>31.1</c:v>
                </c:pt>
                <c:pt idx="11">
                  <c:v>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D-4254-8B77-2D8D06D18854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Arkusz1!$N$21:$N$23</c:f>
              <c:numCache>
                <c:formatCode>General</c:formatCode>
                <c:ptCount val="3"/>
                <c:pt idx="0">
                  <c:v>14.41</c:v>
                </c:pt>
                <c:pt idx="1">
                  <c:v>109.36</c:v>
                </c:pt>
                <c:pt idx="2">
                  <c:v>830</c:v>
                </c:pt>
              </c:numCache>
            </c:numRef>
          </c:xVal>
          <c:yVal>
            <c:numRef>
              <c:f>Arkusz1!$P$21:$P$23</c:f>
              <c:numCache>
                <c:formatCode>General</c:formatCode>
                <c:ptCount val="3"/>
                <c:pt idx="0">
                  <c:v>32.268559871258745</c:v>
                </c:pt>
                <c:pt idx="1">
                  <c:v>35.268559871258745</c:v>
                </c:pt>
                <c:pt idx="2">
                  <c:v>32.268559871258745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254-8B77-2D8D06D1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2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Układ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68062574336303E-2"/>
          <c:y val="0.11174045856100319"/>
          <c:w val="0.83506673132335296"/>
          <c:h val="0.77454968640253763"/>
        </c:manualLayout>
      </c:layout>
      <c:scatterChart>
        <c:scatterStyle val="lineMarker"/>
        <c:varyColors val="0"/>
        <c:ser>
          <c:idx val="0"/>
          <c:order val="0"/>
          <c:tx>
            <c:v>20 log10│vo/vs│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Arkusz1!$T$8:$T$19</c:f>
              <c:numCache>
                <c:formatCode>0.0</c:formatCode>
                <c:ptCount val="12"/>
                <c:pt idx="0">
                  <c:v>30.808061805277404</c:v>
                </c:pt>
                <c:pt idx="1">
                  <c:v>38.251317577516424</c:v>
                </c:pt>
                <c:pt idx="2">
                  <c:v>40.226930198338493</c:v>
                </c:pt>
                <c:pt idx="3">
                  <c:v>41.678900716873777</c:v>
                </c:pt>
                <c:pt idx="4">
                  <c:v>42.191967925662382</c:v>
                </c:pt>
                <c:pt idx="5">
                  <c:v>42.604782813048089</c:v>
                </c:pt>
                <c:pt idx="6">
                  <c:v>42.563041891294908</c:v>
                </c:pt>
                <c:pt idx="7">
                  <c:v>42.376572121793629</c:v>
                </c:pt>
                <c:pt idx="8">
                  <c:v>41.519522123448269</c:v>
                </c:pt>
                <c:pt idx="9">
                  <c:v>40.202006538086515</c:v>
                </c:pt>
                <c:pt idx="10">
                  <c:v>38.61838161713402</c:v>
                </c:pt>
                <c:pt idx="11">
                  <c:v>33.571438656657641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6-4591-83E5-2E36DFACDCDB}"/>
            </c:ext>
          </c:extLst>
        </c:ser>
        <c:ser>
          <c:idx val="1"/>
          <c:order val="1"/>
          <c:tx>
            <c:v>wzmocnienie w środku pasma i częstotliwości graniczne górna i dolna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Arkusz1!$R$21:$R$23</c:f>
              <c:numCache>
                <c:formatCode>General</c:formatCode>
                <c:ptCount val="3"/>
                <c:pt idx="0">
                  <c:v>3.4540000000000002</c:v>
                </c:pt>
                <c:pt idx="1">
                  <c:v>52.89</c:v>
                </c:pt>
                <c:pt idx="2">
                  <c:v>810</c:v>
                </c:pt>
              </c:numCache>
            </c:numRef>
          </c:xVal>
          <c:yVal>
            <c:numRef>
              <c:f>Arkusz1!$T$21:$T$23</c:f>
              <c:numCache>
                <c:formatCode>General</c:formatCode>
                <c:ptCount val="3"/>
                <c:pt idx="0">
                  <c:v>38.655707406329007</c:v>
                </c:pt>
                <c:pt idx="1">
                  <c:v>41.655707406329007</c:v>
                </c:pt>
                <c:pt idx="2">
                  <c:v>38.655707406329007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6-4591-83E5-2E36DFAC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  <c:max val="2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layout>
            <c:manualLayout>
              <c:xMode val="edge"/>
              <c:yMode val="edge"/>
              <c:x val="0.48606217344026975"/>
              <c:y val="0.9041615601945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20 log│vo/vs│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134471</xdr:colOff>
      <xdr:row>76</xdr:row>
      <xdr:rowOff>168088</xdr:rowOff>
    </xdr:from>
    <xdr:to>
      <xdr:col>14</xdr:col>
      <xdr:colOff>616322</xdr:colOff>
      <xdr:row>105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D40AF6-95E3-48BB-8456-AF63BADB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76</xdr:row>
      <xdr:rowOff>0</xdr:rowOff>
    </xdr:from>
    <xdr:to>
      <xdr:col>35</xdr:col>
      <xdr:colOff>145678</xdr:colOff>
      <xdr:row>106</xdr:row>
      <xdr:rowOff>110940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F7F47B-85EE-41E3-8936-FC85AA340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112</xdr:row>
      <xdr:rowOff>156882</xdr:rowOff>
    </xdr:from>
    <xdr:to>
      <xdr:col>15</xdr:col>
      <xdr:colOff>381002</xdr:colOff>
      <xdr:row>143</xdr:row>
      <xdr:rowOff>77322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89ACFC-F0A6-480D-8989-5A5B405AC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113</xdr:row>
      <xdr:rowOff>0</xdr:rowOff>
    </xdr:from>
    <xdr:to>
      <xdr:col>35</xdr:col>
      <xdr:colOff>145678</xdr:colOff>
      <xdr:row>143</xdr:row>
      <xdr:rowOff>110940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42CDF-A3B3-47B3-8532-3598EA140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150</xdr:row>
      <xdr:rowOff>33617</xdr:rowOff>
    </xdr:from>
    <xdr:to>
      <xdr:col>18</xdr:col>
      <xdr:colOff>762001</xdr:colOff>
      <xdr:row>180</xdr:row>
      <xdr:rowOff>144557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C21531-2F58-44E9-BAD8-8B9F5CB4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C5E9-E0C8-4C3F-9331-94AADD43A3C1}">
  <dimension ref="A5:AI71"/>
  <sheetViews>
    <sheetView tabSelected="1" topLeftCell="Z34" zoomScale="70" zoomScaleNormal="70" workbookViewId="0">
      <selection activeCell="AF45" sqref="AF45"/>
    </sheetView>
  </sheetViews>
  <sheetFormatPr defaultRowHeight="15" x14ac:dyDescent="0.25"/>
  <cols>
    <col min="2" max="2" width="11" customWidth="1"/>
    <col min="3" max="3" width="11.28515625" customWidth="1"/>
    <col min="4" max="4" width="12.7109375" customWidth="1"/>
    <col min="5" max="5" width="11.7109375" customWidth="1"/>
    <col min="6" max="6" width="15.140625" customWidth="1"/>
    <col min="7" max="7" width="12.140625" customWidth="1"/>
    <col min="8" max="8" width="13.42578125" customWidth="1"/>
    <col min="9" max="9" width="11.7109375" bestFit="1" customWidth="1"/>
    <col min="10" max="10" width="10.7109375" bestFit="1" customWidth="1"/>
    <col min="11" max="11" width="11.7109375" customWidth="1"/>
    <col min="12" max="12" width="12.140625" customWidth="1"/>
    <col min="13" max="13" width="12.7109375" customWidth="1"/>
    <col min="14" max="14" width="13.28515625" customWidth="1"/>
    <col min="15" max="15" width="13" customWidth="1"/>
    <col min="16" max="16" width="9.7109375" bestFit="1" customWidth="1"/>
    <col min="17" max="17" width="11.140625" customWidth="1"/>
    <col min="18" max="18" width="10.7109375" bestFit="1" customWidth="1"/>
    <col min="19" max="19" width="14.5703125" bestFit="1" customWidth="1"/>
    <col min="20" max="20" width="12.7109375" customWidth="1"/>
    <col min="27" max="27" width="12" bestFit="1" customWidth="1"/>
    <col min="28" max="28" width="12" customWidth="1"/>
    <col min="30" max="30" width="9.85546875" bestFit="1" customWidth="1"/>
  </cols>
  <sheetData>
    <row r="5" spans="1:20" x14ac:dyDescent="0.25">
      <c r="A5" s="41" t="s">
        <v>0</v>
      </c>
      <c r="B5" s="41"/>
      <c r="C5" s="41"/>
      <c r="D5" s="41"/>
      <c r="E5" s="41" t="s">
        <v>8</v>
      </c>
      <c r="F5" s="41"/>
      <c r="G5" s="41"/>
      <c r="H5" s="41"/>
      <c r="I5" s="41" t="s">
        <v>9</v>
      </c>
      <c r="J5" s="41"/>
      <c r="K5" s="41"/>
      <c r="L5" s="41"/>
      <c r="M5" s="41" t="s">
        <v>10</v>
      </c>
      <c r="N5" s="41"/>
      <c r="O5" s="41"/>
      <c r="P5" s="41"/>
      <c r="Q5" s="41" t="s">
        <v>11</v>
      </c>
      <c r="R5" s="41"/>
      <c r="S5" s="41"/>
      <c r="T5" s="41"/>
    </row>
    <row r="6" spans="1:20" x14ac:dyDescent="0.25">
      <c r="A6" s="1" t="s">
        <v>1</v>
      </c>
      <c r="B6" s="2" t="s">
        <v>3</v>
      </c>
      <c r="C6" s="3" t="s">
        <v>5</v>
      </c>
      <c r="D6" s="4" t="s">
        <v>5</v>
      </c>
      <c r="E6" s="1" t="s">
        <v>1</v>
      </c>
      <c r="F6" s="2" t="s">
        <v>3</v>
      </c>
      <c r="G6" s="3" t="s">
        <v>5</v>
      </c>
      <c r="H6" s="4" t="s">
        <v>5</v>
      </c>
      <c r="I6" s="1" t="s">
        <v>1</v>
      </c>
      <c r="J6" s="2" t="s">
        <v>3</v>
      </c>
      <c r="K6" s="3" t="s">
        <v>5</v>
      </c>
      <c r="L6" s="4" t="s">
        <v>5</v>
      </c>
      <c r="M6" s="1" t="s">
        <v>1</v>
      </c>
      <c r="N6" s="2" t="s">
        <v>3</v>
      </c>
      <c r="O6" s="3" t="s">
        <v>5</v>
      </c>
      <c r="P6" s="4" t="s">
        <v>5</v>
      </c>
      <c r="Q6" s="1" t="s">
        <v>1</v>
      </c>
      <c r="R6" s="2" t="s">
        <v>3</v>
      </c>
      <c r="S6" s="3" t="s">
        <v>5</v>
      </c>
      <c r="T6" s="4" t="s">
        <v>5</v>
      </c>
    </row>
    <row r="7" spans="1:20" x14ac:dyDescent="0.25">
      <c r="A7" s="1" t="s">
        <v>2</v>
      </c>
      <c r="B7" s="2" t="s">
        <v>4</v>
      </c>
      <c r="C7" s="3" t="s">
        <v>7</v>
      </c>
      <c r="D7" s="4" t="s">
        <v>6</v>
      </c>
      <c r="E7" s="1" t="s">
        <v>2</v>
      </c>
      <c r="F7" s="2" t="s">
        <v>4</v>
      </c>
      <c r="G7" s="3" t="s">
        <v>7</v>
      </c>
      <c r="H7" s="4" t="s">
        <v>6</v>
      </c>
      <c r="I7" s="1" t="s">
        <v>2</v>
      </c>
      <c r="J7" s="2" t="s">
        <v>4</v>
      </c>
      <c r="K7" s="3" t="s">
        <v>7</v>
      </c>
      <c r="L7" s="4" t="s">
        <v>6</v>
      </c>
      <c r="M7" s="1" t="s">
        <v>2</v>
      </c>
      <c r="N7" s="2" t="s">
        <v>4</v>
      </c>
      <c r="O7" s="3" t="s">
        <v>7</v>
      </c>
      <c r="P7" s="4" t="s">
        <v>6</v>
      </c>
      <c r="Q7" s="1" t="s">
        <v>2</v>
      </c>
      <c r="R7" s="2" t="s">
        <v>4</v>
      </c>
      <c r="S7" s="3" t="s">
        <v>7</v>
      </c>
      <c r="T7" s="4" t="s">
        <v>6</v>
      </c>
    </row>
    <row r="8" spans="1:20" x14ac:dyDescent="0.25">
      <c r="A8">
        <v>1</v>
      </c>
      <c r="B8">
        <v>84</v>
      </c>
      <c r="C8" s="19">
        <f>B8/B$31</f>
        <v>21.265822784810126</v>
      </c>
      <c r="D8" s="19">
        <v>28.56</v>
      </c>
      <c r="E8" s="19">
        <v>1</v>
      </c>
      <c r="F8" s="19">
        <v>10</v>
      </c>
      <c r="G8" s="19">
        <f>F8/C$31</f>
        <v>0.29498525073746312</v>
      </c>
      <c r="H8" s="19">
        <v>12.36</v>
      </c>
      <c r="I8" s="19">
        <v>1</v>
      </c>
      <c r="J8" s="19">
        <v>59.6</v>
      </c>
      <c r="K8" s="19">
        <f>J8/D$31</f>
        <v>13.860465116279071</v>
      </c>
      <c r="L8" s="19">
        <f>20*LOG(K8)</f>
        <v>22.835556083213</v>
      </c>
      <c r="M8" s="19">
        <v>1</v>
      </c>
      <c r="N8" s="19">
        <v>5</v>
      </c>
      <c r="O8" s="19">
        <f>N8/E$31</f>
        <v>0.63291139240506322</v>
      </c>
      <c r="P8" s="19">
        <v>1.93</v>
      </c>
      <c r="Q8" s="19">
        <v>1</v>
      </c>
      <c r="R8" s="19">
        <v>118</v>
      </c>
      <c r="S8" s="19">
        <f>R8/F$31</f>
        <v>34.705882352941174</v>
      </c>
      <c r="T8" s="19">
        <f>20*LOG(S8)</f>
        <v>30.808061805277404</v>
      </c>
    </row>
    <row r="9" spans="1:20" x14ac:dyDescent="0.25">
      <c r="A9">
        <v>2</v>
      </c>
      <c r="B9">
        <v>158</v>
      </c>
      <c r="C9" s="19">
        <f t="shared" ref="C9:C19" si="0">B9/B$31</f>
        <v>40</v>
      </c>
      <c r="D9" s="19">
        <v>33.99</v>
      </c>
      <c r="E9" s="19">
        <v>2</v>
      </c>
      <c r="F9" s="19">
        <v>190.5</v>
      </c>
      <c r="G9" s="19">
        <f t="shared" ref="G9:G19" si="1">F9/C$31</f>
        <v>5.6194690265486731</v>
      </c>
      <c r="H9" s="19">
        <v>17.190000000000001</v>
      </c>
      <c r="I9" s="19">
        <v>2</v>
      </c>
      <c r="J9" s="19">
        <v>116.1</v>
      </c>
      <c r="K9" s="19">
        <f t="shared" ref="K9:K19" si="2">J9/D$31</f>
        <v>27</v>
      </c>
      <c r="L9" s="19">
        <f t="shared" ref="L9:L19" si="3">20*LOG(K9)</f>
        <v>28.627275283179749</v>
      </c>
      <c r="M9" s="19">
        <v>2</v>
      </c>
      <c r="N9" s="19">
        <v>10</v>
      </c>
      <c r="O9" s="19">
        <f t="shared" ref="O9:O19" si="4">N9/E$31</f>
        <v>1.2658227848101264</v>
      </c>
      <c r="P9" s="19">
        <v>12.67</v>
      </c>
      <c r="Q9" s="19">
        <v>2</v>
      </c>
      <c r="R9" s="19">
        <v>278</v>
      </c>
      <c r="S9" s="19">
        <f t="shared" ref="S9:S19" si="5">R9/F$31</f>
        <v>81.764705882352942</v>
      </c>
      <c r="T9" s="19">
        <f t="shared" ref="T9:T19" si="6">20*LOG(S9)</f>
        <v>38.251317577516424</v>
      </c>
    </row>
    <row r="10" spans="1:20" x14ac:dyDescent="0.25">
      <c r="A10">
        <v>4</v>
      </c>
      <c r="B10">
        <v>260</v>
      </c>
      <c r="C10" s="19">
        <f t="shared" si="0"/>
        <v>65.822784810126578</v>
      </c>
      <c r="D10" s="19">
        <v>38.33</v>
      </c>
      <c r="E10" s="19">
        <v>4</v>
      </c>
      <c r="F10" s="19">
        <v>282.5</v>
      </c>
      <c r="G10" s="19">
        <f t="shared" si="1"/>
        <v>8.3333333333333339</v>
      </c>
      <c r="H10" s="19">
        <v>20.34</v>
      </c>
      <c r="I10" s="19">
        <v>4</v>
      </c>
      <c r="J10" s="19">
        <v>213.6</v>
      </c>
      <c r="K10" s="19">
        <f t="shared" si="2"/>
        <v>49.674418604651166</v>
      </c>
      <c r="L10" s="19">
        <f t="shared" si="3"/>
        <v>33.922655855538643</v>
      </c>
      <c r="M10" s="19">
        <v>4</v>
      </c>
      <c r="N10" s="19">
        <v>39</v>
      </c>
      <c r="O10" s="19">
        <f t="shared" si="4"/>
        <v>4.9367088607594933</v>
      </c>
      <c r="P10" s="19">
        <v>21.73</v>
      </c>
      <c r="Q10" s="19">
        <v>4</v>
      </c>
      <c r="R10" s="19">
        <v>349</v>
      </c>
      <c r="S10" s="19">
        <f t="shared" si="5"/>
        <v>102.64705882352942</v>
      </c>
      <c r="T10" s="19">
        <f t="shared" si="6"/>
        <v>40.226930198338493</v>
      </c>
    </row>
    <row r="11" spans="1:20" x14ac:dyDescent="0.25">
      <c r="A11">
        <v>7</v>
      </c>
      <c r="B11">
        <v>330</v>
      </c>
      <c r="C11" s="19">
        <f t="shared" si="0"/>
        <v>83.544303797468345</v>
      </c>
      <c r="D11" s="19">
        <v>40.43</v>
      </c>
      <c r="E11" s="19">
        <v>7</v>
      </c>
      <c r="F11" s="19">
        <v>324</v>
      </c>
      <c r="G11" s="19">
        <f t="shared" si="1"/>
        <v>9.557522123893806</v>
      </c>
      <c r="H11" s="19">
        <v>21.58</v>
      </c>
      <c r="I11" s="19">
        <v>7</v>
      </c>
      <c r="J11" s="19">
        <v>309</v>
      </c>
      <c r="K11" s="19">
        <f t="shared" si="2"/>
        <v>71.860465116279073</v>
      </c>
      <c r="L11" s="19">
        <f t="shared" si="3"/>
        <v>37.129800476904961</v>
      </c>
      <c r="M11" s="19">
        <v>7</v>
      </c>
      <c r="N11" s="19">
        <v>138</v>
      </c>
      <c r="O11" s="19">
        <f t="shared" si="4"/>
        <v>17.468354430379748</v>
      </c>
      <c r="P11" s="19">
        <v>27.29</v>
      </c>
      <c r="Q11" s="19">
        <v>7</v>
      </c>
      <c r="R11" s="19">
        <v>412.5</v>
      </c>
      <c r="S11" s="19">
        <f t="shared" si="5"/>
        <v>121.32352941176471</v>
      </c>
      <c r="T11" s="19">
        <f t="shared" si="6"/>
        <v>41.678900716873777</v>
      </c>
    </row>
    <row r="12" spans="1:20" x14ac:dyDescent="0.25">
      <c r="A12">
        <v>10</v>
      </c>
      <c r="B12">
        <v>362</v>
      </c>
      <c r="C12" s="19">
        <f t="shared" si="0"/>
        <v>91.645569620253156</v>
      </c>
      <c r="D12" s="19">
        <v>41.17</v>
      </c>
      <c r="E12" s="19">
        <v>10</v>
      </c>
      <c r="F12" s="19">
        <v>338</v>
      </c>
      <c r="G12" s="19">
        <f t="shared" si="1"/>
        <v>9.9705014749262535</v>
      </c>
      <c r="H12" s="19">
        <v>21.93</v>
      </c>
      <c r="I12" s="19">
        <v>10</v>
      </c>
      <c r="J12" s="19">
        <v>364</v>
      </c>
      <c r="K12" s="19">
        <f t="shared" si="2"/>
        <v>84.651162790697683</v>
      </c>
      <c r="L12" s="19">
        <f t="shared" si="3"/>
        <v>38.552658561389393</v>
      </c>
      <c r="M12" s="19">
        <v>10</v>
      </c>
      <c r="N12" s="19">
        <v>189</v>
      </c>
      <c r="O12" s="19">
        <f t="shared" si="4"/>
        <v>23.924050632911392</v>
      </c>
      <c r="P12" s="19">
        <v>29.99</v>
      </c>
      <c r="Q12" s="19">
        <v>10</v>
      </c>
      <c r="R12" s="19">
        <v>437.6</v>
      </c>
      <c r="S12" s="19">
        <f t="shared" si="5"/>
        <v>128.70588235294119</v>
      </c>
      <c r="T12" s="19">
        <f t="shared" si="6"/>
        <v>42.191967925662382</v>
      </c>
    </row>
    <row r="13" spans="1:20" x14ac:dyDescent="0.25">
      <c r="A13">
        <v>40</v>
      </c>
      <c r="B13">
        <v>405</v>
      </c>
      <c r="C13" s="19">
        <f t="shared" si="0"/>
        <v>102.53164556962025</v>
      </c>
      <c r="D13" s="19">
        <v>41.92</v>
      </c>
      <c r="E13" s="19">
        <v>40</v>
      </c>
      <c r="F13" s="19">
        <v>352</v>
      </c>
      <c r="G13" s="19">
        <f t="shared" si="1"/>
        <v>10.383480825958703</v>
      </c>
      <c r="H13" s="19">
        <v>22.27</v>
      </c>
      <c r="I13" s="19">
        <v>40</v>
      </c>
      <c r="J13" s="19">
        <v>454</v>
      </c>
      <c r="K13" s="19">
        <f t="shared" si="2"/>
        <v>105.58139534883722</v>
      </c>
      <c r="L13" s="19">
        <f t="shared" si="3"/>
        <v>40.471747945550348</v>
      </c>
      <c r="M13" s="19">
        <v>40</v>
      </c>
      <c r="N13" s="19">
        <v>333</v>
      </c>
      <c r="O13" s="19">
        <f t="shared" si="4"/>
        <v>42.151898734177216</v>
      </c>
      <c r="P13" s="19">
        <v>34.869999999999997</v>
      </c>
      <c r="Q13" s="19">
        <v>40</v>
      </c>
      <c r="R13" s="19">
        <v>458.9</v>
      </c>
      <c r="S13" s="19">
        <f t="shared" si="5"/>
        <v>134.97058823529412</v>
      </c>
      <c r="T13" s="19">
        <f t="shared" si="6"/>
        <v>42.604782813048089</v>
      </c>
    </row>
    <row r="14" spans="1:20" x14ac:dyDescent="0.25">
      <c r="A14">
        <v>100</v>
      </c>
      <c r="B14">
        <v>387</v>
      </c>
      <c r="C14" s="19">
        <f t="shared" si="0"/>
        <v>97.974683544303787</v>
      </c>
      <c r="D14" s="19">
        <v>41.87</v>
      </c>
      <c r="E14" s="19">
        <v>100</v>
      </c>
      <c r="F14" s="19">
        <v>351</v>
      </c>
      <c r="G14" s="19">
        <f t="shared" si="1"/>
        <v>10.353982300884956</v>
      </c>
      <c r="H14" s="19">
        <v>22.24</v>
      </c>
      <c r="I14" s="19">
        <v>100</v>
      </c>
      <c r="J14" s="19">
        <v>459</v>
      </c>
      <c r="K14" s="19">
        <f t="shared" si="2"/>
        <v>106.74418604651163</v>
      </c>
      <c r="L14" s="19">
        <f t="shared" si="3"/>
        <v>40.566884599153497</v>
      </c>
      <c r="M14" s="19">
        <v>100</v>
      </c>
      <c r="N14" s="19">
        <v>351</v>
      </c>
      <c r="O14" s="19">
        <f t="shared" si="4"/>
        <v>44.430379746835442</v>
      </c>
      <c r="P14" s="19">
        <v>35.340000000000003</v>
      </c>
      <c r="Q14" s="19">
        <v>100</v>
      </c>
      <c r="R14" s="19">
        <v>456.7</v>
      </c>
      <c r="S14" s="19">
        <f t="shared" si="5"/>
        <v>134.3235294117647</v>
      </c>
      <c r="T14" s="19">
        <f t="shared" si="6"/>
        <v>42.563041891294908</v>
      </c>
    </row>
    <row r="15" spans="1:20" x14ac:dyDescent="0.25">
      <c r="A15">
        <v>200</v>
      </c>
      <c r="B15">
        <v>356</v>
      </c>
      <c r="C15" s="19">
        <f t="shared" si="0"/>
        <v>90.12658227848101</v>
      </c>
      <c r="D15" s="19">
        <v>41.02</v>
      </c>
      <c r="E15" s="19">
        <v>200</v>
      </c>
      <c r="F15" s="19">
        <v>344</v>
      </c>
      <c r="G15" s="19">
        <f t="shared" si="1"/>
        <v>10.147492625368733</v>
      </c>
      <c r="H15" s="19">
        <v>22</v>
      </c>
      <c r="I15" s="19">
        <v>200</v>
      </c>
      <c r="J15" s="19">
        <v>450</v>
      </c>
      <c r="K15" s="19">
        <f t="shared" si="2"/>
        <v>104.65116279069768</v>
      </c>
      <c r="L15" s="19">
        <f t="shared" si="3"/>
        <v>40.394881163915144</v>
      </c>
      <c r="M15" s="19">
        <v>200</v>
      </c>
      <c r="N15" s="19">
        <v>346</v>
      </c>
      <c r="O15" s="19">
        <f t="shared" si="4"/>
        <v>43.797468354430379</v>
      </c>
      <c r="P15" s="19">
        <v>35.22</v>
      </c>
      <c r="Q15" s="19">
        <v>200</v>
      </c>
      <c r="R15" s="19">
        <v>447</v>
      </c>
      <c r="S15" s="19">
        <f t="shared" si="5"/>
        <v>131.47058823529412</v>
      </c>
      <c r="T15" s="19">
        <f t="shared" si="6"/>
        <v>42.376572121793629</v>
      </c>
    </row>
    <row r="16" spans="1:20" x14ac:dyDescent="0.25">
      <c r="A16">
        <v>400</v>
      </c>
      <c r="B16">
        <v>276</v>
      </c>
      <c r="C16" s="19">
        <f t="shared" si="0"/>
        <v>69.87341772151899</v>
      </c>
      <c r="D16" s="19">
        <v>38.57</v>
      </c>
      <c r="E16" s="19">
        <v>400</v>
      </c>
      <c r="F16" s="19">
        <v>318</v>
      </c>
      <c r="G16" s="19">
        <f t="shared" si="1"/>
        <v>9.3805309734513287</v>
      </c>
      <c r="H16" s="19">
        <v>21.4</v>
      </c>
      <c r="I16" s="19">
        <v>400</v>
      </c>
      <c r="J16" s="19">
        <v>414</v>
      </c>
      <c r="K16" s="19">
        <f t="shared" si="2"/>
        <v>96.279069767441868</v>
      </c>
      <c r="L16" s="19">
        <f t="shared" si="3"/>
        <v>39.670637710826249</v>
      </c>
      <c r="M16" s="19">
        <v>400</v>
      </c>
      <c r="N16" s="19">
        <v>317</v>
      </c>
      <c r="O16" s="19">
        <f t="shared" si="4"/>
        <v>40.12658227848101</v>
      </c>
      <c r="P16" s="19">
        <v>34.47</v>
      </c>
      <c r="Q16" s="19">
        <v>400</v>
      </c>
      <c r="R16" s="19">
        <v>405</v>
      </c>
      <c r="S16" s="19">
        <f t="shared" si="5"/>
        <v>119.11764705882354</v>
      </c>
      <c r="T16" s="19">
        <f t="shared" si="6"/>
        <v>41.519522123448269</v>
      </c>
    </row>
    <row r="17" spans="1:35" x14ac:dyDescent="0.25">
      <c r="A17">
        <v>700</v>
      </c>
      <c r="B17">
        <v>197.6</v>
      </c>
      <c r="C17" s="19">
        <f t="shared" si="0"/>
        <v>50.025316455696199</v>
      </c>
      <c r="D17" s="19">
        <v>35.19</v>
      </c>
      <c r="E17" s="19">
        <v>700</v>
      </c>
      <c r="F17" s="19">
        <v>271</v>
      </c>
      <c r="G17" s="19">
        <f t="shared" si="1"/>
        <v>7.9941002949852509</v>
      </c>
      <c r="H17" s="19">
        <v>19.97</v>
      </c>
      <c r="I17" s="19">
        <v>700</v>
      </c>
      <c r="J17" s="19">
        <v>350</v>
      </c>
      <c r="K17" s="19">
        <f t="shared" si="2"/>
        <v>81.395348837209312</v>
      </c>
      <c r="L17" s="19">
        <f t="shared" si="3"/>
        <v>38.211991775413786</v>
      </c>
      <c r="M17" s="19">
        <v>700</v>
      </c>
      <c r="N17" s="19">
        <v>271</v>
      </c>
      <c r="O17" s="19">
        <f t="shared" si="4"/>
        <v>34.303797468354432</v>
      </c>
      <c r="P17" s="19">
        <v>32.869999999999997</v>
      </c>
      <c r="Q17" s="19">
        <v>700</v>
      </c>
      <c r="R17" s="19">
        <v>348</v>
      </c>
      <c r="S17" s="19">
        <f t="shared" si="5"/>
        <v>102.35294117647059</v>
      </c>
      <c r="T17" s="19">
        <f t="shared" si="6"/>
        <v>40.202006538086515</v>
      </c>
    </row>
    <row r="18" spans="1:35" x14ac:dyDescent="0.25">
      <c r="A18">
        <v>1000</v>
      </c>
      <c r="B18">
        <v>146</v>
      </c>
      <c r="C18" s="19">
        <f t="shared" si="0"/>
        <v>36.962025316455694</v>
      </c>
      <c r="D18" s="19">
        <v>32.47</v>
      </c>
      <c r="E18" s="19">
        <v>1000</v>
      </c>
      <c r="F18" s="19">
        <v>225</v>
      </c>
      <c r="G18" s="19">
        <f t="shared" si="1"/>
        <v>6.6371681415929205</v>
      </c>
      <c r="H18" s="19">
        <v>18.350000000000001</v>
      </c>
      <c r="I18" s="19">
        <v>1000</v>
      </c>
      <c r="J18" s="19">
        <v>288</v>
      </c>
      <c r="K18" s="19">
        <f t="shared" si="2"/>
        <v>66.976744186046517</v>
      </c>
      <c r="L18" s="19">
        <f t="shared" si="3"/>
        <v>36.518480643592888</v>
      </c>
      <c r="M18" s="19">
        <v>1000</v>
      </c>
      <c r="N18" s="19">
        <v>221</v>
      </c>
      <c r="O18" s="19">
        <f t="shared" si="4"/>
        <v>27.974683544303797</v>
      </c>
      <c r="P18" s="19">
        <v>31.1</v>
      </c>
      <c r="Q18" s="19">
        <v>1000</v>
      </c>
      <c r="R18" s="19">
        <v>290</v>
      </c>
      <c r="S18" s="19">
        <f t="shared" si="5"/>
        <v>85.294117647058826</v>
      </c>
      <c r="T18" s="19">
        <f t="shared" si="6"/>
        <v>38.61838161713402</v>
      </c>
    </row>
    <row r="19" spans="1:35" x14ac:dyDescent="0.25">
      <c r="A19">
        <v>2000</v>
      </c>
      <c r="B19">
        <v>72</v>
      </c>
      <c r="C19" s="19">
        <f t="shared" si="0"/>
        <v>18.22784810126582</v>
      </c>
      <c r="D19" s="19">
        <v>26.13</v>
      </c>
      <c r="E19" s="19">
        <v>2000</v>
      </c>
      <c r="F19" s="19">
        <v>125</v>
      </c>
      <c r="G19" s="19">
        <f t="shared" si="1"/>
        <v>3.6873156342182893</v>
      </c>
      <c r="H19" s="19">
        <v>13.33</v>
      </c>
      <c r="I19" s="19">
        <v>2000</v>
      </c>
      <c r="J19" s="19">
        <v>153</v>
      </c>
      <c r="K19" s="19">
        <f t="shared" si="2"/>
        <v>35.581395348837212</v>
      </c>
      <c r="L19" s="19">
        <f t="shared" si="3"/>
        <v>31.024459504760244</v>
      </c>
      <c r="M19" s="19">
        <v>2000</v>
      </c>
      <c r="N19" s="19">
        <v>118</v>
      </c>
      <c r="O19" s="19">
        <f t="shared" si="4"/>
        <v>14.936708860759493</v>
      </c>
      <c r="P19" s="19">
        <v>25.67</v>
      </c>
      <c r="Q19" s="19">
        <v>2000</v>
      </c>
      <c r="R19" s="19">
        <v>162.19999999999999</v>
      </c>
      <c r="S19" s="19">
        <f t="shared" si="5"/>
        <v>47.705882352941174</v>
      </c>
      <c r="T19" s="19">
        <f t="shared" si="6"/>
        <v>33.571438656657641</v>
      </c>
    </row>
    <row r="20" spans="1:35" x14ac:dyDescent="0.25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35" x14ac:dyDescent="0.25">
      <c r="A21" t="s">
        <v>12</v>
      </c>
      <c r="B21">
        <v>4.8890000000000002</v>
      </c>
      <c r="D21">
        <f>D22-3</f>
        <v>38.924291706928109</v>
      </c>
      <c r="E21" t="s">
        <v>12</v>
      </c>
      <c r="F21">
        <v>3.028</v>
      </c>
      <c r="H21">
        <f>H22-3</f>
        <v>19.345425913115285</v>
      </c>
      <c r="I21" t="s">
        <v>12</v>
      </c>
      <c r="J21">
        <v>7.3</v>
      </c>
      <c r="L21">
        <f>L22-3</f>
        <v>37.172003435238352</v>
      </c>
      <c r="M21" t="s">
        <v>12</v>
      </c>
      <c r="N21">
        <v>14.41</v>
      </c>
      <c r="P21">
        <f>P22-3</f>
        <v>32.268559871258745</v>
      </c>
      <c r="Q21" t="s">
        <v>12</v>
      </c>
      <c r="R21">
        <v>3.4540000000000002</v>
      </c>
      <c r="T21">
        <f>T22-3</f>
        <v>38.655707406329007</v>
      </c>
    </row>
    <row r="22" spans="1:35" x14ac:dyDescent="0.25">
      <c r="A22" t="s">
        <v>14</v>
      </c>
      <c r="B22">
        <v>42.53</v>
      </c>
      <c r="C22">
        <f>B36</f>
        <v>124.8</v>
      </c>
      <c r="D22">
        <f t="shared" ref="D22" si="7">20*LOG(C22)</f>
        <v>41.924291706928109</v>
      </c>
      <c r="E22" t="s">
        <v>14</v>
      </c>
      <c r="F22">
        <v>51.03</v>
      </c>
      <c r="G22">
        <f>C36</f>
        <v>13.1</v>
      </c>
      <c r="H22">
        <f t="shared" ref="H22" si="8">20*LOG(G22)</f>
        <v>22.345425913115285</v>
      </c>
      <c r="I22" t="s">
        <v>14</v>
      </c>
      <c r="J22">
        <v>78.3</v>
      </c>
      <c r="K22">
        <f>D36</f>
        <v>102</v>
      </c>
      <c r="L22">
        <f t="shared" ref="L22" si="9">20*LOG(K22)</f>
        <v>40.172003435238352</v>
      </c>
      <c r="M22" t="s">
        <v>14</v>
      </c>
      <c r="N22">
        <v>109.36</v>
      </c>
      <c r="O22">
        <f>E36</f>
        <v>58</v>
      </c>
      <c r="P22">
        <f t="shared" ref="P22" si="10">20*LOG(O22)</f>
        <v>35.268559871258745</v>
      </c>
      <c r="Q22" t="s">
        <v>14</v>
      </c>
      <c r="R22">
        <v>52.89</v>
      </c>
      <c r="S22">
        <f>F36</f>
        <v>121</v>
      </c>
      <c r="T22">
        <f t="shared" ref="T22" si="11">20*LOG(S22)</f>
        <v>41.655707406329007</v>
      </c>
    </row>
    <row r="23" spans="1:35" x14ac:dyDescent="0.25">
      <c r="A23" t="s">
        <v>13</v>
      </c>
      <c r="B23">
        <v>370</v>
      </c>
      <c r="D23">
        <f>D22-3</f>
        <v>38.924291706928109</v>
      </c>
      <c r="E23" t="s">
        <v>13</v>
      </c>
      <c r="F23">
        <v>860</v>
      </c>
      <c r="H23">
        <f>H22-3</f>
        <v>19.345425913115285</v>
      </c>
      <c r="I23" t="s">
        <v>13</v>
      </c>
      <c r="J23">
        <v>840</v>
      </c>
      <c r="L23">
        <f>L22-3</f>
        <v>37.172003435238352</v>
      </c>
      <c r="M23" t="s">
        <v>13</v>
      </c>
      <c r="N23">
        <v>830</v>
      </c>
      <c r="P23">
        <f>P22-3</f>
        <v>32.268559871258745</v>
      </c>
      <c r="Q23" t="s">
        <v>13</v>
      </c>
      <c r="R23">
        <v>810</v>
      </c>
      <c r="T23">
        <f>T22-3</f>
        <v>38.655707406329007</v>
      </c>
    </row>
    <row r="29" spans="1:35" ht="15.75" thickBot="1" x14ac:dyDescent="0.3">
      <c r="S29">
        <f>S33*1000</f>
        <v>11813.200498132006</v>
      </c>
      <c r="T29">
        <f>T33*1000</f>
        <v>11813.200498132006</v>
      </c>
    </row>
    <row r="30" spans="1:35" ht="42" customHeight="1" thickBot="1" x14ac:dyDescent="0.3">
      <c r="B30" t="s">
        <v>0</v>
      </c>
      <c r="C30" t="s">
        <v>8</v>
      </c>
      <c r="D30" t="s">
        <v>9</v>
      </c>
      <c r="E30" t="s">
        <v>10</v>
      </c>
      <c r="F30" t="s">
        <v>11</v>
      </c>
      <c r="H30" t="s">
        <v>23</v>
      </c>
      <c r="I30" t="s">
        <v>24</v>
      </c>
      <c r="K30" s="6" t="s">
        <v>45</v>
      </c>
      <c r="L30" t="s">
        <v>0</v>
      </c>
      <c r="M30" t="s">
        <v>8</v>
      </c>
      <c r="N30" t="s">
        <v>9</v>
      </c>
      <c r="O30" t="s">
        <v>10</v>
      </c>
      <c r="P30" t="s">
        <v>11</v>
      </c>
      <c r="R30" s="13"/>
      <c r="S30" s="38" t="s">
        <v>0</v>
      </c>
      <c r="T30" s="39" t="s">
        <v>8</v>
      </c>
      <c r="Y30" s="35"/>
      <c r="Z30" s="40" t="s">
        <v>9</v>
      </c>
      <c r="AB30" s="35"/>
      <c r="AC30" s="40" t="s">
        <v>10</v>
      </c>
      <c r="AE30" s="35"/>
      <c r="AF30" s="40" t="s">
        <v>11</v>
      </c>
    </row>
    <row r="31" spans="1:35" ht="15.75" thickBot="1" x14ac:dyDescent="0.3">
      <c r="A31" t="s">
        <v>15</v>
      </c>
      <c r="B31">
        <v>3.95</v>
      </c>
      <c r="C31">
        <v>33.9</v>
      </c>
      <c r="D31">
        <v>4.3</v>
      </c>
      <c r="E31">
        <v>7.9</v>
      </c>
      <c r="F31">
        <v>3.4</v>
      </c>
      <c r="H31" s="6" t="s">
        <v>22</v>
      </c>
      <c r="I31">
        <v>240</v>
      </c>
      <c r="L31">
        <f>((B37/(B32-B37))*3000)-500</f>
        <v>3509.4786729857819</v>
      </c>
      <c r="M31">
        <f>((C37/(C32-C37))*500)-500</f>
        <v>52.631578947368439</v>
      </c>
      <c r="N31">
        <f>((D37/(D32-D37))*2000)-500</f>
        <v>1924.2424242424245</v>
      </c>
      <c r="O31">
        <f t="shared" ref="O31:P31" si="12">((E37/(E32-E37))*3000)-500</f>
        <v>4153.409090909091</v>
      </c>
      <c r="P31">
        <f t="shared" si="12"/>
        <v>4972.9729729729734</v>
      </c>
      <c r="R31" s="5" t="s">
        <v>18</v>
      </c>
      <c r="S31" s="22">
        <f>I34*(I40/(I39+I40))</f>
        <v>3.290322580645161</v>
      </c>
      <c r="T31" s="23">
        <f>I34*(I40/(I39+I40))</f>
        <v>3.290322580645161</v>
      </c>
      <c r="Y31" s="31" t="s">
        <v>62</v>
      </c>
      <c r="Z31" s="21">
        <f>(I45*I34)/(I43+I44+I45)</f>
        <v>3.220779220779221</v>
      </c>
      <c r="AB31" s="36" t="s">
        <v>104</v>
      </c>
      <c r="AC31" s="37">
        <v>3.2902999999999998</v>
      </c>
      <c r="AE31" s="31" t="s">
        <v>62</v>
      </c>
      <c r="AF31" s="29">
        <f>I34*(I40/(I39+I40))</f>
        <v>3.290322580645161</v>
      </c>
      <c r="AG31" s="13"/>
      <c r="AH31" s="20"/>
      <c r="AI31" s="21"/>
    </row>
    <row r="32" spans="1:35" ht="15.75" thickBot="1" x14ac:dyDescent="0.3">
      <c r="A32" t="s">
        <v>3</v>
      </c>
      <c r="B32">
        <v>493</v>
      </c>
      <c r="C32">
        <v>440</v>
      </c>
      <c r="D32">
        <v>438</v>
      </c>
      <c r="E32">
        <v>449</v>
      </c>
      <c r="F32">
        <v>418</v>
      </c>
      <c r="H32" s="6" t="s">
        <v>25</v>
      </c>
      <c r="I32" s="7">
        <v>4.4999999999999998E-12</v>
      </c>
      <c r="R32" s="5" t="s">
        <v>19</v>
      </c>
      <c r="S32">
        <f>((S31-0.7)/I42)*1000</f>
        <v>0.50790638836179625</v>
      </c>
      <c r="T32" s="24">
        <f>((T31-0.7)/I42)*1000</f>
        <v>0.50790638836179625</v>
      </c>
      <c r="Y32" s="32" t="s">
        <v>63</v>
      </c>
      <c r="Z32" s="25">
        <f>((I44+I45)*I34)/(I43+I44+I45)</f>
        <v>5.2467532467532472</v>
      </c>
      <c r="AB32" s="10" t="s">
        <v>105</v>
      </c>
      <c r="AC32" s="11">
        <v>5.0799999999999999E-4</v>
      </c>
      <c r="AE32" s="32" t="s">
        <v>63</v>
      </c>
      <c r="AF32" s="25">
        <f>12*(I40/(I39+I40))</f>
        <v>3.290322580645161</v>
      </c>
      <c r="AG32" s="9"/>
      <c r="AI32" s="24"/>
    </row>
    <row r="33" spans="1:35" ht="15.75" thickBot="1" x14ac:dyDescent="0.3">
      <c r="A33" t="s">
        <v>12</v>
      </c>
      <c r="B33">
        <v>4.5</v>
      </c>
      <c r="C33">
        <v>3</v>
      </c>
      <c r="D33">
        <v>7.5</v>
      </c>
      <c r="E33">
        <v>14</v>
      </c>
      <c r="F33">
        <v>3.4</v>
      </c>
      <c r="H33" s="6" t="s">
        <v>26</v>
      </c>
      <c r="I33" s="7">
        <v>150000000</v>
      </c>
      <c r="R33" s="5" t="s">
        <v>47</v>
      </c>
      <c r="S33">
        <f>I31/S34/1000</f>
        <v>11.813200498132007</v>
      </c>
      <c r="T33" s="24">
        <f>I31/T34/1000</f>
        <v>11.813200498132007</v>
      </c>
      <c r="Y33" s="32" t="s">
        <v>64</v>
      </c>
      <c r="Z33" s="24">
        <f>(Z31-0.7)/I42</f>
        <v>4.9427043544690607E-4</v>
      </c>
      <c r="AB33" s="10" t="s">
        <v>106</v>
      </c>
      <c r="AC33" s="12">
        <v>9.41</v>
      </c>
      <c r="AE33" s="32" t="s">
        <v>64</v>
      </c>
      <c r="AF33" s="25">
        <f>((AF31-0.7)/I42)</f>
        <v>5.079063883617962E-4</v>
      </c>
      <c r="AG33" s="9"/>
      <c r="AI33" s="24"/>
    </row>
    <row r="34" spans="1:35" ht="15.75" thickBot="1" x14ac:dyDescent="0.3">
      <c r="A34" t="s">
        <v>14</v>
      </c>
      <c r="B34">
        <v>40.25</v>
      </c>
      <c r="C34">
        <v>50</v>
      </c>
      <c r="D34">
        <v>79</v>
      </c>
      <c r="E34">
        <v>108</v>
      </c>
      <c r="F34">
        <v>52.8</v>
      </c>
      <c r="H34" s="6" t="s">
        <v>27</v>
      </c>
      <c r="I34">
        <v>12</v>
      </c>
      <c r="R34" s="5" t="s">
        <v>46</v>
      </c>
      <c r="S34">
        <f>S32/25</f>
        <v>2.0316255534471851E-2</v>
      </c>
      <c r="T34" s="24">
        <f>T32/25</f>
        <v>2.0316255534471851E-2</v>
      </c>
      <c r="Y34" s="32" t="s">
        <v>65</v>
      </c>
      <c r="Z34" s="24">
        <f>Z33</f>
        <v>4.9427043544690607E-4</v>
      </c>
      <c r="AB34" s="10" t="s">
        <v>107</v>
      </c>
      <c r="AC34" s="11">
        <v>2.0299999999999999E-2</v>
      </c>
      <c r="AE34" s="32" t="s">
        <v>65</v>
      </c>
      <c r="AF34" s="25">
        <f>((AF32-0.7)/I42)</f>
        <v>5.079063883617962E-4</v>
      </c>
      <c r="AG34" s="9"/>
      <c r="AI34" s="24"/>
    </row>
    <row r="35" spans="1:35" ht="35.25" customHeight="1" thickBot="1" x14ac:dyDescent="0.3">
      <c r="A35" t="s">
        <v>13</v>
      </c>
      <c r="B35">
        <v>360</v>
      </c>
      <c r="C35">
        <v>830</v>
      </c>
      <c r="D35">
        <v>830</v>
      </c>
      <c r="E35">
        <v>840</v>
      </c>
      <c r="F35">
        <v>820</v>
      </c>
      <c r="H35" s="6" t="s">
        <v>28</v>
      </c>
      <c r="I35">
        <v>500</v>
      </c>
      <c r="P35">
        <f>S32*0.001</f>
        <v>5.0790638836179631E-4</v>
      </c>
      <c r="R35" s="5" t="s">
        <v>60</v>
      </c>
      <c r="T35" s="24">
        <f>T29/(I31+1)</f>
        <v>49.017429452829901</v>
      </c>
      <c r="Y35" s="32" t="s">
        <v>66</v>
      </c>
      <c r="Z35" s="24">
        <f>Z32-0.7</f>
        <v>4.546753246753247</v>
      </c>
      <c r="AB35" s="10" t="s">
        <v>108</v>
      </c>
      <c r="AC35" s="12">
        <v>11813.2</v>
      </c>
      <c r="AE35" s="32" t="s">
        <v>66</v>
      </c>
      <c r="AF35" s="24"/>
      <c r="AG35" s="9"/>
      <c r="AH35" s="8" t="s">
        <v>99</v>
      </c>
      <c r="AI35" s="25">
        <f>(((1/I39)+(1/I40)+(1/AF44))^-1)</f>
        <v>3481.1009174311935</v>
      </c>
    </row>
    <row r="36" spans="1:35" ht="30" customHeight="1" thickBot="1" x14ac:dyDescent="0.3">
      <c r="A36" t="s">
        <v>16</v>
      </c>
      <c r="B36">
        <v>124.8</v>
      </c>
      <c r="C36">
        <v>13.1</v>
      </c>
      <c r="D36">
        <v>102</v>
      </c>
      <c r="E36">
        <v>58</v>
      </c>
      <c r="F36">
        <v>121</v>
      </c>
      <c r="H36" s="6" t="s">
        <v>29</v>
      </c>
      <c r="I36" s="7">
        <v>3000</v>
      </c>
      <c r="R36" s="5" t="s">
        <v>61</v>
      </c>
      <c r="T36" s="24">
        <f>240/241</f>
        <v>0.99585062240663902</v>
      </c>
      <c r="Y36" s="32" t="s">
        <v>67</v>
      </c>
      <c r="Z36" s="24">
        <f>I34-Z34*I41</f>
        <v>8.292971734148205</v>
      </c>
      <c r="AB36" s="10" t="s">
        <v>109</v>
      </c>
      <c r="AC36" s="12">
        <v>49.017429450000002</v>
      </c>
      <c r="AE36" s="32" t="s">
        <v>67</v>
      </c>
      <c r="AF36" s="24"/>
      <c r="AG36" s="9"/>
      <c r="AI36" s="24"/>
    </row>
    <row r="37" spans="1:35" ht="15.75" thickBot="1" x14ac:dyDescent="0.3">
      <c r="A37" t="s">
        <v>17</v>
      </c>
      <c r="B37">
        <v>282</v>
      </c>
      <c r="C37">
        <v>231</v>
      </c>
      <c r="D37">
        <v>240</v>
      </c>
      <c r="E37">
        <v>273</v>
      </c>
      <c r="F37">
        <v>270</v>
      </c>
      <c r="H37" s="6" t="s">
        <v>30</v>
      </c>
      <c r="I37">
        <v>500</v>
      </c>
      <c r="R37" s="5" t="s">
        <v>20</v>
      </c>
      <c r="S37" s="7">
        <f>I34-(I41+I42)*P35</f>
        <v>5.6003795066413664</v>
      </c>
      <c r="T37" s="24">
        <v>5.6003999999999996</v>
      </c>
      <c r="Y37" s="32" t="s">
        <v>68</v>
      </c>
      <c r="Z37" s="24">
        <f>Z31-0.7</f>
        <v>2.5207792207792208</v>
      </c>
      <c r="AB37" s="10" t="s">
        <v>110</v>
      </c>
      <c r="AC37" s="12">
        <v>4075.9290059999998</v>
      </c>
      <c r="AE37" s="32" t="s">
        <v>68</v>
      </c>
      <c r="AF37" s="24"/>
      <c r="AG37" s="9"/>
      <c r="AI37" s="24"/>
    </row>
    <row r="38" spans="1:35" ht="15.75" thickBot="1" x14ac:dyDescent="0.3">
      <c r="H38" s="6" t="s">
        <v>31</v>
      </c>
      <c r="I38" s="7">
        <v>2000</v>
      </c>
      <c r="R38" s="5" t="s">
        <v>48</v>
      </c>
      <c r="S38">
        <f>(((I39*I40)/(I39+I40))*S33*1000)/(((I39*I40)/(I39+I40))+(S33*1000))</f>
        <v>3481.1009174311926</v>
      </c>
      <c r="T38" s="24">
        <f>(I42*T35)/(I42+T35)</f>
        <v>48.550795104998905</v>
      </c>
      <c r="Y38" s="32" t="s">
        <v>69</v>
      </c>
      <c r="Z38" s="24">
        <f>Z32-0.7</f>
        <v>4.546753246753247</v>
      </c>
      <c r="AB38" s="10" t="s">
        <v>111</v>
      </c>
      <c r="AC38" s="12">
        <v>3.29</v>
      </c>
      <c r="AE38" s="32" t="s">
        <v>69</v>
      </c>
      <c r="AF38" s="24"/>
      <c r="AG38" s="9"/>
      <c r="AI38" s="24"/>
    </row>
    <row r="39" spans="1:35" ht="45.75" thickBot="1" x14ac:dyDescent="0.3">
      <c r="H39" s="6" t="s">
        <v>32</v>
      </c>
      <c r="I39" s="7">
        <v>18000</v>
      </c>
      <c r="R39" s="5" t="s">
        <v>49</v>
      </c>
      <c r="S39" s="7">
        <f>I41</f>
        <v>7500</v>
      </c>
      <c r="T39" s="24">
        <f>I41</f>
        <v>7500</v>
      </c>
      <c r="Y39" s="32" t="s">
        <v>70</v>
      </c>
      <c r="Z39" s="24">
        <f>Z35-Z37</f>
        <v>2.0259740259740262</v>
      </c>
      <c r="AB39" s="10" t="s">
        <v>112</v>
      </c>
      <c r="AC39" s="11">
        <v>5.0799999999999999E-4</v>
      </c>
      <c r="AE39" s="32" t="s">
        <v>70</v>
      </c>
      <c r="AF39" s="25">
        <f>I34-(I42*AF33)</f>
        <v>9.4096774193548391</v>
      </c>
      <c r="AG39" s="9"/>
      <c r="AI39" s="24"/>
    </row>
    <row r="40" spans="1:35" ht="45.75" thickBot="1" x14ac:dyDescent="0.3">
      <c r="H40" s="6" t="s">
        <v>33</v>
      </c>
      <c r="I40" s="7">
        <v>6800</v>
      </c>
      <c r="R40" s="5" t="s">
        <v>21</v>
      </c>
      <c r="S40" s="7">
        <f>((-S38)/(S38+I35))*S34*(1/((1/I41)+(1/I49)))</f>
        <v>-132.24318555663604</v>
      </c>
      <c r="T40" s="24">
        <f>(T38/(T38+I35))*(T36/T35)*((I41*I49)/(I41+I49))</f>
        <v>13.385647160189091</v>
      </c>
      <c r="Y40" s="32" t="s">
        <v>71</v>
      </c>
      <c r="Z40" s="24">
        <f>Z36-Z38</f>
        <v>3.746218487394958</v>
      </c>
      <c r="AB40" s="10" t="s">
        <v>113</v>
      </c>
      <c r="AC40" s="12">
        <v>5.6</v>
      </c>
      <c r="AE40" s="32" t="s">
        <v>71</v>
      </c>
      <c r="AF40" s="25">
        <f>I34-((I41+I42)*AF34)</f>
        <v>5.6003795066413682</v>
      </c>
      <c r="AG40" s="9"/>
      <c r="AI40" s="24"/>
    </row>
    <row r="41" spans="1:35" ht="30.75" thickBot="1" x14ac:dyDescent="0.3">
      <c r="H41" s="6" t="s">
        <v>34</v>
      </c>
      <c r="I41" s="7">
        <v>7500</v>
      </c>
      <c r="R41" s="5" t="s">
        <v>59</v>
      </c>
      <c r="S41" s="7">
        <f>(S34/(2*3.14*I33))-I32</f>
        <v>1.7067150248908545E-11</v>
      </c>
      <c r="T41" s="24">
        <v>1.7067150248908545E-11</v>
      </c>
      <c r="Y41" s="32" t="s">
        <v>72</v>
      </c>
      <c r="Z41" s="24">
        <f>Z33/0.025</f>
        <v>1.977081741787624E-2</v>
      </c>
      <c r="AB41" s="10" t="s">
        <v>114</v>
      </c>
      <c r="AC41" s="12">
        <v>0.02</v>
      </c>
      <c r="AE41" s="32" t="s">
        <v>72</v>
      </c>
      <c r="AF41" s="24">
        <f>AF33/0.025</f>
        <v>2.0316255534471847E-2</v>
      </c>
      <c r="AG41" s="9"/>
      <c r="AI41" s="24"/>
    </row>
    <row r="42" spans="1:35" ht="45.75" thickBot="1" x14ac:dyDescent="0.3">
      <c r="H42" s="6" t="s">
        <v>35</v>
      </c>
      <c r="I42" s="7">
        <v>5100</v>
      </c>
      <c r="R42" s="5" t="s">
        <v>50</v>
      </c>
      <c r="S42" s="7">
        <f>-S34*(((1/I41) + (1/I49))^-1)</f>
        <v>-151.23763425165149</v>
      </c>
      <c r="T42" s="24"/>
      <c r="Y42" s="32" t="s">
        <v>73</v>
      </c>
      <c r="Z42" s="24">
        <f>Z34/0.025</f>
        <v>1.977081741787624E-2</v>
      </c>
      <c r="AB42" s="10" t="s">
        <v>115</v>
      </c>
      <c r="AC42" s="12">
        <v>11813.200500000001</v>
      </c>
      <c r="AE42" s="32" t="s">
        <v>73</v>
      </c>
      <c r="AF42" s="24">
        <f>AF34/0.025</f>
        <v>2.0316255534471847E-2</v>
      </c>
      <c r="AG42" s="9"/>
      <c r="AI42" s="24"/>
    </row>
    <row r="43" spans="1:35" ht="15.75" thickBot="1" x14ac:dyDescent="0.3">
      <c r="H43" s="6" t="s">
        <v>36</v>
      </c>
      <c r="I43" s="7">
        <v>13000</v>
      </c>
      <c r="R43" s="5" t="s">
        <v>51</v>
      </c>
      <c r="S43" s="7">
        <f>I32*(1-S42)</f>
        <v>6.8506935413243169E-10</v>
      </c>
      <c r="T43" s="24"/>
      <c r="Y43" s="32" t="s">
        <v>74</v>
      </c>
      <c r="Z43" s="24">
        <f>I31/Z41</f>
        <v>12139.103554868625</v>
      </c>
      <c r="AB43" s="10" t="s">
        <v>116</v>
      </c>
      <c r="AC43" s="12">
        <v>49.017429450000002</v>
      </c>
      <c r="AE43" s="32" t="s">
        <v>74</v>
      </c>
      <c r="AF43" s="24">
        <f>I31/AF41</f>
        <v>11813.200498132008</v>
      </c>
      <c r="AG43" s="9"/>
      <c r="AI43" s="24"/>
    </row>
    <row r="44" spans="1:35" ht="15.75" thickBot="1" x14ac:dyDescent="0.3">
      <c r="H44" s="6" t="s">
        <v>37</v>
      </c>
      <c r="I44" s="7">
        <v>3900</v>
      </c>
      <c r="R44" s="5" t="s">
        <v>52</v>
      </c>
      <c r="S44" s="7">
        <f>I32*(1-(1/S42))</f>
        <v>4.5297544987546698E-12</v>
      </c>
      <c r="T44" s="24"/>
      <c r="Y44" s="32" t="s">
        <v>75</v>
      </c>
      <c r="Z44" s="24">
        <f>I31/Z42</f>
        <v>12139.103554868625</v>
      </c>
      <c r="AB44" s="10" t="s">
        <v>117</v>
      </c>
      <c r="AC44" s="12">
        <v>48.55</v>
      </c>
      <c r="AE44" s="32" t="s">
        <v>75</v>
      </c>
      <c r="AF44" s="24">
        <f>I31/AF42</f>
        <v>11813.200498132008</v>
      </c>
      <c r="AG44" s="9"/>
      <c r="AI44" s="24"/>
    </row>
    <row r="45" spans="1:35" ht="15.75" thickBot="1" x14ac:dyDescent="0.3">
      <c r="H45" s="6" t="s">
        <v>38</v>
      </c>
      <c r="I45" s="7">
        <v>6200</v>
      </c>
      <c r="R45" s="5" t="s">
        <v>53</v>
      </c>
      <c r="S45" s="7">
        <f>(S43+S41)*((S38*I35/(S38+I35)))</f>
        <v>3.0697639676275027E-7</v>
      </c>
      <c r="T45" s="25">
        <f>T41*(((1/T35)+(1/I42)+(1/I35))^-1)</f>
        <v>7.5528439859647071E-10</v>
      </c>
      <c r="Y45" s="32" t="s">
        <v>76</v>
      </c>
      <c r="Z45" s="24">
        <f>(Z43/(I31+1))</f>
        <v>50.369724294060681</v>
      </c>
      <c r="AB45" s="10" t="s">
        <v>49</v>
      </c>
      <c r="AC45" s="11">
        <v>7500</v>
      </c>
      <c r="AE45" s="32" t="s">
        <v>76</v>
      </c>
      <c r="AF45" s="24">
        <f>(AF43/(I31+1))</f>
        <v>49.017429452829909</v>
      </c>
      <c r="AG45" s="9"/>
      <c r="AI45" s="24"/>
    </row>
    <row r="46" spans="1:35" ht="30.75" thickBot="1" x14ac:dyDescent="0.3">
      <c r="H46" s="6" t="s">
        <v>39</v>
      </c>
      <c r="I46" s="7">
        <v>1E-8</v>
      </c>
      <c r="R46" s="5" t="s">
        <v>54</v>
      </c>
      <c r="S46" s="7">
        <f>(S44 +I50) * (((1/I41)+(1/I49))^-1)</f>
        <v>1.826036315043772E-7</v>
      </c>
      <c r="T46" s="25">
        <f>(I32+I50)*((I41*I49)/(I41+I49))</f>
        <v>1.8238213399503722E-7</v>
      </c>
      <c r="Y46" s="32" t="s">
        <v>77</v>
      </c>
      <c r="Z46" s="24">
        <f>(Z44/(I31+1))</f>
        <v>50.369724294060681</v>
      </c>
      <c r="AB46" s="10" t="s">
        <v>78</v>
      </c>
      <c r="AC46" s="11">
        <v>1.7100000000000001E-11</v>
      </c>
      <c r="AE46" s="32" t="s">
        <v>77</v>
      </c>
      <c r="AF46" s="24">
        <f>(AF44/(I31+1))</f>
        <v>49.017429452829909</v>
      </c>
      <c r="AG46" s="9"/>
      <c r="AI46" s="24"/>
    </row>
    <row r="47" spans="1:35" ht="60.75" thickBot="1" x14ac:dyDescent="0.3">
      <c r="H47" s="6" t="s">
        <v>40</v>
      </c>
      <c r="I47" s="7">
        <v>9.9999999999999995E-8</v>
      </c>
      <c r="R47" s="5" t="s">
        <v>55</v>
      </c>
      <c r="T47" s="24"/>
      <c r="Y47" s="32" t="s">
        <v>78</v>
      </c>
      <c r="Z47" s="25">
        <f>(Z41/(2*3.14*I33))-I32</f>
        <v>1.6488128893711507E-11</v>
      </c>
      <c r="AB47" s="10" t="s">
        <v>79</v>
      </c>
      <c r="AC47" s="11">
        <v>1.7100000000000001E-11</v>
      </c>
      <c r="AE47" s="32" t="s">
        <v>78</v>
      </c>
      <c r="AF47" s="25">
        <f>(AF41/(2*3.14*I33))-I32</f>
        <v>1.7067150248908542E-11</v>
      </c>
      <c r="AG47" s="9"/>
      <c r="AI47" s="24"/>
    </row>
    <row r="48" spans="1:35" ht="45.75" thickBot="1" x14ac:dyDescent="0.3">
      <c r="H48" s="6" t="s">
        <v>41</v>
      </c>
      <c r="I48" s="7">
        <v>1E-4</v>
      </c>
      <c r="R48" s="5" t="s">
        <v>13</v>
      </c>
      <c r="S48">
        <f>(1/(2*3.14*SQRT((S45*S45)+(S46*S46))))</f>
        <v>445811.68739477737</v>
      </c>
      <c r="T48" s="24">
        <f>1/(2*3.14*SQRT((T45*T45)+(T46*T46)))</f>
        <v>873080.60223704949</v>
      </c>
      <c r="Y48" s="32" t="s">
        <v>79</v>
      </c>
      <c r="Z48" s="25">
        <f>(Z41/(2*3.14*I33))-I32</f>
        <v>1.6488128893711507E-11</v>
      </c>
      <c r="AB48" s="10" t="s">
        <v>118</v>
      </c>
      <c r="AC48" s="12">
        <v>0.89073257049999999</v>
      </c>
      <c r="AE48" s="32" t="s">
        <v>79</v>
      </c>
      <c r="AF48" s="25">
        <f>(AF42/(2*3.14*I33))-I32</f>
        <v>1.7067150248908542E-11</v>
      </c>
      <c r="AG48" s="9"/>
      <c r="AH48" s="8" t="s">
        <v>90</v>
      </c>
      <c r="AI48" s="24">
        <f>AF49/(AF49+I35)</f>
        <v>0.90720493790368795</v>
      </c>
    </row>
    <row r="49" spans="2:35" ht="15.75" thickBot="1" x14ac:dyDescent="0.3">
      <c r="H49" t="s">
        <v>42</v>
      </c>
      <c r="I49" s="7">
        <v>1000000</v>
      </c>
      <c r="R49" s="5" t="s">
        <v>56</v>
      </c>
      <c r="S49" s="7">
        <f>((((1/I39) + (1/I40) + (1/S29))^-1)+I35) * I46</f>
        <v>3.9811009174311927E-5</v>
      </c>
      <c r="T49" s="25">
        <f>I47*(I35+((I42*T35)/(I42+T35)))</f>
        <v>5.4855079510499885E-5</v>
      </c>
      <c r="Y49" s="32" t="s">
        <v>80</v>
      </c>
      <c r="Z49" s="24">
        <f>((1/I44)+(1/I45)+(1/Z43))^-1</f>
        <v>1999.6841103061538</v>
      </c>
      <c r="AB49" s="10" t="s">
        <v>119</v>
      </c>
      <c r="AC49" s="12">
        <v>0.49524011810000002</v>
      </c>
      <c r="AE49" s="32" t="s">
        <v>80</v>
      </c>
      <c r="AF49" s="24">
        <f>(1/I39+1/I40+1/(((1/I42+1/AI35)^-1)*(I31+1)+AF43))^-1</f>
        <v>4888.2177424597212</v>
      </c>
      <c r="AG49" s="9"/>
      <c r="AH49" s="8" t="s">
        <v>91</v>
      </c>
      <c r="AI49" s="25">
        <f>((((1/I42)+(1/AI35))^-1)*(I31+1))/(((((1/I42)+(1/AI35))^-1)*(I31+1))+ AF43)</f>
        <v>0.97685605831162792</v>
      </c>
    </row>
    <row r="50" spans="2:35" ht="15.75" thickBot="1" x14ac:dyDescent="0.3">
      <c r="H50" t="s">
        <v>43</v>
      </c>
      <c r="I50" s="7">
        <v>1.9999999999999999E-11</v>
      </c>
      <c r="R50" s="5" t="s">
        <v>57</v>
      </c>
      <c r="S50" s="7">
        <f>I48* (((1/I42)+ (1/(((((1/I39)+(1/I40)+(1/I35))^-1)+S29)/(I31+1))))^-1)</f>
        <v>5.0398264496863679E-3</v>
      </c>
      <c r="T50" s="25">
        <f>I48*(((1/I39)+(1/I40)+(1/(((((1/I35)+(1/I42))^-1)+T35)*(I31+1))))^-1)</f>
        <v>0.47429070026911796</v>
      </c>
      <c r="Y50" s="32" t="s">
        <v>81</v>
      </c>
      <c r="Z50" s="25">
        <f>I41</f>
        <v>7500</v>
      </c>
      <c r="AB50" s="10" t="s">
        <v>120</v>
      </c>
      <c r="AC50" s="12">
        <v>151.2376342</v>
      </c>
      <c r="AE50" s="32" t="s">
        <v>81</v>
      </c>
      <c r="AF50" s="25">
        <f>I41</f>
        <v>7500</v>
      </c>
      <c r="AG50" s="9"/>
      <c r="AH50" s="8" t="s">
        <v>92</v>
      </c>
      <c r="AI50" s="25">
        <f>((((1/I41)+(1/I49))^-1)*AF42)</f>
        <v>151.23763425165146</v>
      </c>
    </row>
    <row r="51" spans="2:35" ht="30.75" thickBot="1" x14ac:dyDescent="0.3">
      <c r="H51" t="s">
        <v>44</v>
      </c>
      <c r="I51">
        <v>0</v>
      </c>
      <c r="R51" s="5" t="s">
        <v>58</v>
      </c>
      <c r="S51" s="7">
        <f>I47*(I41+I49)</f>
        <v>0.10074999999999999</v>
      </c>
      <c r="T51" s="25">
        <f>I47*(I41+I49)</f>
        <v>0.10074999999999999</v>
      </c>
      <c r="Y51" s="32" t="s">
        <v>82</v>
      </c>
      <c r="Z51" s="24">
        <f>I31/(I31+1)</f>
        <v>0.99585062240663902</v>
      </c>
      <c r="AB51" s="10" t="s">
        <v>83</v>
      </c>
      <c r="AC51" s="12">
        <v>66.714928760000006</v>
      </c>
      <c r="AE51" s="32" t="s">
        <v>82</v>
      </c>
      <c r="AF51" s="24">
        <f>I31/(I31+1)</f>
        <v>0.99585062240663902</v>
      </c>
      <c r="AG51" s="9"/>
      <c r="AI51" s="24"/>
    </row>
    <row r="52" spans="2:35" ht="30.75" thickBot="1" x14ac:dyDescent="0.3">
      <c r="R52" s="5" t="s">
        <v>12</v>
      </c>
      <c r="S52" s="7">
        <f>(1/(2*3.14))*SQRT(((1/(S49*S49))+(1/(S50*S50))+(1/(S51*S51))))</f>
        <v>3999.9149102664687</v>
      </c>
      <c r="T52" s="24">
        <f>(1/(2*3.14))*(SQRT(((1/(T49*T49))+(1/(T50*T50))+(1/(T51*T51)))))</f>
        <v>2902.8431802130526</v>
      </c>
      <c r="Y52" s="32" t="s">
        <v>83</v>
      </c>
      <c r="Z52" s="24">
        <f>(-Z49/(Z49 + I35))*Z51*Z41*(((1/I41)+(1/I49))^-1)</f>
        <v>-117.24958096787151</v>
      </c>
      <c r="AB52" s="10" t="s">
        <v>121</v>
      </c>
      <c r="AC52" s="12">
        <v>478.33</v>
      </c>
      <c r="AE52" s="32" t="s">
        <v>83</v>
      </c>
      <c r="AF52" s="25">
        <f>AI48*AI49*AI50</f>
        <v>134.02809812484497</v>
      </c>
      <c r="AG52" s="9"/>
      <c r="AI52" s="24"/>
    </row>
    <row r="53" spans="2:35" ht="15.75" thickBot="1" x14ac:dyDescent="0.3">
      <c r="R53" s="30" t="s">
        <v>135</v>
      </c>
      <c r="S53" s="27">
        <f>SQRT(S48*S52)</f>
        <v>42228.057208228558</v>
      </c>
      <c r="T53" s="28">
        <f>SQRT(T48*T52)</f>
        <v>50342.984337245281</v>
      </c>
      <c r="Y53" s="32"/>
      <c r="Z53" s="24"/>
      <c r="AB53" s="10" t="s">
        <v>86</v>
      </c>
      <c r="AC53" s="11">
        <v>2.0000000000000001E-9</v>
      </c>
      <c r="AE53" s="32"/>
      <c r="AF53" s="24"/>
      <c r="AG53" s="9"/>
      <c r="AI53" s="24"/>
    </row>
    <row r="54" spans="2:35" ht="15.75" thickBot="1" x14ac:dyDescent="0.3">
      <c r="Y54" s="32" t="s">
        <v>50</v>
      </c>
      <c r="Z54" s="24">
        <f>-Z41*Z46</f>
        <v>-0.99585062240663891</v>
      </c>
      <c r="AB54" s="10" t="s">
        <v>87</v>
      </c>
      <c r="AC54" s="11">
        <v>4.2199999999999999E-10</v>
      </c>
      <c r="AE54" s="32" t="s">
        <v>50</v>
      </c>
      <c r="AF54" s="25">
        <f>-AF41*(((1/I42) + (1/I49))^-1)</f>
        <v>-103.08715871635303</v>
      </c>
      <c r="AG54" s="9"/>
      <c r="AI54" s="24"/>
    </row>
    <row r="55" spans="2:35" ht="15.75" thickBot="1" x14ac:dyDescent="0.3">
      <c r="Y55" s="32" t="s">
        <v>84</v>
      </c>
      <c r="Z55" s="25">
        <f>I32*(1-Z54)</f>
        <v>8.9813278008298754E-12</v>
      </c>
      <c r="AB55" s="10" t="s">
        <v>88</v>
      </c>
      <c r="AC55" s="11">
        <v>1.8199999999999999E-7</v>
      </c>
      <c r="AE55" s="32" t="s">
        <v>84</v>
      </c>
      <c r="AF55" s="25">
        <f>I32*(1-AF54)</f>
        <v>4.6839221422358865E-10</v>
      </c>
      <c r="AG55" s="9"/>
      <c r="AI55" s="24"/>
    </row>
    <row r="56" spans="2:35" ht="15.75" thickBot="1" x14ac:dyDescent="0.3">
      <c r="Y56" s="32" t="s">
        <v>85</v>
      </c>
      <c r="Z56" s="25">
        <f>I32*(1-(1/Z54))</f>
        <v>9.0187500000000005E-12</v>
      </c>
      <c r="AB56" s="10" t="s">
        <v>122</v>
      </c>
      <c r="AC56" s="11">
        <v>7.8500000000000008E-9</v>
      </c>
      <c r="AE56" s="32" t="s">
        <v>85</v>
      </c>
      <c r="AF56" s="25">
        <f>I32*(1-(1/AF54))</f>
        <v>4.5436523816936486E-12</v>
      </c>
      <c r="AG56" s="9"/>
      <c r="AI56" s="24"/>
    </row>
    <row r="57" spans="2:35" ht="15.75" thickBot="1" x14ac:dyDescent="0.3">
      <c r="Y57" s="32" t="s">
        <v>86</v>
      </c>
      <c r="Z57" s="25">
        <f>(Z55+Z47)*(((1/I35) + (1/I44) + (1/I45) + (1/Z43))^-1)</f>
        <v>1.0187460815592264E-8</v>
      </c>
      <c r="AB57" s="10" t="s">
        <v>89</v>
      </c>
      <c r="AC57" s="11">
        <v>872000</v>
      </c>
      <c r="AE57" s="32" t="s">
        <v>86</v>
      </c>
      <c r="AF57" s="25">
        <f>I32*(((1/I35)+(1/AF49))^-1)</f>
        <v>2.0412111102832978E-9</v>
      </c>
      <c r="AG57" s="9"/>
      <c r="AI57" s="24"/>
    </row>
    <row r="58" spans="2:35" ht="15.75" thickBot="1" x14ac:dyDescent="0.3">
      <c r="K58" s="13" t="s">
        <v>123</v>
      </c>
      <c r="L58" s="42" t="s">
        <v>9</v>
      </c>
      <c r="M58" s="47"/>
      <c r="N58" s="43"/>
      <c r="O58" s="42" t="s">
        <v>10</v>
      </c>
      <c r="P58" s="47"/>
      <c r="Q58" s="43"/>
      <c r="R58" s="42" t="s">
        <v>11</v>
      </c>
      <c r="S58" s="47"/>
      <c r="T58" s="43"/>
      <c r="Y58" s="32" t="s">
        <v>87</v>
      </c>
      <c r="Z58" s="25">
        <f>(Z56+Z48)*Z46</f>
        <v>1.2847744574782441E-9</v>
      </c>
      <c r="AB58" s="10" t="s">
        <v>94</v>
      </c>
      <c r="AC58" s="11">
        <v>4.5800000000000002E-5</v>
      </c>
      <c r="AE58" s="32" t="s">
        <v>87</v>
      </c>
      <c r="AF58" s="25">
        <f>AF47*(((1/AF43)+(1/AF64))^-1)</f>
        <v>9.9567312923281751E-10</v>
      </c>
      <c r="AG58" s="9"/>
      <c r="AI58" s="24"/>
    </row>
    <row r="59" spans="2:35" ht="15.75" thickBot="1" x14ac:dyDescent="0.3">
      <c r="B59" s="13" t="s">
        <v>123</v>
      </c>
      <c r="C59" s="42" t="s">
        <v>0</v>
      </c>
      <c r="D59" s="47"/>
      <c r="E59" s="43"/>
      <c r="F59" s="42" t="s">
        <v>8</v>
      </c>
      <c r="G59" s="47"/>
      <c r="H59" s="43"/>
      <c r="K59" s="9"/>
      <c r="L59" s="49" t="s">
        <v>124</v>
      </c>
      <c r="M59" s="50" t="s">
        <v>125</v>
      </c>
      <c r="N59" s="64" t="s">
        <v>136</v>
      </c>
      <c r="O59" s="49" t="s">
        <v>124</v>
      </c>
      <c r="P59" s="58" t="s">
        <v>125</v>
      </c>
      <c r="Q59" s="64" t="s">
        <v>136</v>
      </c>
      <c r="R59" s="49" t="s">
        <v>124</v>
      </c>
      <c r="S59" s="58" t="s">
        <v>125</v>
      </c>
      <c r="T59" s="64" t="s">
        <v>136</v>
      </c>
      <c r="Y59" s="32" t="s">
        <v>88</v>
      </c>
      <c r="Z59" s="25">
        <f>(I32+I50)*(((1/I41)+(1/I49))^-1)</f>
        <v>1.8238213399503722E-7</v>
      </c>
      <c r="AB59" s="10" t="s">
        <v>95</v>
      </c>
      <c r="AC59" s="11">
        <v>9.8900000000000002E-6</v>
      </c>
      <c r="AE59" s="32" t="s">
        <v>88</v>
      </c>
      <c r="AF59" s="25">
        <f>(((1/I42)+(1/AI35)+(1/(((((1/I39)+(1/I40)+(1/I35))^-1)+AF43)/(I31+1))))^-1)*(AF48+AF56)</f>
        <v>1.0736036569695221E-9</v>
      </c>
      <c r="AG59" s="5" t="s">
        <v>100</v>
      </c>
      <c r="AH59" s="7">
        <f>(AF56+I50)*(((1/I49)+(1/I41))^-1)</f>
        <v>1.8270708969002716E-7</v>
      </c>
      <c r="AI59" s="24"/>
    </row>
    <row r="60" spans="2:35" ht="15.75" thickBot="1" x14ac:dyDescent="0.3">
      <c r="B60" s="9"/>
      <c r="C60" s="49" t="s">
        <v>124</v>
      </c>
      <c r="D60" s="50" t="s">
        <v>125</v>
      </c>
      <c r="E60" s="64" t="s">
        <v>136</v>
      </c>
      <c r="F60" s="49" t="s">
        <v>124</v>
      </c>
      <c r="G60" s="50" t="s">
        <v>125</v>
      </c>
      <c r="H60" s="64" t="s">
        <v>136</v>
      </c>
      <c r="K60" s="48" t="s">
        <v>104</v>
      </c>
      <c r="L60" s="51" t="s">
        <v>126</v>
      </c>
      <c r="M60" s="15">
        <f>Z31</f>
        <v>3.220779220779221</v>
      </c>
      <c r="N60" s="52" t="s">
        <v>126</v>
      </c>
      <c r="O60" s="51" t="s">
        <v>126</v>
      </c>
      <c r="P60" s="15">
        <f>AC31</f>
        <v>3.2902999999999998</v>
      </c>
      <c r="Q60" s="52" t="s">
        <v>126</v>
      </c>
      <c r="R60" s="51" t="s">
        <v>126</v>
      </c>
      <c r="S60" s="15">
        <f>AF31</f>
        <v>3.290322580645161</v>
      </c>
      <c r="T60" s="52" t="s">
        <v>126</v>
      </c>
      <c r="Y60" s="32" t="s">
        <v>132</v>
      </c>
      <c r="Z60" s="24">
        <f>1/(2*3.14*SQRT((Z57*Z57)+(Z58*Z58)+(Z59*Z59)))</f>
        <v>871707.64931984048</v>
      </c>
      <c r="AB60" s="10" t="s">
        <v>118</v>
      </c>
      <c r="AC60" s="12">
        <v>23840.33</v>
      </c>
      <c r="AE60" s="32" t="s">
        <v>132</v>
      </c>
      <c r="AF60" s="25">
        <f>1/(2*3.14*SQRT((AF57*AF57)+(AF58*AF58)+(AF59*AF59)+(AH59*AH59)))</f>
        <v>871452.88223871565</v>
      </c>
      <c r="AG60" s="9"/>
      <c r="AI60" s="24"/>
    </row>
    <row r="61" spans="2:35" ht="15.75" thickBot="1" x14ac:dyDescent="0.3">
      <c r="B61" s="48" t="s">
        <v>18</v>
      </c>
      <c r="C61" s="51" t="s">
        <v>126</v>
      </c>
      <c r="D61" s="44">
        <v>3.290322580645161</v>
      </c>
      <c r="E61" s="60" t="s">
        <v>126</v>
      </c>
      <c r="F61" s="51" t="s">
        <v>126</v>
      </c>
      <c r="G61" s="14">
        <v>3.290322580645161</v>
      </c>
      <c r="H61" s="60" t="s">
        <v>126</v>
      </c>
      <c r="K61" s="48" t="s">
        <v>111</v>
      </c>
      <c r="L61" s="51" t="s">
        <v>126</v>
      </c>
      <c r="M61" s="15">
        <f>Z32</f>
        <v>5.2467532467532472</v>
      </c>
      <c r="N61" s="52" t="s">
        <v>126</v>
      </c>
      <c r="O61" s="51" t="s">
        <v>126</v>
      </c>
      <c r="P61" s="15">
        <f>AC38</f>
        <v>3.29</v>
      </c>
      <c r="Q61" s="52" t="s">
        <v>126</v>
      </c>
      <c r="R61" s="51" t="s">
        <v>126</v>
      </c>
      <c r="S61" s="15">
        <f>AF32</f>
        <v>3.290322580645161</v>
      </c>
      <c r="T61" s="52" t="s">
        <v>126</v>
      </c>
      <c r="Y61" s="32" t="s">
        <v>90</v>
      </c>
      <c r="Z61" s="25">
        <f>(((1/I35)+(1/I45)+(1/Z43))^-1)+I44</f>
        <v>4345.6985950299759</v>
      </c>
      <c r="AB61" s="10" t="s">
        <v>96</v>
      </c>
      <c r="AC61" s="11">
        <v>0.40899999999999997</v>
      </c>
      <c r="AE61" s="32" t="s">
        <v>90</v>
      </c>
      <c r="AF61" s="25">
        <f>(((1/I35)+(1/I39)+(1/I40))^-1)+(((1/I42)+(1/AI35))^-1)</f>
        <v>2522.9263273026158</v>
      </c>
      <c r="AG61" s="9"/>
      <c r="AI61" s="24"/>
    </row>
    <row r="62" spans="2:35" ht="15.75" thickBot="1" x14ac:dyDescent="0.3">
      <c r="B62" s="48" t="s">
        <v>19</v>
      </c>
      <c r="C62" s="51" t="s">
        <v>126</v>
      </c>
      <c r="D62" s="44">
        <f>S32*1000</f>
        <v>507.90638836179625</v>
      </c>
      <c r="E62" s="60" t="s">
        <v>126</v>
      </c>
      <c r="F62" s="51" t="s">
        <v>126</v>
      </c>
      <c r="G62" s="15">
        <v>507.90638836179625</v>
      </c>
      <c r="H62" s="60" t="s">
        <v>126</v>
      </c>
      <c r="K62" s="48" t="s">
        <v>133</v>
      </c>
      <c r="L62" s="51" t="s">
        <v>126</v>
      </c>
      <c r="M62" s="15">
        <f>Z33*1000</f>
        <v>0.49427043544690608</v>
      </c>
      <c r="N62" s="52" t="s">
        <v>126</v>
      </c>
      <c r="O62" s="51" t="s">
        <v>126</v>
      </c>
      <c r="P62" s="15">
        <f>AC32*1000</f>
        <v>0.50800000000000001</v>
      </c>
      <c r="Q62" s="52" t="s">
        <v>126</v>
      </c>
      <c r="R62" s="51" t="s">
        <v>126</v>
      </c>
      <c r="S62" s="15">
        <f>AF33*1000</f>
        <v>0.50790638836179625</v>
      </c>
      <c r="T62" s="52" t="s">
        <v>126</v>
      </c>
      <c r="Y62" s="32" t="s">
        <v>91</v>
      </c>
      <c r="Z62" s="25">
        <f>((((1/I35)+(1/I45)+(1/Z43))^-1)*(Z51/Z43))+1</f>
        <v>1.0365635914761062</v>
      </c>
      <c r="AB62" s="10" t="s">
        <v>97</v>
      </c>
      <c r="AC62" s="11">
        <v>0.10100000000000001</v>
      </c>
      <c r="AE62" s="32" t="s">
        <v>91</v>
      </c>
      <c r="AF62" s="25">
        <f>((((1/I42)+(1/AI35))^-1)*AF41)+1</f>
        <v>43.032715376226818</v>
      </c>
      <c r="AG62" s="9"/>
      <c r="AI62" s="24"/>
    </row>
    <row r="63" spans="2:35" ht="15.75" thickBot="1" x14ac:dyDescent="0.3">
      <c r="B63" s="48" t="s">
        <v>20</v>
      </c>
      <c r="C63" s="51" t="s">
        <v>126</v>
      </c>
      <c r="D63" s="44">
        <v>5.6003999999999996</v>
      </c>
      <c r="E63" s="60" t="s">
        <v>126</v>
      </c>
      <c r="F63" s="51" t="s">
        <v>126</v>
      </c>
      <c r="G63" s="15">
        <v>5.6003999999999996</v>
      </c>
      <c r="H63" s="60" t="s">
        <v>126</v>
      </c>
      <c r="K63" s="48" t="s">
        <v>134</v>
      </c>
      <c r="L63" s="51" t="s">
        <v>126</v>
      </c>
      <c r="M63" s="15">
        <f>Z34*1000</f>
        <v>0.49427043544690608</v>
      </c>
      <c r="N63" s="52" t="s">
        <v>126</v>
      </c>
      <c r="O63" s="51" t="s">
        <v>126</v>
      </c>
      <c r="P63" s="15">
        <f>AC39*1000</f>
        <v>0.50800000000000001</v>
      </c>
      <c r="Q63" s="52" t="s">
        <v>126</v>
      </c>
      <c r="R63" s="51" t="s">
        <v>126</v>
      </c>
      <c r="S63" s="15">
        <f>AF34*1000</f>
        <v>0.50790638836179625</v>
      </c>
      <c r="T63" s="52" t="s">
        <v>126</v>
      </c>
      <c r="Y63" s="32" t="s">
        <v>92</v>
      </c>
      <c r="Z63" s="24"/>
      <c r="AB63" s="10" t="s">
        <v>98</v>
      </c>
      <c r="AC63" s="33">
        <v>16500</v>
      </c>
      <c r="AE63" s="32" t="s">
        <v>92</v>
      </c>
      <c r="AF63" s="24"/>
      <c r="AG63" s="9"/>
      <c r="AI63" s="24"/>
    </row>
    <row r="64" spans="2:35" ht="15.75" thickBot="1" x14ac:dyDescent="0.3">
      <c r="B64" s="48" t="s">
        <v>127</v>
      </c>
      <c r="C64" s="53">
        <f>L31/1000</f>
        <v>3.5094786729857819</v>
      </c>
      <c r="D64" s="61">
        <f>S38/1000</f>
        <v>3.4811009174311924</v>
      </c>
      <c r="E64" s="65">
        <f t="shared" ref="E64:E69" si="13">ABS((C64-D64)/((C64+D64)/2)*100)</f>
        <v>0.81188562944025522</v>
      </c>
      <c r="F64" s="53">
        <f>M31/1000</f>
        <v>5.2631578947368439E-2</v>
      </c>
      <c r="G64" s="18">
        <f>T38/1000</f>
        <v>4.8550795104998906E-2</v>
      </c>
      <c r="H64" s="65">
        <f t="shared" ref="H64:H69" si="14">ABS((F64-G64)/((F64+G64)/2)*100)</f>
        <v>8.0661950870168493</v>
      </c>
      <c r="K64" s="48" t="s">
        <v>106</v>
      </c>
      <c r="L64" s="51" t="s">
        <v>126</v>
      </c>
      <c r="M64" s="15">
        <f>Z39</f>
        <v>2.0259740259740262</v>
      </c>
      <c r="N64" s="52" t="s">
        <v>126</v>
      </c>
      <c r="O64" s="51" t="s">
        <v>126</v>
      </c>
      <c r="P64" s="15">
        <f>AC33</f>
        <v>9.41</v>
      </c>
      <c r="Q64" s="52" t="s">
        <v>126</v>
      </c>
      <c r="R64" s="51" t="s">
        <v>126</v>
      </c>
      <c r="S64" s="15">
        <f>AF39</f>
        <v>9.4096774193548391</v>
      </c>
      <c r="T64" s="52" t="s">
        <v>126</v>
      </c>
      <c r="Y64" s="32" t="s">
        <v>93</v>
      </c>
      <c r="Z64" s="25">
        <f>Z61/Z62</f>
        <v>4192.4090627585474</v>
      </c>
      <c r="AB64" s="30" t="s">
        <v>135</v>
      </c>
      <c r="AC64" s="34">
        <f>SQRT(AC63*AC57)</f>
        <v>119949.98957899079</v>
      </c>
      <c r="AE64" s="32" t="s">
        <v>93</v>
      </c>
      <c r="AF64" s="25">
        <f>AF61/AF62</f>
        <v>58.628099696827228</v>
      </c>
      <c r="AG64" s="9"/>
      <c r="AI64" s="24"/>
    </row>
    <row r="65" spans="2:35" ht="15.75" thickBot="1" x14ac:dyDescent="0.3">
      <c r="B65" s="48" t="s">
        <v>128</v>
      </c>
      <c r="C65" s="53" t="s">
        <v>126</v>
      </c>
      <c r="D65" s="45">
        <f>S39/1000</f>
        <v>7.5</v>
      </c>
      <c r="E65" s="66" t="s">
        <v>126</v>
      </c>
      <c r="F65" s="53" t="s">
        <v>126</v>
      </c>
      <c r="G65" s="15">
        <v>7.5</v>
      </c>
      <c r="H65" s="66" t="s">
        <v>126</v>
      </c>
      <c r="K65" s="48" t="s">
        <v>113</v>
      </c>
      <c r="L65" s="51" t="s">
        <v>126</v>
      </c>
      <c r="M65" s="15">
        <f>Z40</f>
        <v>3.746218487394958</v>
      </c>
      <c r="N65" s="52" t="s">
        <v>126</v>
      </c>
      <c r="O65" s="51" t="s">
        <v>126</v>
      </c>
      <c r="P65" s="15">
        <f>AC40</f>
        <v>5.6</v>
      </c>
      <c r="Q65" s="52" t="s">
        <v>126</v>
      </c>
      <c r="R65" s="51" t="s">
        <v>126</v>
      </c>
      <c r="S65" s="15">
        <f>AF40</f>
        <v>5.6003795066413682</v>
      </c>
      <c r="T65" s="52" t="s">
        <v>126</v>
      </c>
      <c r="Y65" s="32" t="s">
        <v>94</v>
      </c>
      <c r="Z65" s="25">
        <f>((((1/I45)+(1/I44)+(1/Z43))^-1)+I35)*I46</f>
        <v>2.4996841103061538E-5</v>
      </c>
      <c r="AB65" s="7"/>
      <c r="AE65" s="32" t="s">
        <v>94</v>
      </c>
      <c r="AF65" s="25">
        <f>I46*(I35+AF49)</f>
        <v>5.3882177424597214E-5</v>
      </c>
      <c r="AG65" s="9"/>
      <c r="AH65" s="8" t="s">
        <v>101</v>
      </c>
      <c r="AI65" s="25">
        <f>(((((1/I35)+(1/I39)+(1/I40))^-1)+AF43)/(I31+1))</f>
        <v>50.901271505602111</v>
      </c>
    </row>
    <row r="66" spans="2:35" ht="15.75" thickBot="1" x14ac:dyDescent="0.3">
      <c r="B66" s="48" t="s">
        <v>21</v>
      </c>
      <c r="C66" s="51">
        <f>-B36</f>
        <v>-124.8</v>
      </c>
      <c r="D66" s="45">
        <v>-132.24318555663604</v>
      </c>
      <c r="E66" s="65">
        <f t="shared" si="13"/>
        <v>5.7913891321550182</v>
      </c>
      <c r="F66" s="51">
        <f>C36</f>
        <v>13.1</v>
      </c>
      <c r="G66" s="15">
        <v>13.385647160189091</v>
      </c>
      <c r="H66" s="65">
        <f t="shared" si="14"/>
        <v>2.15699588884089</v>
      </c>
      <c r="K66" s="48" t="s">
        <v>127</v>
      </c>
      <c r="L66" s="53">
        <f>N31/1000</f>
        <v>1.9242424242424245</v>
      </c>
      <c r="M66" s="16">
        <f>Z49/1000</f>
        <v>1.9996841103061538</v>
      </c>
      <c r="N66" s="65">
        <f>ABS((L66-M66)/((L66+M66)/2)*100)</f>
        <v>3.845213991622721</v>
      </c>
      <c r="O66" s="59">
        <f>O31/1000</f>
        <v>4.1534090909090908</v>
      </c>
      <c r="P66" s="15">
        <f>AC37/1000</f>
        <v>4.075929006</v>
      </c>
      <c r="Q66" s="54">
        <f>ABS((O66-P66)/((O66+P66)/2)*100)</f>
        <v>1.8830210643111651</v>
      </c>
      <c r="R66" s="53">
        <f>P31/1000</f>
        <v>4.9729729729729737</v>
      </c>
      <c r="S66" s="15">
        <f>AF49/1000</f>
        <v>4.8882177424597213</v>
      </c>
      <c r="T66" s="65">
        <f>ABS((R66-S66)/((R66+S66)/2)*100)</f>
        <v>1.7189654466495827</v>
      </c>
      <c r="Y66" s="32" t="s">
        <v>95</v>
      </c>
      <c r="Z66" s="25">
        <f>(((1/I42)+(1/(((((1/I45)+(1/I44)+(1/I35))^-1)+Z43)/(I31+1))))^-1)*I48</f>
        <v>5.1559401004579383E-3</v>
      </c>
      <c r="AB66" s="7"/>
      <c r="AE66" s="32" t="s">
        <v>95</v>
      </c>
      <c r="AF66" s="25">
        <f>((((1/I42)+(1/(((((1/I35)+(1/I39)+(1/I40))^-1)+AF43)/(I31+1))))^-1)+AI35)*I47</f>
        <v>3.5314991819280573E-4</v>
      </c>
      <c r="AG66" s="9"/>
      <c r="AH66" s="8" t="s">
        <v>102</v>
      </c>
      <c r="AI66" s="25">
        <f>((((1/I40)+(1/I39)+(1/I42)+(1/AI65))^-1)+AF44)/(I31+1)</f>
        <v>49.224437042273458</v>
      </c>
    </row>
    <row r="67" spans="2:35" ht="15.75" thickBot="1" x14ac:dyDescent="0.3">
      <c r="B67" s="48" t="s">
        <v>129</v>
      </c>
      <c r="C67" s="53">
        <f>B33</f>
        <v>4.5</v>
      </c>
      <c r="D67" s="46">
        <f>S52/1000</f>
        <v>3.9999149102664688</v>
      </c>
      <c r="E67" s="65">
        <f t="shared" si="13"/>
        <v>11.766825786209045</v>
      </c>
      <c r="F67" s="53">
        <f>C33</f>
        <v>3</v>
      </c>
      <c r="G67" s="15">
        <f>T52/1000</f>
        <v>2.9028431802130528</v>
      </c>
      <c r="H67" s="65">
        <f t="shared" si="14"/>
        <v>3.2918651849883815</v>
      </c>
      <c r="K67" s="48" t="s">
        <v>128</v>
      </c>
      <c r="L67" s="53" t="s">
        <v>126</v>
      </c>
      <c r="M67" s="15">
        <f>Z50/1000</f>
        <v>7.5</v>
      </c>
      <c r="N67" s="66" t="s">
        <v>126</v>
      </c>
      <c r="O67" s="53" t="s">
        <v>126</v>
      </c>
      <c r="P67" s="15">
        <f>AC45/1000</f>
        <v>7.5</v>
      </c>
      <c r="Q67" s="52" t="s">
        <v>126</v>
      </c>
      <c r="R67" s="53" t="s">
        <v>126</v>
      </c>
      <c r="S67" s="15">
        <v>7.5</v>
      </c>
      <c r="T67" s="66" t="s">
        <v>126</v>
      </c>
      <c r="Y67" s="32" t="s">
        <v>96</v>
      </c>
      <c r="Z67" s="25">
        <f>(((1/I43)+(1/Z64))^-1)*I48</f>
        <v>0.31700803312038173</v>
      </c>
      <c r="AB67" s="7"/>
      <c r="AE67" s="32" t="s">
        <v>96</v>
      </c>
      <c r="AF67" s="25">
        <f>AI67*I48</f>
        <v>4.8753871963637943E-3</v>
      </c>
      <c r="AG67" s="9"/>
      <c r="AH67" s="8" t="s">
        <v>103</v>
      </c>
      <c r="AI67" s="25">
        <f>(((1/I42)+(1/AI66))^-1)</f>
        <v>48.753871963637941</v>
      </c>
    </row>
    <row r="68" spans="2:35" ht="15.75" thickBot="1" x14ac:dyDescent="0.3">
      <c r="B68" s="48" t="s">
        <v>130</v>
      </c>
      <c r="C68" s="53">
        <f>B35</f>
        <v>360</v>
      </c>
      <c r="D68" s="45">
        <f>S48/1000</f>
        <v>445.81168739477738</v>
      </c>
      <c r="E68" s="65">
        <f t="shared" si="13"/>
        <v>21.298198757133971</v>
      </c>
      <c r="F68" s="53">
        <f>C35</f>
        <v>830</v>
      </c>
      <c r="G68" s="17">
        <f>T48/1000</f>
        <v>873.08060223704945</v>
      </c>
      <c r="H68" s="65">
        <f t="shared" si="14"/>
        <v>5.0591383849316047</v>
      </c>
      <c r="K68" s="48" t="s">
        <v>21</v>
      </c>
      <c r="L68" s="53">
        <f>-D36</f>
        <v>-102</v>
      </c>
      <c r="M68" s="15">
        <f>Z52</f>
        <v>-117.24958096787151</v>
      </c>
      <c r="N68" s="65">
        <f t="shared" ref="N68:N71" si="15">ABS((L68-M68)/((L68+M68)/2)*100)</f>
        <v>13.910704778136985</v>
      </c>
      <c r="O68" s="51">
        <f>E36</f>
        <v>58</v>
      </c>
      <c r="P68" s="15">
        <f>AC51</f>
        <v>66.714928760000006</v>
      </c>
      <c r="Q68" s="54">
        <f t="shared" ref="Q68:Q71" si="16">ABS((O68-P68)/((O68+P68)/2)*100)</f>
        <v>13.975758710925323</v>
      </c>
      <c r="R68" s="51">
        <f>F36</f>
        <v>121</v>
      </c>
      <c r="S68" s="15">
        <f>AF52</f>
        <v>134.02809812484497</v>
      </c>
      <c r="T68" s="65">
        <f t="shared" ref="T68:T71" si="17">ABS((R68-S68)/((R68+S68)/2)*100)</f>
        <v>10.21699037920698</v>
      </c>
      <c r="Y68" s="32" t="s">
        <v>97</v>
      </c>
      <c r="Z68" s="25">
        <f>I47*(I41+I49)</f>
        <v>0.10074999999999999</v>
      </c>
      <c r="AB68" s="7"/>
      <c r="AE68" s="32" t="s">
        <v>97</v>
      </c>
      <c r="AF68" s="25">
        <f>I47*(I41+I49)</f>
        <v>0.10074999999999999</v>
      </c>
      <c r="AG68" s="9"/>
      <c r="AI68" s="24"/>
    </row>
    <row r="69" spans="2:35" ht="15.75" thickBot="1" x14ac:dyDescent="0.3">
      <c r="B69" s="48" t="s">
        <v>131</v>
      </c>
      <c r="C69" s="62">
        <f>B34</f>
        <v>40.25</v>
      </c>
      <c r="D69" s="63">
        <f>S53/1000</f>
        <v>42.228057208228556</v>
      </c>
      <c r="E69" s="67">
        <f t="shared" si="13"/>
        <v>4.7965659599246999</v>
      </c>
      <c r="F69" s="55">
        <f>C34</f>
        <v>50</v>
      </c>
      <c r="G69" s="56">
        <f>T53/1000</f>
        <v>50.342984337245284</v>
      </c>
      <c r="H69" s="67">
        <f t="shared" si="14"/>
        <v>0.68362395141156829</v>
      </c>
      <c r="K69" s="48" t="s">
        <v>129</v>
      </c>
      <c r="L69" s="53">
        <f>D33</f>
        <v>7.5</v>
      </c>
      <c r="M69" s="15">
        <f>Z69/1000</f>
        <v>6.3703067483950244</v>
      </c>
      <c r="N69" s="65">
        <f t="shared" si="15"/>
        <v>16.289376610011828</v>
      </c>
      <c r="O69" s="53">
        <f>E33</f>
        <v>14</v>
      </c>
      <c r="P69" s="15">
        <f>AC63/1000</f>
        <v>16.5</v>
      </c>
      <c r="Q69" s="54">
        <f t="shared" si="16"/>
        <v>16.393442622950818</v>
      </c>
      <c r="R69" s="53">
        <f>F33</f>
        <v>3.4</v>
      </c>
      <c r="S69" s="15">
        <f>AF69/1000</f>
        <v>2.989636012979735</v>
      </c>
      <c r="T69" s="65">
        <f t="shared" si="17"/>
        <v>12.844674913771692</v>
      </c>
      <c r="Y69" s="32" t="s">
        <v>98</v>
      </c>
      <c r="Z69" s="24">
        <f>(1/(2*3.14))*(SQRT((1/(Z65*Z65))+(1/(Z66*Z66))+(1/(Z67*Z67))+(1/(Z68*Z68))))</f>
        <v>6370.3067483950244</v>
      </c>
      <c r="AE69" s="32" t="s">
        <v>98</v>
      </c>
      <c r="AF69" s="25">
        <f>(1/(2*3.14))*(SQRT((1/(AF65*AF65))+(1/(AF66*AF66))+(1/(AF67*AF67))+(1/(AF68*AF68))))</f>
        <v>2989.6360129797349</v>
      </c>
      <c r="AG69" s="9"/>
      <c r="AI69" s="24"/>
    </row>
    <row r="70" spans="2:35" ht="15.75" thickBot="1" x14ac:dyDescent="0.3">
      <c r="K70" s="48" t="s">
        <v>130</v>
      </c>
      <c r="L70" s="53">
        <f>D35</f>
        <v>830</v>
      </c>
      <c r="M70" s="15">
        <f>Z60/1000</f>
        <v>871.70764931984047</v>
      </c>
      <c r="N70" s="65">
        <f t="shared" si="15"/>
        <v>4.901858358162837</v>
      </c>
      <c r="O70" s="53">
        <f>E35</f>
        <v>840</v>
      </c>
      <c r="P70" s="15">
        <f>AC57/1000</f>
        <v>872</v>
      </c>
      <c r="Q70" s="54">
        <f t="shared" si="16"/>
        <v>3.7383177570093453</v>
      </c>
      <c r="R70" s="53">
        <f>F35</f>
        <v>820</v>
      </c>
      <c r="S70" s="15">
        <f>AF60/1000</f>
        <v>871.45288223871569</v>
      </c>
      <c r="T70" s="65">
        <f t="shared" si="17"/>
        <v>6.08386822701386</v>
      </c>
      <c r="Y70" s="30" t="s">
        <v>135</v>
      </c>
      <c r="Z70" s="28">
        <f>SQRT(Z60*Z69)</f>
        <v>74518.756840742746</v>
      </c>
      <c r="AE70" s="30" t="s">
        <v>135</v>
      </c>
      <c r="AF70" s="28">
        <f>SQRT(AF69*AF60)</f>
        <v>51042.403160077134</v>
      </c>
      <c r="AG70" s="26"/>
      <c r="AH70" s="27"/>
      <c r="AI70" s="28"/>
    </row>
    <row r="71" spans="2:35" ht="15.75" thickBot="1" x14ac:dyDescent="0.3">
      <c r="K71" s="48" t="s">
        <v>131</v>
      </c>
      <c r="L71" s="55">
        <f>D34</f>
        <v>79</v>
      </c>
      <c r="M71" s="56">
        <f>Z70/1000</f>
        <v>74.518756840742739</v>
      </c>
      <c r="N71" s="67">
        <f t="shared" si="15"/>
        <v>5.8380399261648686</v>
      </c>
      <c r="O71" s="55">
        <f>E34</f>
        <v>108</v>
      </c>
      <c r="P71" s="56">
        <f>AC64/1000</f>
        <v>119.9499895789908</v>
      </c>
      <c r="Q71" s="57">
        <f t="shared" si="16"/>
        <v>10.484746764903715</v>
      </c>
      <c r="R71" s="55">
        <f>F34</f>
        <v>52.8</v>
      </c>
      <c r="S71" s="56">
        <f>AF70/1000</f>
        <v>51.042403160077136</v>
      </c>
      <c r="T71" s="67">
        <f t="shared" si="17"/>
        <v>3.3851235842711707</v>
      </c>
    </row>
  </sheetData>
  <mergeCells count="10">
    <mergeCell ref="R58:T58"/>
    <mergeCell ref="C59:E59"/>
    <mergeCell ref="F59:H59"/>
    <mergeCell ref="A5:D5"/>
    <mergeCell ref="E5:H5"/>
    <mergeCell ref="I5:L5"/>
    <mergeCell ref="M5:P5"/>
    <mergeCell ref="Q5:T5"/>
    <mergeCell ref="L58:N58"/>
    <mergeCell ref="O58:Q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Flont</dc:creator>
  <cp:lastModifiedBy>Richard Tirov</cp:lastModifiedBy>
  <dcterms:created xsi:type="dcterms:W3CDTF">2022-10-22T13:40:00Z</dcterms:created>
  <dcterms:modified xsi:type="dcterms:W3CDTF">2024-10-21T16:47:42Z</dcterms:modified>
</cp:coreProperties>
</file>