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\source\repos\TROLlox78\parseEquationValue\"/>
    </mc:Choice>
  </mc:AlternateContent>
  <xr:revisionPtr revIDLastSave="0" documentId="13_ncr:1_{9828EF9C-AAC8-48CB-8C35-2B7BE1139154}" xr6:coauthVersionLast="47" xr6:coauthVersionMax="47" xr10:uidLastSave="{00000000-0000-0000-0000-000000000000}"/>
  <bookViews>
    <workbookView xWindow="8430" yWindow="2475" windowWidth="17010" windowHeight="13965" xr2:uid="{8721A5AD-F8B0-4928-A1B0-A8C767E4C73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" i="1" l="1"/>
  <c r="H85" i="1"/>
  <c r="H86" i="1"/>
  <c r="H87" i="1"/>
  <c r="H88" i="1"/>
  <c r="H89" i="1"/>
  <c r="H90" i="1"/>
  <c r="H91" i="1"/>
  <c r="H92" i="1"/>
  <c r="H83" i="1"/>
  <c r="E84" i="1"/>
  <c r="E85" i="1"/>
  <c r="E86" i="1"/>
  <c r="E87" i="1"/>
  <c r="E88" i="1"/>
  <c r="E89" i="1"/>
  <c r="E90" i="1"/>
  <c r="E91" i="1"/>
  <c r="E92" i="1"/>
  <c r="E83" i="1"/>
  <c r="H74" i="1"/>
  <c r="H75" i="1"/>
  <c r="H76" i="1"/>
  <c r="H77" i="1"/>
  <c r="H78" i="1"/>
  <c r="H79" i="1"/>
  <c r="H80" i="1"/>
  <c r="H73" i="1"/>
  <c r="E74" i="1"/>
  <c r="E75" i="1"/>
  <c r="E76" i="1"/>
  <c r="E77" i="1"/>
  <c r="E78" i="1"/>
  <c r="E79" i="1"/>
  <c r="E80" i="1"/>
  <c r="E73" i="1"/>
  <c r="Z32" i="1" l="1"/>
  <c r="Z38" i="1" s="1"/>
  <c r="Z31" i="1"/>
  <c r="U34" i="1"/>
  <c r="C64" i="1"/>
  <c r="AC66" i="1"/>
  <c r="P35" i="1"/>
  <c r="P36" i="1" s="1"/>
  <c r="O35" i="1"/>
  <c r="O36" i="1" s="1"/>
  <c r="N35" i="1"/>
  <c r="N36" i="1" s="1"/>
  <c r="M35" i="1"/>
  <c r="M36" i="1" s="1"/>
  <c r="L35" i="1"/>
  <c r="L36" i="1" s="1"/>
  <c r="N29" i="1"/>
  <c r="N30" i="1" s="1"/>
  <c r="M29" i="1"/>
  <c r="M30" i="1" s="1"/>
  <c r="O29" i="1"/>
  <c r="O30" i="1" s="1"/>
  <c r="P29" i="1"/>
  <c r="P30" i="1" s="1"/>
  <c r="L29" i="1"/>
  <c r="L30" i="1" s="1"/>
  <c r="P34" i="1"/>
  <c r="O34" i="1"/>
  <c r="N34" i="1"/>
  <c r="M34" i="1"/>
  <c r="L34" i="1"/>
  <c r="P69" i="1"/>
  <c r="P68" i="1"/>
  <c r="P67" i="1"/>
  <c r="P66" i="1"/>
  <c r="O68" i="1"/>
  <c r="O67" i="1"/>
  <c r="O66" i="1"/>
  <c r="O65" i="1"/>
  <c r="O64" i="1"/>
  <c r="O63" i="1"/>
  <c r="O62" i="1"/>
  <c r="O61" i="1"/>
  <c r="O60" i="1"/>
  <c r="O59" i="1"/>
  <c r="O58" i="1"/>
  <c r="N69" i="1"/>
  <c r="N68" i="1"/>
  <c r="N67" i="1"/>
  <c r="N66" i="1"/>
  <c r="L69" i="1"/>
  <c r="L68" i="1"/>
  <c r="L67" i="1"/>
  <c r="L66" i="1"/>
  <c r="E67" i="1"/>
  <c r="E66" i="1"/>
  <c r="E65" i="1"/>
  <c r="C67" i="1"/>
  <c r="C66" i="1"/>
  <c r="C65" i="1"/>
  <c r="E64" i="1"/>
  <c r="AC71" i="1"/>
  <c r="O69" i="1" s="1"/>
  <c r="S29" i="1"/>
  <c r="Z35" i="1" l="1"/>
  <c r="AF31" i="1"/>
  <c r="AF32" i="1"/>
  <c r="AF51" i="1"/>
  <c r="AF52" i="1"/>
  <c r="AF69" i="1"/>
  <c r="Z68" i="1"/>
  <c r="Z59" i="1"/>
  <c r="Z51" i="1"/>
  <c r="Z50" i="1"/>
  <c r="M65" i="1" s="1"/>
  <c r="U49" i="1"/>
  <c r="U44" i="1"/>
  <c r="U37" i="1"/>
  <c r="U29" i="1"/>
  <c r="U30" i="1" s="1"/>
  <c r="S49" i="1"/>
  <c r="S37" i="1"/>
  <c r="D63" i="1" s="1"/>
  <c r="S30" i="1"/>
  <c r="S35" i="1" s="1"/>
  <c r="L64" i="1"/>
  <c r="E62" i="1"/>
  <c r="N64" i="1"/>
  <c r="P64" i="1"/>
  <c r="C62" i="1"/>
  <c r="U32" i="1" l="1"/>
  <c r="U31" i="1" s="1"/>
  <c r="U35" i="1"/>
  <c r="Z33" i="1"/>
  <c r="M58" i="1"/>
  <c r="S32" i="1"/>
  <c r="D60" i="1"/>
  <c r="AF34" i="1"/>
  <c r="Q59" i="1"/>
  <c r="M59" i="1"/>
  <c r="Z37" i="1"/>
  <c r="Z39" i="1" s="1"/>
  <c r="AF33" i="1"/>
  <c r="Q60" i="1" s="1"/>
  <c r="Q58" i="1"/>
  <c r="AF40" i="1"/>
  <c r="Q63" i="1" s="1"/>
  <c r="S39" i="1"/>
  <c r="S31" i="1"/>
  <c r="S40" i="1"/>
  <c r="S42" i="1" s="1"/>
  <c r="S44" i="1" s="1"/>
  <c r="M60" i="1" l="1"/>
  <c r="Z34" i="1"/>
  <c r="M61" i="1" s="1"/>
  <c r="Z41" i="1"/>
  <c r="Z43" i="1" s="1"/>
  <c r="T27" i="1"/>
  <c r="U33" i="1" s="1"/>
  <c r="M62" i="1"/>
  <c r="AF41" i="1"/>
  <c r="Q61" i="1"/>
  <c r="AF42" i="1"/>
  <c r="AF44" i="1" s="1"/>
  <c r="AF39" i="1"/>
  <c r="Q62" i="1" s="1"/>
  <c r="Z47" i="1"/>
  <c r="Z48" i="1"/>
  <c r="Z36" i="1"/>
  <c r="Z40" i="1" s="1"/>
  <c r="M63" i="1" s="1"/>
  <c r="S41" i="1"/>
  <c r="S36" i="1"/>
  <c r="S27" i="1"/>
  <c r="AF47" i="1" l="1"/>
  <c r="AF43" i="1"/>
  <c r="U36" i="1"/>
  <c r="U47" i="1"/>
  <c r="U48" i="1"/>
  <c r="U43" i="1"/>
  <c r="U46" i="1" s="1"/>
  <c r="AF54" i="1"/>
  <c r="Z42" i="1"/>
  <c r="AI50" i="1"/>
  <c r="AF48" i="1"/>
  <c r="S38" i="1"/>
  <c r="D62" i="1"/>
  <c r="S43" i="1"/>
  <c r="S46" i="1" s="1"/>
  <c r="Z61" i="1"/>
  <c r="Z45" i="1"/>
  <c r="Z49" i="1"/>
  <c r="Z66" i="1"/>
  <c r="Z62" i="1"/>
  <c r="Z65" i="1"/>
  <c r="AF45" i="1"/>
  <c r="AF55" i="1"/>
  <c r="AF56" i="1"/>
  <c r="AF60" i="1" s="1"/>
  <c r="S47" i="1"/>
  <c r="S48" i="1"/>
  <c r="Z44" i="1" l="1"/>
  <c r="Z46" i="1" s="1"/>
  <c r="Z54" i="1" s="1"/>
  <c r="AF68" i="1"/>
  <c r="AI65" i="1"/>
  <c r="AI66" i="1" s="1"/>
  <c r="AI67" i="1" s="1"/>
  <c r="AG68" i="1" s="1"/>
  <c r="F66" i="1"/>
  <c r="U50" i="1"/>
  <c r="F65" i="1" s="1"/>
  <c r="U38" i="1"/>
  <c r="F62" i="1"/>
  <c r="AF46" i="1"/>
  <c r="AF50" i="1"/>
  <c r="AF59" i="1" s="1"/>
  <c r="D66" i="1"/>
  <c r="Z52" i="1"/>
  <c r="M66" i="1" s="1"/>
  <c r="M64" i="1"/>
  <c r="S50" i="1"/>
  <c r="D65" i="1" s="1"/>
  <c r="Z64" i="1"/>
  <c r="Z67" i="1" s="1"/>
  <c r="Z69" i="1" s="1"/>
  <c r="M67" i="1" s="1"/>
  <c r="Z56" i="1" l="1"/>
  <c r="Z58" i="1" s="1"/>
  <c r="Z55" i="1"/>
  <c r="Z57" i="1" s="1"/>
  <c r="Z60" i="1" s="1"/>
  <c r="S53" i="1"/>
  <c r="T53" i="1"/>
  <c r="F67" i="1" s="1"/>
  <c r="T54" i="1"/>
  <c r="S54" i="1"/>
  <c r="M68" i="1"/>
  <c r="Z72" i="1"/>
  <c r="AF63" i="1"/>
  <c r="AF62" i="1"/>
  <c r="AF65" i="1" s="1"/>
  <c r="AF58" i="1" s="1"/>
  <c r="AF49" i="1"/>
  <c r="AI49" i="1"/>
  <c r="AF67" i="1"/>
  <c r="D67" i="1"/>
  <c r="Z71" i="1"/>
  <c r="M69" i="1" s="1"/>
  <c r="AI48" i="1" l="1"/>
  <c r="AF57" i="1"/>
  <c r="AF61" i="1" s="1"/>
  <c r="AF53" i="1"/>
  <c r="Q64" i="1"/>
  <c r="AF66" i="1"/>
  <c r="AF70" i="1" s="1"/>
  <c r="Q67" i="1" s="1"/>
  <c r="AH53" i="1" l="1"/>
  <c r="Q66" i="1" s="1"/>
  <c r="Q68" i="1"/>
  <c r="AF72" i="1"/>
  <c r="AF71" i="1"/>
  <c r="Q69" i="1" s="1"/>
</calcChain>
</file>

<file path=xl/sharedStrings.xml><?xml version="1.0" encoding="utf-8"?>
<sst xmlns="http://schemas.openxmlformats.org/spreadsheetml/2006/main" count="317" uniqueCount="149">
  <si>
    <t>A</t>
  </si>
  <si>
    <t>Vo</t>
  </si>
  <si>
    <t>B</t>
  </si>
  <si>
    <t>C</t>
  </si>
  <si>
    <t>D</t>
  </si>
  <si>
    <t>E</t>
  </si>
  <si>
    <t>fl</t>
  </si>
  <si>
    <t>fh</t>
  </si>
  <si>
    <t>Vs</t>
  </si>
  <si>
    <t>vo(Rin)</t>
  </si>
  <si>
    <t>Vb[V]</t>
  </si>
  <si>
    <t>IC[mA]</t>
  </si>
  <si>
    <t>VCE[V]</t>
  </si>
  <si>
    <t>vo/vs</t>
  </si>
  <si>
    <t>β</t>
  </si>
  <si>
    <t>Parametr</t>
  </si>
  <si>
    <t>Wartość</t>
  </si>
  <si>
    <t>Cµ</t>
  </si>
  <si>
    <t>fT</t>
  </si>
  <si>
    <t>VCC</t>
  </si>
  <si>
    <t>RAS, RBS, RCS, RDS, RES</t>
  </si>
  <si>
    <t>RAS', RDS', RES'</t>
  </si>
  <si>
    <t>RBS'</t>
  </si>
  <si>
    <t>RCS'</t>
  </si>
  <si>
    <t>RA1, RB1, RD1, RD4, RE1, RE4</t>
  </si>
  <si>
    <t>RA2, RB2, RD2, RD5, RE2, RE5</t>
  </si>
  <si>
    <t>RA3, RB3, RC4, RD6, RE6</t>
  </si>
  <si>
    <t>RA4, RB4, RC5, RD3, RD7, RE3, RE7</t>
  </si>
  <si>
    <t>RC1</t>
  </si>
  <si>
    <t>RC2</t>
  </si>
  <si>
    <t>RC3</t>
  </si>
  <si>
    <t>CA1, CC1, CD1, CE1</t>
  </si>
  <si>
    <t>CA3, CB1, CB3, CC4, CD2, CD4, CE2,Ce4</t>
  </si>
  <si>
    <t>CA2, CB2, CC2, CC3, CD3, CE3</t>
  </si>
  <si>
    <t>RBUFin</t>
  </si>
  <si>
    <t>CBUFin</t>
  </si>
  <si>
    <t>RBUFout</t>
  </si>
  <si>
    <t>Rin pomierzona</t>
  </si>
  <si>
    <t>gm[S]</t>
  </si>
  <si>
    <t>rpi[kΩ]</t>
  </si>
  <si>
    <t>Rin[Ω]</t>
  </si>
  <si>
    <t>Rout[Ω]</t>
  </si>
  <si>
    <t>K</t>
  </si>
  <si>
    <t>Cm1</t>
  </si>
  <si>
    <t>Cm2</t>
  </si>
  <si>
    <t>τh1</t>
  </si>
  <si>
    <t>τh2</t>
  </si>
  <si>
    <t>th3</t>
  </si>
  <si>
    <t>τl1</t>
  </si>
  <si>
    <t>τl2</t>
  </si>
  <si>
    <t>τl3</t>
  </si>
  <si>
    <t>Cpi</t>
  </si>
  <si>
    <t>re</t>
  </si>
  <si>
    <t>a</t>
  </si>
  <si>
    <t>VB1</t>
  </si>
  <si>
    <t>VB2</t>
  </si>
  <si>
    <t>IC1</t>
  </si>
  <si>
    <t>IC2</t>
  </si>
  <si>
    <t>VC1</t>
  </si>
  <si>
    <t>VC2</t>
  </si>
  <si>
    <t>VE1</t>
  </si>
  <si>
    <t>VE2</t>
  </si>
  <si>
    <t>VCE1</t>
  </si>
  <si>
    <t>VCE2</t>
  </si>
  <si>
    <t>gm1</t>
  </si>
  <si>
    <t>gm2</t>
  </si>
  <si>
    <t>rpi1</t>
  </si>
  <si>
    <t>rpi2</t>
  </si>
  <si>
    <t>re1</t>
  </si>
  <si>
    <t>re2</t>
  </si>
  <si>
    <t>Cpi1</t>
  </si>
  <si>
    <t>Cpi2</t>
  </si>
  <si>
    <t>Rin</t>
  </si>
  <si>
    <t>Rout</t>
  </si>
  <si>
    <t>alfa</t>
  </si>
  <si>
    <t>wzmocnienie</t>
  </si>
  <si>
    <t>CM1</t>
  </si>
  <si>
    <t>CM2</t>
  </si>
  <si>
    <t>tH1</t>
  </si>
  <si>
    <t>tH2</t>
  </si>
  <si>
    <t>tH3</t>
  </si>
  <si>
    <t>fH3dB</t>
  </si>
  <si>
    <t>pomoc1</t>
  </si>
  <si>
    <t>pomoc2</t>
  </si>
  <si>
    <t>pomoc3</t>
  </si>
  <si>
    <t>Rx</t>
  </si>
  <si>
    <t>tL1</t>
  </si>
  <si>
    <t>tL2</t>
  </si>
  <si>
    <t>tL3</t>
  </si>
  <si>
    <t>tL4</t>
  </si>
  <si>
    <t>fL3dB</t>
  </si>
  <si>
    <t>Rin2</t>
  </si>
  <si>
    <t>th4</t>
  </si>
  <si>
    <t>pom1</t>
  </si>
  <si>
    <t>pom2</t>
  </si>
  <si>
    <t>pom3</t>
  </si>
  <si>
    <t>Vb1[V]</t>
  </si>
  <si>
    <t>IC1[A]</t>
  </si>
  <si>
    <t>VCE1[V]</t>
  </si>
  <si>
    <t>gm1[S]</t>
  </si>
  <si>
    <t>rpi1[Ω]</t>
  </si>
  <si>
    <t>re1[Ω]</t>
  </si>
  <si>
    <t>Rin1[Ω]</t>
  </si>
  <si>
    <t>Vb2[V]</t>
  </si>
  <si>
    <t>IC2[A]</t>
  </si>
  <si>
    <t>VCE2[V]</t>
  </si>
  <si>
    <t>gm2[S]</t>
  </si>
  <si>
    <t>rpi2[Ω]</t>
  </si>
  <si>
    <t>re2[Ω]</t>
  </si>
  <si>
    <t>Rin2[Ω]</t>
  </si>
  <si>
    <t>jeden</t>
  </si>
  <si>
    <t>dwa</t>
  </si>
  <si>
    <t>trzy</t>
  </si>
  <si>
    <t>Rx[Ω]</t>
  </si>
  <si>
    <t>tH4</t>
  </si>
  <si>
    <t>Układ</t>
  </si>
  <si>
    <t>pomierzone</t>
  </si>
  <si>
    <t>obliczone</t>
  </si>
  <si>
    <t>x</t>
  </si>
  <si>
    <t>Rin[kΩ]</t>
  </si>
  <si>
    <t>Rout[kΩ]</t>
  </si>
  <si>
    <t>f3dBL [kHz]</t>
  </si>
  <si>
    <t>f3dBH [kHz]</t>
  </si>
  <si>
    <t>fśrod[kHz]</t>
  </si>
  <si>
    <t>fh3db</t>
  </si>
  <si>
    <t>IC1[mA]</t>
  </si>
  <si>
    <t>IC2[mA]</t>
  </si>
  <si>
    <t>vo(Rout)</t>
  </si>
  <si>
    <t>Rout pomierzona</t>
  </si>
  <si>
    <t>p</t>
  </si>
  <si>
    <t>err</t>
  </si>
  <si>
    <t>th</t>
  </si>
  <si>
    <t>k</t>
  </si>
  <si>
    <t>ri</t>
  </si>
  <si>
    <t>ro</t>
  </si>
  <si>
    <t>bw</t>
  </si>
  <si>
    <t>ic</t>
  </si>
  <si>
    <t>gm</t>
  </si>
  <si>
    <t>BW</t>
  </si>
  <si>
    <t>f0</t>
  </si>
  <si>
    <t>τH1</t>
  </si>
  <si>
    <t>τH2</t>
  </si>
  <si>
    <t>τL1</t>
  </si>
  <si>
    <t>τL2</t>
  </si>
  <si>
    <t>τL3</t>
  </si>
  <si>
    <t>τL4</t>
  </si>
  <si>
    <t>ic2</t>
  </si>
  <si>
    <t>ic ma</t>
  </si>
  <si>
    <t>gm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</si>
</sst>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6" x14ac:knownFonts="1">
    <font>
      <sz val="11"/>
      <color theme="1"/>
      <name val="Calibri"/>
      <family val="2"/>
      <charset val="238"/>
      <scheme val="minor"/>
    </font>
    <font>
      <b/>
      <sz val="9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8" xfId="0" applyBorder="1"/>
    <xf numFmtId="11" fontId="0" fillId="4" borderId="0" xfId="0" applyNumberFormat="1" applyFill="1"/>
    <xf numFmtId="0" fontId="0" fillId="2" borderId="10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6" borderId="0" xfId="1"/>
    <xf numFmtId="0" fontId="4" fillId="6" borderId="4" xfId="1" applyBorder="1" applyAlignment="1">
      <alignment wrapText="1"/>
    </xf>
    <xf numFmtId="0" fontId="4" fillId="6" borderId="5" xfId="1" applyBorder="1" applyAlignment="1">
      <alignment horizontal="right" wrapText="1"/>
    </xf>
    <xf numFmtId="0" fontId="4" fillId="6" borderId="6" xfId="1" applyBorder="1" applyAlignment="1">
      <alignment wrapText="1"/>
    </xf>
    <xf numFmtId="11" fontId="4" fillId="6" borderId="7" xfId="1" applyNumberFormat="1" applyBorder="1" applyAlignment="1">
      <alignment horizontal="right" wrapText="1"/>
    </xf>
    <xf numFmtId="0" fontId="4" fillId="6" borderId="7" xfId="1" applyBorder="1" applyAlignment="1">
      <alignment horizontal="right" wrapText="1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5" fillId="0" borderId="0" xfId="0" applyFont="1"/>
    <xf numFmtId="165" fontId="0" fillId="0" borderId="0" xfId="0" applyNumberFormat="1"/>
    <xf numFmtId="2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C5E9-E0C8-4C3F-9331-94AADD43A3C1}">
  <dimension ref="A5:AI92"/>
  <sheetViews>
    <sheetView tabSelected="1" topLeftCell="A52" zoomScale="85" zoomScaleNormal="85" workbookViewId="0">
      <selection activeCell="I80" sqref="I80"/>
    </sheetView>
  </sheetViews>
  <sheetFormatPr defaultRowHeight="15" x14ac:dyDescent="0.25"/>
  <cols>
    <col min="2" max="2" width="11" customWidth="1"/>
    <col min="3" max="3" width="11.28515625" customWidth="1"/>
    <col min="4" max="4" width="12.7109375" customWidth="1"/>
    <col min="5" max="5" width="11.7109375" customWidth="1"/>
    <col min="6" max="6" width="15.140625" customWidth="1"/>
    <col min="7" max="7" width="12.140625" customWidth="1"/>
    <col min="8" max="8" width="13.42578125" customWidth="1"/>
    <col min="9" max="9" width="11.7109375" bestFit="1" customWidth="1"/>
    <col min="10" max="10" width="10.7109375" bestFit="1" customWidth="1"/>
    <col min="11" max="11" width="11.7109375" customWidth="1"/>
    <col min="12" max="12" width="12.140625" customWidth="1"/>
    <col min="13" max="13" width="12.7109375" customWidth="1"/>
    <col min="14" max="14" width="13.28515625" customWidth="1"/>
    <col min="15" max="15" width="13" customWidth="1"/>
    <col min="16" max="16" width="12.85546875" bestFit="1" customWidth="1"/>
    <col min="17" max="17" width="11.140625" customWidth="1"/>
    <col min="18" max="18" width="10.7109375" bestFit="1" customWidth="1"/>
    <col min="19" max="19" width="14.5703125" bestFit="1" customWidth="1"/>
    <col min="20" max="20" width="12.7109375" customWidth="1"/>
    <col min="27" max="27" width="12" bestFit="1" customWidth="1"/>
    <col min="28" max="28" width="12" customWidth="1"/>
    <col min="29" max="29" width="11.7109375" bestFit="1" customWidth="1"/>
    <col min="30" max="30" width="9.85546875" bestFit="1" customWidth="1"/>
    <col min="32" max="32" width="14.28515625" customWidth="1"/>
  </cols>
  <sheetData>
    <row r="5" spans="1:2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 x14ac:dyDescent="0.25"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"/>
    </row>
    <row r="7" spans="1:20" x14ac:dyDescent="0.25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"/>
    </row>
    <row r="8" spans="1:20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 x14ac:dyDescent="0.25"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 x14ac:dyDescent="0.25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x14ac:dyDescent="0.25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x14ac:dyDescent="0.25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x14ac:dyDescent="0.25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25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25"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32" x14ac:dyDescent="0.25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32" x14ac:dyDescent="0.25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32" x14ac:dyDescent="0.25">
      <c r="T19" s="19"/>
    </row>
    <row r="20" spans="1:32" x14ac:dyDescent="0.25">
      <c r="T20" s="19"/>
    </row>
    <row r="27" spans="1:32" x14ac:dyDescent="0.25">
      <c r="S27">
        <f>S31*1000</f>
        <v>12305.417185554174</v>
      </c>
      <c r="T27">
        <f>U31*1000</f>
        <v>12305.417185554174</v>
      </c>
    </row>
    <row r="28" spans="1:32" ht="30" x14ac:dyDescent="0.25">
      <c r="B28" t="s">
        <v>0</v>
      </c>
      <c r="C28" t="s">
        <v>2</v>
      </c>
      <c r="D28" t="s">
        <v>3</v>
      </c>
      <c r="E28" t="s">
        <v>4</v>
      </c>
      <c r="F28" t="s">
        <v>5</v>
      </c>
      <c r="H28" t="s">
        <v>15</v>
      </c>
      <c r="I28" t="s">
        <v>16</v>
      </c>
      <c r="K28" s="3" t="s">
        <v>37</v>
      </c>
      <c r="L28" t="s">
        <v>0</v>
      </c>
      <c r="M28" t="s">
        <v>2</v>
      </c>
      <c r="N28" t="s">
        <v>3</v>
      </c>
      <c r="O28" t="s">
        <v>4</v>
      </c>
      <c r="P28" t="s">
        <v>5</v>
      </c>
      <c r="S28" t="s">
        <v>0</v>
      </c>
      <c r="U28" t="s">
        <v>2</v>
      </c>
    </row>
    <row r="29" spans="1:32" x14ac:dyDescent="0.25">
      <c r="A29" t="s">
        <v>8</v>
      </c>
      <c r="B29">
        <v>1</v>
      </c>
      <c r="C29">
        <v>1</v>
      </c>
      <c r="D29">
        <v>1</v>
      </c>
      <c r="E29">
        <v>1</v>
      </c>
      <c r="F29">
        <v>1</v>
      </c>
      <c r="H29" s="3" t="s">
        <v>14</v>
      </c>
      <c r="I29">
        <v>250</v>
      </c>
      <c r="L29">
        <f>((B35/(B30-B35))*$I34)-$I33</f>
        <v>3631.3835096825724</v>
      </c>
      <c r="M29">
        <f>((C35/(C30-C35))*$I35)-$I33</f>
        <v>51.105651105651191</v>
      </c>
      <c r="N29">
        <f>((D35/(D30-D35))*$I36)-$I33</f>
        <v>1157.3792868111245</v>
      </c>
      <c r="O29">
        <f t="shared" ref="O29:P29" si="0">((E35/(E30-E35))*$I34)-$I33</f>
        <v>4217.1140939597326</v>
      </c>
      <c r="P29">
        <f t="shared" si="0"/>
        <v>4898.7572878678793</v>
      </c>
      <c r="R29" s="2" t="s">
        <v>10</v>
      </c>
      <c r="S29" s="5">
        <f>I32*(I38/(I37+I38))</f>
        <v>3.290322580645161</v>
      </c>
      <c r="T29" s="2" t="s">
        <v>10</v>
      </c>
      <c r="U29" s="5">
        <f>I32*(I38/(I37+I38))</f>
        <v>3.290322580645161</v>
      </c>
    </row>
    <row r="30" spans="1:32" ht="42" customHeight="1" thickBot="1" x14ac:dyDescent="0.3">
      <c r="A30" t="s">
        <v>1</v>
      </c>
      <c r="B30" s="20">
        <v>120.74</v>
      </c>
      <c r="C30" s="21">
        <v>11.244</v>
      </c>
      <c r="D30" s="22">
        <v>110.11</v>
      </c>
      <c r="E30" s="22">
        <v>62.12</v>
      </c>
      <c r="F30">
        <v>121.96</v>
      </c>
      <c r="H30" s="3" t="s">
        <v>17</v>
      </c>
      <c r="I30" s="4">
        <v>2.4999999999999998E-12</v>
      </c>
      <c r="L30" s="5">
        <f>L29/1000</f>
        <v>3.6313835096825722</v>
      </c>
      <c r="M30" s="5">
        <f t="shared" ref="M30:P30" si="1">M29/1000</f>
        <v>5.1105651105651191E-2</v>
      </c>
      <c r="N30" s="5">
        <f>N29/1000</f>
        <v>1.1573792868111246</v>
      </c>
      <c r="O30" s="5">
        <f t="shared" si="1"/>
        <v>4.2171140939597329</v>
      </c>
      <c r="P30" s="5">
        <f t="shared" si="1"/>
        <v>4.8987572878678796</v>
      </c>
      <c r="R30" s="2" t="s">
        <v>11</v>
      </c>
      <c r="S30">
        <f>((S29-0.7)/I40)*1000</f>
        <v>0.50790638836179625</v>
      </c>
      <c r="T30" s="2" t="s">
        <v>11</v>
      </c>
      <c r="U30">
        <f>((U29-0.7)/I40)*1000</f>
        <v>0.50790638836179625</v>
      </c>
      <c r="Z30" t="s">
        <v>3</v>
      </c>
      <c r="AB30" s="23"/>
      <c r="AC30" s="23" t="s">
        <v>4</v>
      </c>
      <c r="AF30" t="s">
        <v>5</v>
      </c>
    </row>
    <row r="31" spans="1:32" ht="15.75" thickBot="1" x14ac:dyDescent="0.3">
      <c r="H31" s="3" t="s">
        <v>18</v>
      </c>
      <c r="I31" s="4">
        <v>100000000</v>
      </c>
      <c r="R31" s="6" t="s">
        <v>39</v>
      </c>
      <c r="S31">
        <f>I29/S32/1000</f>
        <v>12.305417185554173</v>
      </c>
      <c r="T31" s="6" t="s">
        <v>39</v>
      </c>
      <c r="U31">
        <f>I29/U32/1000</f>
        <v>12.305417185554173</v>
      </c>
      <c r="Y31" s="8" t="s">
        <v>54</v>
      </c>
      <c r="Z31" s="4">
        <f>(I43*I32)/(I41+I42+I43)</f>
        <v>3.220779220779221</v>
      </c>
      <c r="AB31" s="24" t="s">
        <v>96</v>
      </c>
      <c r="AC31" s="25">
        <v>3.2902999999999998</v>
      </c>
      <c r="AE31" s="8" t="s">
        <v>54</v>
      </c>
      <c r="AF31" s="4">
        <f>I32*(I38/(I37+I38))</f>
        <v>3.290322580645161</v>
      </c>
    </row>
    <row r="32" spans="1:32" ht="15.75" thickBot="1" x14ac:dyDescent="0.3">
      <c r="H32" s="3" t="s">
        <v>19</v>
      </c>
      <c r="I32">
        <v>12</v>
      </c>
      <c r="R32" s="6" t="s">
        <v>38</v>
      </c>
      <c r="S32">
        <f>S30/25</f>
        <v>2.0316255534471851E-2</v>
      </c>
      <c r="T32" s="6" t="s">
        <v>38</v>
      </c>
      <c r="U32">
        <f>U30/25</f>
        <v>2.0316255534471851E-2</v>
      </c>
      <c r="Y32" s="8" t="s">
        <v>55</v>
      </c>
      <c r="Z32" s="4">
        <f>((I42+I43)*I32)/(I41+I42+I43)</f>
        <v>5.2467532467532472</v>
      </c>
      <c r="AB32" s="26" t="s">
        <v>97</v>
      </c>
      <c r="AC32" s="27">
        <v>5.0790000000000004E-4</v>
      </c>
      <c r="AE32" s="8" t="s">
        <v>55</v>
      </c>
      <c r="AF32" s="4">
        <f>12*(I38/(I37+I38))</f>
        <v>3.290322580645161</v>
      </c>
    </row>
    <row r="33" spans="1:35" ht="30.75" thickBot="1" x14ac:dyDescent="0.3">
      <c r="H33" s="3" t="s">
        <v>20</v>
      </c>
      <c r="I33">
        <v>600</v>
      </c>
      <c r="K33" s="3" t="s">
        <v>128</v>
      </c>
      <c r="L33" t="s">
        <v>0</v>
      </c>
      <c r="M33" t="s">
        <v>2</v>
      </c>
      <c r="N33" t="s">
        <v>3</v>
      </c>
      <c r="O33" t="s">
        <v>4</v>
      </c>
      <c r="P33" t="s">
        <v>5</v>
      </c>
      <c r="R33" s="6" t="s">
        <v>52</v>
      </c>
      <c r="T33" s="6" t="s">
        <v>52</v>
      </c>
      <c r="U33">
        <f>T27/(I29+1)</f>
        <v>49.025566476311447</v>
      </c>
      <c r="Y33" s="8" t="s">
        <v>56</v>
      </c>
      <c r="Z33">
        <f>(Z31-0.7)/I40</f>
        <v>4.9427043544690607E-4</v>
      </c>
      <c r="AB33" s="26" t="s">
        <v>98</v>
      </c>
      <c r="AC33" s="28">
        <v>9.4097000000000008</v>
      </c>
      <c r="AE33" s="8" t="s">
        <v>56</v>
      </c>
      <c r="AF33" s="4">
        <f>((AF31-0.7)/I40)</f>
        <v>5.079063883617962E-4</v>
      </c>
    </row>
    <row r="34" spans="1:35" ht="30.75" thickBot="1" x14ac:dyDescent="0.3">
      <c r="H34" s="3" t="s">
        <v>21</v>
      </c>
      <c r="I34" s="4">
        <v>3000</v>
      </c>
      <c r="L34">
        <f>((B40/(B35-B40))*3000)-500</f>
        <v>-500</v>
      </c>
      <c r="M34">
        <f>((C40/(C36-C40))*500)-500</f>
        <v>-500</v>
      </c>
      <c r="N34">
        <f>((D40/(D36-D40))*2000)-500</f>
        <v>-500</v>
      </c>
      <c r="O34">
        <f>((E40/(E36-E40))*3000)-500</f>
        <v>-500</v>
      </c>
      <c r="P34">
        <f t="shared" ref="P34" si="2">((F40/(F35-F40))*3000)-500</f>
        <v>-500</v>
      </c>
      <c r="R34" s="6" t="s">
        <v>53</v>
      </c>
      <c r="T34" s="6" t="s">
        <v>53</v>
      </c>
      <c r="U34">
        <f>240/241</f>
        <v>0.99585062240663902</v>
      </c>
      <c r="Y34" s="8" t="s">
        <v>57</v>
      </c>
      <c r="Z34">
        <f>Z33</f>
        <v>4.9427043544690607E-4</v>
      </c>
      <c r="AB34" s="26" t="s">
        <v>99</v>
      </c>
      <c r="AC34" s="27">
        <v>2.0316000000000001E-2</v>
      </c>
      <c r="AE34" s="8" t="s">
        <v>57</v>
      </c>
      <c r="AF34" s="4">
        <f>((AF32-0.7)/I40)</f>
        <v>5.079063883617962E-4</v>
      </c>
    </row>
    <row r="35" spans="1:35" ht="35.25" customHeight="1" thickBot="1" x14ac:dyDescent="0.3">
      <c r="A35" t="s">
        <v>9</v>
      </c>
      <c r="B35">
        <v>70.650000000000006</v>
      </c>
      <c r="C35">
        <v>6.36</v>
      </c>
      <c r="D35">
        <v>51.5</v>
      </c>
      <c r="E35">
        <v>38.28</v>
      </c>
      <c r="F35">
        <v>78.909000000000006</v>
      </c>
      <c r="H35" s="3" t="s">
        <v>22</v>
      </c>
      <c r="I35">
        <v>500</v>
      </c>
      <c r="L35">
        <f>(I47*I40)/(((I47*B36)/(B30-B36))-I40)</f>
        <v>7146.6720923726443</v>
      </c>
      <c r="M35">
        <f>(I47*I40)/(((I47*C36)/(C30-C36))-I40)</f>
        <v>7476.0885009230933</v>
      </c>
      <c r="N35">
        <f>(I47*I40)/(((I47*D36)/(D30-D36))-I40)</f>
        <v>7499.0605752002748</v>
      </c>
      <c r="O35">
        <f>(I47*I40)/(((I47*E36)/(E30-E36))-I40)</f>
        <v>7289.6706209846679</v>
      </c>
      <c r="P35">
        <f>(I47*I40)/(((I47*F36)/(F30-F36))-I40)</f>
        <v>7139.4403798022886</v>
      </c>
      <c r="R35" s="2" t="s">
        <v>12</v>
      </c>
      <c r="S35" s="4">
        <f>I32-(I39+I40)*S30/1000</f>
        <v>5.6003795066413673</v>
      </c>
      <c r="T35" s="2" t="s">
        <v>12</v>
      </c>
      <c r="U35" s="4">
        <f>I32-(I39+I40)*U30/1000</f>
        <v>5.6003795066413673</v>
      </c>
      <c r="Y35" s="8" t="s">
        <v>58</v>
      </c>
      <c r="Z35" s="4">
        <f>Z32-0.7</f>
        <v>4.546753246753247</v>
      </c>
      <c r="AB35" s="26" t="s">
        <v>100</v>
      </c>
      <c r="AC35" s="28">
        <v>12305.2</v>
      </c>
      <c r="AE35" s="8" t="s">
        <v>58</v>
      </c>
    </row>
    <row r="36" spans="1:35" ht="30" customHeight="1" thickBot="1" x14ac:dyDescent="0.3">
      <c r="A36" t="s">
        <v>127</v>
      </c>
      <c r="B36">
        <v>50.49</v>
      </c>
      <c r="C36">
        <v>4.58</v>
      </c>
      <c r="D36">
        <v>44.77</v>
      </c>
      <c r="E36">
        <v>25.68</v>
      </c>
      <c r="F36">
        <v>51.03</v>
      </c>
      <c r="H36" s="3" t="s">
        <v>23</v>
      </c>
      <c r="I36" s="4">
        <v>2000</v>
      </c>
      <c r="L36" s="5">
        <f>L35/1000</f>
        <v>7.1466720923726443</v>
      </c>
      <c r="M36" s="5">
        <f t="shared" ref="M36:P36" si="3">M35/1000</f>
        <v>7.4760885009230931</v>
      </c>
      <c r="N36" s="5">
        <f t="shared" si="3"/>
        <v>7.499060575200275</v>
      </c>
      <c r="O36" s="5">
        <f t="shared" si="3"/>
        <v>7.2896706209846682</v>
      </c>
      <c r="P36" s="5">
        <f t="shared" si="3"/>
        <v>7.1394403798022887</v>
      </c>
      <c r="R36" s="2" t="s">
        <v>40</v>
      </c>
      <c r="S36">
        <f>(((I37*I38)/(I37+I38))*S31*1000)/(((I37*I38)/(I37+I38))+(S31*1000))</f>
        <v>3522.6226196488519</v>
      </c>
      <c r="T36" s="2" t="s">
        <v>40</v>
      </c>
      <c r="U36">
        <f>(I40*U33)/(I40+U33)</f>
        <v>48.558777928207952</v>
      </c>
      <c r="Y36" s="8" t="s">
        <v>59</v>
      </c>
      <c r="Z36">
        <f>I32-Z34*I39</f>
        <v>8.292971734148205</v>
      </c>
      <c r="AB36" s="26" t="s">
        <v>101</v>
      </c>
      <c r="AC36" s="28">
        <v>49.026000000000003</v>
      </c>
      <c r="AE36" s="8" t="s">
        <v>59</v>
      </c>
    </row>
    <row r="37" spans="1:35" ht="45.75" thickBot="1" x14ac:dyDescent="0.3">
      <c r="H37" s="3" t="s">
        <v>24</v>
      </c>
      <c r="I37" s="4">
        <v>18000</v>
      </c>
      <c r="R37" s="2" t="s">
        <v>41</v>
      </c>
      <c r="S37">
        <f>I39</f>
        <v>7500</v>
      </c>
      <c r="T37" s="2" t="s">
        <v>41</v>
      </c>
      <c r="U37">
        <f>I39</f>
        <v>7500</v>
      </c>
      <c r="Y37" s="8" t="s">
        <v>60</v>
      </c>
      <c r="Z37">
        <f>Z31-0.7</f>
        <v>2.5207792207792208</v>
      </c>
      <c r="AB37" s="26" t="s">
        <v>102</v>
      </c>
      <c r="AC37" s="28">
        <v>4104.5</v>
      </c>
      <c r="AE37" s="8" t="s">
        <v>60</v>
      </c>
    </row>
    <row r="38" spans="1:35" ht="45.75" thickBot="1" x14ac:dyDescent="0.3">
      <c r="H38" s="3" t="s">
        <v>25</v>
      </c>
      <c r="I38" s="4">
        <v>6800</v>
      </c>
      <c r="R38" s="2" t="s">
        <v>13</v>
      </c>
      <c r="S38">
        <f>((-S36)/(S36+I33))*S32*(1/((1/I39)+(1/I47)))</f>
        <v>-129.22674726953915</v>
      </c>
      <c r="T38" s="2" t="s">
        <v>13</v>
      </c>
      <c r="U38" s="4">
        <f>(U36/(U36+I33))*(U34/U33)*((I39*I47)/(I39+I47))</f>
        <v>11.321557951101838</v>
      </c>
      <c r="Y38" s="8" t="s">
        <v>61</v>
      </c>
      <c r="Z38" s="4">
        <f>Z32-0.7</f>
        <v>4.546753246753247</v>
      </c>
      <c r="AB38" s="26" t="s">
        <v>103</v>
      </c>
      <c r="AC38" s="28">
        <v>3.29</v>
      </c>
      <c r="AE38" s="8" t="s">
        <v>61</v>
      </c>
    </row>
    <row r="39" spans="1:35" ht="30.75" thickBot="1" x14ac:dyDescent="0.3">
      <c r="H39" s="3" t="s">
        <v>26</v>
      </c>
      <c r="I39" s="4">
        <v>7500</v>
      </c>
      <c r="R39" t="s">
        <v>51</v>
      </c>
      <c r="S39" s="4">
        <f>(S32/(2*3.14*I31))-I30</f>
        <v>2.9850725373362824E-11</v>
      </c>
      <c r="T39" t="s">
        <v>51</v>
      </c>
      <c r="U39">
        <v>1.7067150248908545E-11</v>
      </c>
      <c r="Y39" s="8" t="s">
        <v>62</v>
      </c>
      <c r="Z39" s="4">
        <f>Z35-Z37</f>
        <v>2.0259740259740262</v>
      </c>
      <c r="AB39" s="26" t="s">
        <v>104</v>
      </c>
      <c r="AC39" s="27">
        <v>5.0799999999999999E-4</v>
      </c>
      <c r="AE39" s="8" t="s">
        <v>62</v>
      </c>
      <c r="AF39" s="4">
        <f>I32-(I40*AF33)</f>
        <v>9.4096774193548391</v>
      </c>
    </row>
    <row r="40" spans="1:35" ht="45.75" thickBot="1" x14ac:dyDescent="0.3">
      <c r="H40" s="3" t="s">
        <v>27</v>
      </c>
      <c r="I40" s="4">
        <v>5100</v>
      </c>
      <c r="R40" s="7" t="s">
        <v>42</v>
      </c>
      <c r="S40" s="4">
        <f>-S32*(((1/I39) + (1/I47))^-1)</f>
        <v>-151.23763425165149</v>
      </c>
      <c r="T40" s="7" t="s">
        <v>42</v>
      </c>
      <c r="Y40" s="8" t="s">
        <v>63</v>
      </c>
      <c r="Z40">
        <f>Z36-Z38</f>
        <v>3.746218487394958</v>
      </c>
      <c r="AB40" s="26" t="s">
        <v>105</v>
      </c>
      <c r="AC40" s="28">
        <v>5.6003999999999996</v>
      </c>
      <c r="AE40" s="8" t="s">
        <v>63</v>
      </c>
      <c r="AF40" s="4">
        <f>I32-((I39+I40)*AF34)</f>
        <v>5.6003795066413682</v>
      </c>
    </row>
    <row r="41" spans="1:35" ht="15.75" thickBot="1" x14ac:dyDescent="0.3">
      <c r="H41" s="3" t="s">
        <v>28</v>
      </c>
      <c r="I41" s="4">
        <v>13000</v>
      </c>
      <c r="R41" s="7" t="s">
        <v>43</v>
      </c>
      <c r="S41" s="4">
        <f>I30*(1-S40)</f>
        <v>3.8059408562912868E-10</v>
      </c>
      <c r="T41" s="7" t="s">
        <v>43</v>
      </c>
      <c r="Y41" s="8" t="s">
        <v>64</v>
      </c>
      <c r="Z41">
        <f>Z33/0.025</f>
        <v>1.977081741787624E-2</v>
      </c>
      <c r="AB41" s="26" t="s">
        <v>106</v>
      </c>
      <c r="AC41" s="28">
        <v>2.0316000000000001E-2</v>
      </c>
      <c r="AE41" s="8" t="s">
        <v>64</v>
      </c>
      <c r="AF41">
        <f>AF33/0.025</f>
        <v>2.0316255534471847E-2</v>
      </c>
    </row>
    <row r="42" spans="1:35" ht="15.75" thickBot="1" x14ac:dyDescent="0.3">
      <c r="H42" s="3" t="s">
        <v>29</v>
      </c>
      <c r="I42" s="4">
        <v>3900</v>
      </c>
      <c r="R42" s="7" t="s">
        <v>44</v>
      </c>
      <c r="S42" s="4">
        <f>I30*(1-(1/S40))</f>
        <v>2.5165302770859275E-12</v>
      </c>
      <c r="T42" s="7" t="s">
        <v>44</v>
      </c>
      <c r="Y42" s="8" t="s">
        <v>65</v>
      </c>
      <c r="Z42">
        <f>Z34/0.025</f>
        <v>1.977081741787624E-2</v>
      </c>
      <c r="AB42" s="26" t="s">
        <v>107</v>
      </c>
      <c r="AC42" s="28">
        <v>12305.2</v>
      </c>
      <c r="AE42" s="8" t="s">
        <v>65</v>
      </c>
      <c r="AF42">
        <f>AF34/0.025</f>
        <v>2.0316255534471847E-2</v>
      </c>
    </row>
    <row r="43" spans="1:35" ht="15.75" thickBot="1" x14ac:dyDescent="0.3">
      <c r="H43" s="3" t="s">
        <v>30</v>
      </c>
      <c r="I43" s="4">
        <v>6200</v>
      </c>
      <c r="R43" s="7" t="s">
        <v>45</v>
      </c>
      <c r="S43" s="4">
        <f>(S41+S39)*((S36*I33/(S36+I33)))</f>
        <v>2.1042559197106801E-7</v>
      </c>
      <c r="T43" s="7" t="s">
        <v>45</v>
      </c>
      <c r="U43" s="4">
        <f>U39*(((1/U33)+(1/I40)+(1/I33))^-1)</f>
        <v>7.6670918998417928E-10</v>
      </c>
      <c r="Y43" s="8" t="s">
        <v>66</v>
      </c>
      <c r="Z43">
        <f>I29/Z41</f>
        <v>12644.899536321485</v>
      </c>
      <c r="AB43" s="26" t="s">
        <v>108</v>
      </c>
      <c r="AC43" s="28">
        <v>49.026000000000003</v>
      </c>
      <c r="AE43" s="8" t="s">
        <v>66</v>
      </c>
      <c r="AF43">
        <f>I29/AF41</f>
        <v>12305.417185554175</v>
      </c>
    </row>
    <row r="44" spans="1:35" ht="30.75" thickBot="1" x14ac:dyDescent="0.3">
      <c r="H44" s="3" t="s">
        <v>31</v>
      </c>
      <c r="I44" s="4">
        <v>3.3000000000000002E-7</v>
      </c>
      <c r="R44" s="7" t="s">
        <v>46</v>
      </c>
      <c r="S44" s="4">
        <f>(S42 +I48) * (((1/I39)+(1/I47))^-1)</f>
        <v>6.3398488415031724E-8</v>
      </c>
      <c r="T44" s="7" t="s">
        <v>46</v>
      </c>
      <c r="U44" s="4">
        <f>(I30+I48)*((I39*I47)/(I39+I47))</f>
        <v>6.3275434243176173E-8</v>
      </c>
      <c r="Y44" s="8" t="s">
        <v>67</v>
      </c>
      <c r="Z44">
        <f>I29/Z42</f>
        <v>12644.899536321485</v>
      </c>
      <c r="AB44" s="26" t="s">
        <v>109</v>
      </c>
      <c r="AC44" s="28">
        <v>48.558999999999997</v>
      </c>
      <c r="AE44" s="8" t="s">
        <v>67</v>
      </c>
      <c r="AF44">
        <f>I29/AF42</f>
        <v>12305.417185554175</v>
      </c>
    </row>
    <row r="45" spans="1:35" ht="60.75" thickBot="1" x14ac:dyDescent="0.3">
      <c r="H45" s="3" t="s">
        <v>32</v>
      </c>
      <c r="I45" s="4">
        <v>9.9999999999999995E-8</v>
      </c>
      <c r="R45" s="7" t="s">
        <v>47</v>
      </c>
      <c r="T45" s="7" t="s">
        <v>46</v>
      </c>
      <c r="Y45" s="8" t="s">
        <v>68</v>
      </c>
      <c r="Z45">
        <f>(Z43/(I29+1))</f>
        <v>50.378085802077628</v>
      </c>
      <c r="AB45" s="26" t="s">
        <v>41</v>
      </c>
      <c r="AC45" s="27">
        <v>7500</v>
      </c>
      <c r="AE45" s="8" t="s">
        <v>68</v>
      </c>
      <c r="AF45">
        <f>(AF43/(I29+1))</f>
        <v>49.025566476311454</v>
      </c>
    </row>
    <row r="46" spans="1:35" ht="45.75" thickBot="1" x14ac:dyDescent="0.3">
      <c r="H46" s="3" t="s">
        <v>33</v>
      </c>
      <c r="I46" s="4">
        <v>1E-4</v>
      </c>
      <c r="R46" s="2" t="s">
        <v>7</v>
      </c>
      <c r="S46">
        <f>(1/(2*3.14*SQRT((S43*S43)+(S44*S44))))</f>
        <v>724560.14638051437</v>
      </c>
      <c r="T46" s="2" t="s">
        <v>7</v>
      </c>
      <c r="U46" s="4">
        <f>1/(2*3.14*SQRT(U43^2+U44^2))</f>
        <v>2516363.2985443482</v>
      </c>
      <c r="Y46" s="8" t="s">
        <v>69</v>
      </c>
      <c r="Z46">
        <f>(Z44/(I29+1))</f>
        <v>50.378085802077628</v>
      </c>
      <c r="AB46" s="26" t="s">
        <v>70</v>
      </c>
      <c r="AC46" s="27">
        <v>2.9833999999999997E-11</v>
      </c>
      <c r="AE46" s="8" t="s">
        <v>69</v>
      </c>
      <c r="AF46">
        <f>(AF44/(I29+1))</f>
        <v>49.025566476311454</v>
      </c>
    </row>
    <row r="47" spans="1:35" ht="15.75" thickBot="1" x14ac:dyDescent="0.3">
      <c r="H47" t="s">
        <v>34</v>
      </c>
      <c r="I47" s="4">
        <v>1000000</v>
      </c>
      <c r="R47" s="7" t="s">
        <v>48</v>
      </c>
      <c r="S47" s="4">
        <f>((((1/I37) + (1/I38) + (1/S27))^-1)+I33) * I44</f>
        <v>1.3604654644841215E-3</v>
      </c>
      <c r="T47" s="7" t="s">
        <v>48</v>
      </c>
      <c r="U47" s="4">
        <f>I45*(I33+((I40*U33)/(I40+U33)))</f>
        <v>6.48558777928208E-5</v>
      </c>
      <c r="Y47" s="8" t="s">
        <v>70</v>
      </c>
      <c r="Z47" s="4">
        <f>(Z41/(2*3.14*I31))-I30</f>
        <v>2.8982193340567263E-11</v>
      </c>
      <c r="AB47" s="26" t="s">
        <v>71</v>
      </c>
      <c r="AC47" s="27">
        <v>2.9833999999999997E-11</v>
      </c>
      <c r="AE47" s="8" t="s">
        <v>70</v>
      </c>
      <c r="AF47" s="4">
        <f>(AF41/(2*3.14*I31))-I30</f>
        <v>2.9850725373362817E-11</v>
      </c>
    </row>
    <row r="48" spans="1:35" ht="15.75" thickBot="1" x14ac:dyDescent="0.3">
      <c r="H48" t="s">
        <v>35</v>
      </c>
      <c r="I48" s="4">
        <v>6.0000000000000003E-12</v>
      </c>
      <c r="R48" s="7" t="s">
        <v>49</v>
      </c>
      <c r="S48" s="4">
        <f>I46* (((1/I40)+ (1/(((((1/I37)+(1/I38)+(1/I33))^-1)+S27)/(I29+1))))^-1)</f>
        <v>5.0648854521955005E-3</v>
      </c>
      <c r="T48" s="7" t="s">
        <v>49</v>
      </c>
      <c r="U48" s="4">
        <f>I46*(((1/I37)+(1/I38)+(1/(((((1/I33)+(1/I40))^-1)+U33)*(I29+1))))^-1)</f>
        <v>0.47752149164996693</v>
      </c>
      <c r="Y48" s="8" t="s">
        <v>71</v>
      </c>
      <c r="Z48" s="4">
        <f>(Z41/(2*3.14*I31))-I30</f>
        <v>2.8982193340567263E-11</v>
      </c>
      <c r="AB48" s="26" t="s">
        <v>110</v>
      </c>
      <c r="AC48" s="28">
        <v>0.89073257049999999</v>
      </c>
      <c r="AE48" s="8" t="s">
        <v>71</v>
      </c>
      <c r="AF48" s="4">
        <f>(AF42/(2*3.14*I31))-I30</f>
        <v>2.9850725373362817E-11</v>
      </c>
      <c r="AH48" t="s">
        <v>82</v>
      </c>
      <c r="AI48">
        <f>AF49/(AF49+I33)</f>
        <v>0.89071817762518191</v>
      </c>
    </row>
    <row r="49" spans="2:35" ht="15.75" thickBot="1" x14ac:dyDescent="0.3">
      <c r="H49" t="s">
        <v>36</v>
      </c>
      <c r="I49">
        <v>0</v>
      </c>
      <c r="R49" s="7" t="s">
        <v>50</v>
      </c>
      <c r="S49" s="4">
        <f>I45*(I39+I47)</f>
        <v>0.10074999999999999</v>
      </c>
      <c r="T49" s="7" t="s">
        <v>50</v>
      </c>
      <c r="U49" s="4">
        <f>I45*(I39+I47)</f>
        <v>0.10074999999999999</v>
      </c>
      <c r="Y49" s="8" t="s">
        <v>72</v>
      </c>
      <c r="Z49">
        <f>((1/I42)+(1/I43)+(1/Z43))^-1</f>
        <v>2012.9478900984925</v>
      </c>
      <c r="AB49" s="26" t="s">
        <v>111</v>
      </c>
      <c r="AC49" s="28">
        <v>0.49524011810000002</v>
      </c>
      <c r="AE49" s="8" t="s">
        <v>72</v>
      </c>
      <c r="AF49">
        <f>(1/I37+1/I38+1/(((1/I40+1/AF50)^-1)*(I29+1)+AF43))^-1</f>
        <v>4890.3916036658138</v>
      </c>
      <c r="AH49" t="s">
        <v>83</v>
      </c>
      <c r="AI49" s="4">
        <f>((((1/I40)+(1/AF50))^-1)*(I29+1))/(((((1/I40)+(1/AF50))^-1)*(I29+1))+ AF43)</f>
        <v>0.97701073742490041</v>
      </c>
    </row>
    <row r="50" spans="2:35" ht="15.75" thickBot="1" x14ac:dyDescent="0.3">
      <c r="R50" s="2" t="s">
        <v>6</v>
      </c>
      <c r="S50">
        <f>(1/(2*3.14))*SQRT(((1/(S47*S47))+(1/(S48*S48))+(1/(S49*S49))))</f>
        <v>121.20415785763888</v>
      </c>
      <c r="T50" s="2" t="s">
        <v>6</v>
      </c>
      <c r="U50" s="4">
        <f>(1/(2*3.14))*(SQRT(((1/U47^2)+(1/U48^2)+(1/U49^2))))</f>
        <v>2455.2239314364815</v>
      </c>
      <c r="Y50" s="8" t="s">
        <v>73</v>
      </c>
      <c r="Z50" s="4">
        <f>I39</f>
        <v>7500</v>
      </c>
      <c r="AB50" s="26" t="s">
        <v>112</v>
      </c>
      <c r="AC50" s="28">
        <v>151.2376342</v>
      </c>
      <c r="AE50" t="s">
        <v>91</v>
      </c>
      <c r="AF50" s="4">
        <f>(((1/I37)+(1/I38)+(1/AF44))^-1)</f>
        <v>3522.6226196488524</v>
      </c>
      <c r="AH50" t="s">
        <v>84</v>
      </c>
      <c r="AI50" s="4">
        <f>((((1/I39)+(1/I47))^-1)*AF42)</f>
        <v>151.23763425165146</v>
      </c>
    </row>
    <row r="51" spans="2:35" ht="30.75" thickBot="1" x14ac:dyDescent="0.3">
      <c r="Y51" s="8" t="s">
        <v>74</v>
      </c>
      <c r="Z51">
        <f>I29/(I29+1)</f>
        <v>0.99601593625498008</v>
      </c>
      <c r="AB51" s="26" t="s">
        <v>75</v>
      </c>
      <c r="AC51" s="28">
        <v>65.346000000000004</v>
      </c>
      <c r="AE51" s="8" t="s">
        <v>73</v>
      </c>
      <c r="AF51" s="4">
        <f>I39</f>
        <v>7500</v>
      </c>
    </row>
    <row r="52" spans="2:35" ht="30.75" thickBot="1" x14ac:dyDescent="0.3">
      <c r="Y52" s="8" t="s">
        <v>75</v>
      </c>
      <c r="Z52">
        <f>(-Z49/(Z49 + I33))*Z51*Z41*(((1/I39)+(1/I47))^-1)</f>
        <v>-112.92988992222411</v>
      </c>
      <c r="AB52" s="26" t="s">
        <v>113</v>
      </c>
      <c r="AC52" s="28">
        <v>559.29</v>
      </c>
      <c r="AE52" s="8" t="s">
        <v>74</v>
      </c>
      <c r="AF52">
        <f>I29/(I29+1)</f>
        <v>0.99601593625498008</v>
      </c>
    </row>
    <row r="53" spans="2:35" ht="30.75" thickBot="1" x14ac:dyDescent="0.3">
      <c r="R53" t="s">
        <v>139</v>
      </c>
      <c r="S53">
        <f>SQRT(S46*S50)</f>
        <v>9371.2166957795725</v>
      </c>
      <c r="T53">
        <f>SQRT(U46*U50)</f>
        <v>78601.751830188412</v>
      </c>
      <c r="Y53" s="8"/>
      <c r="AB53" s="26" t="s">
        <v>78</v>
      </c>
      <c r="AC53" s="27">
        <v>1.3087E-9</v>
      </c>
      <c r="AE53" s="8" t="s">
        <v>75</v>
      </c>
      <c r="AF53" s="4">
        <f>AF49/(AF49+I33)*((((1/I40)+(1/AF50))^-1)*(I29+1))/(((((1/I40)+(1/AF50))^-1)*(I29+1))+ AF43)*((((1/I39)+(1/I47))^-1)*AF42)</f>
        <v>131.6132238793775</v>
      </c>
      <c r="AH53" s="4">
        <f>AI48*AI49*AI50</f>
        <v>131.61322387937747</v>
      </c>
    </row>
    <row r="54" spans="2:35" ht="15.75" thickBot="1" x14ac:dyDescent="0.3">
      <c r="R54" t="s">
        <v>138</v>
      </c>
      <c r="S54">
        <f>S46-S50</f>
        <v>724438.94222265668</v>
      </c>
      <c r="T54" s="4">
        <f>U46-U50</f>
        <v>2513908.0746129118</v>
      </c>
      <c r="Y54" s="8" t="s">
        <v>42</v>
      </c>
      <c r="Z54">
        <f>-Z41*Z46</f>
        <v>-0.99601593625498008</v>
      </c>
      <c r="AB54" s="26" t="s">
        <v>79</v>
      </c>
      <c r="AC54" s="27">
        <v>7.3961999999999998E-10</v>
      </c>
      <c r="AE54" s="8" t="s">
        <v>42</v>
      </c>
      <c r="AF54" s="4">
        <f>-AF41*(((1/I40) + (1/I47))^-1)</f>
        <v>-103.08715871635303</v>
      </c>
    </row>
    <row r="55" spans="2:35" ht="15.75" thickBot="1" x14ac:dyDescent="0.3">
      <c r="Y55" s="8" t="s">
        <v>76</v>
      </c>
      <c r="Z55" s="4">
        <f>I30*(1-Z54)</f>
        <v>4.9900398406374495E-12</v>
      </c>
      <c r="AB55" s="26" t="s">
        <v>80</v>
      </c>
      <c r="AC55" s="27">
        <v>6.3275000000000002E-8</v>
      </c>
      <c r="AE55" s="8" t="s">
        <v>76</v>
      </c>
      <c r="AF55" s="4">
        <f>I30*(1-AF54)</f>
        <v>2.6021789679088256E-10</v>
      </c>
    </row>
    <row r="56" spans="2:35" ht="15.75" thickBot="1" x14ac:dyDescent="0.3">
      <c r="K56" s="9" t="s">
        <v>115</v>
      </c>
      <c r="L56" s="32" t="s">
        <v>3</v>
      </c>
      <c r="M56" s="33"/>
      <c r="N56" s="32" t="s">
        <v>4</v>
      </c>
      <c r="O56" s="33"/>
      <c r="P56" s="30" t="s">
        <v>5</v>
      </c>
      <c r="Q56" s="31"/>
      <c r="Y56" s="8" t="s">
        <v>77</v>
      </c>
      <c r="Z56" s="4">
        <f>I30*(1-(1/Z54))</f>
        <v>5.0099999999999999E-12</v>
      </c>
      <c r="AB56" s="26" t="s">
        <v>114</v>
      </c>
      <c r="AC56" s="27">
        <v>1.5961E-8</v>
      </c>
      <c r="AE56" s="8" t="s">
        <v>77</v>
      </c>
      <c r="AF56" s="4">
        <f>I30*(1-(1/AF54))</f>
        <v>2.5242513231631378E-12</v>
      </c>
    </row>
    <row r="57" spans="2:35" ht="15.75" thickBot="1" x14ac:dyDescent="0.3">
      <c r="B57" s="9" t="s">
        <v>115</v>
      </c>
      <c r="C57" s="32" t="s">
        <v>0</v>
      </c>
      <c r="D57" s="33"/>
      <c r="E57" s="32" t="s">
        <v>2</v>
      </c>
      <c r="F57" s="33"/>
      <c r="K57" s="7"/>
      <c r="L57" s="10" t="s">
        <v>116</v>
      </c>
      <c r="M57" s="6" t="s">
        <v>117</v>
      </c>
      <c r="N57" s="10" t="s">
        <v>116</v>
      </c>
      <c r="O57" s="11" t="s">
        <v>117</v>
      </c>
      <c r="P57" s="10" t="s">
        <v>116</v>
      </c>
      <c r="Q57" s="11" t="s">
        <v>117</v>
      </c>
      <c r="Y57" s="7" t="s">
        <v>140</v>
      </c>
      <c r="Z57" s="4">
        <f>(Z55+Z47)*(((1/I33) + (1/I42) + (1/I43) + (1/Z43))^-1)</f>
        <v>1.5702801122787568E-8</v>
      </c>
      <c r="AB57" s="26" t="s">
        <v>81</v>
      </c>
      <c r="AC57" s="27">
        <v>2438200</v>
      </c>
      <c r="AE57" s="7" t="s">
        <v>140</v>
      </c>
      <c r="AF57" s="4">
        <f>I30*(((1/I33)+(1/AF49))^-1)</f>
        <v>1.3360772664377728E-9</v>
      </c>
    </row>
    <row r="58" spans="2:35" ht="15.75" thickBot="1" x14ac:dyDescent="0.3">
      <c r="B58" s="7"/>
      <c r="C58" s="10" t="s">
        <v>116</v>
      </c>
      <c r="D58" s="6" t="s">
        <v>117</v>
      </c>
      <c r="E58" s="10" t="s">
        <v>116</v>
      </c>
      <c r="F58" s="6" t="s">
        <v>117</v>
      </c>
      <c r="K58" s="12" t="s">
        <v>96</v>
      </c>
      <c r="L58" s="13" t="s">
        <v>118</v>
      </c>
      <c r="M58" s="15">
        <f>Z31</f>
        <v>3.220779220779221</v>
      </c>
      <c r="N58" s="13" t="s">
        <v>118</v>
      </c>
      <c r="O58" s="15">
        <f>AC31</f>
        <v>3.2902999999999998</v>
      </c>
      <c r="P58" s="13" t="s">
        <v>118</v>
      </c>
      <c r="Q58" s="15">
        <f>AF31</f>
        <v>3.290322580645161</v>
      </c>
      <c r="Y58" s="7" t="s">
        <v>141</v>
      </c>
      <c r="Z58" s="4">
        <f>(Z56+Z48)*Z46</f>
        <v>1.7124616327119093E-9</v>
      </c>
      <c r="AB58" s="26" t="s">
        <v>86</v>
      </c>
      <c r="AC58" s="27">
        <v>1.5525000000000001E-3</v>
      </c>
      <c r="AE58" s="7" t="s">
        <v>141</v>
      </c>
      <c r="AF58" s="4">
        <f>AF47*(((1/AF43)+(1/AF65))^-1)</f>
        <v>1.7951287046167388E-9</v>
      </c>
    </row>
    <row r="59" spans="2:35" ht="15.75" thickBot="1" x14ac:dyDescent="0.3">
      <c r="B59" s="12" t="s">
        <v>10</v>
      </c>
      <c r="C59" s="13" t="s">
        <v>118</v>
      </c>
      <c r="D59" s="14">
        <v>3.290322580645161</v>
      </c>
      <c r="E59" s="13" t="s">
        <v>118</v>
      </c>
      <c r="F59" s="14">
        <v>3.290322580645161</v>
      </c>
      <c r="K59" s="12" t="s">
        <v>103</v>
      </c>
      <c r="L59" s="13" t="s">
        <v>118</v>
      </c>
      <c r="M59" s="15">
        <f>Z32</f>
        <v>5.2467532467532472</v>
      </c>
      <c r="N59" s="13" t="s">
        <v>118</v>
      </c>
      <c r="O59" s="15">
        <f>AC38</f>
        <v>3.29</v>
      </c>
      <c r="P59" s="13" t="s">
        <v>118</v>
      </c>
      <c r="Q59" s="15">
        <f>AF32</f>
        <v>3.290322580645161</v>
      </c>
      <c r="Y59" s="7" t="s">
        <v>80</v>
      </c>
      <c r="Z59" s="4">
        <f>(I30+I48)*(((1/I39)+(1/I47))^-1)</f>
        <v>6.3275434243176173E-8</v>
      </c>
      <c r="AB59" s="26" t="s">
        <v>87</v>
      </c>
      <c r="AC59" s="27">
        <v>9.9208E-6</v>
      </c>
      <c r="AE59" s="7" t="s">
        <v>80</v>
      </c>
      <c r="AF59" s="4">
        <f>(((1/I40)+(1/AF50)+(1/(((((1/I37)+(1/I38)+(1/I33))^-1)+AF43)/(I29+1))))^-1)*(AF48+AF56)</f>
        <v>1.6165129919160327E-9</v>
      </c>
    </row>
    <row r="60" spans="2:35" ht="15.75" thickBot="1" x14ac:dyDescent="0.3">
      <c r="B60" s="12" t="s">
        <v>11</v>
      </c>
      <c r="C60" s="13" t="s">
        <v>118</v>
      </c>
      <c r="D60" s="14">
        <f>S30*1000</f>
        <v>507.90638836179625</v>
      </c>
      <c r="E60" s="13" t="s">
        <v>118</v>
      </c>
      <c r="F60" s="15">
        <v>507.90638836179625</v>
      </c>
      <c r="K60" s="12" t="s">
        <v>125</v>
      </c>
      <c r="L60" s="13" t="s">
        <v>118</v>
      </c>
      <c r="M60" s="15">
        <f>Z33*1000</f>
        <v>0.49427043544690608</v>
      </c>
      <c r="N60" s="13" t="s">
        <v>118</v>
      </c>
      <c r="O60" s="15">
        <f>AC32*1000</f>
        <v>0.50790000000000002</v>
      </c>
      <c r="P60" s="13" t="s">
        <v>118</v>
      </c>
      <c r="Q60" s="15">
        <f>AF33*1000</f>
        <v>0.50790638836179625</v>
      </c>
      <c r="Y60" s="8" t="s">
        <v>124</v>
      </c>
      <c r="Z60">
        <f>1/(2*3.14*SQRT((Z57*Z57)+(Z58*Z58)+(Z59*Z59)))</f>
        <v>2441618.4853316103</v>
      </c>
      <c r="AB60" s="26" t="s">
        <v>110</v>
      </c>
      <c r="AC60" s="27">
        <v>24893</v>
      </c>
      <c r="AE60" t="s">
        <v>92</v>
      </c>
      <c r="AF60" s="4">
        <f>(AF56+I48)*(((1/I47)+(1/I39))^-1)</f>
        <v>6.3455965184837255E-8</v>
      </c>
    </row>
    <row r="61" spans="2:35" ht="15.75" thickBot="1" x14ac:dyDescent="0.3">
      <c r="B61" s="12" t="s">
        <v>12</v>
      </c>
      <c r="C61" s="13" t="s">
        <v>118</v>
      </c>
      <c r="D61" s="14">
        <v>5.6003999999999996</v>
      </c>
      <c r="E61" s="13" t="s">
        <v>118</v>
      </c>
      <c r="F61" s="15">
        <v>5.6003999999999996</v>
      </c>
      <c r="K61" s="12" t="s">
        <v>126</v>
      </c>
      <c r="L61" s="13" t="s">
        <v>118</v>
      </c>
      <c r="M61" s="15">
        <f>Z34*1000</f>
        <v>0.49427043544690608</v>
      </c>
      <c r="N61" s="13" t="s">
        <v>118</v>
      </c>
      <c r="O61" s="15">
        <f>AC39*1000</f>
        <v>0.50800000000000001</v>
      </c>
      <c r="P61" s="13" t="s">
        <v>118</v>
      </c>
      <c r="Q61" s="15">
        <f>AF34*1000</f>
        <v>0.50790638836179625</v>
      </c>
      <c r="Y61" s="8" t="s">
        <v>82</v>
      </c>
      <c r="Z61" s="4">
        <f>(((1/I33)+(1/I43)+(1/Z43))^-1)+I42</f>
        <v>4424.3727788772239</v>
      </c>
      <c r="AB61" s="26" t="s">
        <v>88</v>
      </c>
      <c r="AC61" s="27">
        <v>0.41189999999999999</v>
      </c>
      <c r="AE61" s="8" t="s">
        <v>124</v>
      </c>
      <c r="AF61" s="4">
        <f>1/(2*3.14*SQRT((AF57)^2+(AF58)^2+(AF59)^2+(AF60)^2))</f>
        <v>2507017.2703707684</v>
      </c>
    </row>
    <row r="62" spans="2:35" ht="15.75" thickBot="1" x14ac:dyDescent="0.3">
      <c r="B62" s="12" t="s">
        <v>119</v>
      </c>
      <c r="C62" s="15">
        <f>L29/1000</f>
        <v>3.6313835096825722</v>
      </c>
      <c r="D62">
        <f>S36/1000</f>
        <v>3.5226226196488519</v>
      </c>
      <c r="E62" s="15">
        <f>M29/1000</f>
        <v>5.1105651105651191E-2</v>
      </c>
      <c r="F62" s="18">
        <f>U36/1000</f>
        <v>4.8558777928207952E-2</v>
      </c>
      <c r="K62" s="12" t="s">
        <v>98</v>
      </c>
      <c r="L62" s="13" t="s">
        <v>118</v>
      </c>
      <c r="M62" s="15">
        <f>Z39</f>
        <v>2.0259740259740262</v>
      </c>
      <c r="N62" s="13" t="s">
        <v>118</v>
      </c>
      <c r="O62" s="15">
        <f>AC33</f>
        <v>9.4097000000000008</v>
      </c>
      <c r="P62" s="13" t="s">
        <v>118</v>
      </c>
      <c r="Q62" s="15">
        <f>AF39</f>
        <v>9.4096774193548391</v>
      </c>
      <c r="Y62" s="8" t="s">
        <v>83</v>
      </c>
      <c r="Z62" s="4">
        <f>((((1/I33)+(1/I43)+(1/Z43))^-1)*(Z51/Z43))+1</f>
        <v>1.0413038982871952</v>
      </c>
      <c r="AB62" s="26" t="s">
        <v>89</v>
      </c>
      <c r="AC62" s="27">
        <v>0.1007</v>
      </c>
      <c r="AE62" s="8" t="s">
        <v>82</v>
      </c>
      <c r="AF62" s="4">
        <f>(((1/I33)+(1/I37)+(1/I38))^-1)+(((1/I40)+(1/AF50))^-1)</f>
        <v>2618.4814026268232</v>
      </c>
    </row>
    <row r="63" spans="2:35" ht="15.75" thickBot="1" x14ac:dyDescent="0.3">
      <c r="B63" s="12" t="s">
        <v>120</v>
      </c>
      <c r="C63" s="15" t="s">
        <v>118</v>
      </c>
      <c r="D63" s="15">
        <f>S37/1000</f>
        <v>7.5</v>
      </c>
      <c r="E63" s="15" t="s">
        <v>118</v>
      </c>
      <c r="F63" s="15">
        <v>7.5</v>
      </c>
      <c r="K63" s="12" t="s">
        <v>105</v>
      </c>
      <c r="L63" s="13" t="s">
        <v>118</v>
      </c>
      <c r="M63" s="15">
        <f>Z40</f>
        <v>3.746218487394958</v>
      </c>
      <c r="N63" s="13" t="s">
        <v>118</v>
      </c>
      <c r="O63" s="15">
        <f>AC40</f>
        <v>5.6003999999999996</v>
      </c>
      <c r="P63" s="13" t="s">
        <v>118</v>
      </c>
      <c r="Q63" s="15">
        <f>AF40</f>
        <v>5.6003795066413682</v>
      </c>
      <c r="Y63" s="8" t="s">
        <v>84</v>
      </c>
      <c r="AB63" s="26" t="s">
        <v>90</v>
      </c>
      <c r="AC63" s="27">
        <v>16043</v>
      </c>
      <c r="AE63" s="8" t="s">
        <v>83</v>
      </c>
      <c r="AF63" s="4">
        <f>((((1/I40)+(1/AF50))^-1)*AF41)+1</f>
        <v>43.329250935671482</v>
      </c>
    </row>
    <row r="64" spans="2:35" ht="15.75" thickBot="1" x14ac:dyDescent="0.3">
      <c r="B64" s="12" t="s">
        <v>13</v>
      </c>
      <c r="C64" s="13">
        <f>B34</f>
        <v>0</v>
      </c>
      <c r="D64" s="15">
        <v>-132.24318555663604</v>
      </c>
      <c r="E64" s="13">
        <f>C34</f>
        <v>0</v>
      </c>
      <c r="F64" s="15">
        <v>13.385647160189091</v>
      </c>
      <c r="K64" s="12" t="s">
        <v>119</v>
      </c>
      <c r="L64" s="15">
        <f>N29/1000</f>
        <v>1.1573792868111246</v>
      </c>
      <c r="M64" s="16">
        <f>Z49/1000</f>
        <v>2.0129478900984923</v>
      </c>
      <c r="N64" s="16">
        <f>O29/1000</f>
        <v>4.2171140939597329</v>
      </c>
      <c r="O64" s="15">
        <f>AC37/1000</f>
        <v>4.1044999999999998</v>
      </c>
      <c r="P64" s="15">
        <f>P29/1000</f>
        <v>4.8987572878678796</v>
      </c>
      <c r="Q64" s="15">
        <f>AF49/1000</f>
        <v>4.8903916036658135</v>
      </c>
      <c r="Y64" s="8" t="s">
        <v>85</v>
      </c>
      <c r="Z64" s="4">
        <f>Z61/Z62</f>
        <v>4248.8775718161833</v>
      </c>
      <c r="AB64" s="4"/>
      <c r="AE64" s="8" t="s">
        <v>84</v>
      </c>
    </row>
    <row r="65" spans="2:35" ht="15.75" thickBot="1" x14ac:dyDescent="0.3">
      <c r="B65" s="12" t="s">
        <v>121</v>
      </c>
      <c r="C65" s="15">
        <f>B31</f>
        <v>0</v>
      </c>
      <c r="D65" s="16">
        <f>S50/1000</f>
        <v>0.12120415785763887</v>
      </c>
      <c r="E65" s="15">
        <f>C31</f>
        <v>0</v>
      </c>
      <c r="F65" s="15">
        <f>U50/1000</f>
        <v>2.4552239314364814</v>
      </c>
      <c r="K65" s="12" t="s">
        <v>120</v>
      </c>
      <c r="L65" s="15" t="s">
        <v>118</v>
      </c>
      <c r="M65" s="15">
        <f>Z50/1000</f>
        <v>7.5</v>
      </c>
      <c r="N65" s="15" t="s">
        <v>118</v>
      </c>
      <c r="O65" s="15">
        <f>AC45/1000</f>
        <v>7.5</v>
      </c>
      <c r="P65" s="15" t="s">
        <v>118</v>
      </c>
      <c r="Q65" s="15">
        <v>7.5</v>
      </c>
      <c r="Y65" s="8" t="s">
        <v>142</v>
      </c>
      <c r="Z65" s="4">
        <f>((((1/I43)+(1/I42)+(1/Z43))^-1)+I33)*I44</f>
        <v>8.6227280373250251E-4</v>
      </c>
      <c r="AB65" s="4"/>
      <c r="AE65" s="8" t="s">
        <v>85</v>
      </c>
      <c r="AF65" s="4">
        <f>AF62/AF63</f>
        <v>60.43218717337939</v>
      </c>
      <c r="AH65" t="s">
        <v>93</v>
      </c>
      <c r="AI65" s="4">
        <f>(((((1/I33)+(1/I37)+(1/I38))^-1)+AF43)/(I29+1))</f>
        <v>51.156901276968966</v>
      </c>
    </row>
    <row r="66" spans="2:35" ht="15.75" thickBot="1" x14ac:dyDescent="0.3">
      <c r="B66" s="12" t="s">
        <v>122</v>
      </c>
      <c r="C66" s="15">
        <f>B33</f>
        <v>0</v>
      </c>
      <c r="D66" s="15">
        <f>S46/1000</f>
        <v>724.56014638051442</v>
      </c>
      <c r="E66" s="15">
        <f>C33</f>
        <v>0</v>
      </c>
      <c r="F66" s="17">
        <f>U46/1000</f>
        <v>2516.3632985443483</v>
      </c>
      <c r="K66" s="12" t="s">
        <v>13</v>
      </c>
      <c r="L66" s="15">
        <f>D34</f>
        <v>0</v>
      </c>
      <c r="M66" s="15">
        <f>Z52</f>
        <v>-112.92988992222411</v>
      </c>
      <c r="N66" s="13">
        <f>E34</f>
        <v>0</v>
      </c>
      <c r="O66" s="15">
        <f>AC51</f>
        <v>65.346000000000004</v>
      </c>
      <c r="P66" s="13">
        <f>F34</f>
        <v>0</v>
      </c>
      <c r="Q66" s="15">
        <f>AH53</f>
        <v>131.61322387937747</v>
      </c>
      <c r="Y66" s="8" t="s">
        <v>143</v>
      </c>
      <c r="Z66" s="4">
        <f>(((1/I40)+(1/(((((1/I43)+(1/I42)+(1/I33))^-1)+Z43)/(I29+1))))^-1)*I46</f>
        <v>5.1758812946651155E-3</v>
      </c>
      <c r="AB66" s="4"/>
      <c r="AC66">
        <f>AC57-AC63</f>
        <v>2422157</v>
      </c>
      <c r="AE66" s="8" t="s">
        <v>142</v>
      </c>
      <c r="AF66" s="4">
        <f>I44*(I33+AF49)</f>
        <v>1.8118292292097187E-3</v>
      </c>
      <c r="AH66" t="s">
        <v>94</v>
      </c>
      <c r="AI66" s="4">
        <f>((((1/I38)+(1/I37)+(1/I40)+(1/AI65))^-1)+AF44)/(I29+1)</f>
        <v>49.225304987543524</v>
      </c>
    </row>
    <row r="67" spans="2:35" ht="15.75" thickBot="1" x14ac:dyDescent="0.3">
      <c r="B67" s="12" t="s">
        <v>123</v>
      </c>
      <c r="C67" s="13">
        <f>B32</f>
        <v>0</v>
      </c>
      <c r="D67" s="15">
        <f>S53/1000</f>
        <v>9.3712166957795731</v>
      </c>
      <c r="E67" s="15">
        <f>C32</f>
        <v>0</v>
      </c>
      <c r="F67" s="15">
        <f>T53/1000</f>
        <v>78.601751830188405</v>
      </c>
      <c r="K67" s="12" t="s">
        <v>121</v>
      </c>
      <c r="L67" s="15">
        <f>D31</f>
        <v>0</v>
      </c>
      <c r="M67" s="15">
        <f>Z69/1000</f>
        <v>0.18722213693139816</v>
      </c>
      <c r="N67" s="15">
        <f>E31</f>
        <v>0</v>
      </c>
      <c r="O67" s="15">
        <f>AC63/1000</f>
        <v>16.042999999999999</v>
      </c>
      <c r="P67" s="15">
        <f>F31</f>
        <v>0</v>
      </c>
      <c r="Q67" s="15">
        <f>AF70/1000</f>
        <v>0.45538918234665271</v>
      </c>
      <c r="Y67" s="8" t="s">
        <v>144</v>
      </c>
      <c r="Z67" s="4">
        <f>(((1/I41)+(1/Z64))^-1)*I46</f>
        <v>0.32022610285009107</v>
      </c>
      <c r="AB67" s="4"/>
      <c r="AE67" s="8" t="s">
        <v>143</v>
      </c>
      <c r="AF67" s="4">
        <f>((((1/I40)+(1/(((((1/I33)+(1/I37)+(1/I38))^-1)+AF43)/(I29+1))))^-1)+AF50)*I45</f>
        <v>3.5732714741708072E-4</v>
      </c>
      <c r="AH67" t="s">
        <v>95</v>
      </c>
      <c r="AI67" s="4">
        <f>(((1/I40)+(1/AI66))^-1)</f>
        <v>48.754723393692963</v>
      </c>
    </row>
    <row r="68" spans="2:35" ht="15.75" thickBot="1" x14ac:dyDescent="0.3">
      <c r="K68" s="12" t="s">
        <v>122</v>
      </c>
      <c r="L68" s="15">
        <f>D33</f>
        <v>0</v>
      </c>
      <c r="M68" s="15">
        <f>Z60/1000</f>
        <v>2441.6184853316104</v>
      </c>
      <c r="N68" s="15">
        <f>E33</f>
        <v>0</v>
      </c>
      <c r="O68" s="15">
        <f>AC57/1000</f>
        <v>2438.1999999999998</v>
      </c>
      <c r="P68" s="15">
        <f>F33</f>
        <v>0</v>
      </c>
      <c r="Q68" s="15">
        <f>AF61/1000</f>
        <v>2507.0172703707685</v>
      </c>
      <c r="Y68" s="8" t="s">
        <v>145</v>
      </c>
      <c r="Z68" s="4">
        <f>I45*(I39+I47)</f>
        <v>0.10074999999999999</v>
      </c>
      <c r="AB68" s="4"/>
      <c r="AE68" s="8" t="s">
        <v>144</v>
      </c>
      <c r="AF68" s="4">
        <f>(((1/I40)+(1/(((((1/I38)+(1/I37)+(1/I40)+(1/(((((1/I33)+(1/I37)+(1/I38))^-1)+AF43)/(I29+1))))^-1)+AF44)/(I29+1))))^-1)*I46</f>
        <v>4.8754723393692962E-3</v>
      </c>
      <c r="AG68" s="4">
        <f>AI67*I46</f>
        <v>4.8754723393692962E-3</v>
      </c>
    </row>
    <row r="69" spans="2:35" ht="15.75" thickBot="1" x14ac:dyDescent="0.3">
      <c r="K69" s="12" t="s">
        <v>123</v>
      </c>
      <c r="L69" s="15">
        <f>D32</f>
        <v>0</v>
      </c>
      <c r="M69" s="15">
        <f>Z71/1000</f>
        <v>21.380482464036859</v>
      </c>
      <c r="N69" s="15">
        <f>E32</f>
        <v>0</v>
      </c>
      <c r="O69" s="15">
        <f>AC71/1000</f>
        <v>197.77776063046119</v>
      </c>
      <c r="P69" s="15">
        <f>F32</f>
        <v>0</v>
      </c>
      <c r="Q69" s="15">
        <f>AF71/1000</f>
        <v>33.788586014852427</v>
      </c>
      <c r="Y69" s="8" t="s">
        <v>90</v>
      </c>
      <c r="Z69">
        <f>(1/(2*3.14))*(SQRT((1/(Z65*Z65))+(1/(Z66*Z66))+(1/(Z67*Z67))+(1/(Z68*Z68))))</f>
        <v>187.22213693139815</v>
      </c>
      <c r="AE69" s="8" t="s">
        <v>145</v>
      </c>
      <c r="AF69" s="4">
        <f>I45*(I39+I47)</f>
        <v>0.10074999999999999</v>
      </c>
    </row>
    <row r="70" spans="2:35" ht="15.75" thickBot="1" x14ac:dyDescent="0.3">
      <c r="AE70" s="8" t="s">
        <v>90</v>
      </c>
      <c r="AF70">
        <f>(1/(2*3.14))*(SQRT((1/(AF66*AF66))+(1/(AF67*AF67))+(1/(AG68*AG68))+(1/(AF69*AF69))))</f>
        <v>455.38918234665272</v>
      </c>
    </row>
    <row r="71" spans="2:35" x14ac:dyDescent="0.25">
      <c r="C71" s="29" t="s">
        <v>0</v>
      </c>
      <c r="D71" s="29"/>
      <c r="E71" s="29"/>
      <c r="F71" s="29" t="s">
        <v>2</v>
      </c>
      <c r="G71" s="29"/>
      <c r="H71" s="29"/>
      <c r="Y71" s="34" t="s">
        <v>139</v>
      </c>
      <c r="Z71">
        <f>SQRT(Z60*Z69)</f>
        <v>21380.482464036861</v>
      </c>
      <c r="AC71">
        <f>SQRT(AC63*AC57)</f>
        <v>197777.76063046118</v>
      </c>
      <c r="AE71" s="35" t="s">
        <v>139</v>
      </c>
      <c r="AF71">
        <f>SQRT(AF70*AF61)</f>
        <v>33788.58601485243</v>
      </c>
    </row>
    <row r="72" spans="2:35" x14ac:dyDescent="0.25">
      <c r="C72" t="s">
        <v>131</v>
      </c>
      <c r="D72" t="s">
        <v>129</v>
      </c>
      <c r="E72" t="s">
        <v>130</v>
      </c>
      <c r="F72" t="s">
        <v>131</v>
      </c>
      <c r="G72" t="s">
        <v>129</v>
      </c>
      <c r="H72" t="s">
        <v>130</v>
      </c>
      <c r="Y72" s="34" t="s">
        <v>135</v>
      </c>
      <c r="Z72">
        <f>Z60-Z69</f>
        <v>2441431.2631946788</v>
      </c>
      <c r="AE72" s="34" t="s">
        <v>138</v>
      </c>
      <c r="AF72">
        <f>AF61-AF70</f>
        <v>2506561.8811884215</v>
      </c>
    </row>
    <row r="73" spans="2:35" x14ac:dyDescent="0.25">
      <c r="B73" t="s">
        <v>132</v>
      </c>
      <c r="C73" s="37">
        <v>-129.22674726953915</v>
      </c>
      <c r="D73">
        <v>-120</v>
      </c>
      <c r="E73" s="38">
        <f>ABS((C73-D73)/((C73+D73)/2)*100)</f>
        <v>7.4042993945271878</v>
      </c>
      <c r="F73" s="37">
        <v>11.321557951101838</v>
      </c>
      <c r="G73">
        <v>11</v>
      </c>
      <c r="H73" s="38">
        <f>ABS((F73-G73)/((F73+G73)/2)*100)</f>
        <v>2.8811425421670878</v>
      </c>
    </row>
    <row r="74" spans="2:35" x14ac:dyDescent="0.25">
      <c r="B74" t="s">
        <v>133</v>
      </c>
      <c r="C74">
        <v>3.5219999999999998</v>
      </c>
      <c r="D74">
        <v>3.6</v>
      </c>
      <c r="E74" s="38">
        <f>ABS((C74-D74)/((C74+D74)/2)*100)</f>
        <v>2.1903959561920892</v>
      </c>
      <c r="F74">
        <v>4.8000000000000001E-2</v>
      </c>
      <c r="G74">
        <v>5.0999999999999997E-2</v>
      </c>
      <c r="H74" s="38">
        <f t="shared" ref="H74:H80" si="4">ABS((F74-G74)/((F74+G74)/2)*100)</f>
        <v>6.0606060606060517</v>
      </c>
    </row>
    <row r="75" spans="2:35" x14ac:dyDescent="0.25">
      <c r="B75" t="s">
        <v>134</v>
      </c>
      <c r="C75">
        <v>7.5</v>
      </c>
      <c r="D75">
        <v>7.14</v>
      </c>
      <c r="E75" s="38">
        <f>ABS((C75-D75)/((C75+D75)/2)*100)</f>
        <v>4.9180327868852496</v>
      </c>
      <c r="F75">
        <v>7.5</v>
      </c>
      <c r="G75">
        <v>7.47</v>
      </c>
      <c r="H75" s="38">
        <f t="shared" si="4"/>
        <v>0.40080160320641617</v>
      </c>
    </row>
    <row r="76" spans="2:35" x14ac:dyDescent="0.25">
      <c r="B76" t="s">
        <v>6</v>
      </c>
      <c r="C76">
        <v>0.121</v>
      </c>
      <c r="D76">
        <v>0.126</v>
      </c>
      <c r="E76" s="38">
        <f>ABS((C76-D76)/((C76+D76)/2)*100)</f>
        <v>4.0485829959514206</v>
      </c>
      <c r="F76">
        <v>2.4550000000000001</v>
      </c>
      <c r="G76">
        <v>2.4300000000000002</v>
      </c>
      <c r="H76" s="38">
        <f t="shared" si="4"/>
        <v>1.0235414534288603</v>
      </c>
    </row>
    <row r="77" spans="2:35" x14ac:dyDescent="0.25">
      <c r="B77" t="s">
        <v>7</v>
      </c>
      <c r="C77">
        <v>724.56</v>
      </c>
      <c r="D77">
        <v>697</v>
      </c>
      <c r="E77" s="38">
        <f>ABS((C77-D77)/((C77+D77)/2)*100)</f>
        <v>3.8774304285432835</v>
      </c>
      <c r="F77">
        <v>2516.3629999999998</v>
      </c>
      <c r="G77">
        <v>2669</v>
      </c>
      <c r="H77" s="38">
        <f t="shared" si="4"/>
        <v>5.8872252530825788</v>
      </c>
    </row>
    <row r="78" spans="2:35" x14ac:dyDescent="0.25">
      <c r="B78" t="s">
        <v>135</v>
      </c>
      <c r="C78">
        <v>724.43799999999999</v>
      </c>
      <c r="D78" s="36">
        <v>696</v>
      </c>
      <c r="E78" s="38">
        <f>ABS((C78-D78)/((C78+D78)/2)*100)</f>
        <v>4.004117039955279</v>
      </c>
      <c r="F78">
        <v>2513.9079999999999</v>
      </c>
      <c r="G78" s="36">
        <v>2667</v>
      </c>
      <c r="H78" s="38">
        <f t="shared" si="4"/>
        <v>5.9098520954242044</v>
      </c>
    </row>
    <row r="79" spans="2:35" x14ac:dyDescent="0.25">
      <c r="B79" t="s">
        <v>147</v>
      </c>
      <c r="C79">
        <v>0.50800000000000001</v>
      </c>
      <c r="D79">
        <v>0.51900000000000002</v>
      </c>
      <c r="E79" s="38">
        <f>ABS((C79-D79)/((C79+D79)/2)*100)</f>
        <v>2.1421616358325233</v>
      </c>
      <c r="F79">
        <v>0.50800000000000001</v>
      </c>
      <c r="G79">
        <v>0.51900000000000002</v>
      </c>
      <c r="H79" s="38">
        <f t="shared" si="4"/>
        <v>2.1421616358325233</v>
      </c>
    </row>
    <row r="80" spans="2:35" x14ac:dyDescent="0.25">
      <c r="B80" t="s">
        <v>148</v>
      </c>
      <c r="C80">
        <v>20.3</v>
      </c>
      <c r="D80">
        <v>20</v>
      </c>
      <c r="E80" s="38">
        <f>ABS((C80-D80)/((C80+D80)/2)*100)</f>
        <v>1.4888337468982666</v>
      </c>
      <c r="F80">
        <v>20.3</v>
      </c>
      <c r="G80">
        <v>20</v>
      </c>
      <c r="H80" s="38">
        <f t="shared" si="4"/>
        <v>1.4888337468982666</v>
      </c>
    </row>
    <row r="81" spans="2:8" x14ac:dyDescent="0.25">
      <c r="C81" s="29" t="s">
        <v>3</v>
      </c>
      <c r="D81" s="29"/>
      <c r="E81" s="29"/>
      <c r="F81" s="29" t="s">
        <v>4</v>
      </c>
      <c r="G81" s="29"/>
      <c r="H81" s="29"/>
    </row>
    <row r="82" spans="2:8" x14ac:dyDescent="0.25">
      <c r="C82" t="s">
        <v>131</v>
      </c>
      <c r="D82" t="s">
        <v>129</v>
      </c>
      <c r="E82" t="s">
        <v>130</v>
      </c>
      <c r="F82" t="s">
        <v>131</v>
      </c>
      <c r="G82" t="s">
        <v>129</v>
      </c>
      <c r="H82" t="s">
        <v>130</v>
      </c>
    </row>
    <row r="83" spans="2:8" x14ac:dyDescent="0.25">
      <c r="B83" t="s">
        <v>132</v>
      </c>
      <c r="C83" s="37">
        <v>-112.92988992222411</v>
      </c>
      <c r="D83">
        <v>-110</v>
      </c>
      <c r="E83" s="38">
        <f>ABS((C83-D83)/((C83+D83)/2)*100)</f>
        <v>2.6285303628385477</v>
      </c>
      <c r="F83" s="37">
        <v>131.6132238793775</v>
      </c>
      <c r="G83">
        <v>122</v>
      </c>
      <c r="H83" s="38">
        <f>ABS((F83-G83)/((F83+G83)/2)*100)</f>
        <v>7.5810115358572183</v>
      </c>
    </row>
    <row r="84" spans="2:8" x14ac:dyDescent="0.25">
      <c r="B84" t="s">
        <v>133</v>
      </c>
      <c r="C84">
        <v>2.012</v>
      </c>
      <c r="D84">
        <v>1.1499999999999999</v>
      </c>
      <c r="E84" s="38">
        <f t="shared" ref="E84:E92" si="5">ABS((C84-D84)/((C84+D84)/2)*100)</f>
        <v>54.52245414294751</v>
      </c>
      <c r="F84">
        <v>4.8899999999999997</v>
      </c>
      <c r="G84">
        <v>4.9000000000000004</v>
      </c>
      <c r="H84" s="38">
        <f t="shared" ref="H84:H92" si="6">ABS((F84-G84)/((F84+G84)/2)*100)</f>
        <v>0.20429009193055517</v>
      </c>
    </row>
    <row r="85" spans="2:8" x14ac:dyDescent="0.25">
      <c r="B85" t="s">
        <v>134</v>
      </c>
      <c r="C85">
        <v>7.5</v>
      </c>
      <c r="D85">
        <v>7.5</v>
      </c>
      <c r="E85" s="38">
        <f t="shared" si="5"/>
        <v>0</v>
      </c>
      <c r="F85">
        <v>7.5</v>
      </c>
      <c r="G85">
        <v>7.14</v>
      </c>
      <c r="H85" s="38">
        <f t="shared" si="6"/>
        <v>4.9180327868852496</v>
      </c>
    </row>
    <row r="86" spans="2:8" x14ac:dyDescent="0.25">
      <c r="B86" t="s">
        <v>6</v>
      </c>
      <c r="C86">
        <v>0.187</v>
      </c>
      <c r="D86">
        <v>0.19</v>
      </c>
      <c r="E86" s="38">
        <f t="shared" si="5"/>
        <v>1.591511936339524</v>
      </c>
      <c r="F86">
        <v>0.45500000000000002</v>
      </c>
      <c r="G86">
        <v>0.44</v>
      </c>
      <c r="H86" s="38">
        <f t="shared" si="6"/>
        <v>3.3519553072625725</v>
      </c>
    </row>
    <row r="87" spans="2:8" x14ac:dyDescent="0.25">
      <c r="B87" t="s">
        <v>7</v>
      </c>
      <c r="C87">
        <v>2441.6179999999999</v>
      </c>
      <c r="D87">
        <v>2314</v>
      </c>
      <c r="E87" s="38">
        <f t="shared" si="5"/>
        <v>5.3670416757611701</v>
      </c>
      <c r="F87">
        <v>2507.0169999999998</v>
      </c>
      <c r="G87">
        <v>2357</v>
      </c>
      <c r="H87" s="38">
        <f t="shared" si="6"/>
        <v>6.1684406119468678</v>
      </c>
    </row>
    <row r="88" spans="2:8" x14ac:dyDescent="0.25">
      <c r="B88" t="s">
        <v>135</v>
      </c>
      <c r="C88">
        <v>2441.431</v>
      </c>
      <c r="D88" s="36">
        <v>2314</v>
      </c>
      <c r="E88" s="38">
        <f t="shared" si="5"/>
        <v>5.3593880344389406</v>
      </c>
      <c r="F88">
        <v>2506.5610000000001</v>
      </c>
      <c r="G88" s="36">
        <v>2356</v>
      </c>
      <c r="H88" s="38">
        <f t="shared" si="6"/>
        <v>6.192662673023543</v>
      </c>
    </row>
    <row r="89" spans="2:8" x14ac:dyDescent="0.25">
      <c r="B89" t="s">
        <v>136</v>
      </c>
      <c r="C89">
        <v>0.49399999999999999</v>
      </c>
      <c r="D89">
        <v>0.502</v>
      </c>
      <c r="E89" s="38">
        <f t="shared" si="5"/>
        <v>1.6064257028112465</v>
      </c>
      <c r="F89">
        <v>0.50800000000000001</v>
      </c>
      <c r="G89">
        <v>0.51900000000000002</v>
      </c>
      <c r="H89" s="38">
        <f t="shared" si="6"/>
        <v>2.1421616358325233</v>
      </c>
    </row>
    <row r="90" spans="2:8" x14ac:dyDescent="0.25">
      <c r="B90" t="s">
        <v>137</v>
      </c>
      <c r="C90">
        <v>19.7</v>
      </c>
      <c r="D90">
        <v>19.5</v>
      </c>
      <c r="E90" s="38">
        <f t="shared" si="5"/>
        <v>1.0204081632653024</v>
      </c>
      <c r="F90">
        <v>20.3</v>
      </c>
      <c r="G90">
        <v>20.100000000000001</v>
      </c>
      <c r="H90" s="38">
        <f t="shared" si="6"/>
        <v>0.99009900990098643</v>
      </c>
    </row>
    <row r="91" spans="2:8" x14ac:dyDescent="0.25">
      <c r="B91" t="s">
        <v>146</v>
      </c>
      <c r="C91">
        <v>0.49399999999999999</v>
      </c>
      <c r="D91">
        <v>0.502</v>
      </c>
      <c r="E91" s="38">
        <f t="shared" si="5"/>
        <v>1.6064257028112465</v>
      </c>
      <c r="F91">
        <v>0.50800000000000001</v>
      </c>
      <c r="G91">
        <v>0.52</v>
      </c>
      <c r="H91" s="38">
        <f t="shared" si="6"/>
        <v>2.3346303501945544</v>
      </c>
    </row>
    <row r="92" spans="2:8" x14ac:dyDescent="0.25">
      <c r="B92" t="s">
        <v>65</v>
      </c>
      <c r="C92">
        <v>19.7</v>
      </c>
      <c r="D92">
        <v>19.5</v>
      </c>
      <c r="E92" s="38">
        <f t="shared" si="5"/>
        <v>1.0204081632653024</v>
      </c>
      <c r="F92">
        <v>20.3</v>
      </c>
      <c r="G92">
        <v>20.100000000000001</v>
      </c>
      <c r="H92" s="38">
        <f t="shared" si="6"/>
        <v>0.99009900990098643</v>
      </c>
    </row>
  </sheetData>
  <mergeCells count="14">
    <mergeCell ref="C81:E81"/>
    <mergeCell ref="F81:H81"/>
    <mergeCell ref="M5:P5"/>
    <mergeCell ref="Q5:T5"/>
    <mergeCell ref="P56:Q56"/>
    <mergeCell ref="C57:D57"/>
    <mergeCell ref="E57:F57"/>
    <mergeCell ref="L56:M56"/>
    <mergeCell ref="N56:O56"/>
    <mergeCell ref="C71:E71"/>
    <mergeCell ref="F71:H71"/>
    <mergeCell ref="A5:D5"/>
    <mergeCell ref="E5:H5"/>
    <mergeCell ref="I5:L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Flont</dc:creator>
  <cp:lastModifiedBy>Richard Tirov</cp:lastModifiedBy>
  <dcterms:created xsi:type="dcterms:W3CDTF">2022-10-22T13:40:00Z</dcterms:created>
  <dcterms:modified xsi:type="dcterms:W3CDTF">2024-11-01T14:04:08Z</dcterms:modified>
</cp:coreProperties>
</file>