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esktop\Tarea Final AOB\"/>
    </mc:Choice>
  </mc:AlternateContent>
  <xr:revisionPtr revIDLastSave="0" documentId="13_ncr:1_{C8A788FB-8505-43F2-9E21-AD9E25029B3E}" xr6:coauthVersionLast="45" xr6:coauthVersionMax="45" xr10:uidLastSave="{00000000-0000-0000-0000-000000000000}"/>
  <bookViews>
    <workbookView xWindow="-120" yWindow="-120" windowWidth="20730" windowHeight="11760" xr2:uid="{37C92F0E-BECB-4928-A8F9-76A434554224}"/>
  </bookViews>
  <sheets>
    <sheet name="PRESUPUESTO" sheetId="1" r:id="rId1"/>
    <sheet name="RESUMEN" sheetId="4" r:id="rId2"/>
    <sheet name="Hoja4" sheetId="5" r:id="rId3"/>
    <sheet name="Precios" sheetId="2" r:id="rId4"/>
    <sheet name="Grupo" sheetId="3" r:id="rId5"/>
    <sheet name="Préstam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6" l="1"/>
  <c r="G4" i="6" s="1"/>
  <c r="H4" i="6" s="1"/>
  <c r="D4" i="6"/>
  <c r="F5" i="4"/>
  <c r="F7" i="4"/>
  <c r="F6" i="4"/>
  <c r="F4" i="4"/>
  <c r="B22" i="1"/>
  <c r="B21" i="1"/>
  <c r="B20" i="1"/>
  <c r="I8" i="1"/>
  <c r="I9" i="1" s="1"/>
  <c r="G18" i="1"/>
  <c r="E9" i="1"/>
  <c r="C8" i="1"/>
  <c r="C9" i="1"/>
  <c r="C10" i="1"/>
  <c r="C11" i="1"/>
  <c r="C13" i="1"/>
  <c r="C14" i="1"/>
  <c r="C15" i="1"/>
  <c r="C16" i="1"/>
  <c r="C17" i="1"/>
  <c r="C12" i="1"/>
  <c r="H18" i="1"/>
  <c r="E17" i="1"/>
  <c r="F17" i="1" s="1"/>
  <c r="E10" i="1"/>
  <c r="E11" i="1"/>
  <c r="E12" i="1"/>
  <c r="E13" i="1"/>
  <c r="E14" i="1"/>
  <c r="E15" i="1"/>
  <c r="E16" i="1"/>
  <c r="E8" i="1"/>
  <c r="E18" i="1" s="1"/>
  <c r="F11" i="1" l="1"/>
  <c r="F9" i="1"/>
  <c r="F16" i="1"/>
  <c r="F15" i="1"/>
  <c r="F14" i="1"/>
  <c r="F13" i="1"/>
  <c r="F12" i="1"/>
  <c r="J9" i="1"/>
  <c r="I10" i="1"/>
  <c r="F10" i="1"/>
  <c r="J8" i="1"/>
  <c r="F8" i="1"/>
  <c r="F18" i="1"/>
  <c r="I11" i="1" l="1"/>
  <c r="J10" i="1"/>
  <c r="I12" i="1" l="1"/>
  <c r="J11" i="1"/>
  <c r="I13" i="1" l="1"/>
  <c r="J12" i="1"/>
  <c r="I14" i="1" l="1"/>
  <c r="J13" i="1"/>
  <c r="I15" i="1" l="1"/>
  <c r="J14" i="1"/>
  <c r="I16" i="1" l="1"/>
  <c r="J15" i="1"/>
  <c r="I17" i="1" l="1"/>
  <c r="J17" i="1" s="1"/>
  <c r="J16" i="1"/>
</calcChain>
</file>

<file path=xl/sharedStrings.xml><?xml version="1.0" encoding="utf-8"?>
<sst xmlns="http://schemas.openxmlformats.org/spreadsheetml/2006/main" count="57" uniqueCount="45">
  <si>
    <t>Presupuesto Construcción</t>
  </si>
  <si>
    <t>Fecha de inicio</t>
  </si>
  <si>
    <t>Fecha estimada</t>
  </si>
  <si>
    <t>Código</t>
  </si>
  <si>
    <t>Tareas</t>
  </si>
  <si>
    <t>Grupo</t>
  </si>
  <si>
    <t>Cantidad</t>
  </si>
  <si>
    <t>Total Tarea</t>
  </si>
  <si>
    <t>Porcentaje de total</t>
  </si>
  <si>
    <t>Total acumulado</t>
  </si>
  <si>
    <t>Dias de trabajo</t>
  </si>
  <si>
    <t>Fecha de finalización</t>
  </si>
  <si>
    <t>Totales</t>
  </si>
  <si>
    <t>Movimiento</t>
  </si>
  <si>
    <t>Estructura</t>
  </si>
  <si>
    <t>Albañilería</t>
  </si>
  <si>
    <t>Yesería</t>
  </si>
  <si>
    <t>Sanitarios</t>
  </si>
  <si>
    <t>Gas</t>
  </si>
  <si>
    <t>Electricidad</t>
  </si>
  <si>
    <t>Carp. Metálica</t>
  </si>
  <si>
    <t>Carp. Madera</t>
  </si>
  <si>
    <t>Ascensores</t>
  </si>
  <si>
    <t>Tarea</t>
  </si>
  <si>
    <t>Precio</t>
  </si>
  <si>
    <t>Nombre</t>
  </si>
  <si>
    <t>Interiores</t>
  </si>
  <si>
    <t>Instalaciones</t>
  </si>
  <si>
    <t>Estructural</t>
  </si>
  <si>
    <t>Criticidad</t>
  </si>
  <si>
    <t>1 (ESTRUCTURAL)</t>
  </si>
  <si>
    <t>2 (INSTALACIONES)</t>
  </si>
  <si>
    <t>3 (INTERIORES)</t>
  </si>
  <si>
    <t>Resumen</t>
  </si>
  <si>
    <t>Costo promedio por día de trabajo</t>
  </si>
  <si>
    <t>Mayor costo de obra por tarea</t>
  </si>
  <si>
    <t>Menor tiempo de obra por tarea</t>
  </si>
  <si>
    <t>Promedio de días trabajado por tarea</t>
  </si>
  <si>
    <t>DINERO</t>
  </si>
  <si>
    <t>MESES</t>
  </si>
  <si>
    <t>AÑOS</t>
  </si>
  <si>
    <t>INTERESES DE LOS 3 AÑOS</t>
  </si>
  <si>
    <t>DEUDA + INTERESES</t>
  </si>
  <si>
    <t>DINERO/MES</t>
  </si>
  <si>
    <t>INTERÉS/AÑO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</si>
</sst>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#,##0.00\ &quot;€&quot;"/>
    <numFmt numFmtId="168" formatCode="d\-m\-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030A0"/>
      </left>
      <right style="thin">
        <color indexed="64"/>
      </right>
      <top style="thin">
        <color rgb="FF7030A0"/>
      </top>
      <bottom style="thin">
        <color rgb="FF7030A0"/>
      </bottom>
      <diagonal/>
    </border>
    <border>
      <left style="thin">
        <color indexed="64"/>
      </left>
      <right style="thin">
        <color indexed="64"/>
      </right>
      <top style="thin">
        <color rgb="FF7030A0"/>
      </top>
      <bottom style="thin">
        <color rgb="FF7030A0"/>
      </bottom>
      <diagonal/>
    </border>
    <border>
      <left style="thin">
        <color indexed="64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 style="thin">
        <color rgb="FF7030A0"/>
      </bottom>
      <diagonal/>
    </border>
    <border>
      <left/>
      <right/>
      <top style="thin">
        <color rgb="FF7030A0"/>
      </top>
      <bottom style="thin">
        <color rgb="FF7030A0"/>
      </bottom>
      <diagonal/>
    </border>
    <border>
      <left/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030A0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167" fontId="2" fillId="2" borderId="5" xfId="0" applyNumberFormat="1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0" fontId="2" fillId="2" borderId="5" xfId="0" applyNumberFormat="1" applyFont="1" applyFill="1" applyBorder="1" applyAlignment="1">
      <alignment horizontal="left" vertical="center"/>
    </xf>
    <xf numFmtId="9" fontId="0" fillId="0" borderId="0" xfId="1" applyFont="1" applyAlignment="1">
      <alignment horizontal="left" vertical="center"/>
    </xf>
    <xf numFmtId="168" fontId="0" fillId="0" borderId="0" xfId="0" applyNumberFormat="1" applyAlignment="1">
      <alignment horizontal="left" vertical="center"/>
    </xf>
    <xf numFmtId="168" fontId="0" fillId="0" borderId="1" xfId="0" applyNumberFormat="1" applyBorder="1" applyAlignment="1">
      <alignment horizontal="left" vertical="center" wrapText="1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3" borderId="13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0" fillId="0" borderId="6" xfId="0" applyBorder="1"/>
    <xf numFmtId="167" fontId="0" fillId="0" borderId="6" xfId="0" applyNumberFormat="1" applyBorder="1"/>
    <xf numFmtId="167" fontId="0" fillId="0" borderId="0" xfId="0" applyNumberFormat="1"/>
    <xf numFmtId="167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9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#,##0.00\ &quot;€&quot;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#,##0.00\ &quot;€&quot;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#,##0.00\ &quot;€&quot;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#,##0.00\ &quot;€&quot;"/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Coste</a:t>
            </a:r>
            <a:r>
              <a:rPr lang="es-ES" baseline="0"/>
              <a:t> de t</a:t>
            </a:r>
            <a:r>
              <a:rPr lang="es-ES"/>
              <a:t>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PRESUPUESTO!$B$8:$B$17</c:f>
              <c:strCache>
                <c:ptCount val="10"/>
                <c:pt idx="0">
                  <c:v>Movimiento</c:v>
                </c:pt>
                <c:pt idx="1">
                  <c:v>Estructura</c:v>
                </c:pt>
                <c:pt idx="2">
                  <c:v>Albañilería</c:v>
                </c:pt>
                <c:pt idx="3">
                  <c:v>Yesería</c:v>
                </c:pt>
                <c:pt idx="4">
                  <c:v>Sanitarios</c:v>
                </c:pt>
                <c:pt idx="5">
                  <c:v>Gas</c:v>
                </c:pt>
                <c:pt idx="6">
                  <c:v>Electricidad</c:v>
                </c:pt>
                <c:pt idx="7">
                  <c:v>Carp. Metálica</c:v>
                </c:pt>
                <c:pt idx="8">
                  <c:v>Carp. Madera</c:v>
                </c:pt>
                <c:pt idx="9">
                  <c:v>Ascensores</c:v>
                </c:pt>
              </c:strCache>
            </c:strRef>
          </c:cat>
          <c:val>
            <c:numRef>
              <c:f>PRESUPUESTO!$E$8:$E$17</c:f>
              <c:numCache>
                <c:formatCode>#,##0.00\ "€"</c:formatCode>
                <c:ptCount val="10"/>
                <c:pt idx="0">
                  <c:v>194.3</c:v>
                </c:pt>
                <c:pt idx="1">
                  <c:v>1200.5</c:v>
                </c:pt>
                <c:pt idx="2">
                  <c:v>2311</c:v>
                </c:pt>
                <c:pt idx="3">
                  <c:v>639</c:v>
                </c:pt>
                <c:pt idx="4">
                  <c:v>1296</c:v>
                </c:pt>
                <c:pt idx="5">
                  <c:v>1113</c:v>
                </c:pt>
                <c:pt idx="6">
                  <c:v>361.6</c:v>
                </c:pt>
                <c:pt idx="7">
                  <c:v>2295</c:v>
                </c:pt>
                <c:pt idx="8">
                  <c:v>1103</c:v>
                </c:pt>
                <c:pt idx="9">
                  <c:v>227.3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1D-43BB-B130-D861E6057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38475343"/>
        <c:axId val="939687679"/>
        <c:axId val="0"/>
      </c:bar3DChart>
      <c:catAx>
        <c:axId val="93847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9687679"/>
        <c:crosses val="autoZero"/>
        <c:auto val="1"/>
        <c:lblAlgn val="ctr"/>
        <c:lblOffset val="100"/>
        <c:noMultiLvlLbl val="0"/>
      </c:catAx>
      <c:valAx>
        <c:axId val="93968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847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433973</xdr:colOff>
      <xdr:row>1</xdr:row>
      <xdr:rowOff>22413</xdr:rowOff>
    </xdr:from>
    <xdr:to>
      <xdr:col>14</xdr:col>
      <xdr:colOff>575109</xdr:colOff>
      <xdr:row>9</xdr:row>
      <xdr:rowOff>126678</xdr:rowOff>
    </xdr:to>
    <xdr:pic>
      <xdr:nvPicPr>
        <xdr:cNvPr id="2" name="Imagen 1" descr="Comienzan las obras para «evitar la ruina» de un edificio en la ...">
          <a:extLst>
            <a:ext uri="{FF2B5EF4-FFF2-40B4-BE49-F238E27FC236}">
              <a16:creationId xmlns:a16="http://schemas.microsoft.com/office/drawing/2014/main" id="{CA412D6F-6DB4-43E9-B1AF-562088488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8746" y="386095"/>
          <a:ext cx="3189136" cy="21304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CD64E4-D7F6-4344-9E85-C438151D4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009D2F4-AC53-472D-B6F8-74449FD7A100}" name="Tabla6" displayName="Tabla6" ref="B3:H4" totalsRowShown="0" headerRowDxfId="8" dataDxfId="0">
  <tableColumns count="7">
    <tableColumn id="1" xr3:uid="{954FCF3F-2BB0-4706-AC4C-A91458E9C4B8}" name="DINERO" dataDxfId="7"/>
    <tableColumn id="2" xr3:uid="{BFC871D3-78DF-403B-8317-27FBDF40E541}" name="AÑOS" dataDxfId="6"/>
    <tableColumn id="3" xr3:uid="{EEE2AD11-5B71-4452-8737-DAFD77CE3F05}" name="MESES" dataDxfId="5">
      <calculatedColumnFormula>12*C4</calculatedColumnFormula>
    </tableColumn>
    <tableColumn id="4" xr3:uid="{56BEC206-D9B4-47C0-9AA3-7706A9096E86}" name="INTERÉS/AÑO" dataDxfId="4"/>
    <tableColumn id="5" xr3:uid="{65AF8DED-1ED2-4CA9-85D8-DED1BFDCC905}" name="INTERESES DE LOS 3 AÑOS" dataDxfId="3">
      <calculatedColumnFormula>B4*E4*C4</calculatedColumnFormula>
    </tableColumn>
    <tableColumn id="6" xr3:uid="{C0E542BC-5124-49F4-84CA-C832C25C4994}" name="DEUDA + INTERESES" dataDxfId="2">
      <calculatedColumnFormula>B4+F4</calculatedColumnFormula>
    </tableColumn>
    <tableColumn id="7" xr3:uid="{585269CC-3422-4D7E-9D24-E9852B20ACF2}" name="DINERO/MES" dataDxfId="1">
      <calculatedColumnFormula>G4/D4</calculatedColumnFormula>
    </tableColumn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70068-E565-4B2A-A889-4C7D877A8ACA}">
  <dimension ref="A1:J22"/>
  <sheetViews>
    <sheetView tabSelected="1" zoomScale="70" zoomScaleNormal="70" workbookViewId="0">
      <selection activeCell="C15" sqref="C15"/>
    </sheetView>
  </sheetViews>
  <sheetFormatPr baseColWidth="10" defaultRowHeight="15" x14ac:dyDescent="0.25"/>
  <cols>
    <col min="1" max="1" width="18" bestFit="1" customWidth="1"/>
    <col min="2" max="2" width="12.42578125" customWidth="1"/>
    <col min="3" max="3" width="17.5703125" customWidth="1"/>
    <col min="5" max="5" width="14" bestFit="1" customWidth="1"/>
    <col min="6" max="6" width="20.5703125" bestFit="1" customWidth="1"/>
    <col min="7" max="7" width="14.28515625" bestFit="1" customWidth="1"/>
    <col min="9" max="9" width="14.5703125" bestFit="1" customWidth="1"/>
    <col min="10" max="10" width="12.5703125" customWidth="1"/>
  </cols>
  <sheetData>
    <row r="1" spans="1:10" ht="29.25" customHeight="1" x14ac:dyDescent="0.25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</row>
    <row r="2" spans="1:10" x14ac:dyDescent="0.25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 ht="30" x14ac:dyDescent="0.25">
      <c r="A3" s="5"/>
      <c r="B3" s="5" t="s">
        <v>1</v>
      </c>
      <c r="C3" s="21">
        <v>43929</v>
      </c>
      <c r="D3" s="5"/>
      <c r="E3" s="5" t="s">
        <v>2</v>
      </c>
      <c r="F3" s="21">
        <v>43977</v>
      </c>
      <c r="G3" s="5"/>
      <c r="H3" s="5"/>
      <c r="I3" s="5"/>
      <c r="J3" s="5"/>
    </row>
    <row r="4" spans="1:10" x14ac:dyDescent="0.25">
      <c r="A4" s="6"/>
      <c r="B4" s="6"/>
      <c r="C4" s="6"/>
      <c r="D4" s="6"/>
      <c r="E4" s="6"/>
      <c r="F4" s="6"/>
      <c r="G4" s="6"/>
      <c r="H4" s="6"/>
      <c r="I4" s="6"/>
      <c r="J4" s="6"/>
    </row>
    <row r="5" spans="1:10" x14ac:dyDescent="0.25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s="1" customFormat="1" ht="30" customHeight="1" thickBot="1" x14ac:dyDescent="0.3">
      <c r="A7" s="12" t="s">
        <v>3</v>
      </c>
      <c r="B7" s="12" t="s">
        <v>4</v>
      </c>
      <c r="C7" s="12" t="s">
        <v>5</v>
      </c>
      <c r="D7" s="12" t="s">
        <v>6</v>
      </c>
      <c r="E7" s="12" t="s">
        <v>7</v>
      </c>
      <c r="F7" s="12" t="s">
        <v>8</v>
      </c>
      <c r="G7" s="12" t="s">
        <v>9</v>
      </c>
      <c r="H7" s="12" t="s">
        <v>10</v>
      </c>
      <c r="I7" s="12" t="s">
        <v>11</v>
      </c>
      <c r="J7" s="12" t="s">
        <v>29</v>
      </c>
    </row>
    <row r="8" spans="1:10" ht="22.5" customHeight="1" x14ac:dyDescent="0.25">
      <c r="A8" s="3">
        <v>1</v>
      </c>
      <c r="B8" s="6" t="s">
        <v>13</v>
      </c>
      <c r="C8" s="3" t="str">
        <f>VLOOKUP(A8,Grupo!$B$4:$C$6,2,FALSE)</f>
        <v>Estructural</v>
      </c>
      <c r="D8" s="3">
        <v>1</v>
      </c>
      <c r="E8" s="14">
        <f>Precios!C3*PRESUPUESTO!D8</f>
        <v>194.3</v>
      </c>
      <c r="F8" s="19">
        <f>E8/$E$18</f>
        <v>1.8090068617501651E-2</v>
      </c>
      <c r="G8" s="14"/>
      <c r="H8" s="3">
        <v>15</v>
      </c>
      <c r="I8" s="20">
        <f>$C$3+H8</f>
        <v>43944</v>
      </c>
      <c r="J8" s="3" t="str">
        <f>IF(I8&gt;$F$3,"CRITÍCO","")</f>
        <v/>
      </c>
    </row>
    <row r="9" spans="1:10" x14ac:dyDescent="0.25">
      <c r="A9" s="3">
        <v>1</v>
      </c>
      <c r="B9" s="6" t="s">
        <v>14</v>
      </c>
      <c r="C9" s="3" t="str">
        <f>VLOOKUP(A9,Grupo!$B$4:$C$6,2,FALSE)</f>
        <v>Estructural</v>
      </c>
      <c r="D9" s="3">
        <v>5</v>
      </c>
      <c r="E9" s="14">
        <f>Precios!C4*PRESUPUESTO!D9</f>
        <v>1200.5</v>
      </c>
      <c r="F9" s="19">
        <f t="shared" ref="F9:F17" si="0">E9/$E$18</f>
        <v>0.11177111361456887</v>
      </c>
      <c r="G9" s="14"/>
      <c r="H9" s="3">
        <v>6</v>
      </c>
      <c r="I9" s="20">
        <f>I8+H9</f>
        <v>43950</v>
      </c>
      <c r="J9" s="3" t="str">
        <f t="shared" ref="J9:J17" si="1">IF(I9&gt;$F$3,"CRITÍCO","")</f>
        <v/>
      </c>
    </row>
    <row r="10" spans="1:10" x14ac:dyDescent="0.25">
      <c r="A10" s="3">
        <v>1</v>
      </c>
      <c r="B10" s="6" t="s">
        <v>15</v>
      </c>
      <c r="C10" s="3" t="str">
        <f>VLOOKUP(A10,Grupo!$B$4:$C$6,2,FALSE)</f>
        <v>Estructural</v>
      </c>
      <c r="D10" s="3">
        <v>10</v>
      </c>
      <c r="E10" s="14">
        <f>Precios!C5*PRESUPUESTO!D10</f>
        <v>2311</v>
      </c>
      <c r="F10" s="19">
        <f t="shared" si="0"/>
        <v>0.21516288510059864</v>
      </c>
      <c r="G10" s="14"/>
      <c r="H10" s="3">
        <v>6</v>
      </c>
      <c r="I10" s="20">
        <f t="shared" ref="I10:I17" si="2">I9+H10</f>
        <v>43956</v>
      </c>
      <c r="J10" s="3" t="str">
        <f t="shared" si="1"/>
        <v/>
      </c>
    </row>
    <row r="11" spans="1:10" x14ac:dyDescent="0.25">
      <c r="A11" s="3">
        <v>1</v>
      </c>
      <c r="B11" s="6" t="s">
        <v>16</v>
      </c>
      <c r="C11" s="3" t="str">
        <f>VLOOKUP(A11,Grupo!$B$4:$C$6,2,FALSE)</f>
        <v>Estructural</v>
      </c>
      <c r="D11" s="3">
        <v>5</v>
      </c>
      <c r="E11" s="14">
        <f>Precios!C6*PRESUPUESTO!D11</f>
        <v>639</v>
      </c>
      <c r="F11" s="19">
        <f t="shared" si="0"/>
        <v>5.9493329112627662E-2</v>
      </c>
      <c r="G11" s="14"/>
      <c r="H11" s="3">
        <v>10</v>
      </c>
      <c r="I11" s="20">
        <f t="shared" si="2"/>
        <v>43966</v>
      </c>
      <c r="J11" s="3" t="str">
        <f t="shared" si="1"/>
        <v/>
      </c>
    </row>
    <row r="12" spans="1:10" x14ac:dyDescent="0.25">
      <c r="A12" s="3">
        <v>2</v>
      </c>
      <c r="B12" s="6" t="s">
        <v>17</v>
      </c>
      <c r="C12" s="3" t="str">
        <f>VLOOKUP(A12,Grupo!$B$4:$C$6,2,FALSE)</f>
        <v>Instalaciones</v>
      </c>
      <c r="D12" s="3">
        <v>6</v>
      </c>
      <c r="E12" s="14">
        <f>Precios!C7*PRESUPUESTO!D12</f>
        <v>1296</v>
      </c>
      <c r="F12" s="19">
        <f t="shared" si="0"/>
        <v>0.12066252665096315</v>
      </c>
      <c r="G12" s="14"/>
      <c r="H12" s="3">
        <v>8</v>
      </c>
      <c r="I12" s="20">
        <f t="shared" si="2"/>
        <v>43974</v>
      </c>
      <c r="J12" s="3" t="str">
        <f t="shared" si="1"/>
        <v/>
      </c>
    </row>
    <row r="13" spans="1:10" x14ac:dyDescent="0.25">
      <c r="A13" s="3">
        <v>2</v>
      </c>
      <c r="B13" s="6" t="s">
        <v>18</v>
      </c>
      <c r="C13" s="3" t="str">
        <f>VLOOKUP(A13,Grupo!$B$4:$C$6,2,FALSE)</f>
        <v>Instalaciones</v>
      </c>
      <c r="D13" s="3">
        <v>6</v>
      </c>
      <c r="E13" s="14">
        <f>Precios!C8*PRESUPUESTO!D13</f>
        <v>1113</v>
      </c>
      <c r="F13" s="19">
        <f t="shared" si="0"/>
        <v>0.1036245309896003</v>
      </c>
      <c r="G13" s="14"/>
      <c r="H13" s="3">
        <v>15</v>
      </c>
      <c r="I13" s="20">
        <f t="shared" si="2"/>
        <v>43989</v>
      </c>
      <c r="J13" s="3" t="str">
        <f t="shared" si="1"/>
        <v>CRITÍCO</v>
      </c>
    </row>
    <row r="14" spans="1:10" x14ac:dyDescent="0.25">
      <c r="A14" s="3">
        <v>3</v>
      </c>
      <c r="B14" s="6" t="s">
        <v>19</v>
      </c>
      <c r="C14" s="3" t="str">
        <f>VLOOKUP(A14,Grupo!$B$4:$C$6,2,FALSE)</f>
        <v>Interiores</v>
      </c>
      <c r="D14" s="3">
        <v>2</v>
      </c>
      <c r="E14" s="14">
        <f>Precios!C9*PRESUPUESTO!D14</f>
        <v>361.6</v>
      </c>
      <c r="F14" s="19">
        <f t="shared" si="0"/>
        <v>3.3666334596441576E-2</v>
      </c>
      <c r="G14" s="14"/>
      <c r="H14" s="3">
        <v>5</v>
      </c>
      <c r="I14" s="20">
        <f t="shared" si="2"/>
        <v>43994</v>
      </c>
      <c r="J14" s="3" t="str">
        <f t="shared" si="1"/>
        <v>CRITÍCO</v>
      </c>
    </row>
    <row r="15" spans="1:10" ht="30" x14ac:dyDescent="0.25">
      <c r="A15" s="3">
        <v>3</v>
      </c>
      <c r="B15" s="6" t="s">
        <v>20</v>
      </c>
      <c r="C15" s="3" t="str">
        <f>VLOOKUP(A15,Grupo!$B$4:$C$6,2,FALSE)</f>
        <v>Interiores</v>
      </c>
      <c r="D15" s="3">
        <v>10</v>
      </c>
      <c r="E15" s="14">
        <f>Precios!C10*PRESUPUESTO!D15</f>
        <v>2295</v>
      </c>
      <c r="F15" s="19">
        <f t="shared" si="0"/>
        <v>0.21367322427774724</v>
      </c>
      <c r="G15" s="14"/>
      <c r="H15" s="3">
        <v>4</v>
      </c>
      <c r="I15" s="20">
        <f t="shared" si="2"/>
        <v>43998</v>
      </c>
      <c r="J15" s="3" t="str">
        <f t="shared" si="1"/>
        <v>CRITÍCO</v>
      </c>
    </row>
    <row r="16" spans="1:10" ht="30" x14ac:dyDescent="0.25">
      <c r="A16" s="3">
        <v>3</v>
      </c>
      <c r="B16" s="6" t="s">
        <v>21</v>
      </c>
      <c r="C16" s="3" t="str">
        <f>VLOOKUP(A16,Grupo!$B$4:$C$6,2,FALSE)</f>
        <v>Interiores</v>
      </c>
      <c r="D16" s="3">
        <v>5</v>
      </c>
      <c r="E16" s="14">
        <f>Precios!C11*PRESUPUESTO!D16</f>
        <v>1103</v>
      </c>
      <c r="F16" s="19">
        <f t="shared" si="0"/>
        <v>0.10269349297531817</v>
      </c>
      <c r="G16" s="14"/>
      <c r="H16" s="3">
        <v>4</v>
      </c>
      <c r="I16" s="20">
        <f t="shared" si="2"/>
        <v>44002</v>
      </c>
      <c r="J16" s="3" t="str">
        <f t="shared" si="1"/>
        <v>CRITÍCO</v>
      </c>
    </row>
    <row r="17" spans="1:10" ht="15.75" thickBot="1" x14ac:dyDescent="0.3">
      <c r="A17" s="3">
        <v>3</v>
      </c>
      <c r="B17" s="6" t="s">
        <v>22</v>
      </c>
      <c r="C17" s="3" t="str">
        <f>VLOOKUP(A17,Grupo!$B$4:$C$6,2,FALSE)</f>
        <v>Interiores</v>
      </c>
      <c r="D17" s="3">
        <v>1</v>
      </c>
      <c r="E17" s="14">
        <f>Precios!C12*PRESUPUESTO!D17</f>
        <v>227.3</v>
      </c>
      <c r="F17" s="19">
        <f t="shared" si="0"/>
        <v>2.1162494064632657E-2</v>
      </c>
      <c r="G17" s="14"/>
      <c r="H17" s="3">
        <v>4</v>
      </c>
      <c r="I17" s="20">
        <f t="shared" si="2"/>
        <v>44006</v>
      </c>
      <c r="J17" s="3" t="str">
        <f t="shared" si="1"/>
        <v>CRITÍCO</v>
      </c>
    </row>
    <row r="18" spans="1:10" ht="15.75" thickBot="1" x14ac:dyDescent="0.3">
      <c r="A18" s="13" t="s">
        <v>12</v>
      </c>
      <c r="B18" s="13"/>
      <c r="C18" s="13"/>
      <c r="D18" s="13"/>
      <c r="E18" s="15">
        <f>SUM(E8:E17)</f>
        <v>10740.7</v>
      </c>
      <c r="F18" s="18">
        <f t="shared" ref="F18:G18" si="3">SUM(F8:F17)</f>
        <v>0.99999999999999989</v>
      </c>
      <c r="G18" s="13">
        <f t="shared" si="3"/>
        <v>0</v>
      </c>
      <c r="H18" s="13">
        <f>SUM(H8:H17)</f>
        <v>77</v>
      </c>
      <c r="I18" s="13"/>
      <c r="J18" s="13"/>
    </row>
    <row r="19" spans="1:10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5">
      <c r="A20" s="8" t="s">
        <v>30</v>
      </c>
      <c r="B20" s="8">
        <f>COUNTIF($A$8:$A$17,1)</f>
        <v>4</v>
      </c>
    </row>
    <row r="21" spans="1:10" x14ac:dyDescent="0.25">
      <c r="A21" s="8" t="s">
        <v>31</v>
      </c>
      <c r="B21" s="8">
        <f>COUNTIF($A$8:$A$17,2)</f>
        <v>2</v>
      </c>
    </row>
    <row r="22" spans="1:10" x14ac:dyDescent="0.25">
      <c r="A22" s="8" t="s">
        <v>32</v>
      </c>
      <c r="B22" s="8">
        <f>COUNTIF($A$8:$A$17,3)</f>
        <v>4</v>
      </c>
    </row>
  </sheetData>
  <mergeCells count="1">
    <mergeCell ref="A1:B1"/>
  </mergeCells>
  <dataValidations count="1">
    <dataValidation type="whole" errorStyle="warning" operator="greaterThanOrEqual" allowBlank="1" showInputMessage="1" showErrorMessage="1" errorTitle="No es un valor apto" error="Esta celda solo admite números enteros positivos." sqref="A8:A17 D8:D17 H8:H17" xr:uid="{5F64FF83-8AA2-4D86-B00C-86AD70694BF5}">
      <formula1>0</formula1>
    </dataValidation>
  </dataValidations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487E5-8B15-405D-91C7-047B5E646A76}">
  <dimension ref="B3:F7"/>
  <sheetViews>
    <sheetView workbookViewId="0">
      <selection activeCell="B10" sqref="B10"/>
    </sheetView>
  </sheetViews>
  <sheetFormatPr baseColWidth="10" defaultRowHeight="15" x14ac:dyDescent="0.25"/>
  <sheetData>
    <row r="3" spans="2:6" x14ac:dyDescent="0.25">
      <c r="B3" s="28" t="s">
        <v>33</v>
      </c>
      <c r="C3" s="29"/>
      <c r="D3" s="29"/>
      <c r="E3" s="29"/>
      <c r="F3" s="29"/>
    </row>
    <row r="4" spans="2:6" x14ac:dyDescent="0.25">
      <c r="B4" s="22" t="s">
        <v>37</v>
      </c>
      <c r="C4" s="23"/>
      <c r="D4" s="23"/>
      <c r="E4" s="24"/>
      <c r="F4" s="30">
        <f>AVERAGE(PRESUPUESTO!H8:H17)</f>
        <v>7.7</v>
      </c>
    </row>
    <row r="5" spans="2:6" x14ac:dyDescent="0.25">
      <c r="B5" s="22" t="s">
        <v>34</v>
      </c>
      <c r="C5" s="23"/>
      <c r="D5" s="23"/>
      <c r="E5" s="24"/>
      <c r="F5" s="31">
        <f>PRESUPUESTO!E18/PRESUPUESTO!H18</f>
        <v>139.48961038961039</v>
      </c>
    </row>
    <row r="6" spans="2:6" x14ac:dyDescent="0.25">
      <c r="B6" s="22" t="s">
        <v>35</v>
      </c>
      <c r="C6" s="23"/>
      <c r="D6" s="23"/>
      <c r="E6" s="24"/>
      <c r="F6" s="31">
        <f>MAX(PRESUPUESTO!E8:E17)</f>
        <v>2311</v>
      </c>
    </row>
    <row r="7" spans="2:6" x14ac:dyDescent="0.25">
      <c r="B7" s="25" t="s">
        <v>36</v>
      </c>
      <c r="C7" s="26"/>
      <c r="D7" s="26"/>
      <c r="E7" s="27"/>
      <c r="F7" s="30">
        <f>MIN(PRESUPUESTO!H8:H17)</f>
        <v>4</v>
      </c>
    </row>
  </sheetData>
  <mergeCells count="5">
    <mergeCell ref="B7:E7"/>
    <mergeCell ref="B3:F3"/>
    <mergeCell ref="B6:E6"/>
    <mergeCell ref="B5:E5"/>
    <mergeCell ref="B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7E4F0-F47F-4188-8E77-09F8672422B8}">
  <dimension ref="A1"/>
  <sheetViews>
    <sheetView workbookViewId="0">
      <selection activeCell="I5" sqref="I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41FA4-4F10-4429-98AB-2F8663634BB5}">
  <dimension ref="B2:C12"/>
  <sheetViews>
    <sheetView workbookViewId="0">
      <selection activeCell="B19" sqref="B19"/>
    </sheetView>
  </sheetViews>
  <sheetFormatPr baseColWidth="10" defaultRowHeight="15" x14ac:dyDescent="0.25"/>
  <cols>
    <col min="2" max="2" width="13.5703125" bestFit="1" customWidth="1"/>
  </cols>
  <sheetData>
    <row r="2" spans="2:3" x14ac:dyDescent="0.25">
      <c r="B2" s="9" t="s">
        <v>23</v>
      </c>
      <c r="C2" s="9" t="s">
        <v>24</v>
      </c>
    </row>
    <row r="3" spans="2:3" x14ac:dyDescent="0.25">
      <c r="B3" s="10" t="s">
        <v>13</v>
      </c>
      <c r="C3" s="9">
        <v>194.3</v>
      </c>
    </row>
    <row r="4" spans="2:3" x14ac:dyDescent="0.25">
      <c r="B4" s="10" t="s">
        <v>14</v>
      </c>
      <c r="C4" s="9">
        <v>240.1</v>
      </c>
    </row>
    <row r="5" spans="2:3" x14ac:dyDescent="0.25">
      <c r="B5" s="10" t="s">
        <v>15</v>
      </c>
      <c r="C5" s="9">
        <v>231.1</v>
      </c>
    </row>
    <row r="6" spans="2:3" x14ac:dyDescent="0.25">
      <c r="B6" s="10" t="s">
        <v>16</v>
      </c>
      <c r="C6" s="9">
        <v>127.8</v>
      </c>
    </row>
    <row r="7" spans="2:3" x14ac:dyDescent="0.25">
      <c r="B7" s="7" t="s">
        <v>17</v>
      </c>
      <c r="C7" s="9">
        <v>216</v>
      </c>
    </row>
    <row r="8" spans="2:3" x14ac:dyDescent="0.25">
      <c r="B8" s="7" t="s">
        <v>18</v>
      </c>
      <c r="C8" s="9">
        <v>185.5</v>
      </c>
    </row>
    <row r="9" spans="2:3" x14ac:dyDescent="0.25">
      <c r="B9" s="7" t="s">
        <v>19</v>
      </c>
      <c r="C9" s="9">
        <v>180.8</v>
      </c>
    </row>
    <row r="10" spans="2:3" x14ac:dyDescent="0.25">
      <c r="B10" s="8" t="s">
        <v>20</v>
      </c>
      <c r="C10" s="9">
        <v>229.5</v>
      </c>
    </row>
    <row r="11" spans="2:3" x14ac:dyDescent="0.25">
      <c r="B11" s="8" t="s">
        <v>21</v>
      </c>
      <c r="C11" s="9">
        <v>220.6</v>
      </c>
    </row>
    <row r="12" spans="2:3" x14ac:dyDescent="0.25">
      <c r="B12" s="7" t="s">
        <v>22</v>
      </c>
      <c r="C12" s="9">
        <v>227.3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077D1-B3C7-40AC-8CE5-01B9D28F4B5D}">
  <dimension ref="B2:C6"/>
  <sheetViews>
    <sheetView workbookViewId="0">
      <selection activeCell="B14" sqref="B14"/>
    </sheetView>
  </sheetViews>
  <sheetFormatPr baseColWidth="10" defaultRowHeight="15" x14ac:dyDescent="0.25"/>
  <cols>
    <col min="3" max="3" width="12.5703125" bestFit="1" customWidth="1"/>
  </cols>
  <sheetData>
    <row r="2" spans="2:3" x14ac:dyDescent="0.25">
      <c r="B2" s="16" t="s">
        <v>5</v>
      </c>
      <c r="C2" s="17"/>
    </row>
    <row r="3" spans="2:3" x14ac:dyDescent="0.25">
      <c r="B3" s="11" t="s">
        <v>3</v>
      </c>
      <c r="C3" s="11" t="s">
        <v>25</v>
      </c>
    </row>
    <row r="4" spans="2:3" x14ac:dyDescent="0.25">
      <c r="B4" s="8">
        <v>1</v>
      </c>
      <c r="C4" s="8" t="s">
        <v>28</v>
      </c>
    </row>
    <row r="5" spans="2:3" x14ac:dyDescent="0.25">
      <c r="B5" s="8">
        <v>2</v>
      </c>
      <c r="C5" s="8" t="s">
        <v>27</v>
      </c>
    </row>
    <row r="6" spans="2:3" x14ac:dyDescent="0.25">
      <c r="B6" s="8">
        <v>3</v>
      </c>
      <c r="C6" s="8" t="s">
        <v>26</v>
      </c>
    </row>
  </sheetData>
  <mergeCells count="1">
    <mergeCell ref="B2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DC54B-45A5-40C9-BB83-D92820B5DB7D}">
  <dimension ref="B2:H4"/>
  <sheetViews>
    <sheetView zoomScale="85" zoomScaleNormal="85" workbookViewId="0">
      <selection activeCell="E39" sqref="E39"/>
    </sheetView>
  </sheetViews>
  <sheetFormatPr baseColWidth="10" defaultRowHeight="15" x14ac:dyDescent="0.25"/>
  <cols>
    <col min="5" max="5" width="15" customWidth="1"/>
    <col min="6" max="6" width="25.7109375" customWidth="1"/>
    <col min="7" max="7" width="20.5703125" customWidth="1"/>
    <col min="8" max="8" width="14.42578125" customWidth="1"/>
  </cols>
  <sheetData>
    <row r="2" spans="2:8" x14ac:dyDescent="0.25">
      <c r="B2" s="32"/>
    </row>
    <row r="3" spans="2:8" ht="29.25" customHeight="1" x14ac:dyDescent="0.25">
      <c r="B3" s="4" t="s">
        <v>38</v>
      </c>
      <c r="C3" s="4" t="s">
        <v>40</v>
      </c>
      <c r="D3" s="4" t="s">
        <v>39</v>
      </c>
      <c r="E3" s="4" t="s">
        <v>44</v>
      </c>
      <c r="F3" s="4" t="s">
        <v>41</v>
      </c>
      <c r="G3" s="4" t="s">
        <v>42</v>
      </c>
      <c r="H3" s="4" t="s">
        <v>43</v>
      </c>
    </row>
    <row r="4" spans="2:8" x14ac:dyDescent="0.25">
      <c r="B4" s="33">
        <v>30000</v>
      </c>
      <c r="C4" s="34">
        <v>3</v>
      </c>
      <c r="D4" s="34">
        <f>12*C4</f>
        <v>36</v>
      </c>
      <c r="E4" s="35">
        <v>1.4999999999999999E-2</v>
      </c>
      <c r="F4" s="33">
        <f>B4*E4*C4</f>
        <v>1350</v>
      </c>
      <c r="G4" s="33">
        <f>B4+F4</f>
        <v>31350</v>
      </c>
      <c r="H4" s="33">
        <f>G4/D4</f>
        <v>870.83333333333337</v>
      </c>
    </row>
  </sheetData>
  <pageMargins left="0.7" right="0.7" top="0.75" bottom="0.75" header="0.3" footer="0.3"/>
  <pageSetup paperSize="9" orientation="portrait" verticalDpi="300" r:id="rId1"/>
  <headerFooter>
    <oddFooter>&amp;LExtremiana Diego&amp;RNájera/San Fernando 56/ Portal 2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PRESUPUESTO</vt:lpstr>
      <vt:lpstr>RESUMEN</vt:lpstr>
      <vt:lpstr>Hoja4</vt:lpstr>
      <vt:lpstr>Precios</vt:lpstr>
      <vt:lpstr>Grupo</vt:lpstr>
      <vt:lpstr>Préstamo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2020-04-15T09:22:09Z</dcterms:created>
  <dcterms:modified xsi:type="dcterms:W3CDTF">2020-04-15T12:45:57Z</dcterms:modified>
</cp:coreProperties>
</file>