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Desktop\"/>
    </mc:Choice>
  </mc:AlternateContent>
  <xr:revisionPtr revIDLastSave="0" documentId="13_ncr:1_{65D81CEE-086E-42DC-9E82-7EA6B2CC3334}" xr6:coauthVersionLast="45" xr6:coauthVersionMax="45" xr10:uidLastSave="{00000000-0000-0000-0000-000000000000}"/>
  <bookViews>
    <workbookView xWindow="-120" yWindow="-120" windowWidth="20730" windowHeight="11760" firstSheet="6" activeTab="7" xr2:uid="{CEE3CD93-B349-4276-BD02-589BE7D9E3AF}"/>
  </bookViews>
  <sheets>
    <sheet name="FACTURAS EMITIDAS" sheetId="1" r:id="rId1"/>
    <sheet name="FACTURAS EMITIDASV" sheetId="4" r:id="rId2"/>
    <sheet name="DATOS BUSCARV" sheetId="2" r:id="rId3"/>
    <sheet name="DAROS BUSCARH" sheetId="3" r:id="rId4"/>
    <sheet name="PEDIDO" sheetId="5" r:id="rId5"/>
    <sheet name="REGISTRO FACTURAS" sheetId="6" r:id="rId6"/>
    <sheet name="NOTAS JUNIO" sheetId="7" r:id="rId7"/>
    <sheet name="CHOCOLATE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9" l="1"/>
  <c r="E16" i="9"/>
  <c r="E17" i="9"/>
  <c r="E18" i="9"/>
  <c r="G18" i="9" s="1"/>
  <c r="E19" i="9"/>
  <c r="G19" i="9" s="1"/>
  <c r="E20" i="9"/>
  <c r="E14" i="9"/>
  <c r="F14" i="9" s="1"/>
  <c r="G15" i="9"/>
  <c r="H15" i="9" s="1"/>
  <c r="G16" i="9"/>
  <c r="G17" i="9"/>
  <c r="H17" i="9" s="1"/>
  <c r="F15" i="9"/>
  <c r="F16" i="9"/>
  <c r="F17" i="9"/>
  <c r="F18" i="9"/>
  <c r="F19" i="9"/>
  <c r="H16" i="9" l="1"/>
  <c r="G14" i="9"/>
  <c r="H14" i="9"/>
  <c r="H18" i="9"/>
  <c r="H19" i="9"/>
  <c r="D9" i="5" l="1"/>
  <c r="B9" i="5"/>
  <c r="I7" i="6"/>
  <c r="I8" i="6"/>
  <c r="I6" i="6"/>
  <c r="H22" i="9" l="1"/>
  <c r="D15" i="9"/>
  <c r="D16" i="9"/>
  <c r="D17" i="9"/>
  <c r="D18" i="9"/>
  <c r="D19" i="9"/>
  <c r="D20" i="9"/>
  <c r="D14" i="9"/>
  <c r="J13" i="7"/>
  <c r="J4" i="7"/>
  <c r="J5" i="7"/>
  <c r="J6" i="7"/>
  <c r="J7" i="7"/>
  <c r="J8" i="7"/>
  <c r="J9" i="7"/>
  <c r="J10" i="7"/>
  <c r="J11" i="7"/>
  <c r="J12" i="7"/>
  <c r="B16" i="7"/>
  <c r="B17" i="7"/>
  <c r="B18" i="7"/>
  <c r="H7" i="7"/>
  <c r="H11" i="7"/>
  <c r="H12" i="7"/>
  <c r="H6" i="7"/>
  <c r="G7" i="7"/>
  <c r="I7" i="7" s="1"/>
  <c r="G11" i="7"/>
  <c r="I11" i="7" s="1"/>
  <c r="G12" i="7"/>
  <c r="I12" i="7" s="1"/>
  <c r="G6" i="7"/>
  <c r="I6" i="7" s="1"/>
  <c r="J7" i="6"/>
  <c r="J8" i="6"/>
  <c r="J6" i="6"/>
  <c r="D10" i="5"/>
  <c r="B10" i="5"/>
  <c r="E3" i="1" l="1"/>
  <c r="E4" i="1"/>
  <c r="E5" i="1"/>
  <c r="E6" i="1"/>
  <c r="E7" i="1"/>
  <c r="E8" i="1"/>
  <c r="E9" i="1"/>
  <c r="D5" i="1"/>
  <c r="D6" i="1"/>
  <c r="D7" i="1"/>
  <c r="D8" i="1"/>
  <c r="D9" i="1"/>
  <c r="D4" i="1"/>
  <c r="F3" i="1"/>
  <c r="F4" i="1"/>
  <c r="F5" i="1"/>
  <c r="F6" i="1"/>
  <c r="F7" i="1"/>
  <c r="F8" i="1"/>
  <c r="F9" i="1"/>
  <c r="D3" i="1"/>
  <c r="D3" i="4"/>
  <c r="D4" i="4"/>
  <c r="D5" i="4"/>
  <c r="D6" i="4"/>
  <c r="D7" i="4"/>
  <c r="D8" i="4"/>
  <c r="D9" i="4"/>
  <c r="E3" i="4"/>
  <c r="E4" i="4"/>
  <c r="E5" i="4"/>
  <c r="E6" i="4"/>
  <c r="E7" i="4"/>
  <c r="E8" i="4"/>
  <c r="E9" i="4"/>
  <c r="F3" i="4"/>
  <c r="F4" i="4"/>
  <c r="F5" i="4"/>
  <c r="F6" i="4"/>
  <c r="F7" i="4"/>
  <c r="F8" i="4"/>
  <c r="F9" i="4"/>
</calcChain>
</file>

<file path=xl/sharedStrings.xml><?xml version="1.0" encoding="utf-8"?>
<sst xmlns="http://schemas.openxmlformats.org/spreadsheetml/2006/main" count="241" uniqueCount="149">
  <si>
    <t>Fecha</t>
  </si>
  <si>
    <t>Nº de factura</t>
  </si>
  <si>
    <t>Código</t>
  </si>
  <si>
    <t>Forma de pago</t>
  </si>
  <si>
    <t>Nº de cuenta</t>
  </si>
  <si>
    <t>Total factura</t>
  </si>
  <si>
    <t>Nombre Cliente</t>
  </si>
  <si>
    <t>MIR</t>
  </si>
  <si>
    <t>ROD</t>
  </si>
  <si>
    <t>ARF</t>
  </si>
  <si>
    <t>FOI</t>
  </si>
  <si>
    <t>VALL</t>
  </si>
  <si>
    <t>CÓDIGO</t>
  </si>
  <si>
    <t>NOMBRE</t>
  </si>
  <si>
    <t>LOP</t>
  </si>
  <si>
    <t>BIL</t>
  </si>
  <si>
    <t>TEJ</t>
  </si>
  <si>
    <t>ARR</t>
  </si>
  <si>
    <t>CAB</t>
  </si>
  <si>
    <t>PEÑ</t>
  </si>
  <si>
    <t>CABAÑITA. SL</t>
  </si>
  <si>
    <t>MARÍA DEL VALLE VALL AZUL</t>
  </si>
  <si>
    <t>PEÑA CLARA SA.</t>
  </si>
  <si>
    <t>ARRIBANDO. SL</t>
  </si>
  <si>
    <t>ARFLOR SL.</t>
  </si>
  <si>
    <t>RAMON TIJERAS ROJAS.</t>
  </si>
  <si>
    <t>BILIAS SL.</t>
  </si>
  <si>
    <t>RODRIGO RODRIGUEZ PEZ</t>
  </si>
  <si>
    <t>MACARIO LOPEZ PASO</t>
  </si>
  <si>
    <t>FOIGRAS SL</t>
  </si>
  <si>
    <t>MARIA CLARA MIRONA</t>
  </si>
  <si>
    <t>Aplazado 30 días</t>
  </si>
  <si>
    <t>Contado</t>
  </si>
  <si>
    <t>0075-1600-44-000000033</t>
  </si>
  <si>
    <t>0075-1600-46-000000531</t>
  </si>
  <si>
    <t>1235-1000-43-000000489</t>
  </si>
  <si>
    <t>1235-1600-44-000000028</t>
  </si>
  <si>
    <t>1235-1000-48-000000550</t>
  </si>
  <si>
    <t>6485-1100-70-000000668</t>
  </si>
  <si>
    <t>0075-1000-45-000000546</t>
  </si>
  <si>
    <t>0420-2000-85-000000052</t>
  </si>
  <si>
    <t>1245-2000-85-000000475</t>
  </si>
  <si>
    <t>1245-2000-85-000000066</t>
  </si>
  <si>
    <t>9658-2000-87-000000550</t>
  </si>
  <si>
    <t>FORMA DE PAGO</t>
  </si>
  <si>
    <t>Nº DE CUENTA</t>
  </si>
  <si>
    <t>MARIA CLARA MIRIONA</t>
  </si>
  <si>
    <t>ESTILO JARDÍN</t>
  </si>
  <si>
    <t>Camino de la Huerta, S.N</t>
  </si>
  <si>
    <t>07620 EL POBLADO PERDIDO</t>
  </si>
  <si>
    <t>Pedido Nº:</t>
  </si>
  <si>
    <t>FECHA:</t>
  </si>
  <si>
    <t>CONDICIONES</t>
  </si>
  <si>
    <t>Cód. destinatario</t>
  </si>
  <si>
    <t>Destinatario:</t>
  </si>
  <si>
    <t>Forma envía</t>
  </si>
  <si>
    <t>Forma pago</t>
  </si>
  <si>
    <t>Plazo entrega</t>
  </si>
  <si>
    <t>lugar entrega</t>
  </si>
  <si>
    <t>Cantidad</t>
  </si>
  <si>
    <t>Artículo</t>
  </si>
  <si>
    <t>Precio unit.</t>
  </si>
  <si>
    <t>Importe total</t>
  </si>
  <si>
    <t>Código destinatario</t>
  </si>
  <si>
    <t>Destinatario</t>
  </si>
  <si>
    <t xml:space="preserve">Forma envío </t>
  </si>
  <si>
    <t>Lugar entrega</t>
  </si>
  <si>
    <t>ARFRUTAL SL</t>
  </si>
  <si>
    <t>ARRIBAS SL</t>
  </si>
  <si>
    <t>CABAÑUELAS SA</t>
  </si>
  <si>
    <t>PEPE TEJADO ROMO</t>
  </si>
  <si>
    <t>Camión</t>
  </si>
  <si>
    <t>3 días</t>
  </si>
  <si>
    <t>Almacén</t>
  </si>
  <si>
    <t>Tienda</t>
  </si>
  <si>
    <t>2 días</t>
  </si>
  <si>
    <t>24 horas</t>
  </si>
  <si>
    <t>Furgoneta</t>
  </si>
  <si>
    <t>Aéreo</t>
  </si>
  <si>
    <t>Tren</t>
  </si>
  <si>
    <t>REGISTRO DE FACTURAS EMITIDAS</t>
  </si>
  <si>
    <t>Nº Fra.</t>
  </si>
  <si>
    <t>Cliente</t>
  </si>
  <si>
    <t>Nombre</t>
  </si>
  <si>
    <t>NIF</t>
  </si>
  <si>
    <t>Base Imponible</t>
  </si>
  <si>
    <t>IVA</t>
  </si>
  <si>
    <t>Tipo</t>
  </si>
  <si>
    <t>Cuota</t>
  </si>
  <si>
    <t>Recargo equivalencia</t>
  </si>
  <si>
    <t>TOTAL</t>
  </si>
  <si>
    <t>64669899F</t>
  </si>
  <si>
    <t>FOIGRAS, SL</t>
  </si>
  <si>
    <t>B17216202</t>
  </si>
  <si>
    <t>MACARIO LÓPEZ PASO</t>
  </si>
  <si>
    <t xml:space="preserve"> 56137476H</t>
  </si>
  <si>
    <t>12788030Y</t>
  </si>
  <si>
    <t>BILIAS, SL</t>
  </si>
  <si>
    <t>B12215209</t>
  </si>
  <si>
    <t>RAMÓN TEJERÍAS ROJAS</t>
  </si>
  <si>
    <t>27124587L</t>
  </si>
  <si>
    <t>ARFLOR, SL</t>
  </si>
  <si>
    <t>B25228546</t>
  </si>
  <si>
    <t>ARRIBANDO, SL</t>
  </si>
  <si>
    <t>B24247596</t>
  </si>
  <si>
    <t>CABAÑITA, SL</t>
  </si>
  <si>
    <t>A49216717</t>
  </si>
  <si>
    <t>MARIA DEL VALLE VALL AZUL</t>
  </si>
  <si>
    <t>A47225330</t>
  </si>
  <si>
    <t>PEÑA CLARA, SA</t>
  </si>
  <si>
    <t>A42220369</t>
  </si>
  <si>
    <t>T1</t>
  </si>
  <si>
    <t>T2</t>
  </si>
  <si>
    <t>T3</t>
  </si>
  <si>
    <t>Excel</t>
  </si>
  <si>
    <t>Access</t>
  </si>
  <si>
    <t>CONVOCATORIA JUNIO</t>
  </si>
  <si>
    <t>Teoría</t>
  </si>
  <si>
    <t>Práctica</t>
  </si>
  <si>
    <t>Junio</t>
  </si>
  <si>
    <t>Aprobado</t>
  </si>
  <si>
    <t>Baroja, Pío</t>
  </si>
  <si>
    <t>pajares, Roberto</t>
  </si>
  <si>
    <t>Velazquez, Raúl</t>
  </si>
  <si>
    <t>Saralegui, Imanol</t>
  </si>
  <si>
    <t>Conde, Patricia</t>
  </si>
  <si>
    <t>Barriola, Abel</t>
  </si>
  <si>
    <t>Cañizares, Francisco</t>
  </si>
  <si>
    <t>Puyol, Anastasio</t>
  </si>
  <si>
    <t>Cortés, Esperanza</t>
  </si>
  <si>
    <t>Aprobados</t>
  </si>
  <si>
    <t>Suspensos</t>
  </si>
  <si>
    <t>Presentados</t>
  </si>
  <si>
    <t>Asimov, Isaac</t>
  </si>
  <si>
    <t>Categoría</t>
  </si>
  <si>
    <t>Peso máximo</t>
  </si>
  <si>
    <t>Precio/Kg</t>
  </si>
  <si>
    <t>Coste almacén</t>
  </si>
  <si>
    <t>Precio chocolate</t>
  </si>
  <si>
    <t>FÁBRICA LA GALLINA MÁGICA</t>
  </si>
  <si>
    <t>Peso</t>
  </si>
  <si>
    <t>F.Fabricación</t>
  </si>
  <si>
    <t>F.Venta</t>
  </si>
  <si>
    <t>Días</t>
  </si>
  <si>
    <t>Precio venta</t>
  </si>
  <si>
    <t>Coste</t>
  </si>
  <si>
    <t>Beneficio</t>
  </si>
  <si>
    <t>Beneficio obtenido:</t>
  </si>
  <si>
    <t>cab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</si>
</sst>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\-yy;@"/>
    <numFmt numFmtId="165" formatCode="#,##0.00\ &quot;€&quot;"/>
    <numFmt numFmtId="166" formatCode="#,##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Algerian"/>
      <family val="5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</fills>
  <borders count="4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medium">
        <color indexed="64"/>
      </right>
      <top style="thin">
        <color theme="0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slantDashDot">
        <color theme="5"/>
      </left>
      <right/>
      <top style="slantDashDot">
        <color theme="5"/>
      </top>
      <bottom/>
      <diagonal/>
    </border>
    <border>
      <left/>
      <right/>
      <top style="slantDashDot">
        <color theme="5"/>
      </top>
      <bottom/>
      <diagonal/>
    </border>
    <border>
      <left/>
      <right style="slantDashDot">
        <color theme="5"/>
      </right>
      <top style="slantDashDot">
        <color theme="5"/>
      </top>
      <bottom/>
      <diagonal/>
    </border>
    <border>
      <left style="slantDashDot">
        <color theme="5"/>
      </left>
      <right/>
      <top/>
      <bottom style="slantDashDot">
        <color theme="5"/>
      </bottom>
      <diagonal/>
    </border>
    <border>
      <left/>
      <right/>
      <top/>
      <bottom style="slantDashDot">
        <color theme="5"/>
      </bottom>
      <diagonal/>
    </border>
    <border>
      <left/>
      <right style="slantDashDot">
        <color theme="5"/>
      </right>
      <top/>
      <bottom style="slantDashDot">
        <color theme="5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2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Font="1" applyBorder="1" applyAlignment="1">
      <alignment vertical="center"/>
    </xf>
    <xf numFmtId="164" fontId="0" fillId="2" borderId="1" xfId="0" applyNumberFormat="1" applyFont="1" applyFill="1" applyBorder="1" applyAlignment="1">
      <alignment vertical="center"/>
    </xf>
    <xf numFmtId="164" fontId="0" fillId="0" borderId="0" xfId="0" applyNumberFormat="1" applyAlignment="1">
      <alignment vertical="center"/>
    </xf>
    <xf numFmtId="165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0" fillId="0" borderId="0" xfId="0" applyBorder="1"/>
    <xf numFmtId="0" fontId="0" fillId="4" borderId="7" xfId="0" applyFill="1" applyBorder="1"/>
    <xf numFmtId="0" fontId="0" fillId="4" borderId="0" xfId="0" applyFill="1" applyBorder="1"/>
    <xf numFmtId="0" fontId="0" fillId="4" borderId="8" xfId="0" applyFill="1" applyBorder="1"/>
    <xf numFmtId="0" fontId="1" fillId="4" borderId="0" xfId="0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0" fillId="4" borderId="9" xfId="0" applyFill="1" applyBorder="1"/>
    <xf numFmtId="0" fontId="0" fillId="4" borderId="10" xfId="0" applyFill="1" applyBorder="1" applyAlignment="1">
      <alignment vertical="center"/>
    </xf>
    <xf numFmtId="0" fontId="0" fillId="4" borderId="11" xfId="0" applyFill="1" applyBorder="1" applyAlignment="1">
      <alignment vertical="center"/>
    </xf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/>
    <xf numFmtId="0" fontId="0" fillId="0" borderId="3" xfId="0" applyBorder="1"/>
    <xf numFmtId="0" fontId="4" fillId="5" borderId="3" xfId="0" applyFont="1" applyFill="1" applyBorder="1"/>
    <xf numFmtId="0" fontId="6" fillId="6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0" borderId="0" xfId="0" applyFont="1"/>
    <xf numFmtId="0" fontId="1" fillId="8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9" fontId="0" fillId="0" borderId="0" xfId="0" applyNumberFormat="1"/>
    <xf numFmtId="14" fontId="0" fillId="0" borderId="3" xfId="0" applyNumberFormat="1" applyBorder="1" applyAlignment="1">
      <alignment horizontal="center" vertical="center" wrapText="1"/>
    </xf>
    <xf numFmtId="9" fontId="0" fillId="0" borderId="3" xfId="0" applyNumberFormat="1" applyBorder="1" applyAlignment="1">
      <alignment horizontal="center" vertical="center" wrapText="1"/>
    </xf>
    <xf numFmtId="0" fontId="7" fillId="10" borderId="17" xfId="0" applyFont="1" applyFill="1" applyBorder="1" applyAlignment="1">
      <alignment horizontal="right" vertical="center"/>
    </xf>
    <xf numFmtId="0" fontId="0" fillId="0" borderId="18" xfId="0" applyBorder="1"/>
    <xf numFmtId="0" fontId="7" fillId="10" borderId="19" xfId="0" applyFont="1" applyFill="1" applyBorder="1" applyAlignment="1">
      <alignment horizontal="right" vertical="center"/>
    </xf>
    <xf numFmtId="0" fontId="0" fillId="0" borderId="20" xfId="0" applyBorder="1"/>
    <xf numFmtId="0" fontId="7" fillId="10" borderId="21" xfId="0" applyFont="1" applyFill="1" applyBorder="1" applyAlignment="1">
      <alignment horizontal="right" vertical="center"/>
    </xf>
    <xf numFmtId="0" fontId="0" fillId="0" borderId="22" xfId="0" applyBorder="1"/>
    <xf numFmtId="9" fontId="4" fillId="9" borderId="24" xfId="0" applyNumberFormat="1" applyFont="1" applyFill="1" applyBorder="1"/>
    <xf numFmtId="0" fontId="4" fillId="9" borderId="26" xfId="0" applyFont="1" applyFill="1" applyBorder="1"/>
    <xf numFmtId="0" fontId="4" fillId="9" borderId="27" xfId="0" applyFont="1" applyFill="1" applyBorder="1"/>
    <xf numFmtId="0" fontId="0" fillId="0" borderId="17" xfId="0" applyBorder="1"/>
    <xf numFmtId="0" fontId="0" fillId="0" borderId="29" xfId="0" applyBorder="1"/>
    <xf numFmtId="0" fontId="0" fillId="0" borderId="19" xfId="0" applyBorder="1"/>
    <xf numFmtId="0" fontId="0" fillId="0" borderId="21" xfId="0" applyBorder="1"/>
    <xf numFmtId="0" fontId="0" fillId="0" borderId="30" xfId="0" applyBorder="1"/>
    <xf numFmtId="165" fontId="0" fillId="0" borderId="0" xfId="0" applyNumberFormat="1"/>
    <xf numFmtId="0" fontId="1" fillId="11" borderId="3" xfId="0" applyFont="1" applyFill="1" applyBorder="1" applyAlignment="1">
      <alignment horizontal="center" vertical="center" wrapText="1"/>
    </xf>
    <xf numFmtId="0" fontId="1" fillId="6" borderId="37" xfId="0" applyFont="1" applyFill="1" applyBorder="1" applyAlignment="1">
      <alignment horizontal="center" vertical="center"/>
    </xf>
    <xf numFmtId="0" fontId="1" fillId="6" borderId="38" xfId="0" applyFont="1" applyFill="1" applyBorder="1" applyAlignment="1">
      <alignment horizontal="center" vertical="center"/>
    </xf>
    <xf numFmtId="0" fontId="1" fillId="6" borderId="39" xfId="0" applyFont="1" applyFill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3" xfId="0" applyNumberForma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165" fontId="0" fillId="0" borderId="41" xfId="0" applyNumberFormat="1" applyBorder="1" applyAlignment="1">
      <alignment horizontal="center" vertical="center"/>
    </xf>
    <xf numFmtId="0" fontId="5" fillId="4" borderId="4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8" borderId="15" xfId="0" applyFont="1" applyFill="1" applyBorder="1" applyAlignment="1">
      <alignment horizontal="center" vertical="center" wrapText="1"/>
    </xf>
    <xf numFmtId="0" fontId="1" fillId="8" borderId="16" xfId="0" applyFont="1" applyFill="1" applyBorder="1" applyAlignment="1">
      <alignment horizontal="center" vertical="center" wrapText="1"/>
    </xf>
    <xf numFmtId="0" fontId="1" fillId="8" borderId="12" xfId="0" applyFont="1" applyFill="1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 wrapText="1"/>
    </xf>
    <xf numFmtId="0" fontId="4" fillId="7" borderId="12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horizontal="center" vertical="center" wrapText="1"/>
    </xf>
    <xf numFmtId="0" fontId="4" fillId="9" borderId="23" xfId="0" applyFont="1" applyFill="1" applyBorder="1" applyAlignment="1">
      <alignment horizontal="center"/>
    </xf>
    <xf numFmtId="0" fontId="4" fillId="9" borderId="24" xfId="0" applyFont="1" applyFill="1" applyBorder="1" applyAlignment="1">
      <alignment horizontal="center"/>
    </xf>
    <xf numFmtId="0" fontId="4" fillId="9" borderId="25" xfId="0" applyFont="1" applyFill="1" applyBorder="1" applyAlignment="1">
      <alignment horizontal="center"/>
    </xf>
    <xf numFmtId="0" fontId="4" fillId="9" borderId="28" xfId="0" applyFont="1" applyFill="1" applyBorder="1" applyAlignment="1">
      <alignment horizontal="center"/>
    </xf>
    <xf numFmtId="0" fontId="4" fillId="9" borderId="27" xfId="0" applyFont="1" applyFill="1" applyBorder="1" applyAlignment="1">
      <alignment horizontal="center"/>
    </xf>
    <xf numFmtId="0" fontId="8" fillId="12" borderId="31" xfId="0" applyFont="1" applyFill="1" applyBorder="1" applyAlignment="1">
      <alignment horizontal="center" vertical="center"/>
    </xf>
    <xf numFmtId="0" fontId="0" fillId="12" borderId="32" xfId="0" applyFill="1" applyBorder="1" applyAlignment="1">
      <alignment horizontal="center" vertical="center"/>
    </xf>
    <xf numFmtId="0" fontId="0" fillId="12" borderId="33" xfId="0" applyFill="1" applyBorder="1" applyAlignment="1">
      <alignment horizontal="center" vertical="center"/>
    </xf>
    <xf numFmtId="0" fontId="0" fillId="12" borderId="34" xfId="0" applyFill="1" applyBorder="1" applyAlignment="1">
      <alignment horizontal="center" vertical="center"/>
    </xf>
    <xf numFmtId="0" fontId="0" fillId="12" borderId="35" xfId="0" applyFill="1" applyBorder="1" applyAlignment="1">
      <alignment horizontal="center" vertical="center"/>
    </xf>
    <xf numFmtId="0" fontId="0" fillId="12" borderId="36" xfId="0" applyFill="1" applyBorder="1" applyAlignment="1">
      <alignment horizontal="center" vertical="center"/>
    </xf>
    <xf numFmtId="2" fontId="0" fillId="0" borderId="0" xfId="0" applyNumberFormat="1" applyBorder="1"/>
    <xf numFmtId="166" fontId="0" fillId="0" borderId="40" xfId="0" applyNumberFormat="1" applyBorder="1" applyAlignment="1">
      <alignment horizontal="center" vertical="center"/>
    </xf>
    <xf numFmtId="166" fontId="0" fillId="0" borderId="42" xfId="0" applyNumberFormat="1" applyBorder="1" applyAlignment="1">
      <alignment horizontal="center" vertical="center"/>
    </xf>
  </cellXfs>
  <cellStyles count="1">
    <cellStyle name="Normal" xfId="0" builtinId="0"/>
  </cellStyles>
  <dxfs count="39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5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165" formatCode="#,##0.00\ &quot;€&quot;"/>
      <alignment horizontal="center"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dd\-mm\-yy;@"/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#,##0.00\ &quot;€&quot;"/>
      <alignment horizontal="center"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dd\-mm\-yy;@"/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F709AB-DE8B-420A-9D0F-31438AF53030}" name="Tabla2" displayName="Tabla2" ref="A2:G9" totalsRowShown="0" headerRowDxfId="38" dataDxfId="37">
  <autoFilter ref="A2:G9" xr:uid="{B4120496-172B-4DBE-9032-F998A67F48A2}"/>
  <tableColumns count="7">
    <tableColumn id="1" xr3:uid="{5B2BBCE6-5C93-4908-85C1-75BF64A40765}" name="Fecha" dataDxfId="36"/>
    <tableColumn id="2" xr3:uid="{3BCEAF14-0864-4812-8780-9689F50499EE}" name="Nº de factura" dataDxfId="35"/>
    <tableColumn id="3" xr3:uid="{69685B28-30C4-48C4-B693-8D569E0F9D62}" name="Código" dataDxfId="34"/>
    <tableColumn id="4" xr3:uid="{A0CCFF87-2879-474C-B57F-4FB99C7D086F}" name="Nombre Cliente" dataDxfId="33">
      <calculatedColumnFormula>HLOOKUP(Tabla2[[#This Row],[Código]],Tabla6[#All],4,FALSE)</calculatedColumnFormula>
    </tableColumn>
    <tableColumn id="5" xr3:uid="{07DD1076-05A4-4A0F-8F83-006509AF7BC5}" name="Forma de pago" dataDxfId="32">
      <calculatedColumnFormula>HLOOKUP(Tabla2[[#This Row],[Código]],Tabla6[#All],3,FALSE)</calculatedColumnFormula>
    </tableColumn>
    <tableColumn id="6" xr3:uid="{173E1B68-1871-47F3-A6C6-F7ED90440693}" name="Nº de cuenta" dataDxfId="31">
      <calculatedColumnFormula>HLOOKUP(Tabla2[[#This Row],[Código]],Tabla6[#All],4,FALSE)</calculatedColumnFormula>
    </tableColumn>
    <tableColumn id="7" xr3:uid="{6190C7C1-6904-454E-ABDF-B1916B95C6F5}" name="Total factura" dataDxfId="3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F4CC9C6-B00F-4B09-873A-428A870DB0D1}" name="Tabla28" displayName="Tabla28" ref="A2:G9" totalsRowShown="0" headerRowDxfId="29" dataDxfId="28">
  <autoFilter ref="A2:G9" xr:uid="{B4120496-172B-4DBE-9032-F998A67F48A2}"/>
  <tableColumns count="7">
    <tableColumn id="1" xr3:uid="{3DD1C18C-CFEA-49FC-8B28-94ED03CD1289}" name="Fecha" dataDxfId="27"/>
    <tableColumn id="2" xr3:uid="{3B01BBFA-3B71-4D28-A9E4-5B56918ADFB0}" name="Nº de factura" dataDxfId="26"/>
    <tableColumn id="3" xr3:uid="{CA8A2DCC-F1A9-4D53-BB1D-CF79CC1B0B78}" name="Código" dataDxfId="25"/>
    <tableColumn id="4" xr3:uid="{3DD0EC21-6CA5-4447-B2DE-67CEF55E4C8B}" name="Nombre Cliente" dataDxfId="24">
      <calculatedColumnFormula>VLOOKUP(Tabla2[[#This Row],[Código]],Tabla3[#All],2,FALSE)</calculatedColumnFormula>
    </tableColumn>
    <tableColumn id="5" xr3:uid="{737F6A8E-AE7E-4655-B4A6-5650A0623BE1}" name="Forma de pago" dataDxfId="23">
      <calculatedColumnFormula>VLOOKUP(Tabla2[[#This Row],[Código]],Tabla3[#All],3,FALSE)</calculatedColumnFormula>
    </tableColumn>
    <tableColumn id="6" xr3:uid="{C27FF123-F358-46F7-BBB8-88F02F8C8A3C}" name="Nº de cuenta" dataDxfId="22">
      <calculatedColumnFormula>VLOOKUP(Tabla2[[#This Row],[Código]],Tabla3[#All],4,FALSE)</calculatedColumnFormula>
    </tableColumn>
    <tableColumn id="7" xr3:uid="{D42C0BD6-9FCD-4064-98E1-FC0CF2E44F99}" name="Total factura" dataDxf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40059F-FAF8-4F26-80A1-F76F5AE8B80C}" name="Tabla3" displayName="Tabla3" ref="B2:E13" totalsRowShown="0" dataDxfId="20">
  <autoFilter ref="B2:E13" xr:uid="{6F2C624E-16BE-4B19-825D-00A3A2D7159A}"/>
  <tableColumns count="4">
    <tableColumn id="1" xr3:uid="{998DA56E-BB06-4218-BBA4-C97F42AB7F89}" name="CÓDIGO" dataDxfId="19"/>
    <tableColumn id="2" xr3:uid="{4BF13C74-8327-4349-AC42-F31691781784}" name="NOMBRE" dataDxfId="18"/>
    <tableColumn id="3" xr3:uid="{AA899851-DDF0-4849-8A44-41B83D8EA9A6}" name="Forma de pago" dataDxfId="17"/>
    <tableColumn id="4" xr3:uid="{AFB92FF8-DB12-4688-B86B-3883CA8F189D}" name="Nº de cuenta" dataDxfId="1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01CC864-E1D0-4DF4-8F3A-1BB6A0353C05}" name="Tabla6" displayName="Tabla6" ref="A3:K7" headerRowCount="0" headerRowDxfId="15" dataDxfId="14" totalsRowDxfId="13">
  <tableColumns count="11">
    <tableColumn id="1" xr3:uid="{446EB42A-8D4B-4F95-AAB8-CE208D63CDE6}" name="Columna1" totalsRowLabel="Total" headerRowDxfId="12" dataDxfId="11" totalsRowDxfId="10"/>
    <tableColumn id="2" xr3:uid="{2716EA97-0D99-4206-AD2E-B8060328E069}" name="Columna2" dataDxfId="9"/>
    <tableColumn id="3" xr3:uid="{C7B05DF2-A335-4AB1-B876-3AE728245E3C}" name="Columna3" dataDxfId="8"/>
    <tableColumn id="4" xr3:uid="{6E0CECF2-458E-4A31-8C57-C5A2131FF05A}" name="Columna4" dataDxfId="7"/>
    <tableColumn id="5" xr3:uid="{BF7772C4-4589-44D2-AB6F-0ABAFCCB6789}" name="Columna5" dataDxfId="6"/>
    <tableColumn id="6" xr3:uid="{772D13C0-A3F0-408F-9324-8FE71AE41DD1}" name="Columna6" dataDxfId="5"/>
    <tableColumn id="7" xr3:uid="{597987C2-F396-4CB6-AE5B-021FC5194224}" name="Columna7" dataDxfId="4"/>
    <tableColumn id="8" xr3:uid="{FDEF7E89-B081-4D70-888C-8DEFCE52947D}" name="Columna8" dataDxfId="3"/>
    <tableColumn id="9" xr3:uid="{FA153E71-B6E0-45ED-B3E5-4F96C8D5D96E}" name="Columna9" dataDxfId="2"/>
    <tableColumn id="10" xr3:uid="{2074C490-AC48-472A-8742-C4F7E4B68204}" name="Columna10" dataDxfId="1"/>
    <tableColumn id="11" xr3:uid="{13B1ED11-3536-499E-B1A0-ACD9C31543BF}" name="Columna11" totalsRowFunction="count" dataDxfId="0"/>
  </tableColumns>
  <tableStyleInfo name="TableStyleMedium17" showFirstColumn="1" showLastColumn="0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CB3FC-3175-4CFB-8566-61B6844355F0}">
  <dimension ref="A2:G9"/>
  <sheetViews>
    <sheetView zoomScale="70" zoomScaleNormal="70" workbookViewId="0">
      <selection activeCell="F4" sqref="F4"/>
    </sheetView>
  </sheetViews>
  <sheetFormatPr baseColWidth="10" defaultRowHeight="15" x14ac:dyDescent="0.25"/>
  <cols>
    <col min="1" max="1" width="13.5703125" customWidth="1"/>
    <col min="2" max="2" width="14.28515625" customWidth="1"/>
    <col min="3" max="3" width="11.28515625" customWidth="1"/>
    <col min="4" max="4" width="31" bestFit="1" customWidth="1"/>
    <col min="5" max="5" width="25" bestFit="1" customWidth="1"/>
    <col min="6" max="6" width="27.7109375" bestFit="1" customWidth="1"/>
    <col min="7" max="7" width="21" customWidth="1"/>
  </cols>
  <sheetData>
    <row r="2" spans="1:7" x14ac:dyDescent="0.25">
      <c r="A2" s="1" t="s">
        <v>0</v>
      </c>
      <c r="B2" s="1" t="s">
        <v>1</v>
      </c>
      <c r="C2" s="1" t="s">
        <v>2</v>
      </c>
      <c r="D2" s="1" t="s">
        <v>6</v>
      </c>
      <c r="E2" s="1" t="s">
        <v>3</v>
      </c>
      <c r="F2" s="1" t="s">
        <v>4</v>
      </c>
      <c r="G2" s="1" t="s">
        <v>5</v>
      </c>
    </row>
    <row r="3" spans="1:7" x14ac:dyDescent="0.25">
      <c r="A3" s="8"/>
      <c r="B3" s="5"/>
      <c r="C3" s="5"/>
      <c r="D3" s="5" t="e">
        <f>HLOOKUP(Tabla2[[#This Row],[Código]],Tabla6[#All],4,FALSE)</f>
        <v>#N/A</v>
      </c>
      <c r="E3" s="2" t="e">
        <f>HLOOKUP(Tabla2[[#This Row],[Código]],Tabla6[#All],3,FALSE)</f>
        <v>#N/A</v>
      </c>
      <c r="F3" s="2" t="e">
        <f>HLOOKUP(Tabla2[[#This Row],[Código]],Tabla6[#All],4,FALSE)</f>
        <v>#N/A</v>
      </c>
      <c r="G3" s="10"/>
    </row>
    <row r="4" spans="1:7" x14ac:dyDescent="0.25">
      <c r="A4" s="6">
        <v>43535</v>
      </c>
      <c r="B4" s="3">
        <v>32</v>
      </c>
      <c r="C4" s="1" t="s">
        <v>7</v>
      </c>
      <c r="D4" s="1" t="str">
        <f>HLOOKUP(Tabla2[[#This Row],[Código]],Tabla6[#All],2,FALSE)</f>
        <v>MARIA CLARA MIRIONA</v>
      </c>
      <c r="E4" s="1" t="str">
        <f>HLOOKUP(Tabla2[[#This Row],[Código]],Tabla6[#All],3,FALSE)</f>
        <v>Aplazado 30 días</v>
      </c>
      <c r="F4" s="1" t="str">
        <f>HLOOKUP(Tabla2[[#This Row],[Código]],Tabla6[#All],4,FALSE)</f>
        <v>0075-1600-44-000000033</v>
      </c>
      <c r="G4" s="9">
        <v>334.12</v>
      </c>
    </row>
    <row r="5" spans="1:7" x14ac:dyDescent="0.25">
      <c r="A5" s="7">
        <v>43535</v>
      </c>
      <c r="B5" s="4">
        <v>33</v>
      </c>
      <c r="C5" s="5" t="s">
        <v>8</v>
      </c>
      <c r="D5" s="1" t="str">
        <f>HLOOKUP(Tabla2[[#This Row],[Código]],Tabla6[#All],2,FALSE)</f>
        <v>RODRIGO RODRIGUEZ PEZ</v>
      </c>
      <c r="E5" s="1" t="str">
        <f>HLOOKUP(Tabla2[[#This Row],[Código]],Tabla6[#All],3,FALSE)</f>
        <v>Aplazado 30 días</v>
      </c>
      <c r="F5" s="5" t="str">
        <f>HLOOKUP(Tabla2[[#This Row],[Código]],Tabla6[#All],4,FALSE)</f>
        <v>1235-1600-44-000000028</v>
      </c>
      <c r="G5" s="10">
        <v>254.24</v>
      </c>
    </row>
    <row r="6" spans="1:7" x14ac:dyDescent="0.25">
      <c r="A6" s="6">
        <v>43536</v>
      </c>
      <c r="B6" s="3">
        <v>34</v>
      </c>
      <c r="C6" s="5" t="s">
        <v>9</v>
      </c>
      <c r="D6" s="1" t="str">
        <f>HLOOKUP(Tabla2[[#This Row],[Código]],Tabla6[#All],2,FALSE)</f>
        <v>ARFLOR SL.</v>
      </c>
      <c r="E6" s="1" t="str">
        <f>HLOOKUP(Tabla2[[#This Row],[Código]],Tabla6[#All],3,FALSE)</f>
        <v>Contado</v>
      </c>
      <c r="F6" s="5" t="str">
        <f>HLOOKUP(Tabla2[[#This Row],[Código]],Tabla6[#All],4,FALSE)</f>
        <v>0075-1000-45-000000546</v>
      </c>
      <c r="G6" s="10">
        <v>12.3</v>
      </c>
    </row>
    <row r="7" spans="1:7" x14ac:dyDescent="0.25">
      <c r="A7" s="7">
        <v>43536</v>
      </c>
      <c r="B7" s="4">
        <v>35</v>
      </c>
      <c r="C7" s="5" t="s">
        <v>8</v>
      </c>
      <c r="D7" s="1" t="str">
        <f>HLOOKUP(Tabla2[[#This Row],[Código]],Tabla6[#All],2,FALSE)</f>
        <v>RODRIGO RODRIGUEZ PEZ</v>
      </c>
      <c r="E7" s="1" t="str">
        <f>HLOOKUP(Tabla2[[#This Row],[Código]],Tabla6[#All],3,FALSE)</f>
        <v>Aplazado 30 días</v>
      </c>
      <c r="F7" s="5" t="str">
        <f>HLOOKUP(Tabla2[[#This Row],[Código]],Tabla6[#All],4,FALSE)</f>
        <v>1235-1600-44-000000028</v>
      </c>
      <c r="G7" s="10">
        <v>876.5</v>
      </c>
    </row>
    <row r="8" spans="1:7" x14ac:dyDescent="0.25">
      <c r="A8" s="6">
        <v>43536</v>
      </c>
      <c r="B8" s="3">
        <v>36</v>
      </c>
      <c r="C8" s="5" t="s">
        <v>10</v>
      </c>
      <c r="D8" s="1" t="str">
        <f>HLOOKUP(Tabla2[[#This Row],[Código]],Tabla6[#All],2,FALSE)</f>
        <v>FOIGRAS SL</v>
      </c>
      <c r="E8" s="1" t="str">
        <f>HLOOKUP(Tabla2[[#This Row],[Código]],Tabla6[#All],3,FALSE)</f>
        <v>Aplazado 30 días</v>
      </c>
      <c r="F8" s="5" t="str">
        <f>HLOOKUP(Tabla2[[#This Row],[Código]],Tabla6[#All],4,FALSE)</f>
        <v>0075-1600-46-000000531</v>
      </c>
      <c r="G8" s="10">
        <v>545.25</v>
      </c>
    </row>
    <row r="9" spans="1:7" x14ac:dyDescent="0.25">
      <c r="A9" s="7">
        <v>43537</v>
      </c>
      <c r="B9" s="4">
        <v>38</v>
      </c>
      <c r="C9" s="5" t="s">
        <v>11</v>
      </c>
      <c r="D9" s="1" t="str">
        <f>HLOOKUP(Tabla2[[#This Row],[Código]],Tabla6[#All],2,FALSE)</f>
        <v>MARÍA DEL VALLE VALL AZUL</v>
      </c>
      <c r="E9" s="1" t="str">
        <f>HLOOKUP(Tabla2[[#This Row],[Código]],Tabla6[#All],3,FALSE)</f>
        <v>Contado</v>
      </c>
      <c r="F9" s="5" t="str">
        <f>HLOOKUP(Tabla2[[#This Row],[Código]],Tabla6[#All],4,FALSE)</f>
        <v>1245-2000-85-000000066</v>
      </c>
      <c r="G9" s="10">
        <v>950.3</v>
      </c>
    </row>
  </sheetData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28154-85F7-4EF8-A7A1-3364164DB265}">
  <dimension ref="A2:G9"/>
  <sheetViews>
    <sheetView zoomScale="70" zoomScaleNormal="70" workbookViewId="0">
      <selection activeCell="E1" sqref="E1:E1048576"/>
    </sheetView>
  </sheetViews>
  <sheetFormatPr baseColWidth="10" defaultRowHeight="15" x14ac:dyDescent="0.25"/>
  <cols>
    <col min="1" max="1" width="13.5703125" customWidth="1"/>
    <col min="2" max="2" width="14.28515625" customWidth="1"/>
    <col min="3" max="3" width="16" bestFit="1" customWidth="1"/>
    <col min="4" max="4" width="31" bestFit="1" customWidth="1"/>
    <col min="5" max="5" width="25" bestFit="1" customWidth="1"/>
    <col min="6" max="6" width="22.5703125" bestFit="1" customWidth="1"/>
    <col min="7" max="7" width="13.7109375" customWidth="1"/>
  </cols>
  <sheetData>
    <row r="2" spans="1:7" x14ac:dyDescent="0.25">
      <c r="A2" s="1" t="s">
        <v>0</v>
      </c>
      <c r="B2" s="1" t="s">
        <v>1</v>
      </c>
      <c r="C2" s="1" t="s">
        <v>2</v>
      </c>
      <c r="D2" s="1" t="s">
        <v>6</v>
      </c>
      <c r="E2" s="1" t="s">
        <v>3</v>
      </c>
      <c r="F2" s="1" t="s">
        <v>4</v>
      </c>
      <c r="G2" s="1" t="s">
        <v>5</v>
      </c>
    </row>
    <row r="3" spans="1:7" x14ac:dyDescent="0.25">
      <c r="A3" s="8"/>
      <c r="B3" s="5"/>
      <c r="C3" s="5"/>
      <c r="D3" s="2" t="e">
        <f>VLOOKUP(Tabla2[[#This Row],[Código]],Tabla3[#All],2,FALSE)</f>
        <v>#N/A</v>
      </c>
      <c r="E3" s="2" t="e">
        <f>VLOOKUP(Tabla2[[#This Row],[Código]],Tabla3[#All],3,FALSE)</f>
        <v>#N/A</v>
      </c>
      <c r="F3" s="2" t="e">
        <f>VLOOKUP(Tabla2[[#This Row],[Código]],Tabla3[#All],4,FALSE)</f>
        <v>#N/A</v>
      </c>
      <c r="G3" s="10"/>
    </row>
    <row r="4" spans="1:7" ht="30" x14ac:dyDescent="0.25">
      <c r="A4" s="6">
        <v>43535</v>
      </c>
      <c r="B4" s="3">
        <v>32</v>
      </c>
      <c r="C4" s="1" t="s">
        <v>7</v>
      </c>
      <c r="D4" s="1" t="str">
        <f>VLOOKUP(Tabla2[[#This Row],[Código]],Tabla3[#All],2,FALSE)</f>
        <v>MARIA CLARA MIRONA</v>
      </c>
      <c r="E4" s="1" t="str">
        <f>VLOOKUP(Tabla2[[#This Row],[Código]],Tabla3[#All],3,FALSE)</f>
        <v>Aplazado 30 días</v>
      </c>
      <c r="F4" s="1" t="str">
        <f>VLOOKUP(Tabla2[[#This Row],[Código]],Tabla3[#All],4,FALSE)</f>
        <v>0075-1600-44-000000033</v>
      </c>
      <c r="G4" s="9">
        <v>334.12</v>
      </c>
    </row>
    <row r="5" spans="1:7" ht="30" x14ac:dyDescent="0.25">
      <c r="A5" s="7">
        <v>43535</v>
      </c>
      <c r="B5" s="4">
        <v>33</v>
      </c>
      <c r="C5" s="5" t="s">
        <v>8</v>
      </c>
      <c r="D5" s="5" t="str">
        <f>VLOOKUP(Tabla2[[#This Row],[Código]],Tabla3[#All],2,FALSE)</f>
        <v>RODRIGO RODRIGUEZ PEZ</v>
      </c>
      <c r="E5" s="1" t="str">
        <f>VLOOKUP(Tabla2[[#This Row],[Código]],Tabla3[#All],3,FALSE)</f>
        <v>Aplazado 30 días</v>
      </c>
      <c r="F5" s="1" t="str">
        <f>VLOOKUP(Tabla2[[#This Row],[Código]],Tabla3[#All],4,FALSE)</f>
        <v>1235-1600-44-000000028</v>
      </c>
      <c r="G5" s="10">
        <v>254.24</v>
      </c>
    </row>
    <row r="6" spans="1:7" ht="30" x14ac:dyDescent="0.25">
      <c r="A6" s="6">
        <v>43536</v>
      </c>
      <c r="B6" s="3">
        <v>34</v>
      </c>
      <c r="C6" s="5" t="s">
        <v>9</v>
      </c>
      <c r="D6" s="5" t="str">
        <f>VLOOKUP(Tabla2[[#This Row],[Código]],Tabla3[#All],2,FALSE)</f>
        <v>ARFLOR SL.</v>
      </c>
      <c r="E6" s="1" t="str">
        <f>VLOOKUP(Tabla2[[#This Row],[Código]],Tabla3[#All],3,FALSE)</f>
        <v>Contado</v>
      </c>
      <c r="F6" s="1" t="str">
        <f>VLOOKUP(Tabla2[[#This Row],[Código]],Tabla3[#All],4,FALSE)</f>
        <v>0075-1000-45-000000546</v>
      </c>
      <c r="G6" s="10">
        <v>12.3</v>
      </c>
    </row>
    <row r="7" spans="1:7" ht="30" x14ac:dyDescent="0.25">
      <c r="A7" s="7">
        <v>43536</v>
      </c>
      <c r="B7" s="4">
        <v>35</v>
      </c>
      <c r="C7" s="5" t="s">
        <v>8</v>
      </c>
      <c r="D7" s="5" t="str">
        <f>VLOOKUP(Tabla2[[#This Row],[Código]],Tabla3[#All],2,FALSE)</f>
        <v>RODRIGO RODRIGUEZ PEZ</v>
      </c>
      <c r="E7" s="1" t="str">
        <f>VLOOKUP(Tabla2[[#This Row],[Código]],Tabla3[#All],3,FALSE)</f>
        <v>Aplazado 30 días</v>
      </c>
      <c r="F7" s="1" t="str">
        <f>VLOOKUP(Tabla2[[#This Row],[Código]],Tabla3[#All],4,FALSE)</f>
        <v>1235-1600-44-000000028</v>
      </c>
      <c r="G7" s="10">
        <v>876.5</v>
      </c>
    </row>
    <row r="8" spans="1:7" ht="30" x14ac:dyDescent="0.25">
      <c r="A8" s="6">
        <v>43536</v>
      </c>
      <c r="B8" s="3">
        <v>36</v>
      </c>
      <c r="C8" s="5" t="s">
        <v>10</v>
      </c>
      <c r="D8" s="5" t="str">
        <f>VLOOKUP(Tabla2[[#This Row],[Código]],Tabla3[#All],2,FALSE)</f>
        <v>FOIGRAS SL</v>
      </c>
      <c r="E8" s="1" t="str">
        <f>VLOOKUP(Tabla2[[#This Row],[Código]],Tabla3[#All],3,FALSE)</f>
        <v>Aplazado 30 días</v>
      </c>
      <c r="F8" s="1" t="str">
        <f>VLOOKUP(Tabla2[[#This Row],[Código]],Tabla3[#All],4,FALSE)</f>
        <v>0075-1600-46-000000531</v>
      </c>
      <c r="G8" s="10">
        <v>545.25</v>
      </c>
    </row>
    <row r="9" spans="1:7" ht="30" x14ac:dyDescent="0.25">
      <c r="A9" s="7">
        <v>43537</v>
      </c>
      <c r="B9" s="4">
        <v>38</v>
      </c>
      <c r="C9" s="5" t="s">
        <v>11</v>
      </c>
      <c r="D9" s="5" t="str">
        <f>VLOOKUP(Tabla2[[#This Row],[Código]],Tabla3[#All],2,FALSE)</f>
        <v>MARÍA DEL VALLE VALL AZUL</v>
      </c>
      <c r="E9" s="1" t="str">
        <f>VLOOKUP(Tabla2[[#This Row],[Código]],Tabla3[#All],3,FALSE)</f>
        <v>Contado</v>
      </c>
      <c r="F9" s="1" t="str">
        <f>VLOOKUP(Tabla2[[#This Row],[Código]],Tabla3[#All],4,FALSE)</f>
        <v>1245-2000-85-000000066</v>
      </c>
      <c r="G9" s="10">
        <v>950.3</v>
      </c>
    </row>
  </sheetData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1F738-09EA-4E55-B5E3-CA9A55775CD4}">
  <dimension ref="B2:E13"/>
  <sheetViews>
    <sheetView workbookViewId="0">
      <selection activeCell="E3" sqref="E3"/>
    </sheetView>
  </sheetViews>
  <sheetFormatPr baseColWidth="10" defaultRowHeight="15" x14ac:dyDescent="0.25"/>
  <cols>
    <col min="2" max="2" width="10.5703125" bestFit="1" customWidth="1"/>
    <col min="3" max="3" width="26.140625" bestFit="1" customWidth="1"/>
    <col min="4" max="4" width="16.28515625" bestFit="1" customWidth="1"/>
    <col min="5" max="5" width="14.7109375" customWidth="1"/>
  </cols>
  <sheetData>
    <row r="2" spans="2:5" x14ac:dyDescent="0.25">
      <c r="B2" t="s">
        <v>12</v>
      </c>
      <c r="C2" t="s">
        <v>13</v>
      </c>
      <c r="D2" t="s">
        <v>3</v>
      </c>
      <c r="E2" t="s">
        <v>4</v>
      </c>
    </row>
    <row r="3" spans="2:5" ht="30" x14ac:dyDescent="0.25">
      <c r="B3" s="5" t="s">
        <v>7</v>
      </c>
      <c r="C3" s="5" t="s">
        <v>30</v>
      </c>
      <c r="D3" s="5" t="s">
        <v>31</v>
      </c>
      <c r="E3" s="1" t="s">
        <v>33</v>
      </c>
    </row>
    <row r="4" spans="2:5" ht="30" x14ac:dyDescent="0.25">
      <c r="B4" s="5" t="s">
        <v>10</v>
      </c>
      <c r="C4" s="5" t="s">
        <v>29</v>
      </c>
      <c r="D4" s="5" t="s">
        <v>31</v>
      </c>
      <c r="E4" s="1" t="s">
        <v>34</v>
      </c>
    </row>
    <row r="5" spans="2:5" ht="30" x14ac:dyDescent="0.25">
      <c r="B5" s="5" t="s">
        <v>14</v>
      </c>
      <c r="C5" s="5" t="s">
        <v>28</v>
      </c>
      <c r="D5" s="5" t="s">
        <v>31</v>
      </c>
      <c r="E5" s="1" t="s">
        <v>35</v>
      </c>
    </row>
    <row r="6" spans="2:5" ht="30" x14ac:dyDescent="0.25">
      <c r="B6" s="5" t="s">
        <v>8</v>
      </c>
      <c r="C6" s="5" t="s">
        <v>27</v>
      </c>
      <c r="D6" s="5" t="s">
        <v>31</v>
      </c>
      <c r="E6" s="1" t="s">
        <v>36</v>
      </c>
    </row>
    <row r="7" spans="2:5" ht="30" x14ac:dyDescent="0.25">
      <c r="B7" s="5" t="s">
        <v>15</v>
      </c>
      <c r="C7" s="5" t="s">
        <v>26</v>
      </c>
      <c r="D7" s="5" t="s">
        <v>31</v>
      </c>
      <c r="E7" s="1" t="s">
        <v>37</v>
      </c>
    </row>
    <row r="8" spans="2:5" ht="30" x14ac:dyDescent="0.25">
      <c r="B8" s="5" t="s">
        <v>16</v>
      </c>
      <c r="C8" s="5" t="s">
        <v>25</v>
      </c>
      <c r="D8" s="5" t="s">
        <v>31</v>
      </c>
      <c r="E8" s="1" t="s">
        <v>38</v>
      </c>
    </row>
    <row r="9" spans="2:5" ht="30" x14ac:dyDescent="0.25">
      <c r="B9" s="5" t="s">
        <v>9</v>
      </c>
      <c r="C9" s="5" t="s">
        <v>24</v>
      </c>
      <c r="D9" s="5" t="s">
        <v>32</v>
      </c>
      <c r="E9" s="1" t="s">
        <v>39</v>
      </c>
    </row>
    <row r="10" spans="2:5" ht="30" x14ac:dyDescent="0.25">
      <c r="B10" s="5" t="s">
        <v>17</v>
      </c>
      <c r="C10" s="5" t="s">
        <v>23</v>
      </c>
      <c r="D10" s="5" t="s">
        <v>32</v>
      </c>
      <c r="E10" s="1" t="s">
        <v>40</v>
      </c>
    </row>
    <row r="11" spans="2:5" ht="30" x14ac:dyDescent="0.25">
      <c r="B11" s="5" t="s">
        <v>18</v>
      </c>
      <c r="C11" s="5" t="s">
        <v>20</v>
      </c>
      <c r="D11" s="5" t="s">
        <v>32</v>
      </c>
      <c r="E11" s="1" t="s">
        <v>41</v>
      </c>
    </row>
    <row r="12" spans="2:5" ht="30" x14ac:dyDescent="0.25">
      <c r="B12" s="5" t="s">
        <v>11</v>
      </c>
      <c r="C12" s="5" t="s">
        <v>21</v>
      </c>
      <c r="D12" s="5" t="s">
        <v>32</v>
      </c>
      <c r="E12" s="1" t="s">
        <v>42</v>
      </c>
    </row>
    <row r="13" spans="2:5" ht="30" x14ac:dyDescent="0.25">
      <c r="B13" s="5" t="s">
        <v>19</v>
      </c>
      <c r="C13" s="5" t="s">
        <v>22</v>
      </c>
      <c r="D13" s="5" t="s">
        <v>32</v>
      </c>
      <c r="E13" s="1" t="s">
        <v>43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459D9-C9E5-4881-9C7C-B643DC629A3B}">
  <dimension ref="A3:M8"/>
  <sheetViews>
    <sheetView zoomScale="70" zoomScaleNormal="70" workbookViewId="0">
      <selection activeCell="C11" sqref="C11"/>
    </sheetView>
  </sheetViews>
  <sheetFormatPr baseColWidth="10" defaultRowHeight="15" x14ac:dyDescent="0.25"/>
  <cols>
    <col min="1" max="1" width="12.140625" customWidth="1"/>
    <col min="2" max="2" width="15.28515625" bestFit="1" customWidth="1"/>
    <col min="3" max="7" width="15.42578125" bestFit="1" customWidth="1"/>
    <col min="8" max="8" width="15.7109375" customWidth="1"/>
    <col min="9" max="9" width="15.28515625" bestFit="1" customWidth="1"/>
    <col min="10" max="10" width="16.42578125" bestFit="1" customWidth="1"/>
    <col min="11" max="11" width="16.7109375" bestFit="1" customWidth="1"/>
  </cols>
  <sheetData>
    <row r="3" spans="1:13" x14ac:dyDescent="0.25">
      <c r="A3" s="11" t="s">
        <v>12</v>
      </c>
      <c r="B3" s="1" t="s">
        <v>7</v>
      </c>
      <c r="C3" s="1" t="s">
        <v>10</v>
      </c>
      <c r="D3" s="1" t="s">
        <v>14</v>
      </c>
      <c r="E3" s="1" t="s">
        <v>8</v>
      </c>
      <c r="F3" s="1" t="s">
        <v>15</v>
      </c>
      <c r="G3" s="1" t="s">
        <v>16</v>
      </c>
      <c r="H3" s="1" t="s">
        <v>9</v>
      </c>
      <c r="I3" s="1" t="s">
        <v>18</v>
      </c>
      <c r="J3" s="1" t="s">
        <v>11</v>
      </c>
      <c r="K3" s="1" t="s">
        <v>19</v>
      </c>
      <c r="L3" s="1"/>
      <c r="M3" s="1"/>
    </row>
    <row r="4" spans="1:13" ht="30" x14ac:dyDescent="0.25">
      <c r="A4" s="11" t="s">
        <v>13</v>
      </c>
      <c r="B4" s="1" t="s">
        <v>46</v>
      </c>
      <c r="C4" s="1" t="s">
        <v>29</v>
      </c>
      <c r="D4" s="1" t="s">
        <v>28</v>
      </c>
      <c r="E4" s="1" t="s">
        <v>27</v>
      </c>
      <c r="F4" s="1" t="s">
        <v>26</v>
      </c>
      <c r="G4" s="1" t="s">
        <v>25</v>
      </c>
      <c r="H4" s="1" t="s">
        <v>24</v>
      </c>
      <c r="I4" s="1" t="s">
        <v>20</v>
      </c>
      <c r="J4" s="1" t="s">
        <v>21</v>
      </c>
      <c r="K4" s="1" t="s">
        <v>22</v>
      </c>
      <c r="L4" s="1"/>
      <c r="M4" s="1"/>
    </row>
    <row r="5" spans="1:13" ht="30" x14ac:dyDescent="0.25">
      <c r="A5" s="11" t="s">
        <v>44</v>
      </c>
      <c r="B5" s="1" t="s">
        <v>31</v>
      </c>
      <c r="C5" s="1" t="s">
        <v>31</v>
      </c>
      <c r="D5" s="1" t="s">
        <v>31</v>
      </c>
      <c r="E5" s="1" t="s">
        <v>31</v>
      </c>
      <c r="F5" s="1" t="s">
        <v>31</v>
      </c>
      <c r="G5" s="1" t="s">
        <v>31</v>
      </c>
      <c r="H5" s="1" t="s">
        <v>32</v>
      </c>
      <c r="I5" s="1" t="s">
        <v>32</v>
      </c>
      <c r="J5" s="1" t="s">
        <v>32</v>
      </c>
      <c r="K5" s="1" t="s">
        <v>32</v>
      </c>
      <c r="L5" s="1"/>
      <c r="M5" s="1"/>
    </row>
    <row r="6" spans="1:13" ht="30" x14ac:dyDescent="0.25">
      <c r="A6" s="11" t="s">
        <v>45</v>
      </c>
      <c r="B6" s="1" t="s">
        <v>33</v>
      </c>
      <c r="C6" s="1" t="s">
        <v>34</v>
      </c>
      <c r="D6" s="1" t="s">
        <v>35</v>
      </c>
      <c r="E6" s="1" t="s">
        <v>36</v>
      </c>
      <c r="F6" s="1" t="s">
        <v>37</v>
      </c>
      <c r="G6" s="1" t="s">
        <v>38</v>
      </c>
      <c r="H6" s="1" t="s">
        <v>39</v>
      </c>
      <c r="I6" s="1" t="s">
        <v>41</v>
      </c>
      <c r="J6" s="1" t="s">
        <v>42</v>
      </c>
      <c r="K6" s="1" t="s">
        <v>43</v>
      </c>
      <c r="L6" s="1"/>
      <c r="M6" s="1"/>
    </row>
    <row r="7" spans="1:13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96EF6-5F49-4373-AEEF-B17234CC396D}">
  <dimension ref="A2:F25"/>
  <sheetViews>
    <sheetView zoomScale="70" zoomScaleNormal="70" workbookViewId="0">
      <selection activeCell="H10" sqref="H10"/>
    </sheetView>
  </sheetViews>
  <sheetFormatPr baseColWidth="10" defaultRowHeight="15" x14ac:dyDescent="0.25"/>
  <cols>
    <col min="1" max="1" width="20.7109375" customWidth="1"/>
    <col min="2" max="2" width="16.7109375" customWidth="1"/>
    <col min="3" max="3" width="13" bestFit="1" customWidth="1"/>
    <col min="4" max="4" width="15.85546875" bestFit="1" customWidth="1"/>
  </cols>
  <sheetData>
    <row r="2" spans="1:5" ht="21" x14ac:dyDescent="0.35">
      <c r="A2" s="61" t="s">
        <v>47</v>
      </c>
      <c r="B2" s="62"/>
      <c r="C2" s="62"/>
      <c r="D2" s="63"/>
      <c r="E2" s="2"/>
    </row>
    <row r="3" spans="1:5" x14ac:dyDescent="0.25">
      <c r="A3" s="13" t="s">
        <v>48</v>
      </c>
      <c r="B3" s="14"/>
      <c r="C3" s="14"/>
      <c r="D3" s="15"/>
      <c r="E3" s="2"/>
    </row>
    <row r="4" spans="1:5" x14ac:dyDescent="0.25">
      <c r="A4" s="13" t="s">
        <v>49</v>
      </c>
      <c r="B4" s="16"/>
      <c r="C4" s="17"/>
      <c r="D4" s="18"/>
    </row>
    <row r="5" spans="1:5" x14ac:dyDescent="0.25">
      <c r="A5" s="19"/>
      <c r="B5" s="20" t="s">
        <v>50</v>
      </c>
      <c r="C5" s="20" t="s">
        <v>51</v>
      </c>
      <c r="D5" s="21"/>
    </row>
    <row r="6" spans="1:5" x14ac:dyDescent="0.25">
      <c r="B6" s="2"/>
      <c r="C6" s="2"/>
      <c r="D6" s="2"/>
    </row>
    <row r="7" spans="1:5" x14ac:dyDescent="0.25">
      <c r="A7" s="22" t="s">
        <v>53</v>
      </c>
      <c r="B7" s="23" t="s">
        <v>148</v>
      </c>
      <c r="C7" s="24" t="s">
        <v>54</v>
      </c>
      <c r="D7" s="23"/>
    </row>
    <row r="8" spans="1:5" x14ac:dyDescent="0.25">
      <c r="A8" s="64" t="s">
        <v>52</v>
      </c>
      <c r="B8" s="64"/>
      <c r="C8" s="64"/>
      <c r="D8" s="64"/>
    </row>
    <row r="9" spans="1:5" x14ac:dyDescent="0.25">
      <c r="A9" s="25" t="s">
        <v>55</v>
      </c>
      <c r="B9" s="25" t="str">
        <f>IF($B$7="ARF",VLOOKUP($B$7,$A$22:$F$25,3),IF($B$7="ARR",VLOOKUP($B$7,$A$22:$F$25,3),IF($B$7="CAB",VLOOKUP($B$7,$A$22:$F$25,3),IF($B$7="TEJ",VLOOKUP($B$7,$A$22:$F$25,3),""))))</f>
        <v>Aéreo</v>
      </c>
      <c r="C9" s="25" t="s">
        <v>57</v>
      </c>
      <c r="D9" s="25" t="str">
        <f>IF($B$7="ARF",VLOOKUP($B$7,$A$22:$F$25,5),IF($B$7="ARR",VLOOKUP($B$7,$A$22:$F$25,5),IF($B$7="CAB",VLOOKUP($B$7,$A$22:$F$25,5),IF($B$7="TEJ",VLOOKUP($B$7,$A$22:$F$25,5),""))))</f>
        <v>24 horas</v>
      </c>
    </row>
    <row r="10" spans="1:5" x14ac:dyDescent="0.25">
      <c r="A10" s="25" t="s">
        <v>56</v>
      </c>
      <c r="B10" s="25" t="str">
        <f>IF($B$7="ARF",VLOOKUP($B$7,$A$22:$F$25,4),IF($B$7="ARR",VLOOKUP($B$7,$A$22:$F$25,4),IF($B$7="CAB",VLOOKUP($B$7,$A$22:$F$25,4),IF($B$7="TEJ",VLOOKUP($B$7,$A$22:$F$25,4),""))))</f>
        <v>Contado</v>
      </c>
      <c r="C10" s="25" t="s">
        <v>58</v>
      </c>
      <c r="D10" s="25" t="str">
        <f>IF($B$7="ARF",VLOOKUP($B$7,$A$22:$F$25,6),IF($B$7="ARR",VLOOKUP($B$7,$A$22:$F$25,6),IF($B$7="CAB",VLOOKUP($B$7,$A$22:$F$25,6),IF($B$7="TEJ",VLOOKUP($B$7,$A$22:$F$25,6),""))))</f>
        <v>Almacén</v>
      </c>
    </row>
    <row r="12" spans="1:5" x14ac:dyDescent="0.25">
      <c r="A12" s="26" t="s">
        <v>59</v>
      </c>
      <c r="B12" s="26" t="s">
        <v>60</v>
      </c>
      <c r="C12" s="26" t="s">
        <v>61</v>
      </c>
      <c r="D12" s="26" t="s">
        <v>62</v>
      </c>
    </row>
    <row r="13" spans="1:5" x14ac:dyDescent="0.25">
      <c r="A13" s="25"/>
      <c r="B13" s="25"/>
      <c r="C13" s="25"/>
      <c r="D13" s="25"/>
    </row>
    <row r="14" spans="1:5" x14ac:dyDescent="0.25">
      <c r="A14" s="25"/>
      <c r="B14" s="25"/>
      <c r="C14" s="25"/>
      <c r="D14" s="25"/>
    </row>
    <row r="15" spans="1:5" x14ac:dyDescent="0.25">
      <c r="A15" s="25"/>
      <c r="B15" s="25"/>
      <c r="C15" s="25"/>
      <c r="D15" s="25"/>
    </row>
    <row r="16" spans="1:5" x14ac:dyDescent="0.25">
      <c r="A16" s="25"/>
      <c r="B16" s="25"/>
      <c r="C16" s="25"/>
      <c r="D16" s="25"/>
    </row>
    <row r="17" spans="1:6" x14ac:dyDescent="0.25">
      <c r="A17" s="25"/>
      <c r="B17" s="25"/>
      <c r="C17" s="25"/>
      <c r="D17" s="25"/>
    </row>
    <row r="18" spans="1:6" x14ac:dyDescent="0.25">
      <c r="A18" s="25"/>
      <c r="B18" s="25"/>
      <c r="C18" s="25"/>
      <c r="D18" s="25"/>
    </row>
    <row r="21" spans="1:6" ht="30" x14ac:dyDescent="0.25">
      <c r="A21" s="27" t="s">
        <v>63</v>
      </c>
      <c r="B21" s="27" t="s">
        <v>64</v>
      </c>
      <c r="C21" s="27" t="s">
        <v>65</v>
      </c>
      <c r="D21" s="27" t="s">
        <v>56</v>
      </c>
      <c r="E21" s="27" t="s">
        <v>57</v>
      </c>
      <c r="F21" s="27" t="s">
        <v>66</v>
      </c>
    </row>
    <row r="22" spans="1:6" x14ac:dyDescent="0.25">
      <c r="A22" s="29" t="s">
        <v>9</v>
      </c>
      <c r="B22" s="29" t="s">
        <v>67</v>
      </c>
      <c r="C22" s="29" t="s">
        <v>71</v>
      </c>
      <c r="D22" s="29" t="s">
        <v>32</v>
      </c>
      <c r="E22" s="29" t="s">
        <v>72</v>
      </c>
      <c r="F22" s="29" t="s">
        <v>73</v>
      </c>
    </row>
    <row r="23" spans="1:6" x14ac:dyDescent="0.25">
      <c r="A23" s="29" t="s">
        <v>17</v>
      </c>
      <c r="B23" s="29" t="s">
        <v>68</v>
      </c>
      <c r="C23" s="29" t="s">
        <v>79</v>
      </c>
      <c r="D23" s="29" t="s">
        <v>32</v>
      </c>
      <c r="E23" s="29" t="s">
        <v>75</v>
      </c>
      <c r="F23" s="29" t="s">
        <v>74</v>
      </c>
    </row>
    <row r="24" spans="1:6" x14ac:dyDescent="0.25">
      <c r="A24" s="29" t="s">
        <v>18</v>
      </c>
      <c r="B24" s="29" t="s">
        <v>69</v>
      </c>
      <c r="C24" s="29" t="s">
        <v>78</v>
      </c>
      <c r="D24" s="29" t="s">
        <v>32</v>
      </c>
      <c r="E24" s="29" t="s">
        <v>76</v>
      </c>
      <c r="F24" s="29" t="s">
        <v>73</v>
      </c>
    </row>
    <row r="25" spans="1:6" ht="30" x14ac:dyDescent="0.25">
      <c r="A25" s="29" t="s">
        <v>16</v>
      </c>
      <c r="B25" s="29" t="s">
        <v>70</v>
      </c>
      <c r="C25" s="29" t="s">
        <v>77</v>
      </c>
      <c r="D25" s="29" t="s">
        <v>31</v>
      </c>
      <c r="E25" s="29" t="s">
        <v>75</v>
      </c>
      <c r="F25" s="29" t="s">
        <v>74</v>
      </c>
    </row>
  </sheetData>
  <mergeCells count="2">
    <mergeCell ref="A2:D2"/>
    <mergeCell ref="A8:D8"/>
  </mergeCells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0B422-FF47-4CE3-A9B9-D5338C7814F6}">
  <dimension ref="A2:J22"/>
  <sheetViews>
    <sheetView zoomScale="70" zoomScaleNormal="70" workbookViewId="0">
      <selection activeCell="G19" sqref="G19"/>
    </sheetView>
  </sheetViews>
  <sheetFormatPr baseColWidth="10" defaultRowHeight="15" x14ac:dyDescent="0.25"/>
  <cols>
    <col min="1" max="1" width="12.42578125" bestFit="1" customWidth="1"/>
    <col min="2" max="2" width="30.7109375" bestFit="1" customWidth="1"/>
    <col min="3" max="3" width="13.42578125" customWidth="1"/>
    <col min="8" max="8" width="14.85546875" customWidth="1"/>
    <col min="9" max="9" width="16.5703125" customWidth="1"/>
  </cols>
  <sheetData>
    <row r="2" spans="1:10" x14ac:dyDescent="0.25">
      <c r="A2" s="65"/>
      <c r="B2" s="66"/>
      <c r="C2" s="66"/>
      <c r="D2" s="66"/>
      <c r="E2" s="66"/>
      <c r="F2" s="66"/>
      <c r="G2" s="66"/>
      <c r="H2" s="66"/>
      <c r="I2" s="66"/>
      <c r="J2" s="67"/>
    </row>
    <row r="3" spans="1:10" x14ac:dyDescent="0.25">
      <c r="A3" s="72" t="s">
        <v>80</v>
      </c>
      <c r="B3" s="73"/>
      <c r="C3" s="73"/>
      <c r="D3" s="73"/>
      <c r="E3" s="73"/>
      <c r="F3" s="73"/>
      <c r="G3" s="73"/>
      <c r="H3" s="73"/>
      <c r="I3" s="73"/>
      <c r="J3" s="74"/>
    </row>
    <row r="4" spans="1:10" x14ac:dyDescent="0.25">
      <c r="A4" s="68" t="s">
        <v>0</v>
      </c>
      <c r="B4" s="68" t="s">
        <v>81</v>
      </c>
      <c r="C4" s="70" t="s">
        <v>82</v>
      </c>
      <c r="D4" s="71"/>
      <c r="E4" s="68" t="s">
        <v>85</v>
      </c>
      <c r="F4" s="70" t="s">
        <v>86</v>
      </c>
      <c r="G4" s="71"/>
      <c r="H4" s="70" t="s">
        <v>89</v>
      </c>
      <c r="I4" s="71"/>
      <c r="J4" s="68" t="s">
        <v>90</v>
      </c>
    </row>
    <row r="5" spans="1:10" x14ac:dyDescent="0.25">
      <c r="A5" s="69"/>
      <c r="B5" s="69"/>
      <c r="C5" s="30" t="s">
        <v>83</v>
      </c>
      <c r="D5" s="30" t="s">
        <v>84</v>
      </c>
      <c r="E5" s="69"/>
      <c r="F5" s="30" t="s">
        <v>87</v>
      </c>
      <c r="G5" s="30" t="s">
        <v>88</v>
      </c>
      <c r="H5" s="30" t="s">
        <v>87</v>
      </c>
      <c r="I5" s="30" t="s">
        <v>88</v>
      </c>
      <c r="J5" s="69"/>
    </row>
    <row r="6" spans="1:10" x14ac:dyDescent="0.25">
      <c r="A6" s="35"/>
      <c r="B6" s="29"/>
      <c r="C6" s="29"/>
      <c r="D6" s="29"/>
      <c r="E6" s="29"/>
      <c r="F6" s="36"/>
      <c r="G6" s="29"/>
      <c r="H6" s="29"/>
      <c r="I6" s="29" t="str">
        <f>IF(F6=7%,1,IF(F6=16%,4,""))</f>
        <v/>
      </c>
      <c r="J6" s="29">
        <f>(F6*G6)+G6</f>
        <v>0</v>
      </c>
    </row>
    <row r="7" spans="1:10" x14ac:dyDescent="0.25">
      <c r="A7" s="29"/>
      <c r="B7" s="29"/>
      <c r="C7" s="29"/>
      <c r="D7" s="29"/>
      <c r="E7" s="29"/>
      <c r="F7" s="29"/>
      <c r="G7" s="29"/>
      <c r="H7" s="29"/>
      <c r="I7" s="29" t="str">
        <f t="shared" ref="I7:I8" si="0">IF(F7=7%,1,IF(F7=16%,4,""))</f>
        <v/>
      </c>
      <c r="J7" s="29">
        <f t="shared" ref="J7:J8" si="1">(F7*G7)+G7</f>
        <v>0</v>
      </c>
    </row>
    <row r="8" spans="1:10" x14ac:dyDescent="0.25">
      <c r="A8" s="29"/>
      <c r="B8" s="29"/>
      <c r="C8" s="29"/>
      <c r="D8" s="29"/>
      <c r="E8" s="29"/>
      <c r="F8" s="29"/>
      <c r="G8" s="29"/>
      <c r="H8" s="29"/>
      <c r="I8" s="29" t="str">
        <f t="shared" si="0"/>
        <v/>
      </c>
      <c r="J8" s="29">
        <f t="shared" si="1"/>
        <v>0</v>
      </c>
    </row>
    <row r="11" spans="1:10" x14ac:dyDescent="0.25">
      <c r="B11" s="32" t="s">
        <v>82</v>
      </c>
      <c r="C11" s="32" t="s">
        <v>84</v>
      </c>
      <c r="F11" s="34">
        <v>7.0000000000000007E-2</v>
      </c>
    </row>
    <row r="12" spans="1:10" x14ac:dyDescent="0.25">
      <c r="B12" s="33" t="s">
        <v>30</v>
      </c>
      <c r="C12" s="33" t="s">
        <v>91</v>
      </c>
      <c r="F12" s="34">
        <v>0.16</v>
      </c>
    </row>
    <row r="13" spans="1:10" x14ac:dyDescent="0.25">
      <c r="B13" s="33" t="s">
        <v>92</v>
      </c>
      <c r="C13" s="33" t="s">
        <v>93</v>
      </c>
    </row>
    <row r="14" spans="1:10" x14ac:dyDescent="0.25">
      <c r="B14" s="33" t="s">
        <v>94</v>
      </c>
      <c r="C14" s="33" t="s">
        <v>95</v>
      </c>
    </row>
    <row r="15" spans="1:10" x14ac:dyDescent="0.25">
      <c r="B15" s="33" t="s">
        <v>27</v>
      </c>
      <c r="C15" s="33" t="s">
        <v>96</v>
      </c>
    </row>
    <row r="16" spans="1:10" x14ac:dyDescent="0.25">
      <c r="B16" s="33" t="s">
        <v>97</v>
      </c>
      <c r="C16" s="33" t="s">
        <v>98</v>
      </c>
    </row>
    <row r="17" spans="2:3" x14ac:dyDescent="0.25">
      <c r="B17" s="33" t="s">
        <v>99</v>
      </c>
      <c r="C17" s="33" t="s">
        <v>100</v>
      </c>
    </row>
    <row r="18" spans="2:3" x14ac:dyDescent="0.25">
      <c r="B18" s="33" t="s">
        <v>101</v>
      </c>
      <c r="C18" s="33" t="s">
        <v>102</v>
      </c>
    </row>
    <row r="19" spans="2:3" x14ac:dyDescent="0.25">
      <c r="B19" s="33" t="s">
        <v>103</v>
      </c>
      <c r="C19" s="33" t="s">
        <v>104</v>
      </c>
    </row>
    <row r="20" spans="2:3" x14ac:dyDescent="0.25">
      <c r="B20" s="33" t="s">
        <v>105</v>
      </c>
      <c r="C20" s="33" t="s">
        <v>106</v>
      </c>
    </row>
    <row r="21" spans="2:3" x14ac:dyDescent="0.25">
      <c r="B21" s="33" t="s">
        <v>107</v>
      </c>
      <c r="C21" s="33" t="s">
        <v>108</v>
      </c>
    </row>
    <row r="22" spans="2:3" x14ac:dyDescent="0.25">
      <c r="B22" s="33" t="s">
        <v>109</v>
      </c>
      <c r="C22" s="33" t="s">
        <v>110</v>
      </c>
    </row>
  </sheetData>
  <mergeCells count="9">
    <mergeCell ref="A2:J2"/>
    <mergeCell ref="A4:A5"/>
    <mergeCell ref="B4:B5"/>
    <mergeCell ref="C4:D4"/>
    <mergeCell ref="E4:E5"/>
    <mergeCell ref="F4:G4"/>
    <mergeCell ref="H4:I4"/>
    <mergeCell ref="J4:J5"/>
    <mergeCell ref="A3:J3"/>
  </mergeCells>
  <dataValidations count="4">
    <dataValidation type="date" errorStyle="information" allowBlank="1" showInputMessage="1" showErrorMessage="1" errorTitle="Error en la fecha" error="Se ha de introducir un día del mes de marzo de 2009" sqref="A6:A8" xr:uid="{532BBDC3-7DE9-4B6D-9A80-B6A3D6711333}">
      <formula1>39873</formula1>
      <formula2>39903</formula2>
    </dataValidation>
    <dataValidation type="whole" errorStyle="information" operator="lessThan" allowBlank="1" showInputMessage="1" showErrorMessage="1" errorTitle="Error en el Nº de factura" error="El Nº de factura debe ser un entero inferior a 21" sqref="B6:B8" xr:uid="{EA45B4B7-4A68-4F47-B941-391807697E60}">
      <formula1>21</formula1>
    </dataValidation>
    <dataValidation type="list" allowBlank="1" showInputMessage="1" showErrorMessage="1" sqref="C6:C8" xr:uid="{C3319F51-A457-4276-AE49-3F0C6E847406}">
      <formula1>$B$12:$B$22</formula1>
    </dataValidation>
    <dataValidation type="list" allowBlank="1" showInputMessage="1" showErrorMessage="1" sqref="F6:F8" xr:uid="{FF986680-2C33-464D-BE27-78F17BEF5C06}">
      <formula1>$F$11:$F$12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FDD2A-A911-402E-A7A1-0A68B9C7EEA2}">
  <dimension ref="A1:J18"/>
  <sheetViews>
    <sheetView zoomScale="70" zoomScaleNormal="70" workbookViewId="0">
      <selection activeCell="M12" sqref="M12"/>
    </sheetView>
  </sheetViews>
  <sheetFormatPr baseColWidth="10" defaultRowHeight="15" x14ac:dyDescent="0.25"/>
  <cols>
    <col min="1" max="1" width="30.7109375" customWidth="1"/>
    <col min="10" max="10" width="11.42578125" customWidth="1"/>
  </cols>
  <sheetData>
    <row r="1" spans="1:10" ht="15.75" thickBot="1" x14ac:dyDescent="0.3"/>
    <row r="2" spans="1:10" x14ac:dyDescent="0.25">
      <c r="B2" s="75" t="s">
        <v>116</v>
      </c>
      <c r="C2" s="76"/>
      <c r="D2" s="76"/>
      <c r="E2" s="76"/>
      <c r="F2" s="76"/>
      <c r="G2" s="43">
        <v>0.3</v>
      </c>
      <c r="H2" s="43">
        <v>0.7</v>
      </c>
      <c r="I2" s="76" t="s">
        <v>119</v>
      </c>
      <c r="J2" s="77" t="s">
        <v>120</v>
      </c>
    </row>
    <row r="3" spans="1:10" ht="15.75" thickBot="1" x14ac:dyDescent="0.3">
      <c r="B3" s="44" t="s">
        <v>111</v>
      </c>
      <c r="C3" s="45" t="s">
        <v>112</v>
      </c>
      <c r="D3" s="45" t="s">
        <v>113</v>
      </c>
      <c r="E3" s="45" t="s">
        <v>114</v>
      </c>
      <c r="F3" s="45" t="s">
        <v>115</v>
      </c>
      <c r="G3" s="45" t="s">
        <v>117</v>
      </c>
      <c r="H3" s="45" t="s">
        <v>118</v>
      </c>
      <c r="I3" s="79"/>
      <c r="J3" s="78"/>
    </row>
    <row r="4" spans="1:10" x14ac:dyDescent="0.25">
      <c r="A4" s="46" t="s">
        <v>133</v>
      </c>
      <c r="B4" s="47"/>
      <c r="C4" s="47"/>
      <c r="D4" s="47"/>
      <c r="E4" s="47"/>
      <c r="F4" s="47"/>
      <c r="G4" s="47"/>
      <c r="H4" s="47"/>
      <c r="I4" s="47"/>
      <c r="J4" s="38" t="str">
        <f t="shared" ref="J4:J6" si="0">IF(I4&gt;5,"Sí","")</f>
        <v/>
      </c>
    </row>
    <row r="5" spans="1:10" x14ac:dyDescent="0.25">
      <c r="A5" s="48" t="s">
        <v>121</v>
      </c>
      <c r="B5" s="12"/>
      <c r="C5" s="12"/>
      <c r="D5" s="12"/>
      <c r="E5" s="12"/>
      <c r="F5" s="12"/>
      <c r="G5" s="86"/>
      <c r="H5" s="12"/>
      <c r="I5" s="12"/>
      <c r="J5" s="40" t="str">
        <f t="shared" si="0"/>
        <v/>
      </c>
    </row>
    <row r="6" spans="1:10" x14ac:dyDescent="0.25">
      <c r="A6" s="48" t="s">
        <v>126</v>
      </c>
      <c r="B6" s="12">
        <v>3.5</v>
      </c>
      <c r="C6" s="12">
        <v>5</v>
      </c>
      <c r="D6" s="12">
        <v>6</v>
      </c>
      <c r="E6" s="12">
        <v>4</v>
      </c>
      <c r="F6" s="12">
        <v>4</v>
      </c>
      <c r="G6" s="86">
        <f>AVERAGE(B6:D6)</f>
        <v>4.833333333333333</v>
      </c>
      <c r="H6" s="12">
        <f>AVERAGE(E6:F6)</f>
        <v>4</v>
      </c>
      <c r="I6" s="86">
        <f>AVERAGE(F6:G6)</f>
        <v>4.4166666666666661</v>
      </c>
      <c r="J6" s="40" t="str">
        <f t="shared" si="0"/>
        <v/>
      </c>
    </row>
    <row r="7" spans="1:10" x14ac:dyDescent="0.25">
      <c r="A7" s="48" t="s">
        <v>127</v>
      </c>
      <c r="B7" s="12">
        <v>5.25</v>
      </c>
      <c r="C7" s="12">
        <v>9</v>
      </c>
      <c r="D7" s="12">
        <v>8.5</v>
      </c>
      <c r="E7" s="12">
        <v>9.5</v>
      </c>
      <c r="F7" s="12">
        <v>10</v>
      </c>
      <c r="G7" s="86">
        <f t="shared" ref="G7:G12" si="1">AVERAGE(B7:D7)</f>
        <v>7.583333333333333</v>
      </c>
      <c r="H7" s="12">
        <f t="shared" ref="H7:H12" si="2">AVERAGE(E7:F7)</f>
        <v>9.75</v>
      </c>
      <c r="I7" s="86">
        <f>AVERAGE(F7:G7)</f>
        <v>8.7916666666666661</v>
      </c>
      <c r="J7" s="40" t="str">
        <f t="shared" ref="J7:J13" si="3">IF(I7&gt;5,"Sí","")</f>
        <v>Sí</v>
      </c>
    </row>
    <row r="8" spans="1:10" x14ac:dyDescent="0.25">
      <c r="A8" s="48" t="s">
        <v>125</v>
      </c>
      <c r="B8" s="12"/>
      <c r="C8" s="12"/>
      <c r="D8" s="12"/>
      <c r="E8" s="12"/>
      <c r="F8" s="12"/>
      <c r="G8" s="86"/>
      <c r="H8" s="12"/>
      <c r="I8" s="86"/>
      <c r="J8" s="40" t="str">
        <f t="shared" si="3"/>
        <v/>
      </c>
    </row>
    <row r="9" spans="1:10" x14ac:dyDescent="0.25">
      <c r="A9" s="48" t="s">
        <v>129</v>
      </c>
      <c r="B9" s="12"/>
      <c r="C9" s="12"/>
      <c r="D9" s="12"/>
      <c r="E9" s="12"/>
      <c r="F9" s="12"/>
      <c r="G9" s="86"/>
      <c r="H9" s="12"/>
      <c r="I9" s="86"/>
      <c r="J9" s="40" t="str">
        <f t="shared" si="3"/>
        <v/>
      </c>
    </row>
    <row r="10" spans="1:10" x14ac:dyDescent="0.25">
      <c r="A10" s="48" t="s">
        <v>122</v>
      </c>
      <c r="B10" s="12"/>
      <c r="C10" s="12"/>
      <c r="D10" s="12"/>
      <c r="E10" s="12"/>
      <c r="F10" s="12"/>
      <c r="G10" s="86"/>
      <c r="H10" s="12"/>
      <c r="I10" s="86"/>
      <c r="J10" s="40" t="str">
        <f t="shared" si="3"/>
        <v/>
      </c>
    </row>
    <row r="11" spans="1:10" x14ac:dyDescent="0.25">
      <c r="A11" s="48" t="s">
        <v>128</v>
      </c>
      <c r="B11" s="12">
        <v>9.25</v>
      </c>
      <c r="C11" s="12">
        <v>3</v>
      </c>
      <c r="D11" s="12">
        <v>7</v>
      </c>
      <c r="E11" s="12">
        <v>6</v>
      </c>
      <c r="F11" s="12">
        <v>2</v>
      </c>
      <c r="G11" s="86">
        <f t="shared" si="1"/>
        <v>6.416666666666667</v>
      </c>
      <c r="H11" s="12">
        <f t="shared" si="2"/>
        <v>4</v>
      </c>
      <c r="I11" s="86">
        <f t="shared" ref="I11:I12" si="4">AVERAGE(F11:G11)</f>
        <v>4.2083333333333339</v>
      </c>
      <c r="J11" s="40" t="str">
        <f t="shared" si="3"/>
        <v/>
      </c>
    </row>
    <row r="12" spans="1:10" x14ac:dyDescent="0.25">
      <c r="A12" s="48" t="s">
        <v>124</v>
      </c>
      <c r="B12" s="12">
        <v>8</v>
      </c>
      <c r="C12" s="12">
        <v>6</v>
      </c>
      <c r="D12" s="12">
        <v>4.5</v>
      </c>
      <c r="E12" s="12">
        <v>2</v>
      </c>
      <c r="F12" s="12">
        <v>1</v>
      </c>
      <c r="G12" s="86">
        <f t="shared" si="1"/>
        <v>6.166666666666667</v>
      </c>
      <c r="H12" s="12">
        <f t="shared" si="2"/>
        <v>1.5</v>
      </c>
      <c r="I12" s="86">
        <f t="shared" si="4"/>
        <v>3.5833333333333335</v>
      </c>
      <c r="J12" s="40" t="str">
        <f t="shared" si="3"/>
        <v/>
      </c>
    </row>
    <row r="13" spans="1:10" ht="15.75" thickBot="1" x14ac:dyDescent="0.3">
      <c r="A13" s="49" t="s">
        <v>123</v>
      </c>
      <c r="B13" s="50"/>
      <c r="C13" s="50"/>
      <c r="D13" s="50"/>
      <c r="E13" s="50"/>
      <c r="F13" s="50"/>
      <c r="G13" s="50"/>
      <c r="H13" s="50"/>
      <c r="I13" s="50"/>
      <c r="J13" s="42" t="str">
        <f t="shared" si="3"/>
        <v/>
      </c>
    </row>
    <row r="15" spans="1:10" ht="15.75" thickBot="1" x14ac:dyDescent="0.3"/>
    <row r="16" spans="1:10" x14ac:dyDescent="0.25">
      <c r="A16" s="37" t="s">
        <v>132</v>
      </c>
      <c r="B16" s="38">
        <f>COUNT(I4:I13)</f>
        <v>4</v>
      </c>
    </row>
    <row r="17" spans="1:2" x14ac:dyDescent="0.25">
      <c r="A17" s="39" t="s">
        <v>130</v>
      </c>
      <c r="B17" s="40">
        <f>COUNTIF(J4:J13,"Sí")</f>
        <v>1</v>
      </c>
    </row>
    <row r="18" spans="1:2" ht="15.75" thickBot="1" x14ac:dyDescent="0.3">
      <c r="A18" s="41" t="s">
        <v>131</v>
      </c>
      <c r="B18" s="42">
        <f>COUNTIF(J4:J13,"")</f>
        <v>9</v>
      </c>
    </row>
  </sheetData>
  <sortState xmlns:xlrd2="http://schemas.microsoft.com/office/spreadsheetml/2017/richdata2" ref="A4:A13">
    <sortCondition ref="A4:A13"/>
  </sortState>
  <mergeCells count="3">
    <mergeCell ref="B2:F2"/>
    <mergeCell ref="J2:J3"/>
    <mergeCell ref="I2:I3"/>
  </mergeCells>
  <pageMargins left="0.7" right="0.7" top="0.75" bottom="0.75" header="0.3" footer="0.3"/>
  <pageSetup paperSize="9" orientation="portrait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E5821-BD91-4407-A25A-CD8D39299633}">
  <dimension ref="A1:H22"/>
  <sheetViews>
    <sheetView tabSelected="1" topLeftCell="A4" zoomScale="115" zoomScaleNormal="115" workbookViewId="0">
      <selection activeCell="E14" sqref="E14"/>
    </sheetView>
  </sheetViews>
  <sheetFormatPr baseColWidth="10" defaultRowHeight="15" x14ac:dyDescent="0.25"/>
  <cols>
    <col min="2" max="2" width="17.28515625" bestFit="1" customWidth="1"/>
    <col min="3" max="3" width="12.42578125" bestFit="1" customWidth="1"/>
    <col min="4" max="4" width="11.140625" bestFit="1" customWidth="1"/>
    <col min="5" max="5" width="14.140625" customWidth="1"/>
    <col min="6" max="6" width="16" bestFit="1" customWidth="1"/>
    <col min="7" max="7" width="24.28515625" bestFit="1" customWidth="1"/>
    <col min="8" max="8" width="12.85546875" bestFit="1" customWidth="1"/>
  </cols>
  <sheetData>
    <row r="1" spans="1:8" ht="15.75" thickBot="1" x14ac:dyDescent="0.3"/>
    <row r="2" spans="1:8" x14ac:dyDescent="0.25">
      <c r="B2" s="80" t="s">
        <v>139</v>
      </c>
      <c r="C2" s="81"/>
      <c r="D2" s="81"/>
      <c r="E2" s="81"/>
      <c r="F2" s="81"/>
      <c r="G2" s="81"/>
      <c r="H2" s="82"/>
    </row>
    <row r="3" spans="1:8" ht="15.75" thickBot="1" x14ac:dyDescent="0.3">
      <c r="B3" s="83"/>
      <c r="C3" s="84"/>
      <c r="D3" s="84"/>
      <c r="E3" s="84"/>
      <c r="F3" s="84"/>
      <c r="G3" s="84"/>
      <c r="H3" s="85"/>
    </row>
    <row r="6" spans="1:8" ht="30" x14ac:dyDescent="0.25">
      <c r="A6" s="52" t="s">
        <v>134</v>
      </c>
      <c r="B6" s="52" t="s">
        <v>135</v>
      </c>
      <c r="C6" s="52" t="s">
        <v>136</v>
      </c>
      <c r="D6" s="52" t="s">
        <v>137</v>
      </c>
      <c r="E6" s="52" t="s">
        <v>138</v>
      </c>
    </row>
    <row r="7" spans="1:8" x14ac:dyDescent="0.25">
      <c r="A7" s="28">
        <v>1</v>
      </c>
      <c r="B7" s="28">
        <v>1.5</v>
      </c>
      <c r="C7" s="56">
        <v>8.5</v>
      </c>
      <c r="D7" s="56">
        <v>0.25</v>
      </c>
      <c r="E7" s="56">
        <v>6</v>
      </c>
    </row>
    <row r="8" spans="1:8" x14ac:dyDescent="0.25">
      <c r="A8" s="28">
        <v>2</v>
      </c>
      <c r="B8" s="28">
        <v>3</v>
      </c>
      <c r="C8" s="56">
        <v>9</v>
      </c>
      <c r="D8" s="56">
        <v>0.3</v>
      </c>
      <c r="E8" s="56"/>
    </row>
    <row r="9" spans="1:8" x14ac:dyDescent="0.25">
      <c r="A9" s="28">
        <v>3</v>
      </c>
      <c r="B9" s="28">
        <v>6</v>
      </c>
      <c r="C9" s="56">
        <v>9.5</v>
      </c>
      <c r="D9" s="56">
        <v>0.6</v>
      </c>
      <c r="E9" s="56"/>
    </row>
    <row r="10" spans="1:8" x14ac:dyDescent="0.25">
      <c r="A10" s="28">
        <v>4</v>
      </c>
      <c r="B10" s="28"/>
      <c r="C10" s="56">
        <v>10</v>
      </c>
      <c r="D10" s="56">
        <v>1</v>
      </c>
      <c r="E10" s="56"/>
    </row>
    <row r="12" spans="1:8" ht="15.75" thickBot="1" x14ac:dyDescent="0.3"/>
    <row r="13" spans="1:8" ht="21.75" customHeight="1" x14ac:dyDescent="0.25">
      <c r="A13" s="53" t="s">
        <v>140</v>
      </c>
      <c r="B13" s="54" t="s">
        <v>141</v>
      </c>
      <c r="C13" s="54" t="s">
        <v>142</v>
      </c>
      <c r="D13" s="54" t="s">
        <v>143</v>
      </c>
      <c r="E13" s="54" t="s">
        <v>134</v>
      </c>
      <c r="F13" s="54" t="s">
        <v>144</v>
      </c>
      <c r="G13" s="54" t="s">
        <v>145</v>
      </c>
      <c r="H13" s="55" t="s">
        <v>146</v>
      </c>
    </row>
    <row r="14" spans="1:8" x14ac:dyDescent="0.25">
      <c r="A14" s="87">
        <v>2.4</v>
      </c>
      <c r="B14" s="57">
        <v>43905</v>
      </c>
      <c r="C14" s="57">
        <v>43906</v>
      </c>
      <c r="D14" s="28">
        <f>C14-B14</f>
        <v>1</v>
      </c>
      <c r="E14" s="28">
        <f>IF(A14&lt;=$B$7,$A$7,IF(A14&lt;=$B$8,$A$8,IF(A14&lt;=$B$9,$A$9)))</f>
        <v>2</v>
      </c>
      <c r="F14" s="56">
        <f>VLOOKUP(E14,$A$6:$E$10,3,FALSE)</f>
        <v>9</v>
      </c>
      <c r="G14" s="56">
        <f>VLOOKUP(E14,$A$6:$E$10,4,FALSE)</f>
        <v>0.3</v>
      </c>
      <c r="H14" s="60">
        <f>F14*A14-G14*A14*D14</f>
        <v>20.88</v>
      </c>
    </row>
    <row r="15" spans="1:8" x14ac:dyDescent="0.25">
      <c r="A15" s="87">
        <v>0.3</v>
      </c>
      <c r="B15" s="57">
        <v>43905</v>
      </c>
      <c r="C15" s="57">
        <v>43907</v>
      </c>
      <c r="D15" s="28">
        <f t="shared" ref="D15:D20" si="0">C15-B15</f>
        <v>2</v>
      </c>
      <c r="E15" s="28">
        <f t="shared" ref="E15:E20" si="1">IF(A15&lt;=$B$7,$A$7,IF(A15&lt;=$B$8,$A$8,IF(A15&lt;=$B$9,$A$9)))</f>
        <v>1</v>
      </c>
      <c r="F15" s="56">
        <f t="shared" ref="F15:F20" si="2">VLOOKUP(E15,$A$6:$E$10,3,FALSE)</f>
        <v>8.5</v>
      </c>
      <c r="G15" s="56">
        <f t="shared" ref="G15:G20" si="3">VLOOKUP(E15,$A$6:$E$10,4,FALSE)</f>
        <v>0.25</v>
      </c>
      <c r="H15" s="60">
        <f t="shared" ref="H15:H20" si="4">F15*A15-G15*A15*D15</f>
        <v>2.4</v>
      </c>
    </row>
    <row r="16" spans="1:8" x14ac:dyDescent="0.25">
      <c r="A16" s="87">
        <v>1.5</v>
      </c>
      <c r="B16" s="57">
        <v>43905</v>
      </c>
      <c r="C16" s="57">
        <v>43908</v>
      </c>
      <c r="D16" s="28">
        <f t="shared" si="0"/>
        <v>3</v>
      </c>
      <c r="E16" s="28">
        <f t="shared" si="1"/>
        <v>1</v>
      </c>
      <c r="F16" s="56">
        <f t="shared" si="2"/>
        <v>8.5</v>
      </c>
      <c r="G16" s="56">
        <f t="shared" si="3"/>
        <v>0.25</v>
      </c>
      <c r="H16" s="60">
        <f t="shared" si="4"/>
        <v>11.625</v>
      </c>
    </row>
    <row r="17" spans="1:8" x14ac:dyDescent="0.25">
      <c r="A17" s="87">
        <v>2.1</v>
      </c>
      <c r="B17" s="57">
        <v>43905</v>
      </c>
      <c r="C17" s="57">
        <v>43913</v>
      </c>
      <c r="D17" s="28">
        <f t="shared" si="0"/>
        <v>8</v>
      </c>
      <c r="E17" s="28">
        <f t="shared" si="1"/>
        <v>2</v>
      </c>
      <c r="F17" s="56">
        <f t="shared" si="2"/>
        <v>9</v>
      </c>
      <c r="G17" s="56">
        <f t="shared" si="3"/>
        <v>0.3</v>
      </c>
      <c r="H17" s="60">
        <f t="shared" si="4"/>
        <v>13.860000000000003</v>
      </c>
    </row>
    <row r="18" spans="1:8" x14ac:dyDescent="0.25">
      <c r="A18" s="87">
        <v>3.1</v>
      </c>
      <c r="B18" s="57">
        <v>43905</v>
      </c>
      <c r="C18" s="57">
        <v>43910</v>
      </c>
      <c r="D18" s="28">
        <f t="shared" si="0"/>
        <v>5</v>
      </c>
      <c r="E18" s="28">
        <f t="shared" si="1"/>
        <v>3</v>
      </c>
      <c r="F18" s="56">
        <f t="shared" si="2"/>
        <v>9.5</v>
      </c>
      <c r="G18" s="56">
        <f t="shared" si="3"/>
        <v>0.6</v>
      </c>
      <c r="H18" s="60">
        <f t="shared" si="4"/>
        <v>20.149999999999999</v>
      </c>
    </row>
    <row r="19" spans="1:8" x14ac:dyDescent="0.25">
      <c r="A19" s="87">
        <v>5.4</v>
      </c>
      <c r="B19" s="57">
        <v>43905</v>
      </c>
      <c r="C19" s="57">
        <v>43911</v>
      </c>
      <c r="D19" s="28">
        <f t="shared" si="0"/>
        <v>6</v>
      </c>
      <c r="E19" s="28">
        <f t="shared" si="1"/>
        <v>3</v>
      </c>
      <c r="F19" s="56">
        <f t="shared" si="2"/>
        <v>9.5</v>
      </c>
      <c r="G19" s="56">
        <f t="shared" si="3"/>
        <v>0.6</v>
      </c>
      <c r="H19" s="60">
        <f t="shared" si="4"/>
        <v>31.860000000000003</v>
      </c>
    </row>
    <row r="20" spans="1:8" ht="15.75" thickBot="1" x14ac:dyDescent="0.3">
      <c r="A20" s="88">
        <v>6.6</v>
      </c>
      <c r="B20" s="58">
        <v>43905</v>
      </c>
      <c r="C20" s="58">
        <v>43915</v>
      </c>
      <c r="D20" s="59">
        <f t="shared" si="0"/>
        <v>10</v>
      </c>
      <c r="E20" s="28" t="b">
        <f t="shared" si="1"/>
        <v>0</v>
      </c>
      <c r="F20" s="56"/>
      <c r="G20" s="56"/>
      <c r="H20" s="60"/>
    </row>
    <row r="22" spans="1:8" x14ac:dyDescent="0.25">
      <c r="G22" s="31" t="s">
        <v>147</v>
      </c>
      <c r="H22" s="51">
        <f>SUM(H14:H20)</f>
        <v>100.77499999999999</v>
      </c>
    </row>
  </sheetData>
  <mergeCells count="1">
    <mergeCell ref="B2:H3"/>
  </mergeCells>
  <dataValidations count="1">
    <dataValidation type="list" allowBlank="1" showInputMessage="1" showErrorMessage="1" errorTitle="Error" error="Esta categoría no existe" sqref="E14:E20" xr:uid="{803432B0-6551-4CD6-A054-9F7D6A59DE3A}">
      <formula1>$A$7:$A$10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FACTURAS EMITIDAS</vt:lpstr>
      <vt:lpstr>FACTURAS EMITIDASV</vt:lpstr>
      <vt:lpstr>DATOS BUSCARV</vt:lpstr>
      <vt:lpstr>DAROS BUSCARH</vt:lpstr>
      <vt:lpstr>PEDIDO</vt:lpstr>
      <vt:lpstr>REGISTRO FACTURAS</vt:lpstr>
      <vt:lpstr>NOTAS JUNIO</vt:lpstr>
      <vt:lpstr>CHOCOLATE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</cp:lastModifiedBy>
  <dcterms:created xsi:type="dcterms:W3CDTF">2020-03-28T11:14:40Z</dcterms:created>
  <dcterms:modified xsi:type="dcterms:W3CDTF">2020-03-29T13:01:51Z</dcterms:modified>
</cp:coreProperties>
</file>