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My Experiments\Psychopy\CNTRACS\WM_Encoding\images\"/>
    </mc:Choice>
  </mc:AlternateContent>
  <xr:revisionPtr revIDLastSave="0" documentId="13_ncr:1_{B5736DA0-8524-402E-979C-F52A4E014496}" xr6:coauthVersionLast="44" xr6:coauthVersionMax="44" xr10:uidLastSave="{00000000-0000-0000-0000-000000000000}"/>
  <bookViews>
    <workbookView xWindow="-60" yWindow="-60" windowWidth="23160" windowHeight="14112" xr2:uid="{00000000-000D-0000-FFFF-FFFF00000000}"/>
  </bookViews>
  <sheets>
    <sheet name="---_2020_May_04_0846" sheetId="1" r:id="rId1"/>
  </sheets>
  <definedNames>
    <definedName name="_xlnm._FilterDatabase" localSheetId="0" hidden="1">'---_2020_May_04_0846'!$A$1:$BH$6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2" i="1"/>
  <c r="Y6" i="1"/>
  <c r="Y5" i="1"/>
  <c r="Y4" i="1"/>
  <c r="AB3" i="1"/>
  <c r="AB2" i="1"/>
  <c r="AB6" i="1"/>
  <c r="AB5" i="1"/>
  <c r="AB4" i="1"/>
  <c r="AE3" i="1"/>
  <c r="AE2" i="1"/>
  <c r="AE6" i="1"/>
  <c r="AE5" i="1"/>
  <c r="AE4" i="1"/>
  <c r="AH3" i="1"/>
  <c r="AH2" i="1"/>
  <c r="AH6" i="1"/>
  <c r="AH5" i="1"/>
  <c r="AH4" i="1"/>
  <c r="BE3" i="1" l="1"/>
  <c r="BF3" i="1"/>
  <c r="BE2" i="1"/>
  <c r="BF2" i="1"/>
  <c r="AY3" i="1"/>
  <c r="AZ3" i="1"/>
  <c r="AY2" i="1"/>
  <c r="AZ2" i="1"/>
  <c r="AS3" i="1"/>
  <c r="AT3" i="1"/>
  <c r="AS2" i="1"/>
  <c r="AT2" i="1"/>
  <c r="AM3" i="1"/>
  <c r="AN3" i="1"/>
  <c r="AM2" i="1"/>
  <c r="AN2" i="1"/>
  <c r="K3" i="1"/>
  <c r="K2" i="1"/>
  <c r="K6" i="1"/>
  <c r="K5" i="1"/>
  <c r="K4" i="1"/>
  <c r="F3" i="1"/>
  <c r="G3" i="1" s="1"/>
  <c r="F2" i="1"/>
  <c r="G2" i="1" s="1"/>
  <c r="F6" i="1"/>
  <c r="G6" i="1" s="1"/>
  <c r="F5" i="1"/>
  <c r="G5" i="1" s="1"/>
  <c r="AN5" i="1" s="1"/>
  <c r="AP5" i="1" s="1"/>
  <c r="F4" i="1"/>
  <c r="G4" i="1" s="1"/>
  <c r="AT4" i="1" s="1"/>
  <c r="AV4" i="1" s="1"/>
  <c r="W3" i="1"/>
  <c r="X3" i="1" s="1"/>
  <c r="W2" i="1"/>
  <c r="X2" i="1" s="1"/>
  <c r="W6" i="1"/>
  <c r="X6" i="1" s="1"/>
  <c r="W5" i="1"/>
  <c r="X5" i="1" s="1"/>
  <c r="W4" i="1"/>
  <c r="X4" i="1" s="1"/>
  <c r="Z3" i="1"/>
  <c r="Z2" i="1"/>
  <c r="Z6" i="1"/>
  <c r="AA6" i="1" s="1"/>
  <c r="Z5" i="1"/>
  <c r="AA5" i="1" s="1"/>
  <c r="Z4" i="1"/>
  <c r="AA4" i="1" s="1"/>
  <c r="AA3" i="1" l="1"/>
  <c r="AA2" i="1"/>
  <c r="BF4" i="1"/>
  <c r="BH4" i="1" s="1"/>
  <c r="BE6" i="1"/>
  <c r="BG6" i="1" s="1"/>
  <c r="AY6" i="1"/>
  <c r="BA6" i="1" s="1"/>
  <c r="BF6" i="1"/>
  <c r="BH6" i="1" s="1"/>
  <c r="AZ6" i="1"/>
  <c r="BB6" i="1" s="1"/>
  <c r="AS6" i="1"/>
  <c r="AU6" i="1" s="1"/>
  <c r="BE5" i="1"/>
  <c r="BG5" i="1" s="1"/>
  <c r="AS5" i="1"/>
  <c r="AU5" i="1" s="1"/>
  <c r="BF5" i="1"/>
  <c r="BH5" i="1" s="1"/>
  <c r="AT5" i="1"/>
  <c r="AV5" i="1" s="1"/>
  <c r="AY5" i="1"/>
  <c r="BA5" i="1" s="1"/>
  <c r="AM4" i="1"/>
  <c r="AO4" i="1" s="1"/>
  <c r="AM6" i="1"/>
  <c r="AO6" i="1" s="1"/>
  <c r="AT6" i="1"/>
  <c r="AV6" i="1" s="1"/>
  <c r="AM5" i="1"/>
  <c r="AO5" i="1" s="1"/>
  <c r="AY4" i="1"/>
  <c r="BA4" i="1" s="1"/>
  <c r="AZ4" i="1"/>
  <c r="BB4" i="1" s="1"/>
  <c r="BE4" i="1"/>
  <c r="BG4" i="1" s="1"/>
  <c r="AS4" i="1"/>
  <c r="AU4" i="1" s="1"/>
  <c r="AN4" i="1"/>
  <c r="AP4" i="1" s="1"/>
  <c r="AN6" i="1"/>
  <c r="AP6" i="1" s="1"/>
  <c r="AZ5" i="1"/>
  <c r="BB5" i="1" s="1"/>
  <c r="AC4" i="1"/>
  <c r="AD4" i="1" s="1"/>
  <c r="AC3" i="1"/>
  <c r="AD3" i="1" s="1"/>
  <c r="AC6" i="1"/>
  <c r="AD6" i="1" s="1"/>
  <c r="AC5" i="1"/>
  <c r="AD5" i="1" s="1"/>
  <c r="AC2" i="1"/>
  <c r="L3" i="1"/>
  <c r="N3" i="1" s="1"/>
  <c r="P3" i="1" s="1"/>
  <c r="R3" i="1" s="1"/>
  <c r="L2" i="1"/>
  <c r="N2" i="1" s="1"/>
  <c r="P2" i="1" s="1"/>
  <c r="R2" i="1" s="1"/>
  <c r="L6" i="1"/>
  <c r="N6" i="1" s="1"/>
  <c r="P6" i="1" s="1"/>
  <c r="R6" i="1" s="1"/>
  <c r="L5" i="1"/>
  <c r="N5" i="1" s="1"/>
  <c r="P5" i="1" s="1"/>
  <c r="R5" i="1" s="1"/>
  <c r="L4" i="1"/>
  <c r="N4" i="1" s="1"/>
  <c r="P4" i="1" s="1"/>
  <c r="R4" i="1" s="1"/>
  <c r="M3" i="1"/>
  <c r="O3" i="1" s="1"/>
  <c r="Q3" i="1" s="1"/>
  <c r="M2" i="1"/>
  <c r="O2" i="1" s="1"/>
  <c r="Q2" i="1" s="1"/>
  <c r="M6" i="1"/>
  <c r="O6" i="1" s="1"/>
  <c r="Q6" i="1" s="1"/>
  <c r="M5" i="1"/>
  <c r="O5" i="1" s="1"/>
  <c r="Q5" i="1" s="1"/>
  <c r="M4" i="1"/>
  <c r="O4" i="1" s="1"/>
  <c r="Q4" i="1" s="1"/>
  <c r="AD2" i="1" l="1"/>
  <c r="BG3" i="1"/>
  <c r="BA3" i="1"/>
  <c r="AU3" i="1"/>
  <c r="AO3" i="1"/>
  <c r="BH3" i="1"/>
  <c r="BB3" i="1"/>
  <c r="AV3" i="1"/>
  <c r="AP3" i="1"/>
  <c r="BG2" i="1"/>
  <c r="BA2" i="1"/>
  <c r="AU2" i="1"/>
  <c r="AO2" i="1"/>
  <c r="BH2" i="1"/>
  <c r="BB2" i="1"/>
  <c r="AV2" i="1"/>
  <c r="AP2" i="1"/>
  <c r="AF2" i="1"/>
  <c r="AF5" i="1"/>
  <c r="AG5" i="1" s="1"/>
  <c r="AF6" i="1"/>
  <c r="AG6" i="1" s="1"/>
  <c r="AF3" i="1"/>
  <c r="AG3" i="1" s="1"/>
  <c r="AF4" i="1"/>
  <c r="AG4" i="1" s="1"/>
  <c r="AG2" i="1" l="1"/>
  <c r="AI6" i="1"/>
  <c r="AJ6" i="1" s="1"/>
  <c r="AI2" i="1"/>
  <c r="AJ2" i="1" s="1"/>
  <c r="AI3" i="1"/>
  <c r="AJ3" i="1" s="1"/>
  <c r="AI4" i="1"/>
  <c r="AJ4" i="1" s="1"/>
  <c r="AI5" i="1"/>
  <c r="AJ5" i="1" s="1"/>
</calcChain>
</file>

<file path=xl/sharedStrings.xml><?xml version="1.0" encoding="utf-8"?>
<sst xmlns="http://schemas.openxmlformats.org/spreadsheetml/2006/main" count="95" uniqueCount="85">
  <si>
    <t>durITI</t>
  </si>
  <si>
    <t>trialNumber</t>
  </si>
  <si>
    <t>trialWithinBlock</t>
  </si>
  <si>
    <t>blockNumber</t>
  </si>
  <si>
    <t>setSize</t>
  </si>
  <si>
    <t>probedColor</t>
  </si>
  <si>
    <t>#ffffff</t>
  </si>
  <si>
    <t>#1e00b4</t>
  </si>
  <si>
    <t>#000000</t>
  </si>
  <si>
    <t>#00aaff</t>
  </si>
  <si>
    <t>#00ff00</t>
  </si>
  <si>
    <t>[-0.06108342253049217, -3.4994669330473696]</t>
  </si>
  <si>
    <t>[2.4400778599909754, 2.5091871267766903]</t>
  </si>
  <si>
    <t>[0.1587704584523879, -3.4963969942675015]</t>
  </si>
  <si>
    <t>[-3.488726074596865, 0.28069623515100545]</t>
  </si>
  <si>
    <t>[0.7157361814462673, 3.4260358606658974]</t>
  </si>
  <si>
    <t>probedXY_degUnits_52cmMonitorWidth_100cmDistance</t>
  </si>
  <si>
    <t>pixelsPerDegreeVisualAngle</t>
  </si>
  <si>
    <t>probedX_heightUnits</t>
  </si>
  <si>
    <t>probedY_heightUnits</t>
  </si>
  <si>
    <t>probedY_pixUnits</t>
  </si>
  <si>
    <t>probedX_pixUnits</t>
  </si>
  <si>
    <t>probedY_degUnits</t>
  </si>
  <si>
    <t>probedX_degUnits</t>
  </si>
  <si>
    <t>probedLocation</t>
  </si>
  <si>
    <t>[25]</t>
  </si>
  <si>
    <t>[87]</t>
  </si>
  <si>
    <t>[24]</t>
  </si>
  <si>
    <t>[51]</t>
  </si>
  <si>
    <t>[78]</t>
  </si>
  <si>
    <t>unprobedColors</t>
  </si>
  <si>
    <t>unprobedLocations</t>
  </si>
  <si>
    <t>[]</t>
  </si>
  <si>
    <t>['#ffffff', '#00ff00', '#1e00b4', '#000000']</t>
  </si>
  <si>
    <t>[42, 9, 48, 34]</t>
  </si>
  <si>
    <t>['#00ff00', '#1e00b4', '#000000', '#00aaff']</t>
  </si>
  <si>
    <t>[72, 6, 61, 47]</t>
  </si>
  <si>
    <t>['#00aaff', '#00ff00', '#000000', '#ffffff']</t>
  </si>
  <si>
    <t>[40, 72, 38, 96]</t>
  </si>
  <si>
    <t>stim1_color</t>
  </si>
  <si>
    <t>stim2_color</t>
  </si>
  <si>
    <t>stim3_color</t>
  </si>
  <si>
    <t>stim4_color</t>
  </si>
  <si>
    <t>stim5_color</t>
  </si>
  <si>
    <t>stim1_orientation</t>
  </si>
  <si>
    <t>stim2_orientation</t>
  </si>
  <si>
    <t>stim3_orientation</t>
  </si>
  <si>
    <t>stim4_orientation</t>
  </si>
  <si>
    <t>stim5_orientation</t>
  </si>
  <si>
    <t>stim1_location</t>
  </si>
  <si>
    <t>stim2_location</t>
  </si>
  <si>
    <t>stim3_location</t>
  </si>
  <si>
    <t>stim4_location</t>
  </si>
  <si>
    <t>stim5_location</t>
  </si>
  <si>
    <t>stim1_x</t>
  </si>
  <si>
    <t>stim1_y</t>
  </si>
  <si>
    <t>dva_52cmMonitorWidth_100cmDistance</t>
  </si>
  <si>
    <t>unprobedXY</t>
  </si>
  <si>
    <t>[[-3.096033413252794, -1.6323532411896182], [2.9219675214219234, -1.9266825902974842], [-3.4795283739031038, -0.37799774497108013], [-1.9266825902974847, -2.921967521421923]]</t>
  </si>
  <si>
    <t>[[-0.5957332470811146, 3.4489276446922155], [3.231235759895433, -1.345033629309313], [-2.6574495756720835, 2.2777097604304775], [-3.4489276446922155, -0.5957332470811129]]</t>
  </si>
  <si>
    <t>[[-2.8670321550114704, -2.0075175272286625], [-0.5957332470811146, 3.4489276446922155], [-2.5928160870036248, -2.3510220626304656], [3.4047155737328882, 0.8111176622295503]]</t>
  </si>
  <si>
    <t>stim2_x_degUnits</t>
  </si>
  <si>
    <t>stim2_y_degUnits</t>
  </si>
  <si>
    <t>stim2_x_pixUnits</t>
  </si>
  <si>
    <t>stim2_y_pixUnits</t>
  </si>
  <si>
    <t>stim2_x</t>
  </si>
  <si>
    <t>stim2_y</t>
  </si>
  <si>
    <t>stim3_x_degUnits</t>
  </si>
  <si>
    <t>stim3_y_degUnits</t>
  </si>
  <si>
    <t>stim3_x_pixUnits</t>
  </si>
  <si>
    <t>stim3_y_pixUnits</t>
  </si>
  <si>
    <t>stim3_x</t>
  </si>
  <si>
    <t>stim3_y</t>
  </si>
  <si>
    <t>stim4_x_degUnits</t>
  </si>
  <si>
    <t>stim4_y_degUnits</t>
  </si>
  <si>
    <t>stim4_x_pixUnits</t>
  </si>
  <si>
    <t>stim4_y_pixUnits</t>
  </si>
  <si>
    <t>stim4_x</t>
  </si>
  <si>
    <t>stim4_y</t>
  </si>
  <si>
    <t>stim5_x_degUnits</t>
  </si>
  <si>
    <t>stim5_y_degUnits</t>
  </si>
  <si>
    <t>stim5_x_pixUnits</t>
  </si>
  <si>
    <t>stim5_y_pixUnits</t>
  </si>
  <si>
    <t>stim5_x</t>
  </si>
  <si>
    <t>stim5_y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</si>
</sst>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"/>
  <sheetViews>
    <sheetView tabSelected="1" workbookViewId="0"/>
  </sheetViews>
  <sheetFormatPr defaultRowHeight="14.4" x14ac:dyDescent="0.3"/>
  <cols>
    <col min="1" max="1" width="7.88671875" bestFit="1" customWidth="1"/>
    <col min="2" max="2" width="12.88671875" bestFit="1" customWidth="1"/>
    <col min="3" max="3" width="16.21875" bestFit="1" customWidth="1"/>
    <col min="4" max="4" width="14" bestFit="1" customWidth="1"/>
    <col min="5" max="5" width="8.6640625" bestFit="1" customWidth="1"/>
    <col min="6" max="6" width="37.109375" bestFit="1" customWidth="1"/>
    <col min="7" max="7" width="25.6640625" bestFit="1" customWidth="1"/>
    <col min="8" max="8" width="13.33203125" bestFit="1" customWidth="1"/>
    <col min="10" max="10" width="50.44140625" bestFit="1" customWidth="1"/>
    <col min="11" max="11" width="18.77734375" bestFit="1" customWidth="1"/>
    <col min="12" max="12" width="20.44140625" bestFit="1" customWidth="1"/>
    <col min="13" max="14" width="16.44140625" bestFit="1" customWidth="1"/>
    <col min="15" max="16" width="18.21875" bestFit="1" customWidth="1"/>
    <col min="17" max="18" width="18.21875" customWidth="1"/>
    <col min="19" max="19" width="35.88671875" bestFit="1" customWidth="1"/>
    <col min="20" max="20" width="18.88671875" bestFit="1" customWidth="1"/>
    <col min="21" max="21" width="13" customWidth="1"/>
    <col min="22" max="23" width="12.77734375" customWidth="1"/>
    <col min="24" max="24" width="17.77734375" customWidth="1"/>
    <col min="25" max="25" width="12.77734375" customWidth="1"/>
    <col min="26" max="26" width="15.33203125" customWidth="1"/>
    <col min="27" max="27" width="17.77734375" customWidth="1"/>
    <col min="28" max="28" width="12.77734375" customWidth="1"/>
    <col min="29" max="29" width="15.33203125" customWidth="1"/>
    <col min="30" max="30" width="17.77734375" customWidth="1"/>
    <col min="31" max="31" width="12.77734375" customWidth="1"/>
    <col min="32" max="32" width="15.33203125" customWidth="1"/>
    <col min="33" max="33" width="17.77734375" customWidth="1"/>
    <col min="34" max="34" width="12.77734375" customWidth="1"/>
    <col min="35" max="35" width="15.33203125" customWidth="1"/>
    <col min="36" max="36" width="17.77734375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17</v>
      </c>
      <c r="H1" t="s">
        <v>5</v>
      </c>
      <c r="I1" t="s">
        <v>24</v>
      </c>
      <c r="J1" t="s">
        <v>16</v>
      </c>
      <c r="K1" t="s">
        <v>23</v>
      </c>
      <c r="L1" t="s">
        <v>22</v>
      </c>
      <c r="M1" t="s">
        <v>21</v>
      </c>
      <c r="N1" t="s">
        <v>20</v>
      </c>
      <c r="O1" t="s">
        <v>18</v>
      </c>
      <c r="P1" t="s">
        <v>19</v>
      </c>
      <c r="Q1" t="s">
        <v>54</v>
      </c>
      <c r="R1" t="s">
        <v>55</v>
      </c>
      <c r="S1" t="s">
        <v>30</v>
      </c>
      <c r="T1" t="s">
        <v>31</v>
      </c>
      <c r="U1" t="s">
        <v>57</v>
      </c>
      <c r="V1" t="s">
        <v>39</v>
      </c>
      <c r="W1" t="s">
        <v>49</v>
      </c>
      <c r="X1" t="s">
        <v>44</v>
      </c>
      <c r="Y1" t="s">
        <v>40</v>
      </c>
      <c r="Z1" t="s">
        <v>50</v>
      </c>
      <c r="AA1" t="s">
        <v>45</v>
      </c>
      <c r="AB1" t="s">
        <v>41</v>
      </c>
      <c r="AC1" t="s">
        <v>51</v>
      </c>
      <c r="AD1" t="s">
        <v>46</v>
      </c>
      <c r="AE1" t="s">
        <v>42</v>
      </c>
      <c r="AF1" t="s">
        <v>52</v>
      </c>
      <c r="AG1" t="s">
        <v>47</v>
      </c>
      <c r="AH1" t="s">
        <v>43</v>
      </c>
      <c r="AI1" t="s">
        <v>53</v>
      </c>
      <c r="AJ1" t="s">
        <v>48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</row>
    <row r="2" spans="1:60" x14ac:dyDescent="0.3">
      <c r="A2">
        <v>1.5169999999999999</v>
      </c>
      <c r="B2">
        <v>-5</v>
      </c>
      <c r="C2">
        <v>0</v>
      </c>
      <c r="D2">
        <v>-1</v>
      </c>
      <c r="E2">
        <v>1</v>
      </c>
      <c r="F2">
        <f>DEGREES(2*ATAN(520/(2*1000)))</f>
        <v>29.148432396077478</v>
      </c>
      <c r="G2">
        <f>1920/F2</f>
        <v>65.869751549945292</v>
      </c>
      <c r="H2" t="s">
        <v>8</v>
      </c>
      <c r="I2" t="s">
        <v>25</v>
      </c>
      <c r="J2" t="s">
        <v>11</v>
      </c>
      <c r="K2" t="str">
        <f>MID(J2,2,FIND(",",J2,2)-2)</f>
        <v>-0.06108342253049217</v>
      </c>
      <c r="L2" t="str">
        <f>MID(J2,FIND(" ",J2)+1,LEN(J2)-FIND(" ",J2)-1)</f>
        <v>-3.4994669330473696</v>
      </c>
      <c r="M2">
        <f>K2*$G2</f>
        <v>-4.0235498659038456</v>
      </c>
      <c r="N2">
        <f>L2*$G2</f>
        <v>-230.50901743707863</v>
      </c>
      <c r="O2">
        <f>M2/1200</f>
        <v>-3.3529582215865378E-3</v>
      </c>
      <c r="P2">
        <f>N2/1200</f>
        <v>-0.19209084786423219</v>
      </c>
      <c r="Q2">
        <f>O2</f>
        <v>-3.3529582215865378E-3</v>
      </c>
      <c r="R2">
        <f>P2</f>
        <v>-0.19209084786423219</v>
      </c>
      <c r="S2" t="s">
        <v>32</v>
      </c>
      <c r="T2" t="s">
        <v>32</v>
      </c>
      <c r="U2" t="s">
        <v>32</v>
      </c>
      <c r="V2" t="s">
        <v>8</v>
      </c>
      <c r="W2" t="str">
        <f>MID(I2,2,LEN(I2)-2)</f>
        <v>25</v>
      </c>
      <c r="X2">
        <f>(100-W2)*3.6-90</f>
        <v>180</v>
      </c>
      <c r="Y2" t="str">
        <f>IF($S2&lt;&gt;"[]",MID($S2,3,7),"#808080")</f>
        <v>#808080</v>
      </c>
      <c r="Z2" t="str">
        <f>IF(T2&lt;&gt;"[]",MID(T2,2,FIND(",",T2,2)-2),"")</f>
        <v/>
      </c>
      <c r="AA2">
        <f>IFERROR((100-Z2)*3.6-90,X2)</f>
        <v>180</v>
      </c>
      <c r="AB2" t="str">
        <f>IF(S2&lt;&gt;"[]",MID(S2,14,7),"#808080")</f>
        <v>#808080</v>
      </c>
      <c r="AC2" t="str">
        <f>IF(LEN(Z2)=1,MID(T2,5,FIND(",",T2,5)-5),IF(LEN(Z2)=2,MID(T2,6,FIND(",",T2,6)-6),""))</f>
        <v/>
      </c>
      <c r="AD2">
        <f>IFERROR((100-AC2)*3.6-90,AA2)</f>
        <v>180</v>
      </c>
      <c r="AE2" t="str">
        <f>IF(S2&lt;&gt;"[]",MID(S2,25,7),"#808080")</f>
        <v>#808080</v>
      </c>
      <c r="AF2" t="str">
        <f>IF(SUM(LEN(Z2),LEN(AC2))=2,MID(T2,8,FIND(",",T2,8)-8),IF(SUM(LEN(Z2),LEN(AC2))=3,MID(T2,9,FIND(",",T2,9)-9),IF(SUM(LEN(Z2),LEN(AC2))=4,MID(T2,10,FIND(",",T2,10)-10),"")))</f>
        <v/>
      </c>
      <c r="AG2">
        <f>IFERROR((100-AF2)*3.6-90,AD2)</f>
        <v>180</v>
      </c>
      <c r="AH2" t="str">
        <f>IF(S2&lt;&gt;"[]",MID(S2,36,7),"#808080")</f>
        <v>#808080</v>
      </c>
      <c r="AI2" t="str">
        <f>IF(SUM(LEN(Z2),LEN(AC2),LEN(AF2))=4,MID(T2,12,FIND("]",T2,12)-12),IF(SUM(LEN(Z2),LEN(AC2),LEN(AF2))=5,MID(T2,13,FIND("]",T2,13)-13),IF(SUM(LEN(Z2),LEN(AC2),LEN(AF2))=6,MID(T2,14,FIND("]",T2,14)-14),"")))</f>
        <v/>
      </c>
      <c r="AJ2">
        <f>IFERROR((100-AI2)*3.6-90,AG2)</f>
        <v>180</v>
      </c>
      <c r="AM2" t="str">
        <f>IF($U2&lt;&gt;"[]",AK2*$G2,"")</f>
        <v/>
      </c>
      <c r="AN2" t="str">
        <f>IF($U2&lt;&gt;"[]",AL2*$G2,"")</f>
        <v/>
      </c>
      <c r="AO2">
        <f>IF($U2&lt;&gt;"[]",AM2/1200,-$Q2)</f>
        <v>3.3529582215865378E-3</v>
      </c>
      <c r="AP2">
        <f>IF($U2&lt;&gt;"[]",AN2/1200,-$R2)</f>
        <v>0.19209084786423219</v>
      </c>
      <c r="AS2" t="str">
        <f>IF($U2&lt;&gt;"[]",AQ2*$G2,"")</f>
        <v/>
      </c>
      <c r="AT2" t="str">
        <f>IF($U2&lt;&gt;"[]",AR2*$G2,"")</f>
        <v/>
      </c>
      <c r="AU2">
        <f>IF($U2&lt;&gt;"[]",AS2/1200,-$Q2)</f>
        <v>3.3529582215865378E-3</v>
      </c>
      <c r="AV2">
        <f>IF($U2&lt;&gt;"[]",AT2/1200,-$R2)</f>
        <v>0.19209084786423219</v>
      </c>
      <c r="AY2" t="str">
        <f>IF($U2&lt;&gt;"[]",AW2*$G2,"")</f>
        <v/>
      </c>
      <c r="AZ2" t="str">
        <f>IF($U2&lt;&gt;"[]",AX2*$G2,"")</f>
        <v/>
      </c>
      <c r="BA2">
        <f>IF($U2&lt;&gt;"[]",AY2/1200,-$Q2)</f>
        <v>3.3529582215865378E-3</v>
      </c>
      <c r="BB2">
        <f>IF($U2&lt;&gt;"[]",AZ2/1200,-$R2)</f>
        <v>0.19209084786423219</v>
      </c>
      <c r="BE2" t="str">
        <f>IF($U2&lt;&gt;"[]",BC2*$G2,"")</f>
        <v/>
      </c>
      <c r="BF2" t="str">
        <f>IF($U2&lt;&gt;"[]",BD2*$G2,"")</f>
        <v/>
      </c>
      <c r="BG2">
        <f>IF($U2&lt;&gt;"[]",BE2/1200,-$Q2)</f>
        <v>3.3529582215865378E-3</v>
      </c>
      <c r="BH2">
        <f>IF($U2&lt;&gt;"[]",BF2/1200,-$R2)</f>
        <v>0.19209084786423219</v>
      </c>
    </row>
    <row r="3" spans="1:60" x14ac:dyDescent="0.3">
      <c r="A3">
        <v>1.5389999999999999</v>
      </c>
      <c r="B3">
        <v>-4</v>
      </c>
      <c r="C3">
        <v>1</v>
      </c>
      <c r="D3">
        <v>-1</v>
      </c>
      <c r="E3">
        <v>1</v>
      </c>
      <c r="F3">
        <f>DEGREES(2*ATAN(520/(2*1000)))</f>
        <v>29.148432396077478</v>
      </c>
      <c r="G3">
        <f>1920/F3</f>
        <v>65.869751549945292</v>
      </c>
      <c r="H3" t="s">
        <v>10</v>
      </c>
      <c r="I3" t="s">
        <v>27</v>
      </c>
      <c r="J3" t="s">
        <v>13</v>
      </c>
      <c r="K3" t="str">
        <f>MID(J3,2,FIND(",",J3,2)-2)</f>
        <v>0.1587704584523879</v>
      </c>
      <c r="L3" t="str">
        <f>MID(J3,FIND(" ",J3)+1,LEN(J3)-FIND(" ",J3)-1)</f>
        <v>-3.4963969942675015</v>
      </c>
      <c r="M3">
        <f>K3*$G3</f>
        <v>10.458170651729642</v>
      </c>
      <c r="N3">
        <f>L3*$G3</f>
        <v>-230.30680133237573</v>
      </c>
      <c r="O3">
        <f>M3/1200</f>
        <v>8.7151422097747015E-3</v>
      </c>
      <c r="P3">
        <f>N3/1200</f>
        <v>-0.19192233444364645</v>
      </c>
      <c r="Q3">
        <f>O3</f>
        <v>8.7151422097747015E-3</v>
      </c>
      <c r="R3">
        <f>P3</f>
        <v>-0.19192233444364645</v>
      </c>
      <c r="S3" t="s">
        <v>32</v>
      </c>
      <c r="T3" t="s">
        <v>32</v>
      </c>
      <c r="U3" t="s">
        <v>32</v>
      </c>
      <c r="V3" t="s">
        <v>10</v>
      </c>
      <c r="W3" t="str">
        <f>MID(I3,2,LEN(I3)-2)</f>
        <v>24</v>
      </c>
      <c r="X3">
        <f>(100-W3)*3.6-90</f>
        <v>183.60000000000002</v>
      </c>
      <c r="Y3" t="str">
        <f>IF($S3&lt;&gt;"[]",MID($S3,3,7),"#808080")</f>
        <v>#808080</v>
      </c>
      <c r="Z3" t="str">
        <f>IF(T3&lt;&gt;"[]",MID(T3,2,FIND(",",T3,2)-2),"")</f>
        <v/>
      </c>
      <c r="AA3">
        <f>IFERROR((100-Z3)*3.6-90,X3)</f>
        <v>183.60000000000002</v>
      </c>
      <c r="AB3" t="str">
        <f>IF(S3&lt;&gt;"[]",MID(S3,14,7),"#808080")</f>
        <v>#808080</v>
      </c>
      <c r="AC3" t="str">
        <f>IF(LEN(Z3)=1,MID(T3,5,FIND(",",T3,5)-5),IF(LEN(Z3)=2,MID(T3,6,FIND(",",T3,6)-6),""))</f>
        <v/>
      </c>
      <c r="AD3">
        <f>IFERROR((100-AC3)*3.6-90,AA3)</f>
        <v>183.60000000000002</v>
      </c>
      <c r="AE3" t="str">
        <f>IF(S3&lt;&gt;"[]",MID(S3,25,7),"#808080")</f>
        <v>#808080</v>
      </c>
      <c r="AF3" t="str">
        <f>IF(SUM(LEN(Z3),LEN(AC3))=2,MID(T3,8,FIND(",",T3,8)-8),IF(SUM(LEN(Z3),LEN(AC3))=3,MID(T3,9,FIND(",",T3,9)-9),IF(SUM(LEN(Z3),LEN(AC3))=4,MID(T3,10,FIND(",",T3,10)-10),"")))</f>
        <v/>
      </c>
      <c r="AG3">
        <f>IFERROR((100-AF3)*3.6-90,AD3)</f>
        <v>183.60000000000002</v>
      </c>
      <c r="AH3" t="str">
        <f>IF(S3&lt;&gt;"[]",MID(S3,36,7),"#808080")</f>
        <v>#808080</v>
      </c>
      <c r="AI3" t="str">
        <f>IF(SUM(LEN(Z3),LEN(AC3),LEN(AF3))=4,MID(T3,12,FIND("]",T3,12)-12),IF(SUM(LEN(Z3),LEN(AC3),LEN(AF3))=5,MID(T3,13,FIND("]",T3,13)-13),IF(SUM(LEN(Z3),LEN(AC3),LEN(AF3))=6,MID(T3,14,FIND("]",T3,14)-14),"")))</f>
        <v/>
      </c>
      <c r="AJ3">
        <f>IFERROR((100-AI3)*3.6-90,AG3)</f>
        <v>183.60000000000002</v>
      </c>
      <c r="AM3" t="str">
        <f>IF($U3&lt;&gt;"[]",AK3*$G3,"")</f>
        <v/>
      </c>
      <c r="AN3" t="str">
        <f>IF($U3&lt;&gt;"[]",AL3*$G3,"")</f>
        <v/>
      </c>
      <c r="AO3">
        <f>IF($U3&lt;&gt;"[]",AM3/1200,-$Q3)</f>
        <v>-8.7151422097747015E-3</v>
      </c>
      <c r="AP3">
        <f>IF($U3&lt;&gt;"[]",AN3/1200,-$R3)</f>
        <v>0.19192233444364645</v>
      </c>
      <c r="AS3" t="str">
        <f>IF($U3&lt;&gt;"[]",AQ3*$G3,"")</f>
        <v/>
      </c>
      <c r="AT3" t="str">
        <f>IF($U3&lt;&gt;"[]",AR3*$G3,"")</f>
        <v/>
      </c>
      <c r="AU3">
        <f>IF($U3&lt;&gt;"[]",AS3/1200,-$Q3)</f>
        <v>-8.7151422097747015E-3</v>
      </c>
      <c r="AV3">
        <f>IF($U3&lt;&gt;"[]",AT3/1200,-$R3)</f>
        <v>0.19192233444364645</v>
      </c>
      <c r="AY3" t="str">
        <f>IF($U3&lt;&gt;"[]",AW3*$G3,"")</f>
        <v/>
      </c>
      <c r="AZ3" t="str">
        <f>IF($U3&lt;&gt;"[]",AX3*$G3,"")</f>
        <v/>
      </c>
      <c r="BA3">
        <f>IF($U3&lt;&gt;"[]",AY3/1200,-$Q3)</f>
        <v>-8.7151422097747015E-3</v>
      </c>
      <c r="BB3">
        <f>IF($U3&lt;&gt;"[]",AZ3/1200,-$R3)</f>
        <v>0.19192233444364645</v>
      </c>
      <c r="BE3" t="str">
        <f>IF($U3&lt;&gt;"[]",BC3*$G3,"")</f>
        <v/>
      </c>
      <c r="BF3" t="str">
        <f>IF($U3&lt;&gt;"[]",BD3*$G3,"")</f>
        <v/>
      </c>
      <c r="BG3">
        <f>IF($U3&lt;&gt;"[]",BE3/1200,-$Q3)</f>
        <v>-8.7151422097747015E-3</v>
      </c>
      <c r="BH3">
        <f>IF($U3&lt;&gt;"[]",BF3/1200,-$R3)</f>
        <v>0.19192233444364645</v>
      </c>
    </row>
    <row r="4" spans="1:60" x14ac:dyDescent="0.3">
      <c r="A4">
        <v>1.538</v>
      </c>
      <c r="B4">
        <v>-3</v>
      </c>
      <c r="C4">
        <v>2</v>
      </c>
      <c r="D4">
        <v>-1</v>
      </c>
      <c r="E4">
        <v>5</v>
      </c>
      <c r="F4">
        <f>DEGREES(2*ATAN(520/(2*1000)))</f>
        <v>29.148432396077478</v>
      </c>
      <c r="G4">
        <f>1920/F4</f>
        <v>65.869751549945292</v>
      </c>
      <c r="H4" t="s">
        <v>7</v>
      </c>
      <c r="I4" t="s">
        <v>28</v>
      </c>
      <c r="J4" t="s">
        <v>14</v>
      </c>
      <c r="K4" t="str">
        <f>MID(J4,2,FIND(",",J4,2)-2)</f>
        <v>-3.488726074596865</v>
      </c>
      <c r="L4" t="str">
        <f>MID(J4,FIND(" ",J4)+1,LEN(J4)-FIND(" ",J4)-1)</f>
        <v>0.28069623515100545</v>
      </c>
      <c r="M4">
        <f>K4*$G4</f>
        <v>-229.80151975951108</v>
      </c>
      <c r="N4">
        <f>L4*$G4</f>
        <v>18.489391270401718</v>
      </c>
      <c r="O4">
        <f>M4/1200</f>
        <v>-0.19150126646625923</v>
      </c>
      <c r="P4">
        <f>N4/1200</f>
        <v>1.5407826058668099E-2</v>
      </c>
      <c r="Q4">
        <f>O4</f>
        <v>-0.19150126646625923</v>
      </c>
      <c r="R4">
        <f>P4</f>
        <v>1.5407826058668099E-2</v>
      </c>
      <c r="S4" t="s">
        <v>37</v>
      </c>
      <c r="T4" t="s">
        <v>38</v>
      </c>
      <c r="U4" t="s">
        <v>60</v>
      </c>
      <c r="V4" t="s">
        <v>7</v>
      </c>
      <c r="W4" t="str">
        <f>MID(I4,2,LEN(I4)-2)</f>
        <v>51</v>
      </c>
      <c r="X4">
        <f>(100-W4)*3.6-90</f>
        <v>86.4</v>
      </c>
      <c r="Y4" t="str">
        <f>IF($S4&lt;&gt;"[]",MID($S4,3,7),"#808080")</f>
        <v>#00aaff</v>
      </c>
      <c r="Z4" t="str">
        <f>IF(T4&lt;&gt;"[]",MID(T4,2,FIND(",",T4,2)-2),"")</f>
        <v>40</v>
      </c>
      <c r="AA4">
        <f>IFERROR((100-Z4)*3.6-90,X4)</f>
        <v>126</v>
      </c>
      <c r="AB4" t="str">
        <f>IF(S4&lt;&gt;"[]",MID(S4,14,7),"#808080")</f>
        <v>#00ff00</v>
      </c>
      <c r="AC4" t="str">
        <f>IF(LEN(Z4)=1,MID(T4,5,FIND(",",T4,5)-5),IF(LEN(Z4)=2,MID(T4,6,FIND(",",T4,6)-6),""))</f>
        <v>72</v>
      </c>
      <c r="AD4">
        <f>IFERROR((100-AC4)*3.6-90,AA4)</f>
        <v>10.799999999999997</v>
      </c>
      <c r="AE4" t="str">
        <f>IF(S4&lt;&gt;"[]",MID(S4,25,7),"#808080")</f>
        <v>#000000</v>
      </c>
      <c r="AF4" t="str">
        <f>IF(SUM(LEN(Z4),LEN(AC4))=2,MID(T4,8,FIND(",",T4,8)-8),IF(SUM(LEN(Z4),LEN(AC4))=3,MID(T4,9,FIND(",",T4,9)-9),IF(SUM(LEN(Z4),LEN(AC4))=4,MID(T4,10,FIND(",",T4,10)-10),"")))</f>
        <v>38</v>
      </c>
      <c r="AG4">
        <f>IFERROR((100-AF4)*3.6-90,AD4)</f>
        <v>133.20000000000002</v>
      </c>
      <c r="AH4" t="str">
        <f>IF(S4&lt;&gt;"[]",MID(S4,36,7),"#808080")</f>
        <v>#ffffff</v>
      </c>
      <c r="AI4" t="str">
        <f>IF(SUM(LEN(Z4),LEN(AC4),LEN(AF4))=4,MID(T4,12,FIND("]",T4,12)-12),IF(SUM(LEN(Z4),LEN(AC4),LEN(AF4))=5,MID(T4,13,FIND("]",T4,13)-13),IF(SUM(LEN(Z4),LEN(AC4),LEN(AF4))=6,MID(T4,14,FIND("]",T4,14)-14),"")))</f>
        <v>96</v>
      </c>
      <c r="AJ4">
        <f>IFERROR((100-AI4)*3.6-90,AG4)</f>
        <v>-75.599999999999994</v>
      </c>
      <c r="AK4">
        <v>-2.8670321550114699</v>
      </c>
      <c r="AL4">
        <v>-2.0075175272286598</v>
      </c>
      <c r="AM4">
        <f>IF($U4&lt;&gt;"[]",AK4*$G4,"")</f>
        <v>-188.85069573630977</v>
      </c>
      <c r="AN4">
        <f>IF($U4&lt;&gt;"[]",AL4*$G4,"")</f>
        <v>-132.23468075071236</v>
      </c>
      <c r="AO4">
        <f>IF($U4&lt;&gt;"[]",AM4/1200,-$Q4)</f>
        <v>-0.15737557978025815</v>
      </c>
      <c r="AP4">
        <f>IF($U4&lt;&gt;"[]",AN4/1200,-$R4)</f>
        <v>-0.11019556729226029</v>
      </c>
      <c r="AQ4">
        <v>-0.59573324708111397</v>
      </c>
      <c r="AR4">
        <v>3.4489276446922101</v>
      </c>
      <c r="AS4">
        <f>IF($U4&lt;&gt;"[]",AQ4*$G4,"")</f>
        <v>-39.24080097527515</v>
      </c>
      <c r="AT4">
        <f>IF($U4&lt;&gt;"[]",AR4*$G4,"")</f>
        <v>227.18000706961388</v>
      </c>
      <c r="AU4">
        <f>IF($U4&lt;&gt;"[]",AS4/1200,-$Q4)</f>
        <v>-3.2700667479395956E-2</v>
      </c>
      <c r="AV4">
        <f>IF($U4&lt;&gt;"[]",AT4/1200,-$R4)</f>
        <v>0.18931667255801157</v>
      </c>
      <c r="AW4">
        <v>-2.5928160870036199</v>
      </c>
      <c r="AX4">
        <v>-2.3510220626304599</v>
      </c>
      <c r="AY4">
        <f>IF($U4&lt;&gt;"[]",AW4*$G4,"")</f>
        <v>-170.78815146562977</v>
      </c>
      <c r="AZ4">
        <f>IF($U4&lt;&gt;"[]",AX4*$G4,"")</f>
        <v>-154.86123915390831</v>
      </c>
      <c r="BA4">
        <f>IF($U4&lt;&gt;"[]",AY4/1200,-$Q4)</f>
        <v>-0.14232345955469147</v>
      </c>
      <c r="BB4">
        <f>IF($U4&lt;&gt;"[]",AZ4/1200,-$R4)</f>
        <v>-0.12905103262825693</v>
      </c>
      <c r="BC4">
        <v>3.4047155737328798</v>
      </c>
      <c r="BD4">
        <v>0.81111766222954995</v>
      </c>
      <c r="BE4">
        <f>IF($U4&lt;&gt;"[]",BC4*$G4,"")</f>
        <v>224.26776894001424</v>
      </c>
      <c r="BF4">
        <f>IF($U4&lt;&gt;"[]",BD4*$G4,"")</f>
        <v>53.428118888832898</v>
      </c>
      <c r="BG4">
        <f>IF($U4&lt;&gt;"[]",BE4/1200,-$Q4)</f>
        <v>0.18688980745001185</v>
      </c>
      <c r="BH4">
        <f>IF($U4&lt;&gt;"[]",BF4/1200,-$R4)</f>
        <v>4.4523432407360751E-2</v>
      </c>
    </row>
    <row r="5" spans="1:60" x14ac:dyDescent="0.3">
      <c r="A5">
        <v>1.512</v>
      </c>
      <c r="B5">
        <v>-2</v>
      </c>
      <c r="C5">
        <v>3</v>
      </c>
      <c r="D5">
        <v>-1</v>
      </c>
      <c r="E5">
        <v>5</v>
      </c>
      <c r="F5">
        <f>DEGREES(2*ATAN(520/(2*1000)))</f>
        <v>29.148432396077478</v>
      </c>
      <c r="G5">
        <f>1920/F5</f>
        <v>65.869751549945292</v>
      </c>
      <c r="H5" t="s">
        <v>6</v>
      </c>
      <c r="I5" t="s">
        <v>29</v>
      </c>
      <c r="J5" t="s">
        <v>15</v>
      </c>
      <c r="K5" t="str">
        <f>MID(J5,2,FIND(",",J5,2)-2)</f>
        <v>0.7157361814462673</v>
      </c>
      <c r="L5" t="str">
        <f>MID(J5,FIND(" ",J5)+1,LEN(J5)-FIND(" ",J5)-1)</f>
        <v>3.4260358606658974</v>
      </c>
      <c r="M5">
        <f>K5*$G5</f>
        <v>47.14536444717217</v>
      </c>
      <c r="N5">
        <f>L5*$G5</f>
        <v>225.67213094326516</v>
      </c>
      <c r="O5">
        <f>M5/1200</f>
        <v>3.9287803705976808E-2</v>
      </c>
      <c r="P5">
        <f>N5/1200</f>
        <v>0.18806010911938764</v>
      </c>
      <c r="Q5">
        <f>O5</f>
        <v>3.9287803705976808E-2</v>
      </c>
      <c r="R5">
        <f>P5</f>
        <v>0.18806010911938764</v>
      </c>
      <c r="S5" t="s">
        <v>35</v>
      </c>
      <c r="T5" t="s">
        <v>36</v>
      </c>
      <c r="U5" t="s">
        <v>59</v>
      </c>
      <c r="V5" t="s">
        <v>6</v>
      </c>
      <c r="W5" t="str">
        <f>MID(I5,2,LEN(I5)-2)</f>
        <v>78</v>
      </c>
      <c r="X5">
        <f>(100-W5)*3.6-90</f>
        <v>-10.799999999999997</v>
      </c>
      <c r="Y5" t="str">
        <f>IF($S5&lt;&gt;"[]",MID($S5,3,7),"#808080")</f>
        <v>#00ff00</v>
      </c>
      <c r="Z5" t="str">
        <f>IF(T5&lt;&gt;"[]",MID(T5,2,FIND(",",T5,2)-2),"")</f>
        <v>72</v>
      </c>
      <c r="AA5">
        <f>IFERROR((100-Z5)*3.6-90,X5)</f>
        <v>10.799999999999997</v>
      </c>
      <c r="AB5" t="str">
        <f>IF(S5&lt;&gt;"[]",MID(S5,14,7),"#808080")</f>
        <v>#1e00b4</v>
      </c>
      <c r="AC5" t="str">
        <f>IF(LEN(Z5)=1,MID(T5,5,FIND(",",T5,5)-5),IF(LEN(Z5)=2,MID(T5,6,FIND(",",T5,6)-6),""))</f>
        <v>6</v>
      </c>
      <c r="AD5">
        <f>IFERROR((100-AC5)*3.6-90,AA5)</f>
        <v>248.40000000000003</v>
      </c>
      <c r="AE5" t="str">
        <f>IF(S5&lt;&gt;"[]",MID(S5,25,7),"#808080")</f>
        <v>#000000</v>
      </c>
      <c r="AF5" t="str">
        <f>IF(SUM(LEN(Z5),LEN(AC5))=2,MID(T5,8,FIND(",",T5,8)-8),IF(SUM(LEN(Z5),LEN(AC5))=3,MID(T5,9,FIND(",",T5,9)-9),IF(SUM(LEN(Z5),LEN(AC5))=4,MID(T5,10,FIND(",",T5,10)-10),"")))</f>
        <v>61</v>
      </c>
      <c r="AG5">
        <f>IFERROR((100-AF5)*3.6-90,AD5)</f>
        <v>50.400000000000006</v>
      </c>
      <c r="AH5" t="str">
        <f>IF(S5&lt;&gt;"[]",MID(S5,36,7),"#808080")</f>
        <v>#00aaff</v>
      </c>
      <c r="AI5" t="str">
        <f>IF(SUM(LEN(Z5),LEN(AC5),LEN(AF5))=4,MID(T5,12,FIND("]",T5,12)-12),IF(SUM(LEN(Z5),LEN(AC5),LEN(AF5))=5,MID(T5,13,FIND("]",T5,13)-13),IF(SUM(LEN(Z5),LEN(AC5),LEN(AF5))=6,MID(T5,14,FIND("]",T5,14)-14),"")))</f>
        <v>47</v>
      </c>
      <c r="AJ5">
        <f>IFERROR((100-AI5)*3.6-90,AG5)</f>
        <v>100.80000000000001</v>
      </c>
      <c r="AK5">
        <v>-0.59573324708111397</v>
      </c>
      <c r="AL5">
        <v>3.4489276446922101</v>
      </c>
      <c r="AM5">
        <f>IF($U5&lt;&gt;"[]",AK5*$G5,"")</f>
        <v>-39.24080097527515</v>
      </c>
      <c r="AN5">
        <f>IF($U5&lt;&gt;"[]",AL5*$G5,"")</f>
        <v>227.18000706961388</v>
      </c>
      <c r="AO5">
        <f>IF($U5&lt;&gt;"[]",AM5/1200,-$Q5)</f>
        <v>-3.2700667479395956E-2</v>
      </c>
      <c r="AP5">
        <f>IF($U5&lt;&gt;"[]",AN5/1200,-$R5)</f>
        <v>0.18931667255801157</v>
      </c>
      <c r="AQ5">
        <v>3.23123575989543</v>
      </c>
      <c r="AR5">
        <v>-1.3450336293093099</v>
      </c>
      <c r="AS5">
        <f>IF($U5&lt;&gt;"[]",AQ5*$G5,"")</f>
        <v>212.84069670361066</v>
      </c>
      <c r="AT5">
        <f>IF($U5&lt;&gt;"[]",AR5*$G5,"")</f>
        <v>-88.597030988925454</v>
      </c>
      <c r="AU5">
        <f>IF($U5&lt;&gt;"[]",AS5/1200,-$Q5)</f>
        <v>0.1773672472530089</v>
      </c>
      <c r="AV5">
        <f>IF($U5&lt;&gt;"[]",AT5/1200,-$R5)</f>
        <v>-7.3830859157437881E-2</v>
      </c>
      <c r="AW5">
        <v>-2.65744957567208</v>
      </c>
      <c r="AX5">
        <v>2.2777097604304699</v>
      </c>
      <c r="AY5">
        <f>IF($U5&lt;&gt;"[]",AW5*$G5,"")</f>
        <v>-175.04554330602744</v>
      </c>
      <c r="AZ5">
        <f>IF($U5&lt;&gt;"[]",AX5*$G5,"")</f>
        <v>150.03217602244047</v>
      </c>
      <c r="BA5">
        <f>IF($U5&lt;&gt;"[]",AY5/1200,-$Q5)</f>
        <v>-0.1458712860883562</v>
      </c>
      <c r="BB5">
        <f>IF($U5&lt;&gt;"[]",AZ5/1200,-$R5)</f>
        <v>0.12502681335203372</v>
      </c>
      <c r="BC5">
        <v>-3.4489276446922101</v>
      </c>
      <c r="BD5">
        <v>-0.59573324708111197</v>
      </c>
      <c r="BE5">
        <f>IF($U5&lt;&gt;"[]",BC5*$G5,"")</f>
        <v>-227.18000706961388</v>
      </c>
      <c r="BF5">
        <f>IF($U5&lt;&gt;"[]",BD5*$G5,"")</f>
        <v>-39.240800975275015</v>
      </c>
      <c r="BG5">
        <f>IF($U5&lt;&gt;"[]",BE5/1200,-$Q5)</f>
        <v>-0.18931667255801157</v>
      </c>
      <c r="BH5">
        <f>IF($U5&lt;&gt;"[]",BF5/1200,-$R5)</f>
        <v>-3.2700667479395845E-2</v>
      </c>
    </row>
    <row r="6" spans="1:60" x14ac:dyDescent="0.3">
      <c r="A6">
        <v>1.4550000000000001</v>
      </c>
      <c r="B6">
        <v>-1</v>
      </c>
      <c r="C6">
        <v>4</v>
      </c>
      <c r="D6">
        <v>-1</v>
      </c>
      <c r="E6">
        <v>5</v>
      </c>
      <c r="F6">
        <f>DEGREES(2*ATAN(520/(2*1000)))</f>
        <v>29.148432396077478</v>
      </c>
      <c r="G6">
        <f>1920/F6</f>
        <v>65.869751549945292</v>
      </c>
      <c r="H6" t="s">
        <v>9</v>
      </c>
      <c r="I6" t="s">
        <v>26</v>
      </c>
      <c r="J6" t="s">
        <v>12</v>
      </c>
      <c r="K6" t="str">
        <f>MID(J6,2,FIND(",",J6,2)-2)</f>
        <v>2.4400778599909754</v>
      </c>
      <c r="L6" t="str">
        <f>MID(J6,FIND(" ",J6)+1,LEN(J6)-FIND(" ",J6)-1)</f>
        <v>2.5091871267766903</v>
      </c>
      <c r="M6">
        <f>K6*$G6</f>
        <v>160.72732240012738</v>
      </c>
      <c r="N6">
        <f>L6*$G6</f>
        <v>165.27953263310164</v>
      </c>
      <c r="O6">
        <f>M6/1200</f>
        <v>0.13393943533343949</v>
      </c>
      <c r="P6">
        <f>N6/1200</f>
        <v>0.13773294386091803</v>
      </c>
      <c r="Q6">
        <f>O6</f>
        <v>0.13393943533343949</v>
      </c>
      <c r="R6">
        <f>P6</f>
        <v>0.13773294386091803</v>
      </c>
      <c r="S6" t="s">
        <v>33</v>
      </c>
      <c r="T6" t="s">
        <v>34</v>
      </c>
      <c r="U6" t="s">
        <v>58</v>
      </c>
      <c r="V6" t="s">
        <v>9</v>
      </c>
      <c r="W6" t="str">
        <f>MID(I6,2,LEN(I6)-2)</f>
        <v>87</v>
      </c>
      <c r="X6">
        <f>(100-W6)*3.6-90</f>
        <v>-43.199999999999996</v>
      </c>
      <c r="Y6" t="str">
        <f>IF($S6&lt;&gt;"[]",MID($S6,3,7),"#808080")</f>
        <v>#ffffff</v>
      </c>
      <c r="Z6" t="str">
        <f>IF(T6&lt;&gt;"[]",MID(T6,2,FIND(",",T6,2)-2),"")</f>
        <v>42</v>
      </c>
      <c r="AA6">
        <f>IFERROR((100-Z6)*3.6-90,X6)</f>
        <v>118.80000000000001</v>
      </c>
      <c r="AB6" t="str">
        <f>IF(S6&lt;&gt;"[]",MID(S6,14,7),"#808080")</f>
        <v>#00ff00</v>
      </c>
      <c r="AC6" t="str">
        <f>IF(LEN(Z6)=1,MID(T6,5,FIND(",",T6,5)-5),IF(LEN(Z6)=2,MID(T6,6,FIND(",",T6,6)-6),""))</f>
        <v>9</v>
      </c>
      <c r="AD6">
        <f>IFERROR((100-AC6)*3.6-90,AA6)</f>
        <v>237.60000000000002</v>
      </c>
      <c r="AE6" t="str">
        <f>IF(S6&lt;&gt;"[]",MID(S6,25,7),"#808080")</f>
        <v>#1e00b4</v>
      </c>
      <c r="AF6" t="str">
        <f>IF(SUM(LEN(Z6),LEN(AC6))=2,MID(T6,8,FIND(",",T6,8)-8),IF(SUM(LEN(Z6),LEN(AC6))=3,MID(T6,9,FIND(",",T6,9)-9),IF(SUM(LEN(Z6),LEN(AC6))=4,MID(T6,10,FIND(",",T6,10)-10),"")))</f>
        <v>48</v>
      </c>
      <c r="AG6">
        <f>IFERROR((100-AF6)*3.6-90,AD6)</f>
        <v>97.200000000000017</v>
      </c>
      <c r="AH6" t="str">
        <f>IF(S6&lt;&gt;"[]",MID(S6,36,7),"#808080")</f>
        <v>#000000</v>
      </c>
      <c r="AI6" t="str">
        <f>IF(SUM(LEN(Z6),LEN(AC6),LEN(AF6))=4,MID(T6,12,FIND("]",T6,12)-12),IF(SUM(LEN(Z6),LEN(AC6),LEN(AF6))=5,MID(T6,13,FIND("]",T6,13)-13),IF(SUM(LEN(Z6),LEN(AC6),LEN(AF6))=6,MID(T6,14,FIND("]",T6,14)-14),"")))</f>
        <v>34</v>
      </c>
      <c r="AJ6">
        <f>IFERROR((100-AI6)*3.6-90,AG6)</f>
        <v>147.6</v>
      </c>
      <c r="AK6">
        <v>-3.09603341325279</v>
      </c>
      <c r="AL6">
        <v>-1.63235324118961</v>
      </c>
      <c r="AM6">
        <f>IF($U6&lt;&gt;"[]",AK6*$G6,"")</f>
        <v>-203.93495172129039</v>
      </c>
      <c r="AN6">
        <f>IF($U6&lt;&gt;"[]",AL6*$G6,"")</f>
        <v>-107.52270243890753</v>
      </c>
      <c r="AO6">
        <f>IF($U6&lt;&gt;"[]",AM6/1200,-$Q6)</f>
        <v>-0.16994579310107533</v>
      </c>
      <c r="AP6">
        <f>IF($U6&lt;&gt;"[]",AN6/1200,-$R6)</f>
        <v>-8.9602252032422947E-2</v>
      </c>
      <c r="AQ6">
        <v>2.9219675214219198</v>
      </c>
      <c r="AR6">
        <v>-1.92668259029748</v>
      </c>
      <c r="AS6">
        <f>IF($U6&lt;&gt;"[]",AQ6*$G6,"")</f>
        <v>192.46927467307131</v>
      </c>
      <c r="AT6">
        <f>IF($U6&lt;&gt;"[]",AR6*$G6,"")</f>
        <v>-126.91010353850004</v>
      </c>
      <c r="AU6">
        <f>IF($U6&lt;&gt;"[]",AS6/1200,-$Q6)</f>
        <v>0.16039106222755942</v>
      </c>
      <c r="AV6">
        <f>IF($U6&lt;&gt;"[]",AT6/1200,-$R6)</f>
        <v>-0.1057584196154167</v>
      </c>
      <c r="AW6">
        <v>-3.4795283739031002</v>
      </c>
      <c r="AX6">
        <v>-0.37799774497108002</v>
      </c>
      <c r="AY6">
        <f>IF($U6&lt;&gt;"[]",AW6*$G6,"")</f>
        <v>-229.19566949998236</v>
      </c>
      <c r="AZ6">
        <f>IF($U6&lt;&gt;"[]",AX6*$G6,"")</f>
        <v>-24.898617547684623</v>
      </c>
      <c r="BA6">
        <f>IF($U6&lt;&gt;"[]",AY6/1200,-$Q6)</f>
        <v>-0.1909963912499853</v>
      </c>
      <c r="BB6">
        <f>IF($U6&lt;&gt;"[]",AZ6/1200,-$R6)</f>
        <v>-2.0748847956403853E-2</v>
      </c>
      <c r="BC6">
        <v>-1.92668259029748</v>
      </c>
      <c r="BD6">
        <v>-2.9219675214219198</v>
      </c>
      <c r="BE6">
        <f>IF($U6&lt;&gt;"[]",BC6*$G6,"")</f>
        <v>-126.91010353850004</v>
      </c>
      <c r="BF6">
        <f>IF($U6&lt;&gt;"[]",BD6*$G6,"")</f>
        <v>-192.46927467307131</v>
      </c>
      <c r="BG6">
        <f>IF($U6&lt;&gt;"[]",BE6/1200,-$Q6)</f>
        <v>-0.1057584196154167</v>
      </c>
      <c r="BH6">
        <f>IF($U6&lt;&gt;"[]",BF6/1200,-$R6)</f>
        <v>-0.16039106222755942</v>
      </c>
    </row>
  </sheetData>
  <autoFilter ref="A1:BH6" xr:uid="{2856565C-3394-4709-98AD-BC67C3B6566E}"/>
  <sortState xmlns:xlrd2="http://schemas.microsoft.com/office/spreadsheetml/2017/richdata2" ref="A2:BH6">
    <sortCondition ref="E2:E6"/>
  </sortState>
  <phoneticPr fontId="1" type="noConversion"/>
  <pageMargins left="0.75" right="0.75" top="1" bottom="1" header="0.5" footer="0.5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6B60BD99320442997DDFDE430F0386" ma:contentTypeVersion="12" ma:contentTypeDescription="Create a new document." ma:contentTypeScope="" ma:versionID="7d3c938a1130b52341702113be196cf4">
  <xsd:schema xmlns:xsd="http://www.w3.org/2001/XMLSchema" xmlns:xs="http://www.w3.org/2001/XMLSchema" xmlns:p="http://schemas.microsoft.com/office/2006/metadata/properties" xmlns:ns3="3509413e-e3f1-4e61-947f-fdc80400369f" xmlns:ns4="39267549-17d2-4501-be38-93f69162e7f5" targetNamespace="http://schemas.microsoft.com/office/2006/metadata/properties" ma:root="true" ma:fieldsID="f1e2baeaaa573641b6065869e27a0075" ns3:_="" ns4:_="">
    <xsd:import namespace="3509413e-e3f1-4e61-947f-fdc80400369f"/>
    <xsd:import namespace="39267549-17d2-4501-be38-93f69162e7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9413e-e3f1-4e61-947f-fdc8040036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67549-17d2-4501-be38-93f69162e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83BA58-9072-4342-9B67-F4E78B8C2623}">
  <ds:schemaRefs>
    <ds:schemaRef ds:uri="http://schemas.openxmlformats.org/package/2006/metadata/core-properties"/>
    <ds:schemaRef ds:uri="http://www.w3.org/XML/1998/namespace"/>
    <ds:schemaRef ds:uri="http://purl.org/dc/terms/"/>
    <ds:schemaRef ds:uri="3509413e-e3f1-4e61-947f-fdc80400369f"/>
    <ds:schemaRef ds:uri="http://schemas.microsoft.com/office/2006/metadata/properties"/>
    <ds:schemaRef ds:uri="http://purl.org/dc/elements/1.1/"/>
    <ds:schemaRef ds:uri="39267549-17d2-4501-be38-93f69162e7f5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1D37B3-6347-4C37-A059-BBEE16D0A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9C8CEA-4C3C-4E7C-9A16-20C245E9D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09413e-e3f1-4e61-947f-fdc80400369f"/>
    <ds:schemaRef ds:uri="39267549-17d2-4501-be38-93f69162e7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---_2020_May_04_0846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PsychoPy2020.1.3</dc:creator>
  <cp:lastModifiedBy>MPRC</cp:lastModifiedBy>
  <dcterms:created xsi:type="dcterms:W3CDTF">2020-05-04T08:46:08Z</dcterms:created>
  <dcterms:modified xsi:type="dcterms:W3CDTF">2020-06-10T17:22:47Z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0x010100816B60BD99320442997DDFDE430F0386</vt:lpwstr>
  </property>
</Properties>
</file>