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P規則" sheetId="1" r:id="rId4"/>
    <sheet state="visible" name="SLOT前端表演設置" sheetId="2" r:id="rId5"/>
    <sheet state="visible" name="各項機率與倍數設定" sheetId="3" r:id="rId6"/>
    <sheet state="visible" name="驗證紀錄清單" sheetId="4" r:id="rId7"/>
    <sheet state="visible" name="「各項機率與倍數設定」的驗算" sheetId="5" r:id="rId8"/>
    <sheet state="visible" name="10位玩家各玩10,000次的輸贏趨勢圖" sheetId="6" r:id="rId9"/>
    <sheet state="hidden" name="「各項機率與倍數設定」的驗算(倍率球無影響版本)" sheetId="7" r:id="rId10"/>
    <sheet state="hidden" name="各項機率與倍數設定(六獎版本)" sheetId="8" r:id="rId11"/>
  </sheets>
  <definedNames/>
  <calcPr/>
  <extLst>
    <ext uri="GoogleSheetsCustomDataVersion2">
      <go:sheetsCustomData xmlns:go="http://customooxmlschemas.google.com/" r:id="rId12" roundtripDataChecksum="1Pu0K7+JgwIg7JpIxyxeW7Zknpl1Rs92xcaRqD/9iV0="/>
    </ext>
  </extLst>
</workbook>
</file>

<file path=xl/sharedStrings.xml><?xml version="1.0" encoding="utf-8"?>
<sst xmlns="http://schemas.openxmlformats.org/spreadsheetml/2006/main" count="864" uniqueCount="123">
  <si>
    <t>JP獎金計算公式：</t>
  </si>
  <si>
    <t>中的JP獎種類：依照中獎類型，得到「彩池比例」跟「保底倍數」不同。</t>
  </si>
  <si>
    <t>後台總獎池計算到小數點五位，而實際派彩金額只計算到小數點兩位以下無條件捨去</t>
  </si>
  <si>
    <t>公式：(彩池比例 * 當前彩金額 ) * ( 押注額 / 最大限注額) + 押注額* 保底倍數*倍率球</t>
  </si>
  <si>
    <t>注意: 倍率球不影響彩池獎，只影響保底倍數獎</t>
  </si>
  <si>
    <t>例：
假設當前彩金額： 1,000,000.12345，
玩家中：Super Jackpot，獲得彩池的50%與平均押注的200倍。
押注額：100
最大限紅：1,000
倍率球：1倍
則獲得金額
=（50% * 1,000,000.12345）* ( 100 / 1,000) + 100* 200 *1
= (500,000.061725) * ( 0.1) + 20,000 
= 70,000.0061725
取到小數點二位無條件捨去，實得70,000.00</t>
  </si>
  <si>
    <t>獎項種類</t>
  </si>
  <si>
    <t>O1 X 3</t>
  </si>
  <si>
    <t>O2 X 3</t>
  </si>
  <si>
    <t>O3 X 3</t>
  </si>
  <si>
    <t>O4 X 3</t>
  </si>
  <si>
    <t>O5 X 3</t>
  </si>
  <si>
    <t>上述以外時，沒有集滿三格一樣的圖片</t>
  </si>
  <si>
    <t xml:space="preserve"> </t>
  </si>
  <si>
    <t>各數值設置</t>
  </si>
  <si>
    <t>各位置樣本數與出現機率</t>
  </si>
  <si>
    <t>間隔數</t>
  </si>
  <si>
    <t>位置</t>
  </si>
  <si>
    <t>內容</t>
  </si>
  <si>
    <t>樣本數</t>
  </si>
  <si>
    <t>籤數總和</t>
  </si>
  <si>
    <t>出現機率</t>
  </si>
  <si>
    <t>機率總和</t>
  </si>
  <si>
    <t>本項目維持原Lucky Drop設定沒有更動。</t>
  </si>
  <si>
    <t>倍率球</t>
  </si>
  <si>
    <t>倍數</t>
  </si>
  <si>
    <t>機率</t>
  </si>
  <si>
    <t>各桌台與風險對應倍數</t>
  </si>
  <si>
    <t>桌台(RTP)</t>
  </si>
  <si>
    <t>Risk\位置</t>
  </si>
  <si>
    <t>High</t>
  </si>
  <si>
    <t>Medium</t>
  </si>
  <si>
    <t>Low</t>
  </si>
  <si>
    <t>此綠色為啟動小SLOT的平均倍數，</t>
  </si>
  <si>
    <t>其他黃色各項，維持原Lucky Drop設定沒有更動。</t>
  </si>
  <si>
    <t>JP入水設定</t>
  </si>
  <si>
    <t>設定內容</t>
  </si>
  <si>
    <t>彩金比例</t>
  </si>
  <si>
    <t>入水%數</t>
  </si>
  <si>
    <t>小Slot獎項設定(所有桌台相同)</t>
  </si>
  <si>
    <t>難度</t>
  </si>
  <si>
    <t>Bet乘上
保底倍數值</t>
  </si>
  <si>
    <t>各獎項籤數設定</t>
  </si>
  <si>
    <t>有JP桌台</t>
  </si>
  <si>
    <t>無JP桌台</t>
  </si>
  <si>
    <t>有JP</t>
  </si>
  <si>
    <t>綜合檢查表（需要修正)</t>
  </si>
  <si>
    <t>SLOT格子RTP</t>
  </si>
  <si>
    <t>項目</t>
  </si>
  <si>
    <t>原本數值</t>
  </si>
  <si>
    <t>有JP實際</t>
  </si>
  <si>
    <t>無JP實際</t>
  </si>
  <si>
    <t>遊戲體感驗算</t>
  </si>
  <si>
    <t>幾注一次Slot Game</t>
  </si>
  <si>
    <t>JP種類</t>
  </si>
  <si>
    <t>High幾注一次</t>
  </si>
  <si>
    <t>Medium幾注一次</t>
  </si>
  <si>
    <t>有獎池桌台</t>
  </si>
  <si>
    <t>無獎池桌台</t>
  </si>
  <si>
    <t xml:space="preserve">任意JP獎 </t>
  </si>
  <si>
    <t>任意普獎</t>
  </si>
  <si>
    <t>驗算(製作不用看)</t>
  </si>
  <si>
    <t>RTP驗算</t>
  </si>
  <si>
    <t>各位置幾注出現一次</t>
  </si>
  <si>
    <t>幾注一次</t>
  </si>
  <si>
    <t>含對稱位置
幾注一次</t>
  </si>
  <si>
    <t>進遊戲驗算</t>
  </si>
  <si>
    <t>進Slot機率</t>
  </si>
  <si>
    <t>幾注進一次Slot</t>
  </si>
  <si>
    <t>開獎機率與金額驗算</t>
  </si>
  <si>
    <t>算法說明</t>
  </si>
  <si>
    <t>獎項籤/ 所有簽</t>
  </si>
  <si>
    <t>幾次Slot Game開一次</t>
  </si>
  <si>
    <t>累積金額驗算</t>
  </si>
  <si>
    <t>每進一次Slot Game，累積多少倍獎池</t>
  </si>
  <si>
    <t>開任意JP彩金時，平均累積多少倍彩金</t>
  </si>
  <si>
    <t>開任意JP彩金時，平均拿多少彩金的比例</t>
  </si>
  <si>
    <t>彩金換算幾倍的押注額</t>
  </si>
  <si>
    <t>開任意JP彩金時，平均拿多少倍保底倍數金</t>
  </si>
  <si>
    <t>給獎與RTP計算</t>
  </si>
  <si>
    <t>任一彩金JP機率</t>
  </si>
  <si>
    <t>彩金JP的倍數</t>
  </si>
  <si>
    <t>倍數普獎機率</t>
  </si>
  <si>
    <t>倍數普獎倍數</t>
  </si>
  <si>
    <t>RTP</t>
  </si>
  <si>
    <t>以下空白</t>
  </si>
  <si>
    <t>無JP</t>
  </si>
  <si>
    <t>JP</t>
  </si>
  <si>
    <t>RTP桌台</t>
  </si>
  <si>
    <t>Risk</t>
  </si>
  <si>
    <t>預期</t>
  </si>
  <si>
    <t>1000萬紀錄</t>
  </si>
  <si>
    <t>1億次紀錄</t>
  </si>
  <si>
    <t>總RTP</t>
  </si>
  <si>
    <t>Base RTP</t>
  </si>
  <si>
    <t>Bones RTP(含JP)</t>
  </si>
  <si>
    <t>JP RTP</t>
  </si>
  <si>
    <t>總贏分</t>
  </si>
  <si>
    <t>Base贏分</t>
  </si>
  <si>
    <t>Bonus贏分</t>
  </si>
  <si>
    <t>Bones RTP</t>
  </si>
  <si>
    <t>理論-實際RTP</t>
  </si>
  <si>
    <t>Base理論-實際RTP</t>
  </si>
  <si>
    <t>Bonus理論-實際RTP</t>
  </si>
  <si>
    <t>綜合檢查表（製作不需要看）</t>
  </si>
  <si>
    <t>平均倍數</t>
  </si>
  <si>
    <t>倍率球後倍數</t>
  </si>
  <si>
    <t>倍數換算RTP</t>
  </si>
  <si>
    <t>平均倍數 * 中獎次數</t>
  </si>
  <si>
    <t>倍數加JP後RTP</t>
  </si>
  <si>
    <t>加JP後RTP</t>
  </si>
  <si>
    <t>換算RTP + 1%</t>
  </si>
  <si>
    <t>目標RTP</t>
  </si>
  <si>
    <t>舊專案的ＲＴＰ</t>
  </si>
  <si>
    <t>倍數加JP平均倍數</t>
  </si>
  <si>
    <t>加JP平均倍數</t>
  </si>
  <si>
    <t>目標倍數</t>
  </si>
  <si>
    <t>換算RTP</t>
  </si>
  <si>
    <t>原始RTP</t>
  </si>
  <si>
    <t>原始倍數</t>
  </si>
  <si>
    <t>變色為啟動小SLOT的平均倍數，</t>
  </si>
  <si>
    <t>其他各項維持原Lucky Drop設定沒有更動。</t>
  </si>
  <si>
    <t>應有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</si>
</sst>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#,##0.000"/>
    <numFmt numFmtId="166" formatCode="0.000"/>
    <numFmt numFmtId="167" formatCode="0.0000%"/>
    <numFmt numFmtId="168" formatCode="#,##0.0"/>
    <numFmt numFmtId="169" formatCode="#,##0.0000"/>
    <numFmt numFmtId="170" formatCode="0.000%"/>
    <numFmt numFmtId="171" formatCode="0.0000"/>
    <numFmt numFmtId="172" formatCode="#,##0.00000"/>
  </numFmts>
  <fonts count="18">
    <font>
      <sz val="10.0"/>
      <color rgb="FF000000"/>
      <name val="Arial"/>
      <scheme val="minor"/>
    </font>
    <font>
      <sz val="11.0"/>
      <color rgb="FF172B4D"/>
      <name val="Arial"/>
    </font>
    <font>
      <sz val="11.0"/>
      <color rgb="FF172B4D"/>
      <name val="-apple-system"/>
    </font>
    <font>
      <color theme="1"/>
      <name val="Arial"/>
      <scheme val="minor"/>
    </font>
    <font>
      <b/>
      <sz val="11.0"/>
      <color rgb="FF172B4D"/>
      <name val="Arial"/>
    </font>
    <font>
      <sz val="12.0"/>
      <color theme="1"/>
      <name val="Arial"/>
    </font>
    <font/>
    <font>
      <color theme="1"/>
      <name val="Arial"/>
    </font>
    <font>
      <b/>
      <color theme="1"/>
      <name val="Arial"/>
      <scheme val="minor"/>
    </font>
    <font>
      <sz val="16.0"/>
      <color rgb="FFFFFFFF"/>
      <name val="Arial"/>
    </font>
    <font>
      <sz val="11.0"/>
      <color theme="1"/>
      <name val="Arial"/>
    </font>
    <font>
      <sz val="12.0"/>
      <color rgb="FFFFFFFF"/>
      <name val="Arial"/>
    </font>
    <font>
      <sz val="11.0"/>
      <color rgb="FF000000"/>
      <name val="Inconsolata"/>
    </font>
    <font>
      <sz val="8.0"/>
      <color theme="1"/>
      <name val="Arial"/>
    </font>
    <font>
      <b/>
      <color theme="1"/>
      <name val="Arial"/>
    </font>
    <font>
      <sz val="11.0"/>
      <color rgb="FF000000"/>
      <name val="Arial"/>
    </font>
    <font>
      <b/>
      <sz val="12.0"/>
      <color theme="1"/>
      <name val="Arial"/>
    </font>
    <font>
      <color rgb="FF00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AF2D0"/>
        <bgColor rgb="FFDAF2D0"/>
      </patternFill>
    </fill>
    <fill>
      <patternFill patternType="solid">
        <fgColor rgb="FF20124D"/>
        <bgColor rgb="FF20124D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48">
    <border/>
    <border>
      <left style="thin">
        <color rgb="FF091E42"/>
      </left>
      <right style="thin">
        <color rgb="FF091E42"/>
      </right>
      <top style="thin">
        <color rgb="FF091E42"/>
      </top>
      <bottom style="thin">
        <color rgb="FF091E42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vertical="top"/>
    </xf>
    <xf borderId="2" fillId="3" fontId="5" numFmtId="0" xfId="0" applyAlignment="1" applyBorder="1" applyFill="1" applyFont="1">
      <alignment readingOrder="0" shrinkToFit="0" vertical="center" wrapText="1"/>
    </xf>
    <xf borderId="3" fillId="0" fontId="6" numFmtId="0" xfId="0" applyBorder="1" applyFont="1"/>
    <xf borderId="2" fillId="0" fontId="3" numFmtId="0" xfId="0" applyAlignment="1" applyBorder="1" applyFont="1">
      <alignment readingOrder="0" shrinkToFit="0" vertical="center" wrapText="1"/>
    </xf>
    <xf borderId="4" fillId="0" fontId="6" numFmtId="0" xfId="0" applyBorder="1" applyFont="1"/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5" fillId="0" fontId="7" numFmtId="0" xfId="0" applyAlignment="1" applyBorder="1" applyFont="1">
      <alignment shrinkToFit="0" wrapText="1"/>
    </xf>
    <xf borderId="6" fillId="0" fontId="6" numFmtId="0" xfId="0" applyBorder="1" applyFont="1"/>
    <xf borderId="7" fillId="0" fontId="3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0" fillId="4" fontId="9" numFmtId="0" xfId="0" applyAlignment="1" applyFill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10" numFmtId="0" xfId="0" applyAlignment="1" applyFont="1">
      <alignment horizontal="left" readingOrder="0" vertical="center"/>
    </xf>
    <xf borderId="0" fillId="0" fontId="7" numFmtId="0" xfId="0" applyAlignment="1" applyFont="1">
      <alignment horizontal="center"/>
    </xf>
    <xf borderId="0" fillId="5" fontId="11" numFmtId="0" xfId="0" applyAlignment="1" applyFill="1" applyFont="1">
      <alignment readingOrder="0" vertical="bottom"/>
    </xf>
    <xf borderId="0" fillId="0" fontId="7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vertical="center"/>
    </xf>
    <xf borderId="7" fillId="6" fontId="12" numFmtId="0" xfId="0" applyAlignment="1" applyBorder="1" applyFill="1" applyFont="1">
      <alignment horizontal="center"/>
    </xf>
    <xf borderId="9" fillId="0" fontId="6" numFmtId="0" xfId="0" applyBorder="1" applyFont="1"/>
    <xf borderId="7" fillId="7" fontId="7" numFmtId="0" xfId="0" applyAlignment="1" applyBorder="1" applyFill="1" applyFont="1">
      <alignment horizontal="center"/>
    </xf>
    <xf borderId="0" fillId="0" fontId="13" numFmtId="0" xfId="0" applyAlignment="1" applyFont="1">
      <alignment horizontal="left" readingOrder="0" vertical="center"/>
    </xf>
    <xf borderId="0" fillId="2" fontId="14" numFmtId="0" xfId="0" applyAlignment="1" applyFont="1">
      <alignment horizontal="center" readingOrder="0"/>
    </xf>
    <xf borderId="0" fillId="2" fontId="14" numFmtId="0" xfId="0" applyAlignment="1" applyFont="1">
      <alignment horizontal="center"/>
    </xf>
    <xf borderId="7" fillId="0" fontId="3" numFmtId="0" xfId="0" applyAlignment="1" applyBorder="1" applyFont="1">
      <alignment readingOrder="0"/>
    </xf>
    <xf borderId="7" fillId="2" fontId="14" numFmtId="0" xfId="0" applyAlignment="1" applyBorder="1" applyFont="1">
      <alignment horizontal="center" readingOrder="0"/>
    </xf>
    <xf borderId="7" fillId="6" fontId="14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10" fillId="0" fontId="5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5" fillId="0" fontId="5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top"/>
    </xf>
    <xf borderId="17" fillId="6" fontId="1" numFmtId="164" xfId="0" applyAlignment="1" applyBorder="1" applyFont="1" applyNumberFormat="1">
      <alignment horizontal="center" vertical="top"/>
    </xf>
    <xf borderId="17" fillId="8" fontId="15" numFmtId="165" xfId="0" applyAlignment="1" applyBorder="1" applyFill="1" applyFont="1" applyNumberFormat="1">
      <alignment horizontal="center" vertical="top"/>
    </xf>
    <xf borderId="18" fillId="6" fontId="1" numFmtId="164" xfId="0" applyAlignment="1" applyBorder="1" applyFont="1" applyNumberFormat="1">
      <alignment horizontal="center" vertical="top"/>
    </xf>
    <xf borderId="19" fillId="6" fontId="1" numFmtId="164" xfId="0" applyAlignment="1" applyBorder="1" applyFont="1" applyNumberFormat="1">
      <alignment horizontal="center" vertical="top"/>
    </xf>
    <xf borderId="20" fillId="6" fontId="1" numFmtId="164" xfId="0" applyAlignment="1" applyBorder="1" applyFont="1" applyNumberFormat="1">
      <alignment horizontal="center" vertical="top"/>
    </xf>
    <xf borderId="21" fillId="6" fontId="1" numFmtId="164" xfId="0" applyAlignment="1" applyBorder="1" applyFont="1" applyNumberFormat="1">
      <alignment horizontal="center" vertical="top"/>
    </xf>
    <xf borderId="15" fillId="0" fontId="6" numFmtId="0" xfId="0" applyBorder="1" applyFont="1"/>
    <xf borderId="22" fillId="0" fontId="4" numFmtId="0" xfId="0" applyAlignment="1" applyBorder="1" applyFont="1">
      <alignment horizontal="center" readingOrder="0" vertical="top"/>
    </xf>
    <xf borderId="7" fillId="6" fontId="1" numFmtId="164" xfId="0" applyAlignment="1" applyBorder="1" applyFont="1" applyNumberFormat="1">
      <alignment horizontal="center" vertical="top"/>
    </xf>
    <xf borderId="7" fillId="8" fontId="15" numFmtId="166" xfId="0" applyAlignment="1" applyBorder="1" applyFont="1" applyNumberFormat="1">
      <alignment horizontal="center" vertical="top"/>
    </xf>
    <xf borderId="2" fillId="6" fontId="1" numFmtId="164" xfId="0" applyAlignment="1" applyBorder="1" applyFont="1" applyNumberFormat="1">
      <alignment horizontal="center" vertical="top"/>
    </xf>
    <xf borderId="23" fillId="6" fontId="1" numFmtId="164" xfId="0" applyAlignment="1" applyBorder="1" applyFont="1" applyNumberFormat="1">
      <alignment horizontal="center" vertical="top"/>
    </xf>
    <xf borderId="3" fillId="6" fontId="1" numFmtId="164" xfId="0" applyAlignment="1" applyBorder="1" applyFont="1" applyNumberFormat="1">
      <alignment horizontal="center" vertical="top"/>
    </xf>
    <xf borderId="24" fillId="6" fontId="1" numFmtId="164" xfId="0" applyAlignment="1" applyBorder="1" applyFont="1" applyNumberFormat="1">
      <alignment horizontal="center" vertical="top"/>
    </xf>
    <xf borderId="25" fillId="0" fontId="6" numFmtId="0" xfId="0" applyBorder="1" applyFont="1"/>
    <xf borderId="26" fillId="0" fontId="4" numFmtId="0" xfId="0" applyAlignment="1" applyBorder="1" applyFont="1">
      <alignment horizontal="center" readingOrder="0" vertical="top"/>
    </xf>
    <xf borderId="27" fillId="6" fontId="1" numFmtId="164" xfId="0" applyAlignment="1" applyBorder="1" applyFont="1" applyNumberFormat="1">
      <alignment horizontal="center" vertical="top"/>
    </xf>
    <xf borderId="28" fillId="6" fontId="1" numFmtId="164" xfId="0" applyAlignment="1" applyBorder="1" applyFont="1" applyNumberFormat="1">
      <alignment horizontal="center" vertical="top"/>
    </xf>
    <xf borderId="29" fillId="6" fontId="1" numFmtId="164" xfId="0" applyAlignment="1" applyBorder="1" applyFont="1" applyNumberFormat="1">
      <alignment horizontal="center" vertical="top"/>
    </xf>
    <xf borderId="30" fillId="6" fontId="1" numFmtId="164" xfId="0" applyAlignment="1" applyBorder="1" applyFont="1" applyNumberFormat="1">
      <alignment horizontal="center" vertical="top"/>
    </xf>
    <xf borderId="31" fillId="6" fontId="1" numFmtId="164" xfId="0" applyAlignment="1" applyBorder="1" applyFont="1" applyNumberFormat="1">
      <alignment horizontal="center" vertical="top"/>
    </xf>
    <xf borderId="32" fillId="0" fontId="5" numFmtId="0" xfId="0" applyAlignment="1" applyBorder="1" applyFont="1">
      <alignment horizontal="center" readingOrder="0" vertical="center"/>
    </xf>
    <xf borderId="33" fillId="0" fontId="5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top"/>
    </xf>
    <xf borderId="3" fillId="0" fontId="4" numFmtId="0" xfId="0" applyAlignment="1" applyBorder="1" applyFont="1">
      <alignment horizontal="center" readingOrder="0" vertical="top"/>
    </xf>
    <xf borderId="34" fillId="0" fontId="6" numFmtId="0" xfId="0" applyBorder="1" applyFont="1"/>
    <xf borderId="30" fillId="0" fontId="4" numFmtId="0" xfId="0" applyAlignment="1" applyBorder="1" applyFont="1">
      <alignment horizontal="center" readingOrder="0" vertical="top"/>
    </xf>
    <xf borderId="18" fillId="8" fontId="15" numFmtId="165" xfId="0" applyAlignment="1" applyBorder="1" applyFont="1" applyNumberFormat="1">
      <alignment horizontal="left" readingOrder="0" vertical="top"/>
    </xf>
    <xf borderId="35" fillId="8" fontId="15" numFmtId="165" xfId="0" applyAlignment="1" applyBorder="1" applyFont="1" applyNumberFormat="1">
      <alignment horizontal="left" readingOrder="0" vertical="top"/>
    </xf>
    <xf borderId="20" fillId="8" fontId="15" numFmtId="165" xfId="0" applyAlignment="1" applyBorder="1" applyFont="1" applyNumberFormat="1">
      <alignment horizontal="left" readingOrder="0" vertical="top"/>
    </xf>
    <xf borderId="9" fillId="6" fontId="15" numFmtId="165" xfId="0" applyAlignment="1" applyBorder="1" applyFont="1" applyNumberFormat="1">
      <alignment horizontal="left" readingOrder="0" vertical="top"/>
    </xf>
    <xf borderId="2" fillId="3" fontId="5" numFmtId="0" xfId="0" applyAlignment="1" applyBorder="1" applyFont="1">
      <alignment readingOrder="0" vertical="bottom"/>
    </xf>
    <xf borderId="3" fillId="3" fontId="5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6" fillId="6" fontId="5" numFmtId="10" xfId="0" applyAlignment="1" applyBorder="1" applyFont="1" applyNumberFormat="1">
      <alignment horizontal="right" readingOrder="0" vertical="bottom"/>
    </xf>
    <xf borderId="0" fillId="0" fontId="7" numFmtId="0" xfId="0" applyFont="1"/>
    <xf borderId="0" fillId="0" fontId="7" numFmtId="0" xfId="0" applyAlignment="1" applyFont="1">
      <alignment vertical="bottom"/>
    </xf>
    <xf borderId="7" fillId="3" fontId="5" numFmtId="0" xfId="0" applyAlignment="1" applyBorder="1" applyFont="1">
      <alignment vertical="bottom"/>
    </xf>
    <xf borderId="5" fillId="0" fontId="7" numFmtId="0" xfId="0" applyBorder="1" applyFont="1"/>
    <xf borderId="6" fillId="6" fontId="5" numFmtId="9" xfId="0" applyAlignment="1" applyBorder="1" applyFont="1" applyNumberFormat="1">
      <alignment horizontal="right" vertical="bottom"/>
    </xf>
    <xf borderId="6" fillId="6" fontId="5" numFmtId="0" xfId="0" applyAlignment="1" applyBorder="1" applyFont="1">
      <alignment horizontal="right" readingOrder="0" vertical="bottom"/>
    </xf>
    <xf borderId="6" fillId="6" fontId="5" numFmtId="9" xfId="0" applyAlignment="1" applyBorder="1" applyFont="1" applyNumberFormat="1">
      <alignment horizontal="right" readingOrder="0" vertical="bottom"/>
    </xf>
    <xf borderId="2" fillId="0" fontId="7" numFmtId="0" xfId="0" applyBorder="1" applyFont="1"/>
    <xf borderId="0" fillId="5" fontId="11" numFmtId="0" xfId="0" applyAlignment="1" applyFont="1">
      <alignment vertical="bottom"/>
    </xf>
    <xf borderId="0" fillId="0" fontId="7" numFmtId="0" xfId="0" applyAlignment="1" applyFont="1">
      <alignment readingOrder="0"/>
    </xf>
    <xf borderId="3" fillId="3" fontId="5" numFmtId="0" xfId="0" applyAlignment="1" applyBorder="1" applyFont="1">
      <alignment readingOrder="0" vertical="bottom"/>
    </xf>
    <xf borderId="6" fillId="6" fontId="5" numFmtId="0" xfId="0" applyAlignment="1" applyBorder="1" applyFont="1">
      <alignment horizontal="right" vertical="bottom"/>
    </xf>
    <xf borderId="0" fillId="9" fontId="9" numFmtId="0" xfId="0" applyAlignment="1" applyFill="1" applyFont="1">
      <alignment readingOrder="0" vertical="bottom"/>
    </xf>
    <xf borderId="0" fillId="9" fontId="7" numFmtId="0" xfId="0" applyAlignment="1" applyFont="1">
      <alignment vertical="bottom"/>
    </xf>
    <xf borderId="0" fillId="5" fontId="11" numFmtId="0" xfId="0" applyAlignment="1" applyFont="1">
      <alignment readingOrder="0" shrinkToFit="0" vertical="bottom" wrapText="0"/>
    </xf>
    <xf borderId="7" fillId="0" fontId="4" numFmtId="0" xfId="0" applyAlignment="1" applyBorder="1" applyFont="1">
      <alignment horizontal="center" readingOrder="0" vertical="top"/>
    </xf>
    <xf borderId="7" fillId="0" fontId="7" numFmtId="167" xfId="0" applyAlignment="1" applyBorder="1" applyFont="1" applyNumberFormat="1">
      <alignment horizontal="center"/>
    </xf>
    <xf borderId="6" fillId="10" fontId="5" numFmtId="167" xfId="0" applyAlignment="1" applyBorder="1" applyFill="1" applyFont="1" applyNumberFormat="1">
      <alignment horizontal="right" vertical="bottom"/>
    </xf>
    <xf borderId="2" fillId="0" fontId="7" numFmtId="0" xfId="0" applyAlignment="1" applyBorder="1" applyFont="1">
      <alignment readingOrder="0"/>
    </xf>
    <xf borderId="36" fillId="10" fontId="5" numFmtId="168" xfId="0" applyAlignment="1" applyBorder="1" applyFont="1" applyNumberFormat="1">
      <alignment horizontal="left" vertical="bottom"/>
    </xf>
    <xf borderId="36" fillId="0" fontId="6" numFmtId="0" xfId="0" applyBorder="1" applyFont="1"/>
    <xf borderId="2" fillId="11" fontId="5" numFmtId="0" xfId="0" applyBorder="1" applyFill="1" applyFont="1"/>
    <xf borderId="4" fillId="11" fontId="7" numFmtId="0" xfId="0" applyBorder="1" applyFont="1"/>
    <xf borderId="2" fillId="11" fontId="7" numFmtId="0" xfId="0" applyAlignment="1" applyBorder="1" applyFont="1">
      <alignment readingOrder="0"/>
    </xf>
    <xf borderId="2" fillId="3" fontId="5" numFmtId="0" xfId="0" applyAlignment="1" applyBorder="1" applyFont="1">
      <alignment vertical="bottom"/>
    </xf>
    <xf borderId="2" fillId="0" fontId="16" numFmtId="0" xfId="0" applyBorder="1" applyFont="1"/>
    <xf borderId="6" fillId="10" fontId="5" numFmtId="168" xfId="0" applyAlignment="1" applyBorder="1" applyFont="1" applyNumberFormat="1">
      <alignment horizontal="right" vertical="bottom"/>
    </xf>
    <xf borderId="15" fillId="0" fontId="5" numFmtId="169" xfId="0" applyAlignment="1" applyBorder="1" applyFont="1" applyNumberFormat="1">
      <alignment horizontal="center" readingOrder="0" vertical="center"/>
    </xf>
    <xf borderId="17" fillId="2" fontId="1" numFmtId="166" xfId="0" applyAlignment="1" applyBorder="1" applyFont="1" applyNumberFormat="1">
      <alignment horizontal="center" vertical="top"/>
    </xf>
    <xf borderId="17" fillId="0" fontId="1" numFmtId="166" xfId="0" applyAlignment="1" applyBorder="1" applyFont="1" applyNumberFormat="1">
      <alignment horizontal="center" vertical="top"/>
    </xf>
    <xf borderId="17" fillId="12" fontId="1" numFmtId="166" xfId="0" applyAlignment="1" applyBorder="1" applyFill="1" applyFont="1" applyNumberFormat="1">
      <alignment horizontal="center" vertical="top"/>
    </xf>
    <xf borderId="21" fillId="2" fontId="1" numFmtId="166" xfId="0" applyAlignment="1" applyBorder="1" applyFont="1" applyNumberFormat="1">
      <alignment horizontal="center" vertical="top"/>
    </xf>
    <xf borderId="7" fillId="2" fontId="1" numFmtId="166" xfId="0" applyAlignment="1" applyBorder="1" applyFont="1" applyNumberFormat="1">
      <alignment horizontal="center" vertical="top"/>
    </xf>
    <xf borderId="7" fillId="13" fontId="1" numFmtId="166" xfId="0" applyAlignment="1" applyBorder="1" applyFill="1" applyFont="1" applyNumberFormat="1">
      <alignment horizontal="center" vertical="top"/>
    </xf>
    <xf borderId="7" fillId="0" fontId="1" numFmtId="166" xfId="0" applyAlignment="1" applyBorder="1" applyFont="1" applyNumberFormat="1">
      <alignment horizontal="center" vertical="top"/>
    </xf>
    <xf borderId="24" fillId="2" fontId="1" numFmtId="166" xfId="0" applyAlignment="1" applyBorder="1" applyFont="1" applyNumberFormat="1">
      <alignment horizontal="center" vertical="top"/>
    </xf>
    <xf borderId="25" fillId="0" fontId="5" numFmtId="169" xfId="0" applyAlignment="1" applyBorder="1" applyFont="1" applyNumberFormat="1">
      <alignment horizontal="center" readingOrder="0" vertical="center"/>
    </xf>
    <xf borderId="27" fillId="2" fontId="1" numFmtId="166" xfId="0" applyAlignment="1" applyBorder="1" applyFont="1" applyNumberFormat="1">
      <alignment horizontal="center" vertical="top"/>
    </xf>
    <xf borderId="27" fillId="0" fontId="1" numFmtId="166" xfId="0" applyAlignment="1" applyBorder="1" applyFont="1" applyNumberFormat="1">
      <alignment horizontal="center" vertical="top"/>
    </xf>
    <xf borderId="31" fillId="2" fontId="1" numFmtId="166" xfId="0" applyAlignment="1" applyBorder="1" applyFont="1" applyNumberFormat="1">
      <alignment horizontal="center" vertical="top"/>
    </xf>
    <xf borderId="32" fillId="0" fontId="5" numFmtId="169" xfId="0" applyAlignment="1" applyBorder="1" applyFont="1" applyNumberFormat="1">
      <alignment horizontal="center" readingOrder="0" vertical="center"/>
    </xf>
    <xf borderId="34" fillId="0" fontId="5" numFmtId="169" xfId="0" applyAlignment="1" applyBorder="1" applyFont="1" applyNumberForma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7" fillId="0" fontId="7" numFmtId="164" xfId="0" applyAlignment="1" applyBorder="1" applyFont="1" applyNumberFormat="1">
      <alignment horizontal="center"/>
    </xf>
    <xf borderId="0" fillId="5" fontId="11" numFmtId="0" xfId="0" applyAlignment="1" applyFont="1">
      <alignment shrinkToFit="0" vertical="bottom" wrapText="1"/>
    </xf>
    <xf borderId="0" fillId="0" fontId="7" numFmtId="0" xfId="0" applyFont="1"/>
    <xf borderId="2" fillId="3" fontId="5" numFmtId="0" xfId="0" applyAlignment="1" applyBorder="1" applyFont="1">
      <alignment shrinkToFit="0" vertical="bottom" wrapText="1"/>
    </xf>
    <xf borderId="3" fillId="3" fontId="5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readingOrder="0" shrinkToFit="0" vertical="bottom" wrapText="1"/>
    </xf>
    <xf borderId="6" fillId="0" fontId="7" numFmtId="167" xfId="0" applyAlignment="1" applyBorder="1" applyFont="1" applyNumberFormat="1">
      <alignment horizontal="right" shrinkToFit="0" vertical="bottom" wrapText="1"/>
    </xf>
    <xf borderId="6" fillId="0" fontId="7" numFmtId="2" xfId="0" applyAlignment="1" applyBorder="1" applyFont="1" applyNumberFormat="1">
      <alignment horizontal="right" shrinkToFit="0" vertical="bottom" wrapText="1"/>
    </xf>
    <xf borderId="0" fillId="5" fontId="11" numFmtId="0" xfId="0" applyAlignment="1" applyFont="1">
      <alignment shrinkToFit="0" vertical="bottom" wrapText="0"/>
    </xf>
    <xf borderId="2" fillId="3" fontId="5" numFmtId="0" xfId="0" applyAlignment="1" applyBorder="1" applyFont="1">
      <alignment shrinkToFit="0" vertical="bottom" wrapText="1"/>
    </xf>
    <xf borderId="3" fillId="3" fontId="5" numFmtId="2" xfId="0" applyAlignment="1" applyBorder="1" applyFont="1" applyNumberForma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6" fillId="0" fontId="7" numFmtId="170" xfId="0" applyAlignment="1" applyBorder="1" applyFont="1" applyNumberFormat="1">
      <alignment horizontal="right" shrinkToFit="0" vertical="bottom" wrapText="1"/>
    </xf>
    <xf borderId="6" fillId="0" fontId="7" numFmtId="4" xfId="0" applyAlignment="1" applyBorder="1" applyFont="1" applyNumberFormat="1">
      <alignment horizontal="right" shrinkToFit="0" vertical="bottom" wrapText="1"/>
    </xf>
    <xf borderId="2" fillId="0" fontId="7" numFmtId="0" xfId="0" applyAlignment="1" applyBorder="1" applyFont="1">
      <alignment readingOrder="0" shrinkToFit="0" vertical="bottom" wrapText="1"/>
    </xf>
    <xf borderId="7" fillId="0" fontId="7" numFmtId="2" xfId="0" applyAlignment="1" applyBorder="1" applyFont="1" applyNumberFormat="1">
      <alignment horizontal="right" shrinkToFit="0" vertical="bottom" wrapText="1"/>
    </xf>
    <xf borderId="7" fillId="0" fontId="7" numFmtId="2" xfId="0" applyAlignment="1" applyBorder="1" applyFont="1" applyNumberFormat="1">
      <alignment horizontal="right" readingOrder="0" shrinkToFit="0" vertical="bottom" wrapText="1"/>
    </xf>
    <xf borderId="7" fillId="0" fontId="7" numFmtId="0" xfId="0" applyAlignment="1" applyBorder="1" applyFont="1">
      <alignment horizontal="right" shrinkToFit="0" wrapText="1"/>
    </xf>
    <xf borderId="7" fillId="0" fontId="7" numFmtId="170" xfId="0" applyAlignment="1" applyBorder="1" applyFont="1" applyNumberFormat="1">
      <alignment horizontal="right" shrinkToFit="0" wrapText="1"/>
    </xf>
    <xf borderId="7" fillId="0" fontId="7" numFmtId="2" xfId="0" applyAlignment="1" applyBorder="1" applyFont="1" applyNumberFormat="1">
      <alignment horizontal="right" shrinkToFit="0" wrapText="1"/>
    </xf>
    <xf borderId="7" fillId="0" fontId="7" numFmtId="2" xfId="0" applyAlignment="1" applyBorder="1" applyFont="1" applyNumberFormat="1">
      <alignment horizontal="right"/>
    </xf>
    <xf borderId="7" fillId="3" fontId="5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shrinkToFit="0" vertical="bottom" wrapText="1"/>
    </xf>
    <xf borderId="7" fillId="0" fontId="7" numFmtId="170" xfId="0" applyAlignment="1" applyBorder="1" applyFont="1" applyNumberFormat="1">
      <alignment horizontal="right"/>
    </xf>
    <xf borderId="7" fillId="0" fontId="7" numFmtId="0" xfId="0" applyAlignment="1" applyBorder="1" applyFont="1">
      <alignment horizontal="right"/>
    </xf>
    <xf borderId="7" fillId="0" fontId="7" numFmtId="10" xfId="0" applyAlignment="1" applyBorder="1" applyFont="1" applyNumberFormat="1">
      <alignment horizontal="right"/>
    </xf>
    <xf borderId="0" fillId="14" fontId="9" numFmtId="0" xfId="0" applyAlignment="1" applyFill="1" applyFont="1">
      <alignment shrinkToFit="0" vertical="bottom" wrapText="1"/>
    </xf>
    <xf borderId="0" fillId="14" fontId="7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3" numFmtId="0" xfId="0" applyFont="1"/>
    <xf borderId="8" fillId="0" fontId="3" numFmtId="0" xfId="0" applyAlignment="1" applyBorder="1" applyFont="1">
      <alignment readingOrder="0" vertical="center"/>
    </xf>
    <xf borderId="37" fillId="0" fontId="3" numFmtId="0" xfId="0" applyAlignment="1" applyBorder="1" applyFont="1">
      <alignment readingOrder="0" vertical="center"/>
    </xf>
    <xf borderId="16" fillId="0" fontId="3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8" fillId="0" fontId="3" numFmtId="0" xfId="0" applyAlignment="1" applyBorder="1" applyFont="1">
      <alignment readingOrder="0" vertical="center"/>
    </xf>
    <xf borderId="38" fillId="0" fontId="3" numFmtId="0" xfId="0" applyAlignment="1" applyBorder="1" applyFont="1">
      <alignment readingOrder="0" vertical="center"/>
    </xf>
    <xf borderId="39" fillId="0" fontId="3" numFmtId="0" xfId="0" applyAlignment="1" applyBorder="1" applyFont="1">
      <alignment readingOrder="0" vertical="center"/>
    </xf>
    <xf borderId="39" fillId="0" fontId="3" numFmtId="0" xfId="0" applyAlignment="1" applyBorder="1" applyFont="1">
      <alignment vertical="center"/>
    </xf>
    <xf borderId="39" fillId="0" fontId="3" numFmtId="0" xfId="0" applyAlignment="1" applyBorder="1" applyFont="1">
      <alignment shrinkToFit="0" vertical="center" wrapText="1"/>
    </xf>
    <xf borderId="40" fillId="0" fontId="3" numFmtId="0" xfId="0" applyAlignment="1" applyBorder="1" applyFont="1">
      <alignment vertical="center"/>
    </xf>
    <xf borderId="5" fillId="0" fontId="6" numFmtId="0" xfId="0" applyBorder="1" applyFont="1"/>
    <xf borderId="26" fillId="0" fontId="3" numFmtId="0" xfId="0" applyAlignment="1" applyBorder="1" applyFont="1">
      <alignment readingOrder="0" vertical="center"/>
    </xf>
    <xf borderId="27" fillId="0" fontId="3" numFmtId="0" xfId="0" applyAlignment="1" applyBorder="1" applyFont="1">
      <alignment readingOrder="0" vertical="center"/>
    </xf>
    <xf borderId="28" fillId="0" fontId="3" numFmtId="0" xfId="0" applyAlignment="1" applyBorder="1" applyFont="1">
      <alignment readingOrder="0" vertical="center"/>
    </xf>
    <xf borderId="27" fillId="0" fontId="3" numFmtId="0" xfId="0" applyAlignment="1" applyBorder="1" applyFont="1">
      <alignment readingOrder="0" shrinkToFit="0" vertical="center" wrapText="1"/>
    </xf>
    <xf borderId="22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vertical="center"/>
    </xf>
    <xf borderId="37" fillId="0" fontId="5" numFmtId="0" xfId="0" applyAlignment="1" applyBorder="1" applyFont="1">
      <alignment horizontal="center" readingOrder="0" vertical="center"/>
    </xf>
    <xf borderId="41" fillId="0" fontId="5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42" fillId="0" fontId="3" numFmtId="171" xfId="0" applyAlignment="1" applyBorder="1" applyFont="1" applyNumberFormat="1">
      <alignment vertical="center"/>
    </xf>
    <xf borderId="9" fillId="0" fontId="3" numFmtId="171" xfId="0" applyAlignment="1" applyBorder="1" applyFont="1" applyNumberFormat="1">
      <alignment vertical="center"/>
    </xf>
    <xf borderId="17" fillId="0" fontId="3" numFmtId="169" xfId="0" applyAlignment="1" applyBorder="1" applyFont="1" applyNumberFormat="1">
      <alignment readingOrder="0" vertical="center"/>
    </xf>
    <xf borderId="43" fillId="0" fontId="3" numFmtId="169" xfId="0" applyAlignment="1" applyBorder="1" applyFont="1" applyNumberFormat="1">
      <alignment readingOrder="0" vertical="center"/>
    </xf>
    <xf borderId="6" fillId="0" fontId="3" numFmtId="0" xfId="0" applyAlignment="1" applyBorder="1" applyFont="1">
      <alignment readingOrder="0"/>
    </xf>
    <xf borderId="9" fillId="13" fontId="3" numFmtId="171" xfId="0" applyBorder="1" applyFont="1" applyNumberFormat="1"/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readingOrder="0"/>
    </xf>
    <xf borderId="7" fillId="0" fontId="3" numFmtId="171" xfId="0" applyAlignment="1" applyBorder="1" applyFont="1" applyNumberFormat="1">
      <alignment vertical="center"/>
    </xf>
    <xf borderId="7" fillId="0" fontId="3" numFmtId="169" xfId="0" applyAlignment="1" applyBorder="1" applyFont="1" applyNumberFormat="1">
      <alignment vertical="center"/>
    </xf>
    <xf borderId="44" fillId="0" fontId="6" numFmtId="0" xfId="0" applyBorder="1" applyFont="1"/>
    <xf borderId="45" fillId="0" fontId="6" numFmtId="0" xfId="0" applyBorder="1" applyFont="1"/>
    <xf borderId="2" fillId="0" fontId="4" numFmtId="0" xfId="0" applyAlignment="1" applyBorder="1" applyFont="1">
      <alignment horizontal="center" readingOrder="0" vertical="center"/>
    </xf>
    <xf borderId="22" fillId="0" fontId="3" numFmtId="171" xfId="0" applyAlignment="1" applyBorder="1" applyFont="1" applyNumberFormat="1">
      <alignment vertical="center"/>
    </xf>
    <xf borderId="7" fillId="0" fontId="3" numFmtId="169" xfId="0" applyAlignment="1" applyBorder="1" applyFont="1" applyNumberFormat="1">
      <alignment readingOrder="0" vertical="center"/>
    </xf>
    <xf borderId="24" fillId="0" fontId="3" numFmtId="169" xfId="0" applyAlignment="1" applyBorder="1" applyFont="1" applyNumberFormat="1">
      <alignment readingOrder="0" vertical="center"/>
    </xf>
    <xf borderId="3" fillId="0" fontId="3" numFmtId="0" xfId="0" applyAlignment="1" applyBorder="1" applyFont="1">
      <alignment readingOrder="0"/>
    </xf>
    <xf borderId="7" fillId="13" fontId="3" numFmtId="171" xfId="0" applyBorder="1" applyFont="1" applyNumberFormat="1"/>
    <xf borderId="46" fillId="0" fontId="6" numFmtId="0" xfId="0" applyBorder="1" applyFont="1"/>
    <xf borderId="28" fillId="0" fontId="4" numFmtId="0" xfId="0" applyAlignment="1" applyBorder="1" applyFont="1">
      <alignment horizontal="center" readingOrder="0" vertical="center"/>
    </xf>
    <xf borderId="26" fillId="0" fontId="3" numFmtId="171" xfId="0" applyAlignment="1" applyBorder="1" applyFont="1" applyNumberFormat="1">
      <alignment vertical="center"/>
    </xf>
    <xf borderId="27" fillId="0" fontId="3" numFmtId="171" xfId="0" applyAlignment="1" applyBorder="1" applyFont="1" applyNumberFormat="1">
      <alignment vertical="center"/>
    </xf>
    <xf borderId="27" fillId="0" fontId="3" numFmtId="169" xfId="0" applyAlignment="1" applyBorder="1" applyFont="1" applyNumberFormat="1">
      <alignment readingOrder="0" vertical="center"/>
    </xf>
    <xf borderId="31" fillId="0" fontId="3" numFmtId="169" xfId="0" applyAlignment="1" applyBorder="1" applyFont="1" applyNumberFormat="1">
      <alignment readingOrder="0" vertical="center"/>
    </xf>
    <xf borderId="30" fillId="0" fontId="3" numFmtId="0" xfId="0" applyBorder="1" applyFont="1"/>
    <xf borderId="27" fillId="13" fontId="3" numFmtId="171" xfId="0" applyBorder="1" applyFont="1" applyNumberFormat="1"/>
    <xf borderId="27" fillId="0" fontId="3" numFmtId="0" xfId="0" applyBorder="1" applyFont="1"/>
    <xf borderId="27" fillId="0" fontId="3" numFmtId="0" xfId="0" applyAlignment="1" applyBorder="1" applyFont="1">
      <alignment vertical="center"/>
    </xf>
    <xf borderId="16" fillId="0" fontId="3" numFmtId="171" xfId="0" applyAlignment="1" applyBorder="1" applyFont="1" applyNumberFormat="1">
      <alignment vertical="center"/>
    </xf>
    <xf borderId="17" fillId="0" fontId="3" numFmtId="171" xfId="0" applyAlignment="1" applyBorder="1" applyFont="1" applyNumberFormat="1">
      <alignment vertical="center"/>
    </xf>
    <xf borderId="21" fillId="0" fontId="3" numFmtId="169" xfId="0" applyAlignment="1" applyBorder="1" applyFont="1" applyNumberFormat="1">
      <alignment readingOrder="0" vertical="center"/>
    </xf>
    <xf borderId="17" fillId="13" fontId="3" numFmtId="171" xfId="0" applyBorder="1" applyFont="1" applyNumberFormat="1"/>
    <xf borderId="17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horizontal="center" readingOrder="0" vertical="center"/>
    </xf>
    <xf borderId="47" fillId="0" fontId="6" numFmtId="0" xfId="0" applyBorder="1" applyFont="1"/>
    <xf borderId="26" fillId="15" fontId="3" numFmtId="171" xfId="0" applyAlignment="1" applyBorder="1" applyFill="1" applyFont="1" applyNumberFormat="1">
      <alignment vertical="center"/>
    </xf>
    <xf borderId="27" fillId="15" fontId="3" numFmtId="171" xfId="0" applyAlignment="1" applyBorder="1" applyFont="1" applyNumberFormat="1">
      <alignment vertical="center"/>
    </xf>
    <xf borderId="27" fillId="15" fontId="3" numFmtId="169" xfId="0" applyAlignment="1" applyBorder="1" applyFont="1" applyNumberFormat="1">
      <alignment readingOrder="0" vertical="center"/>
    </xf>
    <xf borderId="31" fillId="15" fontId="3" numFmtId="169" xfId="0" applyAlignment="1" applyBorder="1" applyFont="1" applyNumberFormat="1">
      <alignment readingOrder="0" vertical="center"/>
    </xf>
    <xf borderId="30" fillId="15" fontId="3" numFmtId="0" xfId="0" applyBorder="1" applyFont="1"/>
    <xf borderId="27" fillId="15" fontId="3" numFmtId="171" xfId="0" applyBorder="1" applyFont="1" applyNumberFormat="1"/>
    <xf borderId="27" fillId="15" fontId="3" numFmtId="0" xfId="0" applyBorder="1" applyFont="1"/>
    <xf borderId="27" fillId="15" fontId="3" numFmtId="0" xfId="0" applyAlignment="1" applyBorder="1" applyFont="1">
      <alignment readingOrder="0" shrinkToFit="0" vertical="center" wrapText="1"/>
    </xf>
    <xf borderId="26" fillId="15" fontId="3" numFmtId="0" xfId="0" applyAlignment="1" applyBorder="1" applyFont="1">
      <alignment vertical="center"/>
    </xf>
    <xf borderId="27" fillId="15" fontId="3" numFmtId="0" xfId="0" applyAlignment="1" applyBorder="1" applyFont="1">
      <alignment vertical="center"/>
    </xf>
    <xf borderId="28" fillId="15" fontId="3" numFmtId="171" xfId="0" applyAlignment="1" applyBorder="1" applyFont="1" applyNumberFormat="1">
      <alignment readingOrder="0"/>
    </xf>
    <xf borderId="28" fillId="15" fontId="3" numFmtId="171" xfId="0" applyBorder="1" applyFont="1" applyNumberFormat="1"/>
    <xf borderId="0" fillId="0" fontId="17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20" fillId="6" fontId="1" numFmtId="166" xfId="0" applyAlignment="1" applyBorder="1" applyFont="1" applyNumberFormat="1">
      <alignment horizontal="center" vertical="top"/>
    </xf>
    <xf borderId="3" fillId="6" fontId="1" numFmtId="166" xfId="0" applyAlignment="1" applyBorder="1" applyFont="1" applyNumberFormat="1">
      <alignment horizontal="center" vertical="top"/>
    </xf>
    <xf borderId="30" fillId="6" fontId="1" numFmtId="166" xfId="0" applyAlignment="1" applyBorder="1" applyFont="1" applyNumberFormat="1">
      <alignment horizontal="center" vertical="top"/>
    </xf>
    <xf borderId="0" fillId="4" fontId="9" numFmtId="0" xfId="0" applyAlignment="1" applyFont="1">
      <alignment vertical="bottom"/>
    </xf>
    <xf borderId="0" fillId="0" fontId="7" numFmtId="172" xfId="0" applyAlignment="1" applyFont="1" applyNumberFormat="1">
      <alignment horizontal="center"/>
    </xf>
    <xf borderId="0" fillId="0" fontId="7" numFmtId="167" xfId="0" applyAlignment="1" applyFont="1" applyNumberFormat="1">
      <alignment horizontal="center"/>
    </xf>
    <xf borderId="7" fillId="2" fontId="12" numFmtId="0" xfId="0" applyAlignment="1" applyBorder="1" applyFont="1">
      <alignment horizontal="center"/>
    </xf>
    <xf borderId="7" fillId="2" fontId="14" numFmtId="0" xfId="0" applyAlignment="1" applyBorder="1" applyFont="1">
      <alignment horizontal="center"/>
    </xf>
    <xf borderId="17" fillId="2" fontId="1" numFmtId="164" xfId="0" applyAlignment="1" applyBorder="1" applyFont="1" applyNumberFormat="1">
      <alignment horizontal="center" vertical="top"/>
    </xf>
    <xf borderId="17" fillId="0" fontId="1" numFmtId="164" xfId="0" applyAlignment="1" applyBorder="1" applyFont="1" applyNumberFormat="1">
      <alignment horizontal="center" vertical="top"/>
    </xf>
    <xf borderId="17" fillId="12" fontId="1" numFmtId="165" xfId="0" applyAlignment="1" applyBorder="1" applyFont="1" applyNumberFormat="1">
      <alignment horizontal="center" vertical="top"/>
    </xf>
    <xf borderId="18" fillId="2" fontId="1" numFmtId="164" xfId="0" applyAlignment="1" applyBorder="1" applyFont="1" applyNumberFormat="1">
      <alignment horizontal="center" vertical="top"/>
    </xf>
    <xf borderId="19" fillId="0" fontId="1" numFmtId="164" xfId="0" applyAlignment="1" applyBorder="1" applyFont="1" applyNumberFormat="1">
      <alignment horizontal="center" vertical="top"/>
    </xf>
    <xf borderId="20" fillId="2" fontId="1" numFmtId="164" xfId="0" applyAlignment="1" applyBorder="1" applyFont="1" applyNumberFormat="1">
      <alignment horizontal="center" vertical="top"/>
    </xf>
    <xf borderId="21" fillId="2" fontId="1" numFmtId="164" xfId="0" applyAlignment="1" applyBorder="1" applyFont="1" applyNumberFormat="1">
      <alignment horizontal="center" vertical="top"/>
    </xf>
    <xf borderId="7" fillId="2" fontId="1" numFmtId="164" xfId="0" applyAlignment="1" applyBorder="1" applyFont="1" applyNumberFormat="1">
      <alignment horizontal="center" vertical="top"/>
    </xf>
    <xf borderId="2" fillId="2" fontId="1" numFmtId="164" xfId="0" applyAlignment="1" applyBorder="1" applyFont="1" applyNumberFormat="1">
      <alignment horizontal="center" vertical="top"/>
    </xf>
    <xf borderId="23" fillId="0" fontId="1" numFmtId="164" xfId="0" applyAlignment="1" applyBorder="1" applyFont="1" applyNumberFormat="1">
      <alignment horizontal="center" vertical="top"/>
    </xf>
    <xf borderId="3" fillId="2" fontId="1" numFmtId="164" xfId="0" applyAlignment="1" applyBorder="1" applyFont="1" applyNumberFormat="1">
      <alignment horizontal="center" vertical="top"/>
    </xf>
    <xf borderId="7" fillId="0" fontId="1" numFmtId="164" xfId="0" applyAlignment="1" applyBorder="1" applyFont="1" applyNumberFormat="1">
      <alignment horizontal="center" vertical="top"/>
    </xf>
    <xf borderId="24" fillId="2" fontId="1" numFmtId="164" xfId="0" applyAlignment="1" applyBorder="1" applyFont="1" applyNumberFormat="1">
      <alignment horizontal="center" vertical="top"/>
    </xf>
    <xf borderId="27" fillId="2" fontId="1" numFmtId="164" xfId="0" applyAlignment="1" applyBorder="1" applyFont="1" applyNumberFormat="1">
      <alignment horizontal="center" vertical="top"/>
    </xf>
    <xf borderId="28" fillId="2" fontId="1" numFmtId="164" xfId="0" applyAlignment="1" applyBorder="1" applyFont="1" applyNumberFormat="1">
      <alignment horizontal="center" vertical="top"/>
    </xf>
    <xf borderId="29" fillId="0" fontId="1" numFmtId="164" xfId="0" applyAlignment="1" applyBorder="1" applyFont="1" applyNumberFormat="1">
      <alignment horizontal="center" vertical="top"/>
    </xf>
    <xf borderId="30" fillId="2" fontId="1" numFmtId="164" xfId="0" applyAlignment="1" applyBorder="1" applyFont="1" applyNumberFormat="1">
      <alignment horizontal="center" vertical="top"/>
    </xf>
    <xf borderId="27" fillId="0" fontId="1" numFmtId="164" xfId="0" applyAlignment="1" applyBorder="1" applyFont="1" applyNumberFormat="1">
      <alignment horizontal="center" vertical="top"/>
    </xf>
    <xf borderId="31" fillId="2" fontId="1" numFmtId="164" xfId="0" applyAlignment="1" applyBorder="1" applyFont="1" applyNumberFormat="1">
      <alignment horizontal="center" vertical="top"/>
    </xf>
    <xf borderId="36" fillId="10" fontId="5" numFmtId="3" xfId="0" applyAlignment="1" applyBorder="1" applyFont="1" applyNumberFormat="1">
      <alignment vertical="bottom"/>
    </xf>
    <xf borderId="6" fillId="10" fontId="5" numFmtId="3" xfId="0" applyAlignment="1" applyBorder="1" applyFont="1" applyNumberFormat="1">
      <alignment horizontal="right" vertical="bottom"/>
    </xf>
    <xf borderId="6" fillId="10" fontId="5" numFmtId="4" xfId="0" applyAlignment="1" applyBorder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19.png"/><Relationship Id="rId10" Type="http://schemas.openxmlformats.org/officeDocument/2006/relationships/image" Target="../media/image20.png"/><Relationship Id="rId13" Type="http://schemas.openxmlformats.org/officeDocument/2006/relationships/image" Target="../media/image13.png"/><Relationship Id="rId12" Type="http://schemas.openxmlformats.org/officeDocument/2006/relationships/image" Target="../media/image11.png"/><Relationship Id="rId1" Type="http://schemas.openxmlformats.org/officeDocument/2006/relationships/image" Target="../media/image7.png"/><Relationship Id="rId2" Type="http://schemas.openxmlformats.org/officeDocument/2006/relationships/image" Target="../media/image16.png"/><Relationship Id="rId3" Type="http://schemas.openxmlformats.org/officeDocument/2006/relationships/image" Target="../media/image6.png"/><Relationship Id="rId4" Type="http://schemas.openxmlformats.org/officeDocument/2006/relationships/image" Target="../media/image17.png"/><Relationship Id="rId9" Type="http://schemas.openxmlformats.org/officeDocument/2006/relationships/image" Target="../media/image14.png"/><Relationship Id="rId15" Type="http://schemas.openxmlformats.org/officeDocument/2006/relationships/image" Target="../media/image9.png"/><Relationship Id="rId14" Type="http://schemas.openxmlformats.org/officeDocument/2006/relationships/image" Target="../media/image10.png"/><Relationship Id="rId5" Type="http://schemas.openxmlformats.org/officeDocument/2006/relationships/image" Target="../media/image18.png"/><Relationship Id="rId6" Type="http://schemas.openxmlformats.org/officeDocument/2006/relationships/image" Target="../media/image8.png"/><Relationship Id="rId7" Type="http://schemas.openxmlformats.org/officeDocument/2006/relationships/image" Target="../media/image15.png"/><Relationship Id="rId8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3</xdr:row>
      <xdr:rowOff>28575</xdr:rowOff>
    </xdr:from>
    <xdr:ext cx="676275" cy="609600"/>
    <xdr:pic>
      <xdr:nvPicPr>
        <xdr:cNvPr id="0" name="image4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3</xdr:row>
      <xdr:rowOff>28575</xdr:rowOff>
    </xdr:from>
    <xdr:ext cx="676275" cy="609600"/>
    <xdr:pic>
      <xdr:nvPicPr>
        <xdr:cNvPr id="0" name="image4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3</xdr:row>
      <xdr:rowOff>28575</xdr:rowOff>
    </xdr:from>
    <xdr:ext cx="676275" cy="609600"/>
    <xdr:pic>
      <xdr:nvPicPr>
        <xdr:cNvPr id="0" name="image4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3</xdr:row>
      <xdr:rowOff>28575</xdr:rowOff>
    </xdr:from>
    <xdr:ext cx="676275" cy="609600"/>
    <xdr:pic>
      <xdr:nvPicPr>
        <xdr:cNvPr id="0" name="image4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4</xdr:row>
      <xdr:rowOff>9525</xdr:rowOff>
    </xdr:from>
    <xdr:ext cx="676275" cy="609600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4</xdr:row>
      <xdr:rowOff>19050</xdr:rowOff>
    </xdr:from>
    <xdr:ext cx="676275" cy="609600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4</xdr:row>
      <xdr:rowOff>9525</xdr:rowOff>
    </xdr:from>
    <xdr:ext cx="676275" cy="609600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695325" cy="6953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695325" cy="6953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695325" cy="6953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619125" cy="6953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619125" cy="6953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619125" cy="6953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695325" cy="6953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695325" cy="6953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95325" cy="6953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58075" cy="3695700"/>
    <xdr:pic>
      <xdr:nvPicPr>
        <xdr:cNvPr id="0" name="image7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20</xdr:row>
      <xdr:rowOff>152400</xdr:rowOff>
    </xdr:from>
    <xdr:ext cx="7305675" cy="3648075"/>
    <xdr:pic>
      <xdr:nvPicPr>
        <xdr:cNvPr id="0" name="image16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42</xdr:row>
      <xdr:rowOff>152400</xdr:rowOff>
    </xdr:from>
    <xdr:ext cx="7410450" cy="3648075"/>
    <xdr:pic>
      <xdr:nvPicPr>
        <xdr:cNvPr id="0" name="image6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923925</xdr:colOff>
      <xdr:row>21</xdr:row>
      <xdr:rowOff>161925</xdr:rowOff>
    </xdr:from>
    <xdr:ext cx="6429375" cy="3162300"/>
    <xdr:pic>
      <xdr:nvPicPr>
        <xdr:cNvPr id="0" name="image17.png" title="圖片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1</xdr:row>
      <xdr:rowOff>9525</xdr:rowOff>
    </xdr:from>
    <xdr:ext cx="6429375" cy="3162300"/>
    <xdr:pic>
      <xdr:nvPicPr>
        <xdr:cNvPr id="0" name="image18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44</xdr:row>
      <xdr:rowOff>152400</xdr:rowOff>
    </xdr:from>
    <xdr:ext cx="6238875" cy="3067050"/>
    <xdr:pic>
      <xdr:nvPicPr>
        <xdr:cNvPr id="0" name="image8.png" title="圖片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942975</xdr:colOff>
      <xdr:row>1</xdr:row>
      <xdr:rowOff>171450</xdr:rowOff>
    </xdr:from>
    <xdr:ext cx="5524500" cy="2733675"/>
    <xdr:pic>
      <xdr:nvPicPr>
        <xdr:cNvPr id="0" name="image15.png" title="圖片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942975</xdr:colOff>
      <xdr:row>22</xdr:row>
      <xdr:rowOff>142875</xdr:rowOff>
    </xdr:from>
    <xdr:ext cx="5448300" cy="2733675"/>
    <xdr:pic>
      <xdr:nvPicPr>
        <xdr:cNvPr id="0" name="image12.png" title="圖片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942975</xdr:colOff>
      <xdr:row>45</xdr:row>
      <xdr:rowOff>142875</xdr:rowOff>
    </xdr:from>
    <xdr:ext cx="5734050" cy="2886075"/>
    <xdr:pic>
      <xdr:nvPicPr>
        <xdr:cNvPr id="0" name="image14.png" title="圖片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38100</xdr:colOff>
      <xdr:row>2</xdr:row>
      <xdr:rowOff>104775</xdr:rowOff>
    </xdr:from>
    <xdr:ext cx="4800600" cy="2381250"/>
    <xdr:pic>
      <xdr:nvPicPr>
        <xdr:cNvPr id="0" name="image20.png" title="圖片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942975</xdr:colOff>
      <xdr:row>23</xdr:row>
      <xdr:rowOff>142875</xdr:rowOff>
    </xdr:from>
    <xdr:ext cx="5153025" cy="2543175"/>
    <xdr:pic>
      <xdr:nvPicPr>
        <xdr:cNvPr id="0" name="image19.png" title="圖片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942975</xdr:colOff>
      <xdr:row>46</xdr:row>
      <xdr:rowOff>133350</xdr:rowOff>
    </xdr:from>
    <xdr:ext cx="5448300" cy="2705100"/>
    <xdr:pic>
      <xdr:nvPicPr>
        <xdr:cNvPr id="0" name="image11.png" title="圖片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952500</xdr:colOff>
      <xdr:row>2</xdr:row>
      <xdr:rowOff>180975</xdr:rowOff>
    </xdr:from>
    <xdr:ext cx="4714875" cy="2305050"/>
    <xdr:pic>
      <xdr:nvPicPr>
        <xdr:cNvPr id="0" name="image13.png" title="圖片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952500</xdr:colOff>
      <xdr:row>24</xdr:row>
      <xdr:rowOff>123825</xdr:rowOff>
    </xdr:from>
    <xdr:ext cx="4371975" cy="2162175"/>
    <xdr:pic>
      <xdr:nvPicPr>
        <xdr:cNvPr id="0" name="image10.png" title="圖片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952500</xdr:colOff>
      <xdr:row>47</xdr:row>
      <xdr:rowOff>104775</xdr:rowOff>
    </xdr:from>
    <xdr:ext cx="5057775" cy="2505075"/>
    <xdr:pic>
      <xdr:nvPicPr>
        <xdr:cNvPr id="0" name="image9.png" title="圖片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1" t="s">
        <v>3</v>
      </c>
    </row>
    <row r="5">
      <c r="A5" s="3" t="s">
        <v>4</v>
      </c>
    </row>
    <row r="7" ht="167.25" customHeight="1">
      <c r="A7" s="4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8" width="6.13"/>
    <col customWidth="1" min="9" max="9" width="5.5"/>
    <col customWidth="1" min="10" max="10" width="5.25"/>
    <col customWidth="1" min="11" max="11" width="5.63"/>
    <col customWidth="1" min="12" max="15" width="5.13"/>
    <col customWidth="1" min="16" max="16" width="10.38"/>
  </cols>
  <sheetData>
    <row r="3" ht="42.75" customHeight="1">
      <c r="A3" s="5" t="s">
        <v>6</v>
      </c>
      <c r="B3" s="6"/>
      <c r="C3" s="7"/>
      <c r="D3" s="8"/>
      <c r="E3" s="8"/>
      <c r="F3" s="6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54.75" customHeight="1">
      <c r="A4" s="11" t="str">
        <f>'各項機率與倍數設定'!A36&amp;CHAR(10)&amp;'各項機率與倍數設定'!E46</f>
        <v>Super JP / X 200 獎
Super JP / X 100 獎</v>
      </c>
      <c r="B4" s="12"/>
      <c r="C4" s="13"/>
      <c r="D4" s="14"/>
      <c r="E4" s="14"/>
      <c r="F4" s="13" t="s">
        <v>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54.75" customHeight="1">
      <c r="A5" s="11" t="str">
        <f>'各項機率與倍數設定'!A37&amp;CHAR(10)&amp;'各項機率與倍數設定'!E47</f>
        <v>Lucky JP / X 100 獎
Lucky JP / X 50 獎</v>
      </c>
      <c r="B5" s="12"/>
      <c r="C5" s="13"/>
      <c r="D5" s="13"/>
      <c r="E5" s="13"/>
      <c r="F5" s="13" t="s">
        <v>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ht="54.75" customHeight="1">
      <c r="A6" s="11" t="str">
        <f>'各項機率與倍數設定'!A38&amp;CHAR(10)&amp;'各項機率與倍數設定'!E48</f>
        <v> X 50 獎
 X 25 獎</v>
      </c>
      <c r="B6" s="12"/>
      <c r="C6" s="13"/>
      <c r="D6" s="13"/>
      <c r="E6" s="13"/>
      <c r="F6" s="13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ht="54.75" customHeight="1">
      <c r="A7" s="11" t="str">
        <f>'各項機率與倍數設定'!A39&amp;CHAR(10)&amp;'各項機率與倍數設定'!E49</f>
        <v> X 25 獎
 X 10 獎</v>
      </c>
      <c r="B7" s="12"/>
      <c r="C7" s="13"/>
      <c r="D7" s="13"/>
      <c r="E7" s="13"/>
      <c r="F7" s="13" t="s">
        <v>10</v>
      </c>
      <c r="G7" s="9"/>
      <c r="H7" s="9"/>
      <c r="I7" s="9"/>
      <c r="J7" s="9"/>
      <c r="K7" s="9"/>
      <c r="L7" s="13"/>
      <c r="M7" s="9"/>
      <c r="N7" s="9"/>
      <c r="O7" s="9"/>
      <c r="P7" s="9"/>
      <c r="Q7" s="9"/>
    </row>
    <row r="8" ht="54.75" customHeight="1">
      <c r="A8" s="11" t="str">
        <f>'各項機率與倍數設定'!A40&amp;CHAR(10)&amp;'各項機率與倍數設定'!E50</f>
        <v> X 10 獎
 X 5 獎</v>
      </c>
      <c r="B8" s="12"/>
      <c r="C8" s="13"/>
      <c r="D8" s="13"/>
      <c r="E8" s="13"/>
      <c r="F8" s="13" t="s">
        <v>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ht="54.75" customHeight="1">
      <c r="A9" s="11" t="str">
        <f>'各項機率與倍數設定'!A41&amp;CHAR(10)&amp;'各項機率與倍數設定'!E51</f>
        <v> X 3 獎
 X 1 獎</v>
      </c>
      <c r="B9" s="12"/>
      <c r="C9" s="15" t="s">
        <v>12</v>
      </c>
      <c r="D9" s="8"/>
      <c r="E9" s="8"/>
      <c r="F9" s="6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ht="54.75" customHeight="1"/>
    <row r="12">
      <c r="C12" s="3" t="s">
        <v>13</v>
      </c>
    </row>
  </sheetData>
  <mergeCells count="9">
    <mergeCell ref="A9:B9"/>
    <mergeCell ref="C9:F9"/>
    <mergeCell ref="A3:B3"/>
    <mergeCell ref="C3:F3"/>
    <mergeCell ref="A4:B4"/>
    <mergeCell ref="A5:B5"/>
    <mergeCell ref="A6:B6"/>
    <mergeCell ref="A7:B7"/>
    <mergeCell ref="A8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2" width="12.5"/>
  </cols>
  <sheetData>
    <row r="1">
      <c r="A1" s="16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ht="15.7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ht="15.75" customHeight="1">
      <c r="A3" s="21" t="s">
        <v>15</v>
      </c>
      <c r="T3" s="20"/>
      <c r="U3" s="20"/>
      <c r="V3" s="22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15.75" customHeight="1">
      <c r="A4" s="23" t="s">
        <v>16</v>
      </c>
      <c r="B4" s="24" t="s">
        <v>17</v>
      </c>
      <c r="C4" s="24">
        <v>0.0</v>
      </c>
      <c r="D4" s="24">
        <v>1.0</v>
      </c>
      <c r="E4" s="24">
        <v>2.0</v>
      </c>
      <c r="F4" s="24">
        <v>3.0</v>
      </c>
      <c r="G4" s="24">
        <v>4.0</v>
      </c>
      <c r="H4" s="24">
        <v>5.0</v>
      </c>
      <c r="I4" s="24">
        <v>6.0</v>
      </c>
      <c r="J4" s="24">
        <v>7.0</v>
      </c>
      <c r="K4" s="24">
        <v>8.0</v>
      </c>
      <c r="L4" s="24">
        <v>9.0</v>
      </c>
      <c r="M4" s="24">
        <v>10.0</v>
      </c>
      <c r="N4" s="24">
        <v>11.0</v>
      </c>
      <c r="O4" s="24">
        <v>12.0</v>
      </c>
      <c r="P4" s="24">
        <v>13.0</v>
      </c>
      <c r="Q4" s="24">
        <v>14.0</v>
      </c>
      <c r="R4" s="24">
        <v>15.0</v>
      </c>
      <c r="S4" s="24">
        <v>16.0</v>
      </c>
      <c r="T4" s="20"/>
      <c r="U4" s="24"/>
      <c r="V4" s="25" t="s">
        <v>18</v>
      </c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ht="15.75" customHeight="1">
      <c r="A5" s="26">
        <v>16.0</v>
      </c>
      <c r="B5" s="24" t="s">
        <v>19</v>
      </c>
      <c r="C5" s="27">
        <f t="shared" ref="C5:S5" si="1">COMBIN($A$5,C4)</f>
        <v>1</v>
      </c>
      <c r="D5" s="27">
        <f t="shared" si="1"/>
        <v>16</v>
      </c>
      <c r="E5" s="27">
        <f t="shared" si="1"/>
        <v>120</v>
      </c>
      <c r="F5" s="27">
        <f t="shared" si="1"/>
        <v>560</v>
      </c>
      <c r="G5" s="27">
        <f t="shared" si="1"/>
        <v>1820</v>
      </c>
      <c r="H5" s="27">
        <f t="shared" si="1"/>
        <v>4368</v>
      </c>
      <c r="I5" s="27">
        <f t="shared" si="1"/>
        <v>8008</v>
      </c>
      <c r="J5" s="27">
        <f t="shared" si="1"/>
        <v>11440</v>
      </c>
      <c r="K5" s="27">
        <f t="shared" si="1"/>
        <v>12870</v>
      </c>
      <c r="L5" s="27">
        <f t="shared" si="1"/>
        <v>11440</v>
      </c>
      <c r="M5" s="27">
        <f t="shared" si="1"/>
        <v>8008</v>
      </c>
      <c r="N5" s="27">
        <f t="shared" si="1"/>
        <v>4368</v>
      </c>
      <c r="O5" s="27">
        <f t="shared" si="1"/>
        <v>1820</v>
      </c>
      <c r="P5" s="27">
        <f t="shared" si="1"/>
        <v>560</v>
      </c>
      <c r="Q5" s="27">
        <f t="shared" si="1"/>
        <v>120</v>
      </c>
      <c r="R5" s="27">
        <f t="shared" si="1"/>
        <v>16</v>
      </c>
      <c r="S5" s="27">
        <f t="shared" si="1"/>
        <v>1</v>
      </c>
      <c r="U5" s="25" t="s">
        <v>20</v>
      </c>
      <c r="V5" s="24">
        <f t="shared" ref="V5:V6" si="3">sum(C5:S5)</f>
        <v>65536</v>
      </c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ht="15.75" customHeight="1">
      <c r="A6" s="28"/>
      <c r="B6" s="24" t="s">
        <v>21</v>
      </c>
      <c r="C6" s="29">
        <f t="shared" ref="C6:S6" si="2">C5/SUM($C$5:$S$5)</f>
        <v>0.00001525878906</v>
      </c>
      <c r="D6" s="29">
        <f t="shared" si="2"/>
        <v>0.000244140625</v>
      </c>
      <c r="E6" s="29">
        <f t="shared" si="2"/>
        <v>0.001831054688</v>
      </c>
      <c r="F6" s="29">
        <f t="shared" si="2"/>
        <v>0.008544921875</v>
      </c>
      <c r="G6" s="29">
        <f t="shared" si="2"/>
        <v>0.02777099609</v>
      </c>
      <c r="H6" s="29">
        <f t="shared" si="2"/>
        <v>0.06665039063</v>
      </c>
      <c r="I6" s="29">
        <f t="shared" si="2"/>
        <v>0.1221923828</v>
      </c>
      <c r="J6" s="29">
        <f t="shared" si="2"/>
        <v>0.1745605469</v>
      </c>
      <c r="K6" s="29">
        <f t="shared" si="2"/>
        <v>0.1963806152</v>
      </c>
      <c r="L6" s="29">
        <f t="shared" si="2"/>
        <v>0.1745605469</v>
      </c>
      <c r="M6" s="29">
        <f t="shared" si="2"/>
        <v>0.1221923828</v>
      </c>
      <c r="N6" s="29">
        <f t="shared" si="2"/>
        <v>0.06665039063</v>
      </c>
      <c r="O6" s="29">
        <f t="shared" si="2"/>
        <v>0.02777099609</v>
      </c>
      <c r="P6" s="29">
        <f t="shared" si="2"/>
        <v>0.008544921875</v>
      </c>
      <c r="Q6" s="29">
        <f t="shared" si="2"/>
        <v>0.001831054688</v>
      </c>
      <c r="R6" s="29">
        <f t="shared" si="2"/>
        <v>0.000244140625</v>
      </c>
      <c r="S6" s="29">
        <f t="shared" si="2"/>
        <v>0.00001525878906</v>
      </c>
      <c r="U6" s="25" t="s">
        <v>22</v>
      </c>
      <c r="V6" s="24">
        <f t="shared" si="3"/>
        <v>1</v>
      </c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ht="15.75" customHeight="1">
      <c r="A7" s="30" t="s">
        <v>23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5.75" customHeight="1">
      <c r="A8" s="31"/>
      <c r="B8" s="32"/>
      <c r="C8" s="3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ht="15.75" customHeight="1">
      <c r="A9" s="21" t="s">
        <v>24</v>
      </c>
      <c r="B9" s="21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ht="15.75" customHeight="1">
      <c r="A10" s="33" t="s">
        <v>25</v>
      </c>
      <c r="B10" s="34">
        <v>1.0</v>
      </c>
      <c r="C10" s="34">
        <v>2.0</v>
      </c>
      <c r="D10" s="34">
        <v>5.0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ht="15.75" customHeight="1">
      <c r="A11" s="33" t="s">
        <v>26</v>
      </c>
      <c r="B11" s="35">
        <v>0.93</v>
      </c>
      <c r="C11" s="35">
        <v>0.05</v>
      </c>
      <c r="D11" s="35">
        <v>0.02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ht="15.75" customHeight="1">
      <c r="A12" s="30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ht="15.75" customHeight="1">
      <c r="A13" s="36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ht="15.75" customHeight="1">
      <c r="A14" s="21" t="s">
        <v>27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ht="15.75" customHeight="1">
      <c r="A15" s="37" t="s">
        <v>28</v>
      </c>
      <c r="B15" s="38" t="s">
        <v>29</v>
      </c>
      <c r="C15" s="39">
        <v>0.0</v>
      </c>
      <c r="D15" s="39">
        <v>1.0</v>
      </c>
      <c r="E15" s="39">
        <v>2.0</v>
      </c>
      <c r="F15" s="39">
        <v>3.0</v>
      </c>
      <c r="G15" s="39">
        <v>4.0</v>
      </c>
      <c r="H15" s="39">
        <v>5.0</v>
      </c>
      <c r="I15" s="39">
        <v>6.0</v>
      </c>
      <c r="J15" s="40">
        <v>7.0</v>
      </c>
      <c r="K15" s="41">
        <v>8.0</v>
      </c>
      <c r="L15" s="42">
        <v>9.0</v>
      </c>
      <c r="M15" s="39">
        <v>10.0</v>
      </c>
      <c r="N15" s="39">
        <v>11.0</v>
      </c>
      <c r="O15" s="39">
        <v>12.0</v>
      </c>
      <c r="P15" s="39">
        <v>13.0</v>
      </c>
      <c r="Q15" s="39">
        <v>14.0</v>
      </c>
      <c r="R15" s="39">
        <v>15.0</v>
      </c>
      <c r="S15" s="43">
        <v>16.0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ht="15.75" customHeight="1">
      <c r="A16" s="44">
        <v>0.955</v>
      </c>
      <c r="B16" s="45" t="s">
        <v>30</v>
      </c>
      <c r="C16" s="46">
        <v>1000.0</v>
      </c>
      <c r="D16" s="46">
        <v>125.0</v>
      </c>
      <c r="E16" s="47">
        <v>12.34</v>
      </c>
      <c r="F16" s="47">
        <v>12.34</v>
      </c>
      <c r="G16" s="46">
        <v>2.2</v>
      </c>
      <c r="H16" s="46">
        <v>1.1</v>
      </c>
      <c r="I16" s="46">
        <v>0.5</v>
      </c>
      <c r="J16" s="48">
        <v>0.3</v>
      </c>
      <c r="K16" s="49">
        <v>0.0</v>
      </c>
      <c r="L16" s="50">
        <v>0.3</v>
      </c>
      <c r="M16" s="46">
        <v>0.5</v>
      </c>
      <c r="N16" s="46">
        <v>1.1</v>
      </c>
      <c r="O16" s="46">
        <v>2.2</v>
      </c>
      <c r="P16" s="47">
        <v>12.34</v>
      </c>
      <c r="Q16" s="47">
        <v>12.34</v>
      </c>
      <c r="R16" s="46">
        <v>125.0</v>
      </c>
      <c r="S16" s="51">
        <v>1000.0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ht="15.75" customHeight="1">
      <c r="A17" s="52"/>
      <c r="B17" s="53" t="s">
        <v>31</v>
      </c>
      <c r="C17" s="54">
        <v>200.0</v>
      </c>
      <c r="D17" s="54">
        <v>36.0</v>
      </c>
      <c r="E17" s="55">
        <v>11.147</v>
      </c>
      <c r="F17" s="55">
        <v>11.147</v>
      </c>
      <c r="G17" s="54">
        <v>2.0</v>
      </c>
      <c r="H17" s="54">
        <v>1.3</v>
      </c>
      <c r="I17" s="54">
        <v>0.6</v>
      </c>
      <c r="J17" s="56">
        <v>0.4</v>
      </c>
      <c r="K17" s="57">
        <v>0.1</v>
      </c>
      <c r="L17" s="58">
        <v>0.4</v>
      </c>
      <c r="M17" s="54">
        <v>0.6</v>
      </c>
      <c r="N17" s="54">
        <v>1.3</v>
      </c>
      <c r="O17" s="54">
        <v>2.0</v>
      </c>
      <c r="P17" s="55">
        <v>11.147</v>
      </c>
      <c r="Q17" s="55">
        <v>11.147</v>
      </c>
      <c r="R17" s="54">
        <v>36.0</v>
      </c>
      <c r="S17" s="59">
        <v>200.0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ht="15.75" customHeight="1">
      <c r="A18" s="60"/>
      <c r="B18" s="61" t="s">
        <v>32</v>
      </c>
      <c r="C18" s="62">
        <v>60.0</v>
      </c>
      <c r="D18" s="62">
        <v>30.0</v>
      </c>
      <c r="E18" s="62">
        <v>8.0</v>
      </c>
      <c r="F18" s="62">
        <v>2.6</v>
      </c>
      <c r="G18" s="62">
        <v>1.6</v>
      </c>
      <c r="H18" s="62">
        <v>1.3</v>
      </c>
      <c r="I18" s="62">
        <v>1.0</v>
      </c>
      <c r="J18" s="63">
        <v>0.6</v>
      </c>
      <c r="K18" s="64">
        <v>0.2</v>
      </c>
      <c r="L18" s="65">
        <v>0.6</v>
      </c>
      <c r="M18" s="62">
        <v>1.0</v>
      </c>
      <c r="N18" s="62">
        <v>1.3</v>
      </c>
      <c r="O18" s="62">
        <v>1.6</v>
      </c>
      <c r="P18" s="62">
        <v>2.6</v>
      </c>
      <c r="Q18" s="62">
        <v>8.0</v>
      </c>
      <c r="R18" s="62">
        <v>30.0</v>
      </c>
      <c r="S18" s="66">
        <v>60.0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ht="15.75" customHeight="1">
      <c r="A19" s="67">
        <v>0.94</v>
      </c>
      <c r="B19" s="45" t="s">
        <v>30</v>
      </c>
      <c r="C19" s="46">
        <v>1000.0</v>
      </c>
      <c r="D19" s="46">
        <v>125.0</v>
      </c>
      <c r="E19" s="47">
        <v>12.34</v>
      </c>
      <c r="F19" s="47">
        <v>12.34</v>
      </c>
      <c r="G19" s="46">
        <v>2.0</v>
      </c>
      <c r="H19" s="46">
        <v>1.1</v>
      </c>
      <c r="I19" s="46">
        <v>0.5</v>
      </c>
      <c r="J19" s="48">
        <v>0.3</v>
      </c>
      <c r="K19" s="49">
        <v>0.0</v>
      </c>
      <c r="L19" s="50">
        <v>0.3</v>
      </c>
      <c r="M19" s="46">
        <v>0.5</v>
      </c>
      <c r="N19" s="46">
        <v>1.1</v>
      </c>
      <c r="O19" s="46">
        <v>2.0</v>
      </c>
      <c r="P19" s="47">
        <v>12.34</v>
      </c>
      <c r="Q19" s="47">
        <v>12.34</v>
      </c>
      <c r="R19" s="46">
        <v>125.0</v>
      </c>
      <c r="S19" s="51">
        <v>1000.0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ht="15.75" customHeight="1">
      <c r="A20" s="52"/>
      <c r="B20" s="53" t="s">
        <v>31</v>
      </c>
      <c r="C20" s="54">
        <v>200.0</v>
      </c>
      <c r="D20" s="54">
        <v>36.0</v>
      </c>
      <c r="E20" s="55">
        <v>11.147</v>
      </c>
      <c r="F20" s="55">
        <v>11.147</v>
      </c>
      <c r="G20" s="54">
        <v>2.0</v>
      </c>
      <c r="H20" s="54">
        <v>1.2</v>
      </c>
      <c r="I20" s="54">
        <v>0.6</v>
      </c>
      <c r="J20" s="56">
        <v>0.4</v>
      </c>
      <c r="K20" s="57">
        <v>0.1</v>
      </c>
      <c r="L20" s="58">
        <v>0.4</v>
      </c>
      <c r="M20" s="54">
        <v>0.6</v>
      </c>
      <c r="N20" s="54">
        <v>1.2</v>
      </c>
      <c r="O20" s="54">
        <v>2.0</v>
      </c>
      <c r="P20" s="55">
        <v>11.147</v>
      </c>
      <c r="Q20" s="55">
        <v>11.147</v>
      </c>
      <c r="R20" s="54">
        <v>36.0</v>
      </c>
      <c r="S20" s="59">
        <v>200.0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ht="15.75" customHeight="1">
      <c r="A21" s="60"/>
      <c r="B21" s="61" t="s">
        <v>32</v>
      </c>
      <c r="C21" s="62">
        <v>60.0</v>
      </c>
      <c r="D21" s="62">
        <v>30.0</v>
      </c>
      <c r="E21" s="62">
        <v>8.0</v>
      </c>
      <c r="F21" s="62">
        <v>2.6</v>
      </c>
      <c r="G21" s="62">
        <v>1.6</v>
      </c>
      <c r="H21" s="62">
        <v>1.2</v>
      </c>
      <c r="I21" s="62">
        <v>1.0</v>
      </c>
      <c r="J21" s="63">
        <v>0.6</v>
      </c>
      <c r="K21" s="64">
        <v>0.2</v>
      </c>
      <c r="L21" s="65">
        <v>0.6</v>
      </c>
      <c r="M21" s="62">
        <v>1.0</v>
      </c>
      <c r="N21" s="62">
        <v>1.2</v>
      </c>
      <c r="O21" s="62">
        <v>1.6</v>
      </c>
      <c r="P21" s="62">
        <v>2.6</v>
      </c>
      <c r="Q21" s="62">
        <v>8.0</v>
      </c>
      <c r="R21" s="62">
        <v>30.0</v>
      </c>
      <c r="S21" s="66">
        <v>60.0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ht="15.75" customHeight="1">
      <c r="A22" s="68">
        <v>0.92</v>
      </c>
      <c r="B22" s="69" t="s">
        <v>30</v>
      </c>
      <c r="C22" s="46">
        <v>1000.0</v>
      </c>
      <c r="D22" s="46">
        <v>125.0</v>
      </c>
      <c r="E22" s="47">
        <v>12.34</v>
      </c>
      <c r="F22" s="47">
        <v>12.34</v>
      </c>
      <c r="G22" s="46">
        <v>2.1</v>
      </c>
      <c r="H22" s="46">
        <v>1.1</v>
      </c>
      <c r="I22" s="46">
        <v>0.4</v>
      </c>
      <c r="J22" s="48">
        <v>0.3</v>
      </c>
      <c r="K22" s="49">
        <v>0.0</v>
      </c>
      <c r="L22" s="50">
        <v>0.3</v>
      </c>
      <c r="M22" s="46">
        <v>0.4</v>
      </c>
      <c r="N22" s="46">
        <v>1.1</v>
      </c>
      <c r="O22" s="46">
        <v>2.1</v>
      </c>
      <c r="P22" s="47">
        <v>12.34</v>
      </c>
      <c r="Q22" s="47">
        <v>12.34</v>
      </c>
      <c r="R22" s="46">
        <v>125.0</v>
      </c>
      <c r="S22" s="51">
        <v>1000.0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ht="15.75" customHeight="1">
      <c r="A23" s="52"/>
      <c r="B23" s="70" t="s">
        <v>31</v>
      </c>
      <c r="C23" s="54">
        <v>200.0</v>
      </c>
      <c r="D23" s="54">
        <v>55.0</v>
      </c>
      <c r="E23" s="55">
        <v>11.147</v>
      </c>
      <c r="F23" s="55">
        <v>11.147</v>
      </c>
      <c r="G23" s="54">
        <v>2.0</v>
      </c>
      <c r="H23" s="54">
        <v>1.0</v>
      </c>
      <c r="I23" s="54">
        <v>0.6</v>
      </c>
      <c r="J23" s="56">
        <v>0.4</v>
      </c>
      <c r="K23" s="57">
        <v>0.1</v>
      </c>
      <c r="L23" s="58">
        <v>0.4</v>
      </c>
      <c r="M23" s="54">
        <v>0.6</v>
      </c>
      <c r="N23" s="54">
        <v>1.0</v>
      </c>
      <c r="O23" s="54">
        <v>2.0</v>
      </c>
      <c r="P23" s="55">
        <v>11.147</v>
      </c>
      <c r="Q23" s="55">
        <v>11.147</v>
      </c>
      <c r="R23" s="54">
        <v>55.0</v>
      </c>
      <c r="S23" s="59">
        <v>200.0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ht="15.75" customHeight="1">
      <c r="A24" s="71"/>
      <c r="B24" s="72" t="s">
        <v>32</v>
      </c>
      <c r="C24" s="62">
        <v>60.0</v>
      </c>
      <c r="D24" s="62">
        <v>30.0</v>
      </c>
      <c r="E24" s="62">
        <v>8.0</v>
      </c>
      <c r="F24" s="62">
        <v>2.6</v>
      </c>
      <c r="G24" s="62">
        <v>1.5</v>
      </c>
      <c r="H24" s="62">
        <v>1.1</v>
      </c>
      <c r="I24" s="62">
        <v>1.0</v>
      </c>
      <c r="J24" s="63">
        <v>0.6</v>
      </c>
      <c r="K24" s="64">
        <v>0.2</v>
      </c>
      <c r="L24" s="65">
        <v>0.6</v>
      </c>
      <c r="M24" s="62">
        <v>1.0</v>
      </c>
      <c r="N24" s="62">
        <v>1.1</v>
      </c>
      <c r="O24" s="62">
        <v>1.5</v>
      </c>
      <c r="P24" s="62">
        <v>2.6</v>
      </c>
      <c r="Q24" s="62">
        <v>8.0</v>
      </c>
      <c r="R24" s="62">
        <v>30.0</v>
      </c>
      <c r="S24" s="66">
        <v>60.0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ht="15.75" customHeight="1">
      <c r="A25" s="73" t="s">
        <v>33</v>
      </c>
      <c r="B25" s="74"/>
      <c r="C25" s="74"/>
      <c r="D25" s="7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ht="15.75" customHeight="1">
      <c r="A26" s="76" t="s">
        <v>34</v>
      </c>
      <c r="B26" s="76"/>
      <c r="C26" s="76"/>
      <c r="D26" s="7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ht="15.75" customHeight="1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ht="15.75" customHeight="1">
      <c r="A28" s="21" t="s">
        <v>35</v>
      </c>
      <c r="B28" s="21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ht="15.75" customHeight="1">
      <c r="A29" s="77" t="s">
        <v>36</v>
      </c>
      <c r="B29" s="6"/>
      <c r="C29" s="78" t="s">
        <v>37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ht="15.75" customHeight="1">
      <c r="A30" s="79" t="s">
        <v>38</v>
      </c>
      <c r="B30" s="6"/>
      <c r="C30" s="80">
        <v>0.01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15.75" customHeight="1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ht="15.75" customHeight="1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1"/>
      <c r="M32" s="81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ht="15.75" customHeight="1">
      <c r="A33" s="21" t="s">
        <v>39</v>
      </c>
      <c r="B33" s="21"/>
      <c r="C33" s="21"/>
      <c r="D33" s="21"/>
      <c r="E33" s="21"/>
      <c r="F33" s="21"/>
      <c r="G33" s="21"/>
      <c r="H33" s="21"/>
      <c r="I33" s="20"/>
      <c r="J33" s="20"/>
      <c r="K33" s="20"/>
      <c r="L33" s="81"/>
      <c r="M33" s="81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ht="15.75" customHeight="1">
      <c r="A34" s="77" t="s">
        <v>40</v>
      </c>
      <c r="B34" s="6"/>
      <c r="C34" s="77" t="s">
        <v>30</v>
      </c>
      <c r="D34" s="6"/>
      <c r="E34" s="77" t="s">
        <v>40</v>
      </c>
      <c r="F34" s="6"/>
      <c r="G34" s="77" t="s">
        <v>31</v>
      </c>
      <c r="H34" s="6"/>
      <c r="I34" s="82"/>
      <c r="J34" s="8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ht="15.75" customHeight="1">
      <c r="A35" s="77" t="s">
        <v>6</v>
      </c>
      <c r="B35" s="6"/>
      <c r="C35" s="83" t="s">
        <v>37</v>
      </c>
      <c r="D35" s="83" t="s">
        <v>41</v>
      </c>
      <c r="E35" s="77" t="s">
        <v>6</v>
      </c>
      <c r="F35" s="6"/>
      <c r="G35" s="83" t="s">
        <v>37</v>
      </c>
      <c r="H35" s="83" t="s">
        <v>41</v>
      </c>
      <c r="I35" s="82"/>
      <c r="J35" s="8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 ht="15.75" customHeight="1">
      <c r="A36" s="84" t="str">
        <f>"Super JP / X "&amp;D36&amp;" 獎"</f>
        <v>Super JP / X 200 獎</v>
      </c>
      <c r="B36" s="12"/>
      <c r="C36" s="85">
        <v>0.5</v>
      </c>
      <c r="D36" s="86">
        <v>200.0</v>
      </c>
      <c r="E36" s="84" t="str">
        <f>"Super JP / X "&amp;H36&amp;" 獎"</f>
        <v>Super JP / X 100 獎</v>
      </c>
      <c r="F36" s="12"/>
      <c r="G36" s="87">
        <v>0.25</v>
      </c>
      <c r="H36" s="86">
        <v>100.0</v>
      </c>
      <c r="I36" s="82"/>
      <c r="J36" s="82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</row>
    <row r="37" ht="15.75" customHeight="1">
      <c r="A37" s="88" t="str">
        <f>"Lucky JP / X "&amp;D37&amp;" 獎"</f>
        <v>Lucky JP / X 100 獎</v>
      </c>
      <c r="B37" s="6"/>
      <c r="C37" s="85">
        <v>0.1</v>
      </c>
      <c r="D37" s="86">
        <v>100.0</v>
      </c>
      <c r="E37" s="88" t="str">
        <f>"Lucky JP / X "&amp;H37&amp;" 獎"</f>
        <v>Lucky JP / X 50 獎</v>
      </c>
      <c r="F37" s="6"/>
      <c r="G37" s="87">
        <v>0.05</v>
      </c>
      <c r="H37" s="86">
        <v>50.0</v>
      </c>
      <c r="I37" s="82"/>
      <c r="J37" s="82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 ht="15.75" customHeight="1">
      <c r="A38" s="88" t="str">
        <f t="shared" ref="A38:A41" si="4">" X "&amp;D38&amp;" 獎"</f>
        <v> X 50 獎</v>
      </c>
      <c r="B38" s="6"/>
      <c r="C38" s="87">
        <v>0.0</v>
      </c>
      <c r="D38" s="86">
        <v>50.0</v>
      </c>
      <c r="E38" s="88" t="str">
        <f t="shared" ref="E38:E41" si="5">" X "&amp;H38&amp;" 獎"</f>
        <v> X 25 獎</v>
      </c>
      <c r="F38" s="6"/>
      <c r="G38" s="87">
        <v>0.0</v>
      </c>
      <c r="H38" s="86">
        <v>25.0</v>
      </c>
      <c r="I38" s="82"/>
      <c r="J38" s="82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</row>
    <row r="39" ht="15.75" customHeight="1">
      <c r="A39" s="88" t="str">
        <f t="shared" si="4"/>
        <v> X 25 獎</v>
      </c>
      <c r="B39" s="6"/>
      <c r="C39" s="85">
        <v>0.0</v>
      </c>
      <c r="D39" s="86">
        <v>25.0</v>
      </c>
      <c r="E39" s="88" t="str">
        <f t="shared" si="5"/>
        <v> X 10 獎</v>
      </c>
      <c r="F39" s="6"/>
      <c r="G39" s="85">
        <v>0.0</v>
      </c>
      <c r="H39" s="86">
        <v>10.0</v>
      </c>
      <c r="I39" s="82"/>
      <c r="J39" s="82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</row>
    <row r="40" ht="15.75" customHeight="1">
      <c r="A40" s="88" t="str">
        <f t="shared" si="4"/>
        <v> X 10 獎</v>
      </c>
      <c r="B40" s="6"/>
      <c r="C40" s="85">
        <v>0.0</v>
      </c>
      <c r="D40" s="86">
        <v>10.0</v>
      </c>
      <c r="E40" s="88" t="str">
        <f t="shared" si="5"/>
        <v> X 5 獎</v>
      </c>
      <c r="F40" s="6"/>
      <c r="G40" s="85">
        <v>0.0</v>
      </c>
      <c r="H40" s="86">
        <v>5.0</v>
      </c>
      <c r="I40" s="82"/>
      <c r="J40" s="82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</row>
    <row r="41" ht="15.75" customHeight="1">
      <c r="A41" s="88" t="str">
        <f t="shared" si="4"/>
        <v> X 3 獎</v>
      </c>
      <c r="B41" s="6"/>
      <c r="C41" s="85">
        <v>0.0</v>
      </c>
      <c r="D41" s="86">
        <v>3.0</v>
      </c>
      <c r="E41" s="88" t="str">
        <f t="shared" si="5"/>
        <v> X 1 獎</v>
      </c>
      <c r="F41" s="6"/>
      <c r="G41" s="85">
        <v>0.0</v>
      </c>
      <c r="H41" s="86">
        <v>1.0</v>
      </c>
      <c r="I41" s="82"/>
      <c r="J41" s="82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</row>
    <row r="42" ht="15.75" customHeight="1">
      <c r="A42" s="82"/>
      <c r="B42" s="81"/>
      <c r="C42" s="81"/>
      <c r="D42" s="81"/>
      <c r="E42" s="81"/>
      <c r="F42" s="81"/>
      <c r="G42" s="81"/>
      <c r="H42" s="82"/>
      <c r="I42" s="82"/>
      <c r="J42" s="82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</row>
    <row r="43" ht="15.75" customHeight="1">
      <c r="A43" s="89" t="s">
        <v>42</v>
      </c>
      <c r="E43" s="21"/>
      <c r="F43" s="21"/>
      <c r="G43" s="21"/>
      <c r="H43" s="21"/>
      <c r="I43" s="82"/>
      <c r="J43" s="82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</row>
    <row r="44" ht="15.75" customHeight="1">
      <c r="A44" s="77" t="s">
        <v>40</v>
      </c>
      <c r="B44" s="6"/>
      <c r="C44" s="77" t="s">
        <v>30</v>
      </c>
      <c r="D44" s="6"/>
      <c r="E44" s="77" t="s">
        <v>40</v>
      </c>
      <c r="F44" s="6"/>
      <c r="G44" s="77" t="s">
        <v>31</v>
      </c>
      <c r="H44" s="6"/>
      <c r="I44" s="20"/>
      <c r="J44" s="82"/>
      <c r="K44" s="90" t="s">
        <v>30</v>
      </c>
      <c r="L44" s="81"/>
      <c r="M44" s="81"/>
      <c r="N44" s="81"/>
      <c r="O44" s="90" t="s">
        <v>31</v>
      </c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</row>
    <row r="45" ht="15.75" customHeight="1">
      <c r="A45" s="77" t="s">
        <v>6</v>
      </c>
      <c r="B45" s="6"/>
      <c r="C45" s="91" t="s">
        <v>43</v>
      </c>
      <c r="D45" s="91" t="s">
        <v>44</v>
      </c>
      <c r="E45" s="77" t="s">
        <v>6</v>
      </c>
      <c r="F45" s="6"/>
      <c r="G45" s="91" t="s">
        <v>43</v>
      </c>
      <c r="H45" s="91" t="s">
        <v>44</v>
      </c>
      <c r="I45" s="20"/>
      <c r="J45" s="82"/>
      <c r="K45" s="90" t="s">
        <v>45</v>
      </c>
      <c r="L45" s="81"/>
      <c r="M45" s="81"/>
      <c r="N45" s="81"/>
      <c r="O45" s="90" t="s">
        <v>45</v>
      </c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</row>
    <row r="46" ht="15.75" customHeight="1">
      <c r="A46" s="88" t="str">
        <f t="shared" ref="A46:A51" si="6">A36</f>
        <v>Super JP / X 200 獎</v>
      </c>
      <c r="B46" s="6"/>
      <c r="C46" s="86">
        <v>220.0</v>
      </c>
      <c r="D46" s="86">
        <v>255.0</v>
      </c>
      <c r="E46" s="88" t="str">
        <f t="shared" ref="E46:E51" si="7">E36</f>
        <v>Super JP / X 100 獎</v>
      </c>
      <c r="F46" s="6"/>
      <c r="G46" s="86">
        <v>2312.0</v>
      </c>
      <c r="H46" s="86">
        <v>2312.0</v>
      </c>
      <c r="I46" s="20"/>
      <c r="J46" s="82"/>
      <c r="K46" s="81">
        <f t="shared" ref="K46:K51" si="8">C46/sum($C$46:$C$51)</f>
        <v>0.002211366423</v>
      </c>
      <c r="L46" s="81">
        <f>K46</f>
        <v>0.002211366423</v>
      </c>
      <c r="M46" s="81"/>
      <c r="N46" s="81"/>
      <c r="O46" s="81">
        <f t="shared" ref="O46:O51" si="9">G46/sum($G$46:$G$51)</f>
        <v>0.02312</v>
      </c>
      <c r="P46" s="81">
        <f>O46</f>
        <v>0.02312</v>
      </c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</row>
    <row r="47" ht="15.75" customHeight="1">
      <c r="A47" s="88" t="str">
        <f t="shared" si="6"/>
        <v>Lucky JP / X 100 獎</v>
      </c>
      <c r="B47" s="6"/>
      <c r="C47" s="86">
        <v>910.0</v>
      </c>
      <c r="D47" s="86">
        <v>1020.0</v>
      </c>
      <c r="E47" s="88" t="str">
        <f t="shared" si="7"/>
        <v>Lucky JP / X 50 獎</v>
      </c>
      <c r="F47" s="6"/>
      <c r="G47" s="86">
        <v>5215.0</v>
      </c>
      <c r="H47" s="86">
        <v>5300.0</v>
      </c>
      <c r="I47" s="20"/>
      <c r="J47" s="82"/>
      <c r="K47" s="81">
        <f t="shared" si="8"/>
        <v>0.00914701566</v>
      </c>
      <c r="L47" s="81">
        <f t="shared" ref="L47:L51" si="10">sum($K$46:K47)</f>
        <v>0.01135838208</v>
      </c>
      <c r="M47" s="81"/>
      <c r="N47" s="81"/>
      <c r="O47" s="81">
        <f t="shared" si="9"/>
        <v>0.05215</v>
      </c>
      <c r="P47" s="81">
        <f t="shared" ref="P47:P51" si="11">sum($O$46:O47)</f>
        <v>0.07527</v>
      </c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</row>
    <row r="48" ht="15.75" customHeight="1">
      <c r="A48" s="88" t="str">
        <f t="shared" si="6"/>
        <v> X 50 獎</v>
      </c>
      <c r="B48" s="6"/>
      <c r="C48" s="86">
        <v>6400.0</v>
      </c>
      <c r="D48" s="86">
        <v>6510.0</v>
      </c>
      <c r="E48" s="88" t="str">
        <f t="shared" si="7"/>
        <v> X 25 獎</v>
      </c>
      <c r="F48" s="6"/>
      <c r="G48" s="86">
        <v>10005.0</v>
      </c>
      <c r="H48" s="86">
        <v>11000.0</v>
      </c>
      <c r="I48" s="20"/>
      <c r="J48" s="82"/>
      <c r="K48" s="81">
        <f t="shared" si="8"/>
        <v>0.06433065959</v>
      </c>
      <c r="L48" s="81">
        <f t="shared" si="10"/>
        <v>0.07568904167</v>
      </c>
      <c r="M48" s="81"/>
      <c r="N48" s="81"/>
      <c r="O48" s="81">
        <f t="shared" si="9"/>
        <v>0.10005</v>
      </c>
      <c r="P48" s="81">
        <f t="shared" si="11"/>
        <v>0.17532</v>
      </c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</row>
    <row r="49" ht="15.75" customHeight="1">
      <c r="A49" s="88" t="str">
        <f t="shared" si="6"/>
        <v> X 25 獎</v>
      </c>
      <c r="B49" s="6"/>
      <c r="C49" s="86">
        <v>11400.0</v>
      </c>
      <c r="D49" s="86">
        <v>12611.0</v>
      </c>
      <c r="E49" s="88" t="str">
        <f t="shared" si="7"/>
        <v> X 10 獎</v>
      </c>
      <c r="F49" s="6"/>
      <c r="G49" s="86">
        <v>14450.0</v>
      </c>
      <c r="H49" s="86">
        <v>16500.0</v>
      </c>
      <c r="I49" s="20"/>
      <c r="J49" s="82"/>
      <c r="K49" s="81">
        <f t="shared" si="8"/>
        <v>0.1145889874</v>
      </c>
      <c r="L49" s="81">
        <f t="shared" si="10"/>
        <v>0.1902780291</v>
      </c>
      <c r="M49" s="81"/>
      <c r="N49" s="81"/>
      <c r="O49" s="81">
        <f t="shared" si="9"/>
        <v>0.1445</v>
      </c>
      <c r="P49" s="81">
        <f t="shared" si="11"/>
        <v>0.31982</v>
      </c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</row>
    <row r="50" ht="15.75" customHeight="1">
      <c r="A50" s="88" t="str">
        <f t="shared" si="6"/>
        <v> X 10 獎</v>
      </c>
      <c r="B50" s="6"/>
      <c r="C50" s="86">
        <v>29735.0</v>
      </c>
      <c r="D50" s="86">
        <v>28773.0</v>
      </c>
      <c r="E50" s="88" t="str">
        <f t="shared" si="7"/>
        <v> X 5 獎</v>
      </c>
      <c r="F50" s="6"/>
      <c r="G50" s="86">
        <v>29365.0</v>
      </c>
      <c r="H50" s="86">
        <v>28400.0</v>
      </c>
      <c r="I50" s="20"/>
      <c r="J50" s="82"/>
      <c r="K50" s="81">
        <f t="shared" si="8"/>
        <v>0.2988862755</v>
      </c>
      <c r="L50" s="81">
        <f t="shared" si="10"/>
        <v>0.4891643045</v>
      </c>
      <c r="M50" s="81"/>
      <c r="N50" s="81"/>
      <c r="O50" s="81">
        <f t="shared" si="9"/>
        <v>0.29365</v>
      </c>
      <c r="P50" s="81">
        <f t="shared" si="11"/>
        <v>0.61347</v>
      </c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</row>
    <row r="51" ht="15.75" customHeight="1">
      <c r="A51" s="88" t="str">
        <f t="shared" si="6"/>
        <v> X 3 獎</v>
      </c>
      <c r="B51" s="6"/>
      <c r="C51" s="92">
        <v>50821.0</v>
      </c>
      <c r="D51" s="92">
        <v>50831.0</v>
      </c>
      <c r="E51" s="88" t="str">
        <f t="shared" si="7"/>
        <v> X 1 獎</v>
      </c>
      <c r="F51" s="6"/>
      <c r="G51" s="92">
        <f t="shared" ref="G51:H51" si="12">100000-SUM(G46:G50)</f>
        <v>38653</v>
      </c>
      <c r="H51" s="92">
        <f t="shared" si="12"/>
        <v>36488</v>
      </c>
      <c r="I51" s="20"/>
      <c r="J51" s="82"/>
      <c r="K51" s="81">
        <f t="shared" si="8"/>
        <v>0.5108356955</v>
      </c>
      <c r="L51" s="81">
        <f t="shared" si="10"/>
        <v>1</v>
      </c>
      <c r="M51" s="81"/>
      <c r="N51" s="81"/>
      <c r="O51" s="81">
        <f t="shared" si="9"/>
        <v>0.38653</v>
      </c>
      <c r="P51" s="81">
        <f t="shared" si="11"/>
        <v>1</v>
      </c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ht="15.75" customHeight="1">
      <c r="A52" s="36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hidden="1">
      <c r="A53" s="93" t="s">
        <v>46</v>
      </c>
      <c r="B53" s="94"/>
      <c r="C53" s="94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ht="15.75" hidden="1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ht="15.75" hidden="1" customHeight="1">
      <c r="A55" s="95" t="s">
        <v>47</v>
      </c>
      <c r="B55" s="95"/>
      <c r="C55" s="95"/>
      <c r="D55" s="95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ht="15.75" hidden="1" customHeight="1">
      <c r="A56" s="77" t="s">
        <v>48</v>
      </c>
      <c r="B56" s="91" t="s">
        <v>49</v>
      </c>
      <c r="C56" s="91" t="s">
        <v>50</v>
      </c>
      <c r="D56" s="91" t="s">
        <v>51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ht="15.75" hidden="1" customHeight="1">
      <c r="A57" s="96" t="s">
        <v>30</v>
      </c>
      <c r="B57" s="97">
        <f t="shared" ref="B57:B58" si="14">sum(E81:F81)*2*($B$10*$B$11+$C$10*$C$11+$D$10*$D$11)</f>
        <v>0.2893693848</v>
      </c>
      <c r="C57" s="98">
        <f t="shared" ref="C57:D57" si="13">C139</f>
        <v>0.2822279325</v>
      </c>
      <c r="D57" s="98">
        <f t="shared" si="13"/>
        <v>0.2893689158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ht="15.75" hidden="1" customHeight="1">
      <c r="A58" s="96" t="s">
        <v>31</v>
      </c>
      <c r="B58" s="97">
        <f t="shared" si="14"/>
        <v>0.2613938843</v>
      </c>
      <c r="C58" s="98">
        <f t="shared" ref="C58:D58" si="15">G139</f>
        <v>0.2588158541</v>
      </c>
      <c r="D58" s="98">
        <f t="shared" si="15"/>
        <v>0.2613910703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ht="15.75" hidden="1" customHeight="1">
      <c r="A59" s="3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ht="15.75" hidden="1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</row>
    <row r="61" ht="15.75" hidden="1" customHeight="1">
      <c r="A61" s="89" t="s">
        <v>52</v>
      </c>
      <c r="B61" s="89"/>
      <c r="C61" s="89"/>
      <c r="D61" s="89"/>
      <c r="E61" s="89"/>
      <c r="F61" s="89"/>
      <c r="G61" s="89"/>
      <c r="H61" s="89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</row>
    <row r="62" ht="15.75" hidden="1" customHeight="1">
      <c r="A62" s="99" t="s">
        <v>53</v>
      </c>
      <c r="B62" s="6"/>
      <c r="C62" s="100">
        <f>C99</f>
        <v>48.18823529</v>
      </c>
      <c r="D62" s="101"/>
      <c r="E62" s="101"/>
      <c r="F62" s="101"/>
      <c r="G62" s="101"/>
      <c r="H62" s="12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</row>
    <row r="63" ht="15.75" hidden="1" customHeight="1">
      <c r="A63" s="102" t="s">
        <v>54</v>
      </c>
      <c r="B63" s="103"/>
      <c r="C63" s="104" t="s">
        <v>55</v>
      </c>
      <c r="D63" s="6"/>
      <c r="E63" s="102" t="s">
        <v>54</v>
      </c>
      <c r="F63" s="103"/>
      <c r="G63" s="104" t="s">
        <v>56</v>
      </c>
      <c r="H63" s="6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ht="15.75" hidden="1" customHeight="1">
      <c r="A64" s="105" t="s">
        <v>48</v>
      </c>
      <c r="B64" s="6"/>
      <c r="C64" s="78" t="s">
        <v>57</v>
      </c>
      <c r="D64" s="78" t="s">
        <v>58</v>
      </c>
      <c r="E64" s="105" t="s">
        <v>48</v>
      </c>
      <c r="F64" s="6"/>
      <c r="G64" s="78" t="s">
        <v>57</v>
      </c>
      <c r="H64" s="78" t="s">
        <v>58</v>
      </c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</row>
    <row r="65" ht="15.75" hidden="1" customHeight="1">
      <c r="A65" s="106" t="s">
        <v>59</v>
      </c>
      <c r="B65" s="6"/>
      <c r="C65" s="107">
        <f t="shared" ref="C65:D65" si="16">1/sum(C104,C107)*$C$99</f>
        <v>4242.526351</v>
      </c>
      <c r="D65" s="107">
        <f t="shared" si="16"/>
        <v>3779.469435</v>
      </c>
      <c r="E65" s="106" t="s">
        <v>59</v>
      </c>
      <c r="F65" s="6"/>
      <c r="G65" s="107">
        <f t="shared" ref="G65:H65" si="17">1/sum(G104,G107)*$C$99</f>
        <v>640.2050657</v>
      </c>
      <c r="H65" s="107">
        <f t="shared" si="17"/>
        <v>633.0561652</v>
      </c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</row>
    <row r="66" ht="15.75" hidden="1" customHeight="1">
      <c r="A66" s="88" t="str">
        <f t="shared" ref="A66:A67" si="20">A46</f>
        <v>Super JP / X 200 獎</v>
      </c>
      <c r="B66" s="6"/>
      <c r="C66" s="107">
        <f t="shared" ref="C66:D66" si="18">C106</f>
        <v>21791.15807</v>
      </c>
      <c r="D66" s="107">
        <f t="shared" si="18"/>
        <v>18897.34717</v>
      </c>
      <c r="E66" s="88" t="str">
        <f t="shared" ref="E66:E67" si="22">E46</f>
        <v>Super JP / X 100 獎</v>
      </c>
      <c r="F66" s="6"/>
      <c r="G66" s="107">
        <f t="shared" ref="G66:H66" si="19">G106</f>
        <v>2084.266232</v>
      </c>
      <c r="H66" s="107">
        <f t="shared" si="19"/>
        <v>2084.266232</v>
      </c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</row>
    <row r="67" ht="15.75" hidden="1" customHeight="1">
      <c r="A67" s="88" t="str">
        <f t="shared" si="20"/>
        <v>Lucky JP / X 100 獎</v>
      </c>
      <c r="B67" s="6"/>
      <c r="C67" s="107">
        <f t="shared" ref="C67:D67" si="21">C109</f>
        <v>5268.192062</v>
      </c>
      <c r="D67" s="107">
        <f t="shared" si="21"/>
        <v>4724.336794</v>
      </c>
      <c r="E67" s="88" t="str">
        <f t="shared" si="22"/>
        <v>Lucky JP / X 50 獎</v>
      </c>
      <c r="F67" s="6"/>
      <c r="G67" s="107">
        <f t="shared" ref="G67:H67" si="23">G109</f>
        <v>924.0313575</v>
      </c>
      <c r="H67" s="107">
        <f t="shared" si="23"/>
        <v>909.2119867</v>
      </c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</row>
    <row r="68" ht="15.75" hidden="1" customHeight="1">
      <c r="A68" s="106" t="s">
        <v>60</v>
      </c>
      <c r="B68" s="6"/>
      <c r="C68" s="107">
        <f t="shared" ref="C68:D68" si="24">1/sum(C110,C113,C116,C119)*$C$99</f>
        <v>48.74186401</v>
      </c>
      <c r="D68" s="107">
        <f t="shared" si="24"/>
        <v>48.81057006</v>
      </c>
      <c r="E68" s="106" t="s">
        <v>60</v>
      </c>
      <c r="F68" s="6"/>
      <c r="G68" s="107">
        <f t="shared" ref="G68:H68" si="25">1/sum(G110,G113,G116,G119)*$C$99</f>
        <v>52.11060017</v>
      </c>
      <c r="H68" s="107">
        <f t="shared" si="25"/>
        <v>52.15854364</v>
      </c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</row>
    <row r="69" ht="15.75" hidden="1" customHeight="1">
      <c r="A69" s="88" t="str">
        <f t="shared" ref="A69:A72" si="28">A48</f>
        <v> X 50 獎</v>
      </c>
      <c r="B69" s="6"/>
      <c r="C69" s="107">
        <f t="shared" ref="C69:D69" si="26">C112</f>
        <v>749.0710588</v>
      </c>
      <c r="D69" s="107">
        <f t="shared" si="26"/>
        <v>740.2186681</v>
      </c>
      <c r="E69" s="88" t="str">
        <f t="shared" ref="E69:E72" si="30">E48</f>
        <v> X 25 獎</v>
      </c>
      <c r="F69" s="6"/>
      <c r="G69" s="107">
        <f t="shared" ref="G69:H69" si="27">G112</f>
        <v>481.6415322</v>
      </c>
      <c r="H69" s="107">
        <f t="shared" si="27"/>
        <v>438.0748663</v>
      </c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</row>
    <row r="70" ht="15.75" hidden="1" customHeight="1">
      <c r="A70" s="88" t="str">
        <f t="shared" si="28"/>
        <v> X 25 獎</v>
      </c>
      <c r="B70" s="6"/>
      <c r="C70" s="107">
        <f t="shared" ref="C70:D70" si="29">C115</f>
        <v>420.5311207</v>
      </c>
      <c r="D70" s="107">
        <f t="shared" si="29"/>
        <v>382.1127214</v>
      </c>
      <c r="E70" s="88" t="str">
        <f t="shared" si="30"/>
        <v> X 10 獎</v>
      </c>
      <c r="F70" s="6"/>
      <c r="G70" s="107">
        <f t="shared" ref="G70:H70" si="31">G115</f>
        <v>333.4825972</v>
      </c>
      <c r="H70" s="107">
        <f t="shared" si="31"/>
        <v>292.0499109</v>
      </c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</row>
    <row r="71" ht="15.75" hidden="1" customHeight="1">
      <c r="A71" s="88" t="str">
        <f t="shared" si="28"/>
        <v> X 10 獎</v>
      </c>
      <c r="B71" s="6"/>
      <c r="C71" s="107">
        <f t="shared" ref="C71:D71" si="32">C118</f>
        <v>161.2259888</v>
      </c>
      <c r="D71" s="107">
        <f t="shared" si="32"/>
        <v>167.4772714</v>
      </c>
      <c r="E71" s="88" t="str">
        <f t="shared" si="30"/>
        <v> X 5 獎</v>
      </c>
      <c r="F71" s="6"/>
      <c r="G71" s="107">
        <f t="shared" ref="G71:H71" si="33">G118</f>
        <v>164.1009205</v>
      </c>
      <c r="H71" s="107">
        <f t="shared" si="33"/>
        <v>169.6768848</v>
      </c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</row>
    <row r="72" ht="15.75" hidden="1" customHeight="1">
      <c r="A72" s="88" t="str">
        <f t="shared" si="28"/>
        <v> X 3 獎</v>
      </c>
      <c r="B72" s="6"/>
      <c r="C72" s="107">
        <f t="shared" ref="C72:D72" si="34">C121</f>
        <v>94.33216144</v>
      </c>
      <c r="D72" s="107">
        <f t="shared" si="34"/>
        <v>94.80087996</v>
      </c>
      <c r="E72" s="88" t="str">
        <f t="shared" si="30"/>
        <v> X 1 獎</v>
      </c>
      <c r="F72" s="6"/>
      <c r="G72" s="107">
        <f t="shared" ref="G72:H72" si="35">G121</f>
        <v>124.6688104</v>
      </c>
      <c r="H72" s="107">
        <f t="shared" si="35"/>
        <v>132.0659814</v>
      </c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</row>
    <row r="73" ht="15.75" hidden="1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</row>
    <row r="74" ht="15.75" hidden="1" customHeight="1">
      <c r="A74" s="36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ht="15.75" hidden="1" customHeight="1">
      <c r="A75" s="36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ht="15.75" hidden="1" customHeight="1">
      <c r="A76" s="36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hidden="1">
      <c r="A77" s="16" t="s">
        <v>61</v>
      </c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ht="15.75" hidden="1" customHeight="1">
      <c r="A78" s="36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ht="15.75" hidden="1" customHeight="1">
      <c r="A79" s="21" t="s">
        <v>62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ht="15.75" hidden="1" customHeight="1">
      <c r="A80" s="37" t="s">
        <v>28</v>
      </c>
      <c r="B80" s="38" t="s">
        <v>29</v>
      </c>
      <c r="C80" s="39">
        <v>0.0</v>
      </c>
      <c r="D80" s="39">
        <v>1.0</v>
      </c>
      <c r="E80" s="39">
        <v>2.0</v>
      </c>
      <c r="F80" s="39">
        <v>3.0</v>
      </c>
      <c r="G80" s="39">
        <v>4.0</v>
      </c>
      <c r="H80" s="39">
        <v>5.0</v>
      </c>
      <c r="I80" s="39">
        <v>6.0</v>
      </c>
      <c r="J80" s="39">
        <v>7.0</v>
      </c>
      <c r="K80" s="39">
        <v>8.0</v>
      </c>
      <c r="L80" s="39">
        <v>9.0</v>
      </c>
      <c r="M80" s="39">
        <v>10.0</v>
      </c>
      <c r="N80" s="39">
        <v>11.0</v>
      </c>
      <c r="O80" s="39">
        <v>12.0</v>
      </c>
      <c r="P80" s="39">
        <v>13.0</v>
      </c>
      <c r="Q80" s="39">
        <v>14.0</v>
      </c>
      <c r="R80" s="39">
        <v>15.0</v>
      </c>
      <c r="S80" s="43">
        <v>16.0</v>
      </c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ht="15.75" hidden="1" customHeight="1">
      <c r="A81" s="108">
        <f t="shared" ref="A81:A89" si="37">SUM(C81:S81)*($B$10*$B$11+$C$10*$C$11+$D$10*$D$11)</f>
        <v>0.9530236816</v>
      </c>
      <c r="B81" s="45" t="s">
        <v>30</v>
      </c>
      <c r="C81" s="109">
        <f t="shared" ref="C81:S81" si="36">C16*C$6</f>
        <v>0.01525878906</v>
      </c>
      <c r="D81" s="110">
        <f t="shared" si="36"/>
        <v>0.03051757813</v>
      </c>
      <c r="E81" s="111">
        <f t="shared" si="36"/>
        <v>0.02259521484</v>
      </c>
      <c r="F81" s="111">
        <f t="shared" si="36"/>
        <v>0.1054443359</v>
      </c>
      <c r="G81" s="109">
        <f t="shared" si="36"/>
        <v>0.06109619141</v>
      </c>
      <c r="H81" s="109">
        <f t="shared" si="36"/>
        <v>0.07331542969</v>
      </c>
      <c r="I81" s="109">
        <f t="shared" si="36"/>
        <v>0.06109619141</v>
      </c>
      <c r="J81" s="109">
        <f t="shared" si="36"/>
        <v>0.05236816406</v>
      </c>
      <c r="K81" s="110">
        <f t="shared" si="36"/>
        <v>0</v>
      </c>
      <c r="L81" s="109">
        <f t="shared" si="36"/>
        <v>0.05236816406</v>
      </c>
      <c r="M81" s="109">
        <f t="shared" si="36"/>
        <v>0.06109619141</v>
      </c>
      <c r="N81" s="109">
        <f t="shared" si="36"/>
        <v>0.07331542969</v>
      </c>
      <c r="O81" s="109">
        <f t="shared" si="36"/>
        <v>0.06109619141</v>
      </c>
      <c r="P81" s="111">
        <f t="shared" si="36"/>
        <v>0.1054443359</v>
      </c>
      <c r="Q81" s="111">
        <f t="shared" si="36"/>
        <v>0.02259521484</v>
      </c>
      <c r="R81" s="110">
        <f t="shared" si="36"/>
        <v>0.03051757813</v>
      </c>
      <c r="S81" s="112">
        <f t="shared" si="36"/>
        <v>0.01525878906</v>
      </c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ht="15.75" hidden="1" customHeight="1">
      <c r="A82" s="108">
        <f t="shared" si="37"/>
        <v>0.9551845032</v>
      </c>
      <c r="B82" s="53" t="s">
        <v>31</v>
      </c>
      <c r="C82" s="113">
        <f t="shared" ref="C82:S82" si="38">C17*C$6</f>
        <v>0.003051757813</v>
      </c>
      <c r="D82" s="113">
        <f t="shared" si="38"/>
        <v>0.0087890625</v>
      </c>
      <c r="E82" s="114">
        <f t="shared" si="38"/>
        <v>0.0204107666</v>
      </c>
      <c r="F82" s="114">
        <f t="shared" si="38"/>
        <v>0.09525024414</v>
      </c>
      <c r="G82" s="113">
        <f t="shared" si="38"/>
        <v>0.05554199219</v>
      </c>
      <c r="H82" s="113">
        <f t="shared" si="38"/>
        <v>0.08664550781</v>
      </c>
      <c r="I82" s="113">
        <f t="shared" si="38"/>
        <v>0.07331542969</v>
      </c>
      <c r="J82" s="113">
        <f t="shared" si="38"/>
        <v>0.06982421875</v>
      </c>
      <c r="K82" s="115">
        <f t="shared" si="38"/>
        <v>0.01963806152</v>
      </c>
      <c r="L82" s="113">
        <f t="shared" si="38"/>
        <v>0.06982421875</v>
      </c>
      <c r="M82" s="113">
        <f t="shared" si="38"/>
        <v>0.07331542969</v>
      </c>
      <c r="N82" s="113">
        <f t="shared" si="38"/>
        <v>0.08664550781</v>
      </c>
      <c r="O82" s="113">
        <f t="shared" si="38"/>
        <v>0.05554199219</v>
      </c>
      <c r="P82" s="114">
        <f t="shared" si="38"/>
        <v>0.09525024414</v>
      </c>
      <c r="Q82" s="114">
        <f t="shared" si="38"/>
        <v>0.0204107666</v>
      </c>
      <c r="R82" s="113">
        <f t="shared" si="38"/>
        <v>0.0087890625</v>
      </c>
      <c r="S82" s="116">
        <f t="shared" si="38"/>
        <v>0.003051757813</v>
      </c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ht="15.75" hidden="1" customHeight="1">
      <c r="A83" s="117">
        <f t="shared" si="37"/>
        <v>0.9554169312</v>
      </c>
      <c r="B83" s="61" t="s">
        <v>32</v>
      </c>
      <c r="C83" s="118">
        <f t="shared" ref="C83:S83" si="39">C18*C$6</f>
        <v>0.0009155273438</v>
      </c>
      <c r="D83" s="118">
        <f t="shared" si="39"/>
        <v>0.00732421875</v>
      </c>
      <c r="E83" s="118">
        <f t="shared" si="39"/>
        <v>0.0146484375</v>
      </c>
      <c r="F83" s="118">
        <f t="shared" si="39"/>
        <v>0.02221679688</v>
      </c>
      <c r="G83" s="118">
        <f t="shared" si="39"/>
        <v>0.04443359375</v>
      </c>
      <c r="H83" s="118">
        <f t="shared" si="39"/>
        <v>0.08664550781</v>
      </c>
      <c r="I83" s="118">
        <f t="shared" si="39"/>
        <v>0.1221923828</v>
      </c>
      <c r="J83" s="118">
        <f t="shared" si="39"/>
        <v>0.1047363281</v>
      </c>
      <c r="K83" s="119">
        <f t="shared" si="39"/>
        <v>0.03927612305</v>
      </c>
      <c r="L83" s="118">
        <f t="shared" si="39"/>
        <v>0.1047363281</v>
      </c>
      <c r="M83" s="118">
        <f t="shared" si="39"/>
        <v>0.1221923828</v>
      </c>
      <c r="N83" s="118">
        <f t="shared" si="39"/>
        <v>0.08664550781</v>
      </c>
      <c r="O83" s="118">
        <f t="shared" si="39"/>
        <v>0.04443359375</v>
      </c>
      <c r="P83" s="118">
        <f t="shared" si="39"/>
        <v>0.02221679688</v>
      </c>
      <c r="Q83" s="118">
        <f t="shared" si="39"/>
        <v>0.0146484375</v>
      </c>
      <c r="R83" s="118">
        <f t="shared" si="39"/>
        <v>0.00732421875</v>
      </c>
      <c r="S83" s="120">
        <f t="shared" si="39"/>
        <v>0.0009155273438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ht="15.75" hidden="1" customHeight="1">
      <c r="A84" s="121">
        <f t="shared" si="37"/>
        <v>0.9404711914</v>
      </c>
      <c r="B84" s="45" t="s">
        <v>30</v>
      </c>
      <c r="C84" s="109">
        <f t="shared" ref="C84:S84" si="40">C19*C$6</f>
        <v>0.01525878906</v>
      </c>
      <c r="D84" s="110">
        <f t="shared" si="40"/>
        <v>0.03051757813</v>
      </c>
      <c r="E84" s="111">
        <f t="shared" si="40"/>
        <v>0.02259521484</v>
      </c>
      <c r="F84" s="111">
        <f t="shared" si="40"/>
        <v>0.1054443359</v>
      </c>
      <c r="G84" s="109">
        <f t="shared" si="40"/>
        <v>0.05554199219</v>
      </c>
      <c r="H84" s="109">
        <f t="shared" si="40"/>
        <v>0.07331542969</v>
      </c>
      <c r="I84" s="109">
        <f t="shared" si="40"/>
        <v>0.06109619141</v>
      </c>
      <c r="J84" s="109">
        <f t="shared" si="40"/>
        <v>0.05236816406</v>
      </c>
      <c r="K84" s="110">
        <f t="shared" si="40"/>
        <v>0</v>
      </c>
      <c r="L84" s="109">
        <f t="shared" si="40"/>
        <v>0.05236816406</v>
      </c>
      <c r="M84" s="109">
        <f t="shared" si="40"/>
        <v>0.06109619141</v>
      </c>
      <c r="N84" s="109">
        <f t="shared" si="40"/>
        <v>0.07331542969</v>
      </c>
      <c r="O84" s="109">
        <f t="shared" si="40"/>
        <v>0.05554199219</v>
      </c>
      <c r="P84" s="111">
        <f t="shared" si="40"/>
        <v>0.1054443359</v>
      </c>
      <c r="Q84" s="111">
        <f t="shared" si="40"/>
        <v>0.02259521484</v>
      </c>
      <c r="R84" s="110">
        <f t="shared" si="40"/>
        <v>0.03051757813</v>
      </c>
      <c r="S84" s="112">
        <f t="shared" si="40"/>
        <v>0.01525878906</v>
      </c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ht="15.75" hidden="1" customHeight="1">
      <c r="A85" s="108">
        <f t="shared" si="37"/>
        <v>0.9401215149</v>
      </c>
      <c r="B85" s="53" t="s">
        <v>31</v>
      </c>
      <c r="C85" s="113">
        <f t="shared" ref="C85:S85" si="41">C20*C$6</f>
        <v>0.003051757813</v>
      </c>
      <c r="D85" s="113">
        <f t="shared" si="41"/>
        <v>0.0087890625</v>
      </c>
      <c r="E85" s="114">
        <f t="shared" si="41"/>
        <v>0.0204107666</v>
      </c>
      <c r="F85" s="114">
        <f t="shared" si="41"/>
        <v>0.09525024414</v>
      </c>
      <c r="G85" s="113">
        <f t="shared" si="41"/>
        <v>0.05554199219</v>
      </c>
      <c r="H85" s="113">
        <f t="shared" si="41"/>
        <v>0.07998046875</v>
      </c>
      <c r="I85" s="113">
        <f t="shared" si="41"/>
        <v>0.07331542969</v>
      </c>
      <c r="J85" s="113">
        <f t="shared" si="41"/>
        <v>0.06982421875</v>
      </c>
      <c r="K85" s="115">
        <f t="shared" si="41"/>
        <v>0.01963806152</v>
      </c>
      <c r="L85" s="113">
        <f t="shared" si="41"/>
        <v>0.06982421875</v>
      </c>
      <c r="M85" s="113">
        <f t="shared" si="41"/>
        <v>0.07331542969</v>
      </c>
      <c r="N85" s="113">
        <f t="shared" si="41"/>
        <v>0.07998046875</v>
      </c>
      <c r="O85" s="113">
        <f t="shared" si="41"/>
        <v>0.05554199219</v>
      </c>
      <c r="P85" s="114">
        <f t="shared" si="41"/>
        <v>0.09525024414</v>
      </c>
      <c r="Q85" s="114">
        <f t="shared" si="41"/>
        <v>0.0204107666</v>
      </c>
      <c r="R85" s="113">
        <f t="shared" si="41"/>
        <v>0.0087890625</v>
      </c>
      <c r="S85" s="116">
        <f t="shared" si="41"/>
        <v>0.003051757813</v>
      </c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ht="15.75" hidden="1" customHeight="1">
      <c r="A86" s="117">
        <f t="shared" si="37"/>
        <v>0.9403539429</v>
      </c>
      <c r="B86" s="61" t="s">
        <v>32</v>
      </c>
      <c r="C86" s="118">
        <f t="shared" ref="C86:S86" si="42">C21*C$6</f>
        <v>0.0009155273438</v>
      </c>
      <c r="D86" s="118">
        <f t="shared" si="42"/>
        <v>0.00732421875</v>
      </c>
      <c r="E86" s="118">
        <f t="shared" si="42"/>
        <v>0.0146484375</v>
      </c>
      <c r="F86" s="118">
        <f t="shared" si="42"/>
        <v>0.02221679688</v>
      </c>
      <c r="G86" s="118">
        <f t="shared" si="42"/>
        <v>0.04443359375</v>
      </c>
      <c r="H86" s="118">
        <f t="shared" si="42"/>
        <v>0.07998046875</v>
      </c>
      <c r="I86" s="118">
        <f t="shared" si="42"/>
        <v>0.1221923828</v>
      </c>
      <c r="J86" s="118">
        <f t="shared" si="42"/>
        <v>0.1047363281</v>
      </c>
      <c r="K86" s="119">
        <f t="shared" si="42"/>
        <v>0.03927612305</v>
      </c>
      <c r="L86" s="118">
        <f t="shared" si="42"/>
        <v>0.1047363281</v>
      </c>
      <c r="M86" s="118">
        <f t="shared" si="42"/>
        <v>0.1221923828</v>
      </c>
      <c r="N86" s="118">
        <f t="shared" si="42"/>
        <v>0.07998046875</v>
      </c>
      <c r="O86" s="118">
        <f t="shared" si="42"/>
        <v>0.04443359375</v>
      </c>
      <c r="P86" s="118">
        <f t="shared" si="42"/>
        <v>0.02221679688</v>
      </c>
      <c r="Q86" s="118">
        <f t="shared" si="42"/>
        <v>0.0146484375</v>
      </c>
      <c r="R86" s="118">
        <f t="shared" si="42"/>
        <v>0.00732421875</v>
      </c>
      <c r="S86" s="120">
        <f t="shared" si="42"/>
        <v>0.0009155273438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ht="15.75" hidden="1" customHeight="1">
      <c r="A87" s="108">
        <f t="shared" si="37"/>
        <v>0.919131958</v>
      </c>
      <c r="B87" s="69" t="s">
        <v>30</v>
      </c>
      <c r="C87" s="109">
        <f t="shared" ref="C87:S87" si="43">C22*C$6</f>
        <v>0.01525878906</v>
      </c>
      <c r="D87" s="110">
        <f t="shared" si="43"/>
        <v>0.03051757813</v>
      </c>
      <c r="E87" s="111">
        <f t="shared" si="43"/>
        <v>0.02259521484</v>
      </c>
      <c r="F87" s="111">
        <f t="shared" si="43"/>
        <v>0.1054443359</v>
      </c>
      <c r="G87" s="109">
        <f t="shared" si="43"/>
        <v>0.0583190918</v>
      </c>
      <c r="H87" s="109">
        <f t="shared" si="43"/>
        <v>0.07331542969</v>
      </c>
      <c r="I87" s="109">
        <f t="shared" si="43"/>
        <v>0.04887695313</v>
      </c>
      <c r="J87" s="109">
        <f t="shared" si="43"/>
        <v>0.05236816406</v>
      </c>
      <c r="K87" s="110">
        <f t="shared" si="43"/>
        <v>0</v>
      </c>
      <c r="L87" s="109">
        <f t="shared" si="43"/>
        <v>0.05236816406</v>
      </c>
      <c r="M87" s="109">
        <f t="shared" si="43"/>
        <v>0.04887695313</v>
      </c>
      <c r="N87" s="109">
        <f t="shared" si="43"/>
        <v>0.07331542969</v>
      </c>
      <c r="O87" s="109">
        <f t="shared" si="43"/>
        <v>0.0583190918</v>
      </c>
      <c r="P87" s="111">
        <f t="shared" si="43"/>
        <v>0.1054443359</v>
      </c>
      <c r="Q87" s="111">
        <f t="shared" si="43"/>
        <v>0.02259521484</v>
      </c>
      <c r="R87" s="110">
        <f t="shared" si="43"/>
        <v>0.03051757813</v>
      </c>
      <c r="S87" s="112">
        <f t="shared" si="43"/>
        <v>0.01525878906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ht="15.75" hidden="1" customHeight="1">
      <c r="A88" s="108">
        <f t="shared" si="37"/>
        <v>0.9204789368</v>
      </c>
      <c r="B88" s="70" t="s">
        <v>31</v>
      </c>
      <c r="C88" s="113">
        <f t="shared" ref="C88:S88" si="44">C23*C$6</f>
        <v>0.003051757813</v>
      </c>
      <c r="D88" s="113">
        <f t="shared" si="44"/>
        <v>0.01342773438</v>
      </c>
      <c r="E88" s="114">
        <f t="shared" si="44"/>
        <v>0.0204107666</v>
      </c>
      <c r="F88" s="114">
        <f t="shared" si="44"/>
        <v>0.09525024414</v>
      </c>
      <c r="G88" s="113">
        <f t="shared" si="44"/>
        <v>0.05554199219</v>
      </c>
      <c r="H88" s="113">
        <f t="shared" si="44"/>
        <v>0.06665039063</v>
      </c>
      <c r="I88" s="113">
        <f t="shared" si="44"/>
        <v>0.07331542969</v>
      </c>
      <c r="J88" s="113">
        <f t="shared" si="44"/>
        <v>0.06982421875</v>
      </c>
      <c r="K88" s="115">
        <f t="shared" si="44"/>
        <v>0.01963806152</v>
      </c>
      <c r="L88" s="113">
        <f t="shared" si="44"/>
        <v>0.06982421875</v>
      </c>
      <c r="M88" s="113">
        <f t="shared" si="44"/>
        <v>0.07331542969</v>
      </c>
      <c r="N88" s="113">
        <f t="shared" si="44"/>
        <v>0.06665039063</v>
      </c>
      <c r="O88" s="113">
        <f t="shared" si="44"/>
        <v>0.05554199219</v>
      </c>
      <c r="P88" s="114">
        <f t="shared" si="44"/>
        <v>0.09525024414</v>
      </c>
      <c r="Q88" s="114">
        <f t="shared" si="44"/>
        <v>0.0204107666</v>
      </c>
      <c r="R88" s="113">
        <f t="shared" si="44"/>
        <v>0.01342773438</v>
      </c>
      <c r="S88" s="116">
        <f t="shared" si="44"/>
        <v>0.003051757813</v>
      </c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hidden="1" customHeight="1">
      <c r="A89" s="122">
        <f t="shared" si="37"/>
        <v>0.9190147095</v>
      </c>
      <c r="B89" s="72" t="s">
        <v>32</v>
      </c>
      <c r="C89" s="118">
        <f t="shared" ref="C89:S89" si="45">C24*C$6</f>
        <v>0.0009155273438</v>
      </c>
      <c r="D89" s="118">
        <f t="shared" si="45"/>
        <v>0.00732421875</v>
      </c>
      <c r="E89" s="118">
        <f t="shared" si="45"/>
        <v>0.0146484375</v>
      </c>
      <c r="F89" s="118">
        <f t="shared" si="45"/>
        <v>0.02221679688</v>
      </c>
      <c r="G89" s="118">
        <f t="shared" si="45"/>
        <v>0.04165649414</v>
      </c>
      <c r="H89" s="118">
        <f t="shared" si="45"/>
        <v>0.07331542969</v>
      </c>
      <c r="I89" s="118">
        <f t="shared" si="45"/>
        <v>0.1221923828</v>
      </c>
      <c r="J89" s="118">
        <f t="shared" si="45"/>
        <v>0.1047363281</v>
      </c>
      <c r="K89" s="119">
        <f t="shared" si="45"/>
        <v>0.03927612305</v>
      </c>
      <c r="L89" s="118">
        <f t="shared" si="45"/>
        <v>0.1047363281</v>
      </c>
      <c r="M89" s="118">
        <f t="shared" si="45"/>
        <v>0.1221923828</v>
      </c>
      <c r="N89" s="118">
        <f t="shared" si="45"/>
        <v>0.07331542969</v>
      </c>
      <c r="O89" s="118">
        <f t="shared" si="45"/>
        <v>0.04165649414</v>
      </c>
      <c r="P89" s="118">
        <f t="shared" si="45"/>
        <v>0.02221679688</v>
      </c>
      <c r="Q89" s="118">
        <f t="shared" si="45"/>
        <v>0.0146484375</v>
      </c>
      <c r="R89" s="118">
        <f t="shared" si="45"/>
        <v>0.00732421875</v>
      </c>
      <c r="S89" s="120">
        <f t="shared" si="45"/>
        <v>0.0009155273438</v>
      </c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ht="15.75" hidden="1" customHeight="1">
      <c r="A90" s="36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hidden="1" customHeight="1">
      <c r="A91" s="21" t="s">
        <v>63</v>
      </c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hidden="1" customHeight="1">
      <c r="A92" s="23" t="s">
        <v>16</v>
      </c>
      <c r="B92" s="24" t="s">
        <v>17</v>
      </c>
      <c r="C92" s="24">
        <v>0.0</v>
      </c>
      <c r="D92" s="24">
        <v>1.0</v>
      </c>
      <c r="E92" s="24">
        <v>2.0</v>
      </c>
      <c r="F92" s="24">
        <v>3.0</v>
      </c>
      <c r="G92" s="24">
        <v>4.0</v>
      </c>
      <c r="H92" s="24">
        <v>5.0</v>
      </c>
      <c r="I92" s="24">
        <v>6.0</v>
      </c>
      <c r="J92" s="24">
        <v>7.0</v>
      </c>
      <c r="K92" s="24">
        <v>8.0</v>
      </c>
      <c r="L92" s="24">
        <v>9.0</v>
      </c>
      <c r="M92" s="24">
        <v>10.0</v>
      </c>
      <c r="N92" s="24">
        <v>11.0</v>
      </c>
      <c r="O92" s="24">
        <v>12.0</v>
      </c>
      <c r="P92" s="24">
        <v>13.0</v>
      </c>
      <c r="Q92" s="24">
        <v>14.0</v>
      </c>
      <c r="R92" s="24">
        <v>15.0</v>
      </c>
      <c r="S92" s="24">
        <v>16.0</v>
      </c>
      <c r="T92" s="20"/>
      <c r="U92" s="24"/>
      <c r="V92" s="25" t="s">
        <v>18</v>
      </c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ht="15.75" hidden="1" customHeight="1">
      <c r="A93" s="123"/>
      <c r="B93" s="25" t="s">
        <v>64</v>
      </c>
      <c r="C93" s="124">
        <f t="shared" ref="C93:S93" si="46">1/C6</f>
        <v>65536</v>
      </c>
      <c r="D93" s="124">
        <f t="shared" si="46"/>
        <v>4096</v>
      </c>
      <c r="E93" s="124">
        <f t="shared" si="46"/>
        <v>546.1333333</v>
      </c>
      <c r="F93" s="124">
        <f t="shared" si="46"/>
        <v>117.0285714</v>
      </c>
      <c r="G93" s="124">
        <f t="shared" si="46"/>
        <v>36.00879121</v>
      </c>
      <c r="H93" s="124">
        <f t="shared" si="46"/>
        <v>15.003663</v>
      </c>
      <c r="I93" s="124">
        <f t="shared" si="46"/>
        <v>8.183816184</v>
      </c>
      <c r="J93" s="124">
        <f t="shared" si="46"/>
        <v>5.728671329</v>
      </c>
      <c r="K93" s="124">
        <f t="shared" si="46"/>
        <v>5.092152292</v>
      </c>
      <c r="L93" s="124">
        <f t="shared" si="46"/>
        <v>5.728671329</v>
      </c>
      <c r="M93" s="124">
        <f t="shared" si="46"/>
        <v>8.183816184</v>
      </c>
      <c r="N93" s="124">
        <f t="shared" si="46"/>
        <v>15.003663</v>
      </c>
      <c r="O93" s="124">
        <f t="shared" si="46"/>
        <v>36.00879121</v>
      </c>
      <c r="P93" s="124">
        <f t="shared" si="46"/>
        <v>117.0285714</v>
      </c>
      <c r="Q93" s="124">
        <f t="shared" si="46"/>
        <v>546.1333333</v>
      </c>
      <c r="R93" s="124">
        <f t="shared" si="46"/>
        <v>4096</v>
      </c>
      <c r="S93" s="124">
        <f t="shared" si="46"/>
        <v>65536</v>
      </c>
      <c r="U93" s="25" t="s">
        <v>22</v>
      </c>
      <c r="V93" s="124">
        <f>sum(C93:S93)</f>
        <v>140725.2658</v>
      </c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26.25" hidden="1" customHeight="1">
      <c r="A94" s="123"/>
      <c r="B94" s="25" t="s">
        <v>65</v>
      </c>
      <c r="C94" s="124">
        <f t="shared" ref="C94:S94" si="47">C93/2</f>
        <v>32768</v>
      </c>
      <c r="D94" s="124">
        <f t="shared" si="47"/>
        <v>2048</v>
      </c>
      <c r="E94" s="124">
        <f t="shared" si="47"/>
        <v>273.0666667</v>
      </c>
      <c r="F94" s="124">
        <f t="shared" si="47"/>
        <v>58.51428571</v>
      </c>
      <c r="G94" s="124">
        <f t="shared" si="47"/>
        <v>18.0043956</v>
      </c>
      <c r="H94" s="124">
        <f t="shared" si="47"/>
        <v>7.501831502</v>
      </c>
      <c r="I94" s="124">
        <f t="shared" si="47"/>
        <v>4.091908092</v>
      </c>
      <c r="J94" s="124">
        <f t="shared" si="47"/>
        <v>2.864335664</v>
      </c>
      <c r="K94" s="124">
        <f t="shared" si="47"/>
        <v>2.546076146</v>
      </c>
      <c r="L94" s="124">
        <f t="shared" si="47"/>
        <v>2.864335664</v>
      </c>
      <c r="M94" s="124">
        <f t="shared" si="47"/>
        <v>4.091908092</v>
      </c>
      <c r="N94" s="124">
        <f t="shared" si="47"/>
        <v>7.501831502</v>
      </c>
      <c r="O94" s="124">
        <f t="shared" si="47"/>
        <v>18.0043956</v>
      </c>
      <c r="P94" s="124">
        <f t="shared" si="47"/>
        <v>58.51428571</v>
      </c>
      <c r="Q94" s="124">
        <f t="shared" si="47"/>
        <v>273.0666667</v>
      </c>
      <c r="R94" s="124">
        <f t="shared" si="47"/>
        <v>2048</v>
      </c>
      <c r="S94" s="124">
        <f t="shared" si="47"/>
        <v>32768</v>
      </c>
      <c r="U94" s="25"/>
      <c r="V94" s="124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ht="15.75" hidden="1" customHeight="1">
      <c r="A95" s="36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ht="15.75" hidden="1" customHeight="1">
      <c r="A96" s="125" t="s">
        <v>66</v>
      </c>
      <c r="D96" s="126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</row>
    <row r="97" ht="15.75" hidden="1" customHeight="1">
      <c r="A97" s="127" t="s">
        <v>48</v>
      </c>
      <c r="B97" s="6"/>
      <c r="C97" s="128" t="s">
        <v>18</v>
      </c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</row>
    <row r="98" ht="15.75" hidden="1" customHeight="1">
      <c r="A98" s="129" t="s">
        <v>67</v>
      </c>
      <c r="B98" s="12"/>
      <c r="C98" s="130">
        <f>((E6+F6)*2)</f>
        <v>0.02075195313</v>
      </c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</row>
    <row r="99" ht="15.75" hidden="1" customHeight="1">
      <c r="A99" s="129" t="s">
        <v>68</v>
      </c>
      <c r="B99" s="12"/>
      <c r="C99" s="131">
        <f>1/((E6+F6)*2)</f>
        <v>48.18823529</v>
      </c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</row>
    <row r="100" ht="15.75" hidden="1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</row>
    <row r="101" ht="15.75" hidden="1" customHeight="1">
      <c r="A101" s="132" t="s">
        <v>69</v>
      </c>
      <c r="B101" s="132"/>
      <c r="C101" s="132"/>
      <c r="D101" s="132"/>
      <c r="E101" s="132"/>
      <c r="F101" s="132"/>
      <c r="G101" s="132"/>
      <c r="H101" s="132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</row>
    <row r="102" ht="15.75" hidden="1" customHeight="1">
      <c r="A102" s="77" t="s">
        <v>40</v>
      </c>
      <c r="B102" s="6"/>
      <c r="C102" s="77" t="s">
        <v>30</v>
      </c>
      <c r="D102" s="6"/>
      <c r="E102" s="77" t="s">
        <v>40</v>
      </c>
      <c r="F102" s="6"/>
      <c r="G102" s="77" t="s">
        <v>31</v>
      </c>
      <c r="H102" s="6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</row>
    <row r="103" ht="15.75" hidden="1" customHeight="1">
      <c r="A103" s="133" t="s">
        <v>48</v>
      </c>
      <c r="B103" s="6"/>
      <c r="C103" s="134" t="s">
        <v>57</v>
      </c>
      <c r="D103" s="128" t="s">
        <v>58</v>
      </c>
      <c r="E103" s="133" t="s">
        <v>48</v>
      </c>
      <c r="F103" s="6"/>
      <c r="G103" s="134" t="s">
        <v>57</v>
      </c>
      <c r="H103" s="128" t="s">
        <v>58</v>
      </c>
      <c r="I103" s="81"/>
      <c r="J103" s="133" t="s">
        <v>70</v>
      </c>
      <c r="K103" s="6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</row>
    <row r="104" ht="15.75" hidden="1" customHeight="1">
      <c r="A104" s="135" t="str">
        <f>"開"&amp;A36&amp;"機率"</f>
        <v>開Super JP / X 200 獎機率</v>
      </c>
      <c r="B104" s="12"/>
      <c r="C104" s="136">
        <f t="shared" ref="C104:D104" si="48">C46/SUM(C$46:C$51)</f>
        <v>0.002211366423</v>
      </c>
      <c r="D104" s="136">
        <f t="shared" si="48"/>
        <v>0.00255</v>
      </c>
      <c r="E104" s="135" t="str">
        <f>"開"&amp;E36&amp;"機率"</f>
        <v>開Super JP / X 100 獎機率</v>
      </c>
      <c r="F104" s="12"/>
      <c r="G104" s="136">
        <f t="shared" ref="G104:H104" si="49">G46/SUM(G$46:G$51)</f>
        <v>0.02312</v>
      </c>
      <c r="H104" s="136">
        <f t="shared" si="49"/>
        <v>0.02312</v>
      </c>
      <c r="I104" s="81"/>
      <c r="J104" s="135" t="s">
        <v>71</v>
      </c>
      <c r="K104" s="12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</row>
    <row r="105" ht="15.75" hidden="1" customHeight="1">
      <c r="A105" s="129" t="s">
        <v>72</v>
      </c>
      <c r="B105" s="12"/>
      <c r="C105" s="137">
        <f t="shared" ref="C105:D105" si="50">1/C104</f>
        <v>452.2090909</v>
      </c>
      <c r="D105" s="137">
        <f t="shared" si="50"/>
        <v>392.1568627</v>
      </c>
      <c r="E105" s="129" t="s">
        <v>72</v>
      </c>
      <c r="F105" s="12"/>
      <c r="G105" s="137">
        <f t="shared" ref="G105:H105" si="51">1/G104</f>
        <v>43.25259516</v>
      </c>
      <c r="H105" s="137">
        <f t="shared" si="51"/>
        <v>43.25259516</v>
      </c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</row>
    <row r="106" ht="15.75" hidden="1" customHeight="1">
      <c r="A106" s="135" t="s">
        <v>64</v>
      </c>
      <c r="B106" s="12"/>
      <c r="C106" s="137">
        <f t="shared" ref="C106:D106" si="52">C105*$C$99</f>
        <v>21791.15807</v>
      </c>
      <c r="D106" s="137">
        <f t="shared" si="52"/>
        <v>18897.34717</v>
      </c>
      <c r="E106" s="135" t="s">
        <v>64</v>
      </c>
      <c r="F106" s="12"/>
      <c r="G106" s="137">
        <f t="shared" ref="G106:H106" si="53">G105*$C$99</f>
        <v>2084.266232</v>
      </c>
      <c r="H106" s="137">
        <f t="shared" si="53"/>
        <v>2084.266232</v>
      </c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</row>
    <row r="107" ht="15.75" hidden="1" customHeight="1">
      <c r="A107" s="135" t="str">
        <f>"開"&amp;A37&amp;"機率"</f>
        <v>開Lucky JP / X 100 獎機率</v>
      </c>
      <c r="B107" s="12"/>
      <c r="C107" s="136">
        <f t="shared" ref="C107:D107" si="54">C47/SUM(C$46:C$51)</f>
        <v>0.00914701566</v>
      </c>
      <c r="D107" s="136">
        <f t="shared" si="54"/>
        <v>0.0102</v>
      </c>
      <c r="E107" s="135" t="str">
        <f>"開"&amp;E37&amp;"機率"</f>
        <v>開Lucky JP / X 50 獎機率</v>
      </c>
      <c r="F107" s="12"/>
      <c r="G107" s="136">
        <f t="shared" ref="G107:H107" si="55">G47/SUM(G$46:G$51)</f>
        <v>0.05215</v>
      </c>
      <c r="H107" s="136">
        <f t="shared" si="55"/>
        <v>0.053</v>
      </c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</row>
    <row r="108" ht="15.75" hidden="1" customHeight="1">
      <c r="A108" s="129" t="s">
        <v>72</v>
      </c>
      <c r="B108" s="12"/>
      <c r="C108" s="137">
        <f t="shared" ref="C108:D108" si="56">1/C107</f>
        <v>109.3252747</v>
      </c>
      <c r="D108" s="137">
        <f t="shared" si="56"/>
        <v>98.03921569</v>
      </c>
      <c r="E108" s="129" t="s">
        <v>72</v>
      </c>
      <c r="F108" s="12"/>
      <c r="G108" s="137">
        <f t="shared" ref="G108:H108" si="57">1/G107</f>
        <v>19.17545542</v>
      </c>
      <c r="H108" s="137">
        <f t="shared" si="57"/>
        <v>18.86792453</v>
      </c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</row>
    <row r="109" ht="15.75" hidden="1" customHeight="1">
      <c r="A109" s="135" t="s">
        <v>64</v>
      </c>
      <c r="B109" s="12"/>
      <c r="C109" s="137">
        <f t="shared" ref="C109:D109" si="58">C108*$C$99</f>
        <v>5268.192062</v>
      </c>
      <c r="D109" s="137">
        <f t="shared" si="58"/>
        <v>4724.336794</v>
      </c>
      <c r="E109" s="135" t="s">
        <v>64</v>
      </c>
      <c r="F109" s="12"/>
      <c r="G109" s="137">
        <f t="shared" ref="G109:H109" si="59">G108*$C$99</f>
        <v>924.0313575</v>
      </c>
      <c r="H109" s="137">
        <f t="shared" si="59"/>
        <v>909.2119867</v>
      </c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</row>
    <row r="110" ht="15.75" hidden="1" customHeight="1">
      <c r="A110" s="135" t="str">
        <f>"開"&amp;A38&amp;"機率"</f>
        <v>開 X 50 獎機率</v>
      </c>
      <c r="B110" s="12"/>
      <c r="C110" s="136">
        <f t="shared" ref="C110:D110" si="60">C48/SUM(C$46:C$51)</f>
        <v>0.06433065959</v>
      </c>
      <c r="D110" s="136">
        <f t="shared" si="60"/>
        <v>0.0651</v>
      </c>
      <c r="E110" s="135" t="str">
        <f>"開"&amp;E38&amp;"機率"</f>
        <v>開 X 25 獎機率</v>
      </c>
      <c r="F110" s="12"/>
      <c r="G110" s="136">
        <f t="shared" ref="G110:H110" si="61">G48/SUM(G$46:G$51)</f>
        <v>0.10005</v>
      </c>
      <c r="H110" s="136">
        <f t="shared" si="61"/>
        <v>0.11</v>
      </c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</row>
    <row r="111" ht="15.75" hidden="1" customHeight="1">
      <c r="A111" s="129" t="s">
        <v>72</v>
      </c>
      <c r="B111" s="12"/>
      <c r="C111" s="137">
        <f t="shared" ref="C111:D111" si="62">1/C110</f>
        <v>15.5446875</v>
      </c>
      <c r="D111" s="137">
        <f t="shared" si="62"/>
        <v>15.3609831</v>
      </c>
      <c r="E111" s="129" t="s">
        <v>72</v>
      </c>
      <c r="F111" s="12"/>
      <c r="G111" s="137">
        <f t="shared" ref="G111:H111" si="63">1/G110</f>
        <v>9.995002499</v>
      </c>
      <c r="H111" s="137">
        <f t="shared" si="63"/>
        <v>9.090909091</v>
      </c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</row>
    <row r="112" ht="15.75" hidden="1" customHeight="1">
      <c r="A112" s="135" t="s">
        <v>64</v>
      </c>
      <c r="B112" s="12"/>
      <c r="C112" s="137">
        <f t="shared" ref="C112:D112" si="64">C111*$C$99</f>
        <v>749.0710588</v>
      </c>
      <c r="D112" s="137">
        <f t="shared" si="64"/>
        <v>740.2186681</v>
      </c>
      <c r="E112" s="135" t="s">
        <v>64</v>
      </c>
      <c r="F112" s="12"/>
      <c r="G112" s="137">
        <f t="shared" ref="G112:H112" si="65">G111*$C$99</f>
        <v>481.6415322</v>
      </c>
      <c r="H112" s="137">
        <f t="shared" si="65"/>
        <v>438.0748663</v>
      </c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</row>
    <row r="113" ht="15.75" hidden="1" customHeight="1">
      <c r="A113" s="135" t="str">
        <f>"開"&amp;A39&amp;"機率"</f>
        <v>開 X 25 獎機率</v>
      </c>
      <c r="B113" s="12"/>
      <c r="C113" s="136">
        <f t="shared" ref="C113:D113" si="66">C49/SUM(C$46:C$51)</f>
        <v>0.1145889874</v>
      </c>
      <c r="D113" s="136">
        <f t="shared" si="66"/>
        <v>0.12611</v>
      </c>
      <c r="E113" s="135" t="str">
        <f>"開"&amp;E39&amp;"機率"</f>
        <v>開 X 10 獎機率</v>
      </c>
      <c r="F113" s="12"/>
      <c r="G113" s="136">
        <f t="shared" ref="G113:H113" si="67">G49/SUM(G$46:G$51)</f>
        <v>0.1445</v>
      </c>
      <c r="H113" s="136">
        <f t="shared" si="67"/>
        <v>0.165</v>
      </c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</row>
    <row r="114" ht="15.75" hidden="1" customHeight="1">
      <c r="A114" s="129" t="s">
        <v>72</v>
      </c>
      <c r="B114" s="12"/>
      <c r="C114" s="137">
        <f t="shared" ref="C114:D114" si="68">1/C113</f>
        <v>8.726842105</v>
      </c>
      <c r="D114" s="137">
        <f t="shared" si="68"/>
        <v>7.929585283</v>
      </c>
      <c r="E114" s="129" t="s">
        <v>72</v>
      </c>
      <c r="F114" s="12"/>
      <c r="G114" s="137">
        <f t="shared" ref="G114:H114" si="69">1/G113</f>
        <v>6.920415225</v>
      </c>
      <c r="H114" s="137">
        <f t="shared" si="69"/>
        <v>6.060606061</v>
      </c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</row>
    <row r="115" ht="15.75" hidden="1" customHeight="1">
      <c r="A115" s="135" t="s">
        <v>64</v>
      </c>
      <c r="B115" s="12"/>
      <c r="C115" s="137">
        <f t="shared" ref="C115:D115" si="70">C114*$C$99</f>
        <v>420.5311207</v>
      </c>
      <c r="D115" s="137">
        <f t="shared" si="70"/>
        <v>382.1127214</v>
      </c>
      <c r="E115" s="135" t="s">
        <v>64</v>
      </c>
      <c r="F115" s="12"/>
      <c r="G115" s="137">
        <f t="shared" ref="G115:H115" si="71">G114*$C$99</f>
        <v>333.4825972</v>
      </c>
      <c r="H115" s="137">
        <f t="shared" si="71"/>
        <v>292.0499109</v>
      </c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</row>
    <row r="116" ht="15.75" hidden="1" customHeight="1">
      <c r="A116" s="135" t="str">
        <f>"開"&amp;A40&amp;"機率"</f>
        <v>開 X 10 獎機率</v>
      </c>
      <c r="B116" s="12"/>
      <c r="C116" s="136">
        <f t="shared" ref="C116:D116" si="72">C50/SUM(C$46:C$51)</f>
        <v>0.2988862755</v>
      </c>
      <c r="D116" s="136">
        <f t="shared" si="72"/>
        <v>0.28773</v>
      </c>
      <c r="E116" s="135" t="str">
        <f>"開"&amp;E40&amp;"機率"</f>
        <v>開 X 5 獎機率</v>
      </c>
      <c r="F116" s="12"/>
      <c r="G116" s="136">
        <f t="shared" ref="G116:H116" si="73">G50/SUM(G$46:G$51)</f>
        <v>0.29365</v>
      </c>
      <c r="H116" s="136">
        <f t="shared" si="73"/>
        <v>0.284</v>
      </c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</row>
    <row r="117" ht="15.75" hidden="1" customHeight="1">
      <c r="A117" s="129" t="s">
        <v>72</v>
      </c>
      <c r="B117" s="12"/>
      <c r="C117" s="137">
        <f t="shared" ref="C117:D117" si="74">1/C116</f>
        <v>3.345754162</v>
      </c>
      <c r="D117" s="137">
        <f t="shared" si="74"/>
        <v>3.475480485</v>
      </c>
      <c r="E117" s="129" t="s">
        <v>72</v>
      </c>
      <c r="F117" s="12"/>
      <c r="G117" s="137">
        <f t="shared" ref="G117:H117" si="75">1/G116</f>
        <v>3.405414609</v>
      </c>
      <c r="H117" s="137">
        <f t="shared" si="75"/>
        <v>3.521126761</v>
      </c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</row>
    <row r="118" ht="15.75" hidden="1" customHeight="1">
      <c r="A118" s="135" t="s">
        <v>64</v>
      </c>
      <c r="B118" s="12"/>
      <c r="C118" s="137">
        <f t="shared" ref="C118:D118" si="76">C117*$C$99</f>
        <v>161.2259888</v>
      </c>
      <c r="D118" s="137">
        <f t="shared" si="76"/>
        <v>167.4772714</v>
      </c>
      <c r="E118" s="135" t="s">
        <v>64</v>
      </c>
      <c r="F118" s="12"/>
      <c r="G118" s="137">
        <f t="shared" ref="G118:H118" si="77">G117*$C$99</f>
        <v>164.1009205</v>
      </c>
      <c r="H118" s="137">
        <f t="shared" si="77"/>
        <v>169.6768848</v>
      </c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</row>
    <row r="119" ht="15.75" hidden="1" customHeight="1">
      <c r="A119" s="135" t="str">
        <f>"開"&amp;A41&amp;"機率"</f>
        <v>開 X 3 獎機率</v>
      </c>
      <c r="B119" s="12"/>
      <c r="C119" s="136">
        <f t="shared" ref="C119:D119" si="78">C51/SUM(C$46:C$51)</f>
        <v>0.5108356955</v>
      </c>
      <c r="D119" s="136">
        <f t="shared" si="78"/>
        <v>0.50831</v>
      </c>
      <c r="E119" s="135" t="str">
        <f>"開"&amp;E41&amp;"機率"</f>
        <v>開 X 1 獎機率</v>
      </c>
      <c r="F119" s="12"/>
      <c r="G119" s="136">
        <f t="shared" ref="G119:H119" si="79">G51/SUM(G$46:G$51)</f>
        <v>0.38653</v>
      </c>
      <c r="H119" s="136">
        <f t="shared" si="79"/>
        <v>0.36488</v>
      </c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</row>
    <row r="120" ht="15.75" hidden="1" customHeight="1">
      <c r="A120" s="129" t="s">
        <v>72</v>
      </c>
      <c r="B120" s="12"/>
      <c r="C120" s="137">
        <f t="shared" ref="C120:D120" si="80">1/C119</f>
        <v>1.957576592</v>
      </c>
      <c r="D120" s="137">
        <f t="shared" si="80"/>
        <v>1.967303417</v>
      </c>
      <c r="E120" s="129" t="s">
        <v>72</v>
      </c>
      <c r="F120" s="12"/>
      <c r="G120" s="137">
        <f t="shared" ref="G120:H120" si="81">1/G119</f>
        <v>2.58712131</v>
      </c>
      <c r="H120" s="137">
        <f t="shared" si="81"/>
        <v>2.740627055</v>
      </c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</row>
    <row r="121" ht="15.75" hidden="1" customHeight="1">
      <c r="A121" s="135" t="s">
        <v>64</v>
      </c>
      <c r="B121" s="12"/>
      <c r="C121" s="137">
        <f t="shared" ref="C121:D121" si="82">C120*$C$99</f>
        <v>94.33216144</v>
      </c>
      <c r="D121" s="137">
        <f t="shared" si="82"/>
        <v>94.80087996</v>
      </c>
      <c r="E121" s="135" t="s">
        <v>64</v>
      </c>
      <c r="F121" s="12"/>
      <c r="G121" s="137">
        <f t="shared" ref="G121:H121" si="83">G120*$C$99</f>
        <v>124.6688104</v>
      </c>
      <c r="H121" s="137">
        <f t="shared" si="83"/>
        <v>132.0659814</v>
      </c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</row>
    <row r="122" ht="15.75" hidden="1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</row>
    <row r="123" ht="15.75" hidden="1" customHeight="1">
      <c r="A123" s="132" t="s">
        <v>73</v>
      </c>
      <c r="B123" s="132"/>
      <c r="C123" s="132"/>
      <c r="D123" s="132"/>
      <c r="E123" s="132"/>
      <c r="F123" s="132"/>
      <c r="G123" s="132"/>
      <c r="H123" s="132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</row>
    <row r="124" ht="15.75" hidden="1" customHeight="1">
      <c r="A124" s="77" t="s">
        <v>40</v>
      </c>
      <c r="B124" s="6"/>
      <c r="C124" s="77" t="s">
        <v>30</v>
      </c>
      <c r="D124" s="6"/>
      <c r="E124" s="77" t="s">
        <v>40</v>
      </c>
      <c r="F124" s="6"/>
      <c r="G124" s="77" t="s">
        <v>31</v>
      </c>
      <c r="H124" s="6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</row>
    <row r="125" ht="15.75" hidden="1" customHeight="1">
      <c r="A125" s="133" t="s">
        <v>48</v>
      </c>
      <c r="B125" s="6"/>
      <c r="C125" s="134" t="s">
        <v>57</v>
      </c>
      <c r="D125" s="128" t="s">
        <v>58</v>
      </c>
      <c r="E125" s="133" t="s">
        <v>48</v>
      </c>
      <c r="F125" s="6"/>
      <c r="G125" s="134" t="s">
        <v>57</v>
      </c>
      <c r="H125" s="128" t="s">
        <v>58</v>
      </c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</row>
    <row r="126" ht="30.0" hidden="1" customHeight="1">
      <c r="A126" s="138" t="s">
        <v>74</v>
      </c>
      <c r="B126" s="6"/>
      <c r="C126" s="139">
        <f>$C$99*C30</f>
        <v>0.4818823529</v>
      </c>
      <c r="D126" s="140">
        <v>0.0</v>
      </c>
      <c r="E126" s="138" t="s">
        <v>74</v>
      </c>
      <c r="F126" s="6"/>
      <c r="G126" s="139">
        <f>$C$99*C30</f>
        <v>0.4818823529</v>
      </c>
      <c r="H126" s="140">
        <v>0.0</v>
      </c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</row>
    <row r="127" ht="30.0" hidden="1" customHeight="1">
      <c r="A127" s="135" t="s">
        <v>75</v>
      </c>
      <c r="B127" s="12"/>
      <c r="C127" s="141">
        <f>IF((C107+C104)=0,0,
1/(C107+C104)*C126)</f>
        <v>42.42526351</v>
      </c>
      <c r="D127" s="140">
        <v>0.0</v>
      </c>
      <c r="E127" s="135" t="s">
        <v>75</v>
      </c>
      <c r="F127" s="12"/>
      <c r="G127" s="141">
        <f>IF((G107+G104)=0,0,
1/(G107+G104)*G126)</f>
        <v>6.402050657</v>
      </c>
      <c r="H127" s="140">
        <v>0.0</v>
      </c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</row>
    <row r="128" ht="30.0" hidden="1" customHeight="1">
      <c r="A128" s="135" t="s">
        <v>76</v>
      </c>
      <c r="B128" s="12"/>
      <c r="C128" s="142">
        <f>if(SUM($C$46:$C$47)=0,0,
(C36/SUM($C$46:$C$47)*C46)
+(C37/SUM($C$46:$C$47)*C47)
)</f>
        <v>0.1778761062</v>
      </c>
      <c r="D128" s="140">
        <v>0.0</v>
      </c>
      <c r="E128" s="135" t="s">
        <v>76</v>
      </c>
      <c r="F128" s="12"/>
      <c r="G128" s="142">
        <f>if(SUM($C$46:$C$47)=0,0,
(G36/SUM($C$46:$C$47)*G46)
+(G37/SUM($C$46:$C$47)*G47)
)</f>
        <v>0.7422566372</v>
      </c>
      <c r="H128" s="140">
        <v>0.0</v>
      </c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</row>
    <row r="129" ht="30.0" hidden="1" customHeight="1">
      <c r="A129" s="135" t="s">
        <v>77</v>
      </c>
      <c r="B129" s="12"/>
      <c r="C129" s="143">
        <f>C128*C127</f>
        <v>7.546440677</v>
      </c>
      <c r="D129" s="140">
        <v>0.0</v>
      </c>
      <c r="E129" s="135" t="s">
        <v>77</v>
      </c>
      <c r="F129" s="12"/>
      <c r="G129" s="143">
        <f t="shared" ref="G129:H129" si="84">G128*G127</f>
        <v>4.751964592</v>
      </c>
      <c r="H129" s="143">
        <f t="shared" si="84"/>
        <v>0</v>
      </c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</row>
    <row r="130" ht="30.0" hidden="1" customHeight="1">
      <c r="A130" s="135" t="s">
        <v>78</v>
      </c>
      <c r="B130" s="12"/>
      <c r="C130" s="144">
        <f>IF(SUM(C$46:C$47)=0,0,
((C46/SUM(C$46:C$47)*D36)
+(C47/SUM(C$46:C$47)*D37))
*($B$10*$B$11+$C$10*$C$11+$D$10*$D$11))</f>
        <v>135</v>
      </c>
      <c r="D130" s="144">
        <f>IF(SUM(D$46:D$47)=0,0,
((D46/SUM(D$46:D$47)*D36)
+(D47/SUM(D$46:D$47)*D37))
*($B$10*$B$11+$C$10*$C$11+$D$10*$D$11))</f>
        <v>135.6</v>
      </c>
      <c r="E130" s="135" t="s">
        <v>78</v>
      </c>
      <c r="F130" s="12"/>
      <c r="G130" s="144">
        <f>IF(SUM(G$46:G$47)=0,0,
((G46/SUM(G$46:G$47)*H36)
+(G47/SUM(G$46:G$47)*H37))
*($B$10*$B$11+$C$10*$C$11+$D$10*$D$11))</f>
        <v>73.85459014</v>
      </c>
      <c r="H130" s="144">
        <f>IF(SUM(H$46:H$47)=0,0,
((H46/SUM(H$46:H$47)*H36)
+(H47/SUM(H$46:H$47)*H37))
*($B$10*$B$11+$C$10*$C$11+$D$10*$D$11))</f>
        <v>73.66079874</v>
      </c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</row>
    <row r="131" ht="15.75" hidden="1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</row>
    <row r="132" ht="15.75" hidden="1" customHeight="1">
      <c r="A132" s="132" t="s">
        <v>79</v>
      </c>
      <c r="B132" s="132"/>
      <c r="C132" s="132"/>
      <c r="D132" s="132"/>
      <c r="E132" s="132"/>
      <c r="F132" s="132"/>
      <c r="G132" s="132"/>
      <c r="H132" s="132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</row>
    <row r="133" ht="15.75" hidden="1" customHeight="1">
      <c r="A133" s="77" t="s">
        <v>40</v>
      </c>
      <c r="B133" s="6"/>
      <c r="C133" s="77" t="s">
        <v>30</v>
      </c>
      <c r="D133" s="6"/>
      <c r="E133" s="77" t="s">
        <v>40</v>
      </c>
      <c r="F133" s="6"/>
      <c r="G133" s="77" t="s">
        <v>31</v>
      </c>
      <c r="H133" s="6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</row>
    <row r="134" ht="15.75" hidden="1" customHeight="1">
      <c r="A134" s="133" t="s">
        <v>48</v>
      </c>
      <c r="B134" s="6"/>
      <c r="C134" s="145" t="s">
        <v>57</v>
      </c>
      <c r="D134" s="145" t="s">
        <v>58</v>
      </c>
      <c r="E134" s="133" t="s">
        <v>48</v>
      </c>
      <c r="F134" s="6"/>
      <c r="G134" s="145" t="s">
        <v>57</v>
      </c>
      <c r="H134" s="145" t="s">
        <v>58</v>
      </c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</row>
    <row r="135" ht="15.75" hidden="1" customHeight="1">
      <c r="A135" s="146" t="s">
        <v>80</v>
      </c>
      <c r="B135" s="6"/>
      <c r="C135" s="147">
        <f t="shared" ref="C135:D135" si="85">C104+C107</f>
        <v>0.01135838208</v>
      </c>
      <c r="D135" s="147">
        <f t="shared" si="85"/>
        <v>0.01275</v>
      </c>
      <c r="E135" s="146" t="s">
        <v>80</v>
      </c>
      <c r="F135" s="6"/>
      <c r="G135" s="147">
        <f t="shared" ref="G135:H135" si="86">G104+G107</f>
        <v>0.07527</v>
      </c>
      <c r="H135" s="147">
        <f t="shared" si="86"/>
        <v>0.07612</v>
      </c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</row>
    <row r="136" ht="15.75" hidden="1" customHeight="1">
      <c r="A136" s="146" t="s">
        <v>81</v>
      </c>
      <c r="B136" s="6"/>
      <c r="C136" s="144">
        <f t="shared" ref="C136:D136" si="87">C129+C130</f>
        <v>142.5464407</v>
      </c>
      <c r="D136" s="144">
        <f t="shared" si="87"/>
        <v>135.6</v>
      </c>
      <c r="E136" s="146" t="s">
        <v>81</v>
      </c>
      <c r="F136" s="6"/>
      <c r="G136" s="144">
        <f t="shared" ref="G136:H136" si="88">G129+G130</f>
        <v>78.60655473</v>
      </c>
      <c r="H136" s="144">
        <f t="shared" si="88"/>
        <v>73.66079874</v>
      </c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</row>
    <row r="137" ht="15.75" hidden="1" customHeight="1">
      <c r="A137" s="146" t="s">
        <v>82</v>
      </c>
      <c r="B137" s="6"/>
      <c r="C137" s="147">
        <f t="shared" ref="C137:D137" si="89">C110+C113+C116+C119</f>
        <v>0.9886416179</v>
      </c>
      <c r="D137" s="147">
        <f t="shared" si="89"/>
        <v>0.98725</v>
      </c>
      <c r="E137" s="146" t="s">
        <v>82</v>
      </c>
      <c r="F137" s="6"/>
      <c r="G137" s="147">
        <f t="shared" ref="G137:H137" si="90">G110+G113+G116+G119</f>
        <v>0.92473</v>
      </c>
      <c r="H137" s="147">
        <f t="shared" si="90"/>
        <v>0.92388</v>
      </c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</row>
    <row r="138" ht="15.75" hidden="1" customHeight="1">
      <c r="A138" s="146" t="s">
        <v>83</v>
      </c>
      <c r="B138" s="6"/>
      <c r="C138" s="148">
        <f t="shared" ref="C138:D138" si="91">if(SUM(C110,C113,C116,C119)=0,0,
($D$38*(C110/SUM(C110,C113,C116,C119))
+$D$39*(C113/SUM(C110,C113,C116,C119))
+$D$40*(C116/SUM(C110,C113,C116,C119))
+$D$41*(C119/SUM(C110,C113,C116,C119)))
*($B$10*$B$11+$C$10*$C$11+$D$10*$D$11)
)</f>
        <v>12.11861696</v>
      </c>
      <c r="D138" s="148">
        <f t="shared" si="91"/>
        <v>12.37303358</v>
      </c>
      <c r="E138" s="146" t="s">
        <v>83</v>
      </c>
      <c r="F138" s="6"/>
      <c r="G138" s="148">
        <f t="shared" ref="G138:H138" si="92">if(SUM(G110,G113,G116,G119)=0,0,
($H$38*(G110/SUM(G110,G113,G116,G119))
+$H$39*(G113/SUM(G110,G113,G116,G119))
+$H$40*(G116/SUM(G110,G113,G116,G119))
+$H$41*(G119/SUM(G110,G113,G116,G119)))
*($B$10*$B$11+$C$10*$C$11+$D$10*$D$11)
)</f>
        <v>7.088732819</v>
      </c>
      <c r="H138" s="148">
        <f t="shared" si="92"/>
        <v>7.564742607</v>
      </c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</row>
    <row r="139" ht="15.75" hidden="1" customHeight="1">
      <c r="A139" s="146" t="s">
        <v>84</v>
      </c>
      <c r="B139" s="6"/>
      <c r="C139" s="149">
        <f t="shared" ref="C139:D139" si="93">(C135*C136+C137*C138)/$C$99</f>
        <v>0.2822279325</v>
      </c>
      <c r="D139" s="149">
        <f t="shared" si="93"/>
        <v>0.2893689158</v>
      </c>
      <c r="E139" s="146" t="s">
        <v>84</v>
      </c>
      <c r="F139" s="6"/>
      <c r="G139" s="149">
        <f t="shared" ref="G139:H139" si="94">(G135*G136+G137*G138)/$C$99</f>
        <v>0.2588158541</v>
      </c>
      <c r="H139" s="149">
        <f t="shared" si="94"/>
        <v>0.2613910703</v>
      </c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</row>
    <row r="140" ht="15.75" hidden="1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</row>
    <row r="141" ht="15.75" hidden="1" customHeight="1">
      <c r="A141" s="150" t="s">
        <v>85</v>
      </c>
      <c r="B141" s="151"/>
      <c r="C141" s="151"/>
      <c r="D141" s="151"/>
      <c r="E141" s="151"/>
      <c r="F141" s="151"/>
      <c r="G141" s="151"/>
      <c r="H141" s="151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1"/>
      <c r="AD141" s="81"/>
      <c r="AE141" s="81"/>
      <c r="AF141" s="81"/>
    </row>
    <row r="142" ht="15.75" customHeight="1">
      <c r="A142" s="36"/>
      <c r="B142" s="20"/>
      <c r="C142" s="20"/>
      <c r="D142" s="20"/>
      <c r="E142" s="20"/>
      <c r="F142" s="20"/>
      <c r="G142" s="20"/>
      <c r="H142" s="20"/>
      <c r="I142" s="20"/>
      <c r="J142" s="20"/>
      <c r="K142" s="90" t="s">
        <v>30</v>
      </c>
      <c r="L142" s="20"/>
      <c r="M142" s="20"/>
      <c r="N142" s="20"/>
      <c r="O142" s="90" t="s">
        <v>31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ht="15.75" customHeight="1">
      <c r="A143" s="36"/>
      <c r="B143" s="20"/>
      <c r="C143" s="20"/>
      <c r="D143" s="20"/>
      <c r="E143" s="20"/>
      <c r="F143" s="20"/>
      <c r="G143" s="20"/>
      <c r="H143" s="20"/>
      <c r="I143" s="20"/>
      <c r="J143" s="20"/>
      <c r="K143" s="90" t="s">
        <v>86</v>
      </c>
      <c r="L143" s="81"/>
      <c r="M143" s="81"/>
      <c r="N143" s="81"/>
      <c r="O143" s="90" t="s">
        <v>86</v>
      </c>
      <c r="P143" s="81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ht="15.75" customHeight="1">
      <c r="A144" s="36"/>
      <c r="B144" s="20"/>
      <c r="C144" s="20"/>
      <c r="D144" s="20"/>
      <c r="E144" s="20"/>
      <c r="F144" s="20"/>
      <c r="G144" s="20"/>
      <c r="H144" s="20"/>
      <c r="I144" s="20"/>
      <c r="J144" s="20"/>
      <c r="K144" s="81">
        <f t="shared" ref="K144:K149" si="95">D46/sum($D$46:$D$51)</f>
        <v>0.00255</v>
      </c>
      <c r="L144" s="81">
        <f>K144</f>
        <v>0.00255</v>
      </c>
      <c r="M144" s="81"/>
      <c r="N144" s="81"/>
      <c r="O144" s="81">
        <f t="shared" ref="O144:O149" si="96">H46/sum($H$46:$H$51)</f>
        <v>0.02312</v>
      </c>
      <c r="P144" s="81">
        <f>O144</f>
        <v>0.02312</v>
      </c>
      <c r="Q144" s="20"/>
      <c r="R144" s="22">
        <v>0.002312</v>
      </c>
      <c r="S144" s="152">
        <v>529600.0</v>
      </c>
      <c r="T144" s="20">
        <f>S144/100</f>
        <v>5296</v>
      </c>
      <c r="U144" s="153">
        <v>539200.0</v>
      </c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ht="15.75" customHeight="1">
      <c r="A145" s="36"/>
      <c r="B145" s="20"/>
      <c r="C145" s="20"/>
      <c r="D145" s="20"/>
      <c r="E145" s="20"/>
      <c r="F145" s="20"/>
      <c r="G145" s="20"/>
      <c r="H145" s="20"/>
      <c r="I145" s="20"/>
      <c r="J145" s="20"/>
      <c r="K145" s="81">
        <f t="shared" si="95"/>
        <v>0.0102</v>
      </c>
      <c r="L145" s="81">
        <f t="shared" ref="L145:L149" si="97">sum($K$144:K145)</f>
        <v>0.01275</v>
      </c>
      <c r="M145" s="81"/>
      <c r="N145" s="81"/>
      <c r="O145" s="81">
        <f t="shared" si="96"/>
        <v>0.053</v>
      </c>
      <c r="P145" s="81">
        <f t="shared" ref="P145:P149" si="98">sum($O$144:O145)</f>
        <v>0.07612</v>
      </c>
      <c r="Q145" s="20"/>
      <c r="R145" s="20">
        <f>P145-R144</f>
        <v>0.073808</v>
      </c>
      <c r="S145" s="152">
        <v>8610300.0</v>
      </c>
      <c r="T145" s="20">
        <f>S145/50</f>
        <v>172206</v>
      </c>
      <c r="U145" s="153">
        <v>615000.0</v>
      </c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ht="15.75" customHeight="1">
      <c r="A146" s="36"/>
      <c r="B146" s="20"/>
      <c r="C146" s="20"/>
      <c r="D146" s="20"/>
      <c r="E146" s="20"/>
      <c r="F146" s="20"/>
      <c r="G146" s="20"/>
      <c r="H146" s="20"/>
      <c r="I146" s="20"/>
      <c r="J146" s="20"/>
      <c r="K146" s="81">
        <f t="shared" si="95"/>
        <v>0.0651</v>
      </c>
      <c r="L146" s="81">
        <f t="shared" si="97"/>
        <v>0.07785</v>
      </c>
      <c r="M146" s="81"/>
      <c r="N146" s="81"/>
      <c r="O146" s="81">
        <f t="shared" si="96"/>
        <v>0.11</v>
      </c>
      <c r="P146" s="81">
        <f t="shared" si="98"/>
        <v>0.18612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ht="15.75" customHeight="1">
      <c r="A147" s="36"/>
      <c r="B147" s="20"/>
      <c r="C147" s="20"/>
      <c r="D147" s="20"/>
      <c r="E147" s="20"/>
      <c r="F147" s="20"/>
      <c r="G147" s="20"/>
      <c r="H147" s="20"/>
      <c r="I147" s="20"/>
      <c r="J147" s="20"/>
      <c r="K147" s="81">
        <f t="shared" si="95"/>
        <v>0.12611</v>
      </c>
      <c r="L147" s="81">
        <f t="shared" si="97"/>
        <v>0.20396</v>
      </c>
      <c r="M147" s="81"/>
      <c r="N147" s="81"/>
      <c r="O147" s="81">
        <f t="shared" si="96"/>
        <v>0.165</v>
      </c>
      <c r="P147" s="81">
        <f t="shared" si="98"/>
        <v>0.35112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ht="15.75" customHeight="1">
      <c r="A148" s="36"/>
      <c r="B148" s="20"/>
      <c r="C148" s="20"/>
      <c r="D148" s="20"/>
      <c r="E148" s="20"/>
      <c r="F148" s="20"/>
      <c r="G148" s="20"/>
      <c r="H148" s="20"/>
      <c r="I148" s="20"/>
      <c r="J148" s="20"/>
      <c r="K148" s="81">
        <f t="shared" si="95"/>
        <v>0.28773</v>
      </c>
      <c r="L148" s="81">
        <f t="shared" si="97"/>
        <v>0.49169</v>
      </c>
      <c r="M148" s="81"/>
      <c r="N148" s="81"/>
      <c r="O148" s="81">
        <f t="shared" si="96"/>
        <v>0.284</v>
      </c>
      <c r="P148" s="81">
        <f t="shared" si="98"/>
        <v>0.63512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ht="15.75" customHeight="1">
      <c r="A149" s="36"/>
      <c r="B149" s="20"/>
      <c r="C149" s="20"/>
      <c r="D149" s="20"/>
      <c r="E149" s="20"/>
      <c r="F149" s="20"/>
      <c r="G149" s="20"/>
      <c r="H149" s="20"/>
      <c r="I149" s="20"/>
      <c r="J149" s="20"/>
      <c r="K149" s="81">
        <f t="shared" si="95"/>
        <v>0.50831</v>
      </c>
      <c r="L149" s="81">
        <f t="shared" si="97"/>
        <v>1</v>
      </c>
      <c r="M149" s="81"/>
      <c r="N149" s="81"/>
      <c r="O149" s="81">
        <f t="shared" si="96"/>
        <v>0.36488</v>
      </c>
      <c r="P149" s="81">
        <f t="shared" si="98"/>
        <v>1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ht="15.75" customHeight="1">
      <c r="A150" s="36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ht="15.75" customHeight="1">
      <c r="A151" s="36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ht="15.75" customHeight="1">
      <c r="A152" s="36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ht="15.75" customHeight="1">
      <c r="A153" s="36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ht="15.75" customHeight="1">
      <c r="A154" s="36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ht="15.75" customHeight="1">
      <c r="A155" s="36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ht="15.75" customHeight="1">
      <c r="A156" s="36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ht="15.75" customHeight="1">
      <c r="A157" s="36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ht="15.75" customHeight="1">
      <c r="A158" s="36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ht="15.75" customHeight="1">
      <c r="A159" s="36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ht="15.75" customHeight="1">
      <c r="A160" s="36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ht="15.75" customHeight="1">
      <c r="A161" s="36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ht="15.75" customHeight="1">
      <c r="A162" s="36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ht="15.75" customHeight="1">
      <c r="A163" s="36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ht="15.75" customHeight="1">
      <c r="A164" s="36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ht="15.75" customHeight="1">
      <c r="A165" s="36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ht="15.75" customHeight="1">
      <c r="A166" s="36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ht="15.75" customHeight="1">
      <c r="A167" s="36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ht="15.75" customHeight="1">
      <c r="A168" s="36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ht="15.75" customHeight="1">
      <c r="A169" s="36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ht="15.75" customHeight="1">
      <c r="A170" s="36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ht="15.75" customHeight="1">
      <c r="A171" s="36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ht="15.75" customHeight="1">
      <c r="A172" s="36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ht="15.75" customHeight="1">
      <c r="A173" s="36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ht="15.75" customHeight="1">
      <c r="A174" s="36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ht="15.75" customHeight="1">
      <c r="A175" s="36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ht="15.75" customHeight="1">
      <c r="A176" s="36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ht="15.75" customHeight="1">
      <c r="A177" s="36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ht="15.75" customHeight="1">
      <c r="A178" s="36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ht="15.75" customHeight="1">
      <c r="A179" s="36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ht="15.75" customHeight="1">
      <c r="A180" s="36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ht="15.75" customHeight="1">
      <c r="A181" s="36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ht="15.75" customHeight="1">
      <c r="A182" s="36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ht="15.75" customHeight="1">
      <c r="A183" s="36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ht="15.75" customHeight="1">
      <c r="A184" s="36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ht="15.75" customHeight="1">
      <c r="A185" s="36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ht="15.75" customHeight="1">
      <c r="A186" s="36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ht="15.75" customHeight="1">
      <c r="A187" s="36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ht="15.75" customHeight="1">
      <c r="A188" s="36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ht="15.75" customHeight="1">
      <c r="A189" s="36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ht="15.75" customHeight="1">
      <c r="A190" s="36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ht="15.75" customHeight="1">
      <c r="A191" s="36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ht="15.75" customHeight="1">
      <c r="A192" s="36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ht="15.75" customHeight="1">
      <c r="A193" s="36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ht="15.75" customHeight="1">
      <c r="A194" s="36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ht="15.75" customHeight="1">
      <c r="A195" s="36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ht="15.75" customHeight="1">
      <c r="A196" s="36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ht="15.75" customHeight="1">
      <c r="A197" s="36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ht="15.75" customHeight="1">
      <c r="A198" s="36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ht="15.75" customHeight="1">
      <c r="A199" s="36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ht="15.75" customHeight="1">
      <c r="A200" s="36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ht="15.75" customHeight="1">
      <c r="A201" s="36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ht="15.75" customHeight="1">
      <c r="A202" s="36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ht="15.75" customHeight="1">
      <c r="A203" s="36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ht="15.75" customHeight="1">
      <c r="A204" s="36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ht="15.75" customHeight="1">
      <c r="A205" s="36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ht="15.75" customHeight="1">
      <c r="A206" s="36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ht="15.75" customHeight="1">
      <c r="A207" s="36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ht="15.75" customHeight="1">
      <c r="A208" s="36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ht="15.75" customHeight="1">
      <c r="A209" s="36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ht="15.75" customHeight="1">
      <c r="A210" s="36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ht="15.75" customHeight="1">
      <c r="A211" s="36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ht="15.75" customHeight="1">
      <c r="A212" s="36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ht="15.75" customHeight="1">
      <c r="A213" s="36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ht="15.75" customHeight="1">
      <c r="A214" s="36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ht="15.75" customHeight="1">
      <c r="A215" s="36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ht="15.75" customHeight="1">
      <c r="A216" s="36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ht="15.75" customHeight="1">
      <c r="A217" s="36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ht="15.75" customHeight="1">
      <c r="A218" s="36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ht="15.75" customHeight="1">
      <c r="A219" s="36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ht="15.75" customHeight="1">
      <c r="A220" s="36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ht="15.75" customHeight="1">
      <c r="A221" s="36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ht="15.75" customHeight="1">
      <c r="A222" s="36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48">
    <mergeCell ref="A3:S3"/>
    <mergeCell ref="A5:A6"/>
    <mergeCell ref="A16:A18"/>
    <mergeCell ref="A19:A21"/>
    <mergeCell ref="A22:A24"/>
    <mergeCell ref="A29:B29"/>
    <mergeCell ref="A30:B30"/>
    <mergeCell ref="E37:F37"/>
    <mergeCell ref="E38:F38"/>
    <mergeCell ref="E39:F39"/>
    <mergeCell ref="E40:F40"/>
    <mergeCell ref="E41:F41"/>
    <mergeCell ref="A34:B34"/>
    <mergeCell ref="C34:D34"/>
    <mergeCell ref="E34:F34"/>
    <mergeCell ref="G34:H34"/>
    <mergeCell ref="A35:B35"/>
    <mergeCell ref="E35:F35"/>
    <mergeCell ref="E36:F36"/>
    <mergeCell ref="A44:B44"/>
    <mergeCell ref="C44:D44"/>
    <mergeCell ref="E44:F44"/>
    <mergeCell ref="G44:H44"/>
    <mergeCell ref="E45:F45"/>
    <mergeCell ref="A36:B36"/>
    <mergeCell ref="A37:B37"/>
    <mergeCell ref="A38:B38"/>
    <mergeCell ref="A39:B39"/>
    <mergeCell ref="A40:B40"/>
    <mergeCell ref="A41:B41"/>
    <mergeCell ref="A43:D43"/>
    <mergeCell ref="E48:F48"/>
    <mergeCell ref="E49:F49"/>
    <mergeCell ref="A45:B45"/>
    <mergeCell ref="A46:B46"/>
    <mergeCell ref="E46:F46"/>
    <mergeCell ref="A47:B47"/>
    <mergeCell ref="E47:F47"/>
    <mergeCell ref="A48:B48"/>
    <mergeCell ref="A49:B4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4:F124"/>
    <mergeCell ref="G124:H124"/>
    <mergeCell ref="E125:F125"/>
    <mergeCell ref="E126:F126"/>
    <mergeCell ref="E135:F135"/>
    <mergeCell ref="E136:F136"/>
    <mergeCell ref="E137:F137"/>
    <mergeCell ref="E138:F138"/>
    <mergeCell ref="E139:F139"/>
    <mergeCell ref="E127:F127"/>
    <mergeCell ref="E128:F128"/>
    <mergeCell ref="E129:F129"/>
    <mergeCell ref="E130:F130"/>
    <mergeCell ref="E133:F133"/>
    <mergeCell ref="G133:H133"/>
    <mergeCell ref="E134:F134"/>
    <mergeCell ref="A104:B104"/>
    <mergeCell ref="A105:B105"/>
    <mergeCell ref="A106:B106"/>
    <mergeCell ref="A107:B107"/>
    <mergeCell ref="A108:B108"/>
    <mergeCell ref="A109:B109"/>
    <mergeCell ref="A110:B110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4:B124"/>
    <mergeCell ref="C124:D124"/>
    <mergeCell ref="A125:B125"/>
    <mergeCell ref="A126:B126"/>
    <mergeCell ref="A127:B127"/>
    <mergeCell ref="A136:B136"/>
    <mergeCell ref="A137:B137"/>
    <mergeCell ref="A138:B138"/>
    <mergeCell ref="A139:B139"/>
    <mergeCell ref="A128:B128"/>
    <mergeCell ref="A129:B129"/>
    <mergeCell ref="A130:B130"/>
    <mergeCell ref="A133:B133"/>
    <mergeCell ref="C133:D133"/>
    <mergeCell ref="A134:B134"/>
    <mergeCell ref="A135:B135"/>
    <mergeCell ref="A50:B50"/>
    <mergeCell ref="E50:F50"/>
    <mergeCell ref="A51:B51"/>
    <mergeCell ref="E51:F51"/>
    <mergeCell ref="C62:H62"/>
    <mergeCell ref="C63:D63"/>
    <mergeCell ref="G63:H63"/>
    <mergeCell ref="A62:B62"/>
    <mergeCell ref="A64:B64"/>
    <mergeCell ref="A65:B65"/>
    <mergeCell ref="A66:B66"/>
    <mergeCell ref="A67:B67"/>
    <mergeCell ref="A68:B68"/>
    <mergeCell ref="A69:B69"/>
    <mergeCell ref="E71:F71"/>
    <mergeCell ref="E72:F72"/>
    <mergeCell ref="A79:S79"/>
    <mergeCell ref="A91:S91"/>
    <mergeCell ref="E64:F64"/>
    <mergeCell ref="E65:F65"/>
    <mergeCell ref="E66:F66"/>
    <mergeCell ref="E67:F67"/>
    <mergeCell ref="E68:F68"/>
    <mergeCell ref="E69:F69"/>
    <mergeCell ref="E70:F70"/>
    <mergeCell ref="A70:B70"/>
    <mergeCell ref="A71:B71"/>
    <mergeCell ref="A72:B72"/>
    <mergeCell ref="A96:C96"/>
    <mergeCell ref="A97:B97"/>
    <mergeCell ref="A98:B98"/>
    <mergeCell ref="A99:B99"/>
    <mergeCell ref="A102:B102"/>
    <mergeCell ref="C102:D102"/>
    <mergeCell ref="E102:F102"/>
    <mergeCell ref="G102:H102"/>
    <mergeCell ref="A103:B103"/>
    <mergeCell ref="J103:K103"/>
    <mergeCell ref="J104:K104"/>
    <mergeCell ref="A111:B111"/>
    <mergeCell ref="A112:B112"/>
    <mergeCell ref="E112:F112"/>
    <mergeCell ref="E113:F1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2.63" defaultRowHeight="15.0"/>
  <cols>
    <col customWidth="1" min="1" max="1" width="6.25"/>
    <col customWidth="1" min="6" max="6" width="14.25"/>
    <col customWidth="1" min="8" max="8" width="14.5"/>
    <col customWidth="1" min="12" max="12" width="14.63"/>
  </cols>
  <sheetData>
    <row r="1">
      <c r="A1" s="154" t="s">
        <v>87</v>
      </c>
      <c r="B1" s="154" t="s">
        <v>88</v>
      </c>
      <c r="C1" s="155" t="s">
        <v>89</v>
      </c>
      <c r="D1" s="156" t="s">
        <v>90</v>
      </c>
      <c r="E1" s="157"/>
      <c r="F1" s="157"/>
      <c r="G1" s="158"/>
      <c r="H1" s="159" t="s">
        <v>91</v>
      </c>
      <c r="I1" s="160">
        <v>1.0E7</v>
      </c>
      <c r="J1" s="161"/>
      <c r="K1" s="161"/>
      <c r="L1" s="162"/>
      <c r="M1" s="161"/>
      <c r="N1" s="159" t="s">
        <v>92</v>
      </c>
      <c r="O1" s="160">
        <v>1.0E8</v>
      </c>
      <c r="P1" s="161"/>
      <c r="Q1" s="161"/>
      <c r="R1" s="162"/>
      <c r="S1" s="163"/>
      <c r="T1" s="10"/>
      <c r="U1" s="10"/>
      <c r="V1" s="10"/>
      <c r="W1" s="10"/>
      <c r="X1" s="10"/>
      <c r="Y1" s="10"/>
      <c r="Z1" s="10"/>
      <c r="AA1" s="10"/>
      <c r="AB1" s="10"/>
    </row>
    <row r="2">
      <c r="A2" s="28"/>
      <c r="B2" s="28"/>
      <c r="C2" s="164"/>
      <c r="D2" s="165" t="s">
        <v>93</v>
      </c>
      <c r="E2" s="166" t="s">
        <v>94</v>
      </c>
      <c r="F2" s="166" t="s">
        <v>95</v>
      </c>
      <c r="G2" s="167" t="s">
        <v>96</v>
      </c>
      <c r="H2" s="165" t="s">
        <v>97</v>
      </c>
      <c r="I2" s="166" t="s">
        <v>93</v>
      </c>
      <c r="J2" s="166" t="s">
        <v>98</v>
      </c>
      <c r="K2" s="166" t="s">
        <v>94</v>
      </c>
      <c r="L2" s="168" t="s">
        <v>99</v>
      </c>
      <c r="M2" s="167" t="s">
        <v>100</v>
      </c>
      <c r="N2" s="169" t="s">
        <v>97</v>
      </c>
      <c r="O2" s="170" t="s">
        <v>93</v>
      </c>
      <c r="P2" s="170" t="s">
        <v>98</v>
      </c>
      <c r="Q2" s="170" t="s">
        <v>94</v>
      </c>
      <c r="R2" s="171" t="s">
        <v>99</v>
      </c>
      <c r="S2" s="172" t="s">
        <v>100</v>
      </c>
      <c r="T2" s="170" t="s">
        <v>101</v>
      </c>
      <c r="U2" s="170" t="s">
        <v>102</v>
      </c>
      <c r="V2" s="170" t="s">
        <v>103</v>
      </c>
      <c r="W2" s="10"/>
      <c r="X2" s="10"/>
      <c r="Y2" s="10"/>
      <c r="Z2" s="10"/>
      <c r="AA2" s="10"/>
      <c r="AB2" s="10"/>
    </row>
    <row r="3">
      <c r="A3" s="173" t="s">
        <v>45</v>
      </c>
      <c r="B3" s="174">
        <v>0.955</v>
      </c>
      <c r="C3" s="175" t="s">
        <v>30</v>
      </c>
      <c r="D3" s="176">
        <v>0.955</v>
      </c>
      <c r="E3" s="177">
        <f>(SUMPRODUCT('各項機率與倍數設定'!$C$6:$S$6,'各項機率與倍數設定'!C16:S16)
-SUMPRODUCT('各項機率與倍數設定'!$E$6:$F$6,'各項機率與倍數設定'!E16:F16)
-SUMPRODUCT('各項機率與倍數設定'!$P$6:$Q$6,'各項機率與倍數設定'!P16:Q16))*
SUMPRODUCT('各項機率與倍數設定'!$B$10:$D$10,'各項機率與倍數設定'!$B$11:$D$11)</f>
        <v>0.6636542969</v>
      </c>
      <c r="F3" s="178">
        <f>(SUMPRODUCT('各項機率與倍數設定'!$E$6:$F$6,'各項機率與倍數設定'!E16:F16)
+SUMPRODUCT('各項機率與倍數設定'!$P$6:$Q$6,'各項機率與倍數設定'!P16:Q16))*
SUMPRODUCT('各項機率與倍數設定'!$B$10:$D$10,'各項機率與倍數設定'!$B$11:$D$11)</f>
        <v>0.2893693848</v>
      </c>
      <c r="G3" s="179">
        <v>0.01</v>
      </c>
      <c r="H3" s="180">
        <v>9511438.507038219</v>
      </c>
      <c r="I3" s="181">
        <f t="shared" ref="I3:I13" si="1">H3/$I$1</f>
        <v>0.9511438507</v>
      </c>
      <c r="J3" s="182">
        <v>6615118.812877536</v>
      </c>
      <c r="K3" s="181">
        <f t="shared" ref="K3:K13" si="2">J3/$I$1</f>
        <v>0.6615118813</v>
      </c>
      <c r="L3" s="183">
        <v>2896319.694160683</v>
      </c>
      <c r="M3" s="181">
        <f t="shared" ref="M3:M13" si="3">L3/$I$1</f>
        <v>0.2896319694</v>
      </c>
      <c r="N3" s="184">
        <f t="shared" ref="N3:N13" si="4">P3+R3</f>
        <v>95695726.21</v>
      </c>
      <c r="O3" s="181">
        <f t="shared" ref="O3:O13" si="5">N3/$O$1</f>
        <v>0.9569572621</v>
      </c>
      <c r="P3" s="182">
        <v>6.658276983E7</v>
      </c>
      <c r="Q3" s="181">
        <f t="shared" ref="Q3:Q13" si="6">P3/$O$1</f>
        <v>0.6658276983</v>
      </c>
      <c r="R3" s="183">
        <v>2.911295638E7</v>
      </c>
      <c r="S3" s="181">
        <f t="shared" ref="S3:S13" si="7">R3/$O$1</f>
        <v>0.2911295638</v>
      </c>
      <c r="T3" s="185">
        <f t="shared" ref="T3:T20" si="8">D3-O3</f>
        <v>-0.0019572621</v>
      </c>
      <c r="U3" s="185">
        <f t="shared" ref="U3:U20" si="9">E3-Q3</f>
        <v>-0.002173401425</v>
      </c>
      <c r="V3" s="186">
        <f t="shared" ref="V3:V20" si="10">F3-S3</f>
        <v>-0.001760179034</v>
      </c>
      <c r="W3" s="10"/>
      <c r="X3" s="10"/>
      <c r="Y3" s="10"/>
      <c r="Z3" s="10"/>
      <c r="AA3" s="10"/>
      <c r="AB3" s="10"/>
    </row>
    <row r="4">
      <c r="A4" s="187"/>
      <c r="B4" s="188"/>
      <c r="C4" s="189" t="s">
        <v>31</v>
      </c>
      <c r="D4" s="190">
        <v>0.955</v>
      </c>
      <c r="E4" s="185">
        <f>(SUMPRODUCT('各項機率與倍數設定'!$C$6:$S$6,'各項機率與倍數設定'!C17:S17)
-SUMPRODUCT('各項機率與倍數設定'!$E$6:$F$6,'各項機率與倍數設定'!E17:F17)
-SUMPRODUCT('各項機率與倍數設定'!$P$6:$Q$6,'各項機率與倍數設定'!P17:Q17))*
SUMPRODUCT('各項機率與倍數設定'!$B$10:$D$10,'各項機率與倍數設定'!$B$11:$D$11)</f>
        <v>0.6937906189</v>
      </c>
      <c r="F4" s="191">
        <f>(SUMPRODUCT('各項機率與倍數設定'!$E$6:$F$6,'各項機率與倍數設定'!E17:F17)
+SUMPRODUCT('各項機率與倍數設定'!$P$6:$Q$6,'各項機率與倍數設定'!P17:Q17))*
SUMPRODUCT('各項機率與倍數設定'!$B$10:$D$10,'各項機率與倍數設定'!$B$11:$D$11)</f>
        <v>0.2613938843</v>
      </c>
      <c r="G4" s="192">
        <v>0.01</v>
      </c>
      <c r="H4" s="193">
        <v>9554947.148798298</v>
      </c>
      <c r="I4" s="194">
        <f t="shared" si="1"/>
        <v>0.9554947149</v>
      </c>
      <c r="J4" s="170">
        <v>6937592.020805702</v>
      </c>
      <c r="K4" s="194">
        <f t="shared" si="2"/>
        <v>0.6937592021</v>
      </c>
      <c r="L4" s="171">
        <v>2617355.127992596</v>
      </c>
      <c r="M4" s="194">
        <f t="shared" si="3"/>
        <v>0.2617355128</v>
      </c>
      <c r="N4" s="184">
        <f t="shared" si="4"/>
        <v>95632520.78</v>
      </c>
      <c r="O4" s="194">
        <f t="shared" si="5"/>
        <v>0.9563252078</v>
      </c>
      <c r="P4" s="170">
        <v>6.942012361E7</v>
      </c>
      <c r="Q4" s="194">
        <f t="shared" si="6"/>
        <v>0.6942012361</v>
      </c>
      <c r="R4" s="171">
        <v>2.621239717E7</v>
      </c>
      <c r="S4" s="194">
        <f t="shared" si="7"/>
        <v>0.2621239717</v>
      </c>
      <c r="T4" s="185">
        <f t="shared" si="8"/>
        <v>-0.0013252078</v>
      </c>
      <c r="U4" s="185">
        <f t="shared" si="9"/>
        <v>-0.0004106172035</v>
      </c>
      <c r="V4" s="186">
        <f t="shared" si="10"/>
        <v>-0.0007300874227</v>
      </c>
      <c r="W4" s="10"/>
      <c r="X4" s="10"/>
      <c r="Y4" s="10"/>
      <c r="Z4" s="10"/>
      <c r="AA4" s="10"/>
      <c r="AB4" s="10"/>
    </row>
    <row r="5">
      <c r="A5" s="187"/>
      <c r="B5" s="195"/>
      <c r="C5" s="196" t="s">
        <v>32</v>
      </c>
      <c r="D5" s="197">
        <v>0.955</v>
      </c>
      <c r="E5" s="198">
        <f>(SUMPRODUCT('各項機率與倍數設定'!$C$6:$S$6,'各項機率與倍數設定'!C18:S18)
*
SUMPRODUCT('各項機率與倍數設定'!$B$10:$D$10,'各項機率與倍數設定'!$B$11:$D$11))</f>
        <v>0.9554169312</v>
      </c>
      <c r="F5" s="199"/>
      <c r="G5" s="200">
        <v>0.01</v>
      </c>
      <c r="H5" s="201">
        <v>9552422.682</v>
      </c>
      <c r="I5" s="202">
        <f t="shared" si="1"/>
        <v>0.9552422682</v>
      </c>
      <c r="J5" s="203">
        <v>9552422.682</v>
      </c>
      <c r="K5" s="202">
        <f t="shared" si="2"/>
        <v>0.9552422682</v>
      </c>
      <c r="L5" s="168">
        <v>0.0</v>
      </c>
      <c r="M5" s="202">
        <f t="shared" si="3"/>
        <v>0</v>
      </c>
      <c r="N5" s="184">
        <f t="shared" si="4"/>
        <v>95544338.79</v>
      </c>
      <c r="O5" s="202">
        <f t="shared" si="5"/>
        <v>0.9554433879</v>
      </c>
      <c r="P5" s="204">
        <v>9.554433878600004E7</v>
      </c>
      <c r="Q5" s="202">
        <f t="shared" si="6"/>
        <v>0.9554433879</v>
      </c>
      <c r="R5" s="168">
        <v>0.0</v>
      </c>
      <c r="S5" s="202">
        <f t="shared" si="7"/>
        <v>0</v>
      </c>
      <c r="T5" s="185">
        <f t="shared" si="8"/>
        <v>-0.00044338786</v>
      </c>
      <c r="U5" s="185">
        <f t="shared" si="9"/>
        <v>-0.00002645670766</v>
      </c>
      <c r="V5" s="186">
        <f t="shared" si="10"/>
        <v>0</v>
      </c>
      <c r="W5" s="10"/>
      <c r="X5" s="10"/>
      <c r="Y5" s="10"/>
      <c r="Z5" s="10"/>
      <c r="AA5" s="10"/>
      <c r="AB5" s="10"/>
    </row>
    <row r="6">
      <c r="A6" s="187"/>
      <c r="B6" s="174">
        <v>0.94</v>
      </c>
      <c r="C6" s="175" t="s">
        <v>30</v>
      </c>
      <c r="D6" s="205">
        <v>0.94</v>
      </c>
      <c r="E6" s="206">
        <f>(SUMPRODUCT('各項機率與倍數設定'!$C$6:$S$6,'各項機率與倍數設定'!C19:S19)
-SUMPRODUCT('各項機率與倍數設定'!$E$6:$F$6,'各項機率與倍數設定'!E19:F19)
-SUMPRODUCT('各項機率與倍數設定'!$P$6:$Q$6,'各項機率與倍數設定'!P19:Q19))*
SUMPRODUCT('各項機率與倍數設定'!$B$10:$D$10,'各項機率與倍數設定'!$B$11:$D$11)</f>
        <v>0.6511018066</v>
      </c>
      <c r="F6" s="178">
        <f>(SUMPRODUCT('各項機率與倍數設定'!$E$6:$F$6,'各項機率與倍數設定'!E19:F19)
+SUMPRODUCT('各項機率與倍數設定'!$P$6:$Q$6,'各項機率與倍數設定'!P19:Q19))*
SUMPRODUCT('各項機率與倍數設定'!$B$10:$D$10,'各項機率與倍數設定'!$B$11:$D$11)</f>
        <v>0.2893693848</v>
      </c>
      <c r="G6" s="207">
        <v>0.01</v>
      </c>
      <c r="H6" s="184">
        <v>9385941.67711745</v>
      </c>
      <c r="I6" s="208">
        <f t="shared" si="1"/>
        <v>0.9385941677</v>
      </c>
      <c r="J6" s="209">
        <v>6489621.982956767</v>
      </c>
      <c r="K6" s="208">
        <f t="shared" si="2"/>
        <v>0.6489621983</v>
      </c>
      <c r="L6" s="210">
        <v>2896319.694160683</v>
      </c>
      <c r="M6" s="208">
        <f t="shared" si="3"/>
        <v>0.2896319694</v>
      </c>
      <c r="N6" s="184">
        <f t="shared" si="4"/>
        <v>94440252.31</v>
      </c>
      <c r="O6" s="208">
        <f t="shared" si="5"/>
        <v>0.9444025231</v>
      </c>
      <c r="P6" s="209">
        <v>6.532729593E7</v>
      </c>
      <c r="Q6" s="208">
        <f t="shared" si="6"/>
        <v>0.6532729593</v>
      </c>
      <c r="R6" s="183">
        <v>2.911295638E7</v>
      </c>
      <c r="S6" s="208">
        <f t="shared" si="7"/>
        <v>0.2911295638</v>
      </c>
      <c r="T6" s="185">
        <f t="shared" si="8"/>
        <v>-0.0044025231</v>
      </c>
      <c r="U6" s="185">
        <f t="shared" si="9"/>
        <v>-0.002171152659</v>
      </c>
      <c r="V6" s="186">
        <f t="shared" si="10"/>
        <v>-0.001760179034</v>
      </c>
      <c r="W6" s="10"/>
      <c r="X6" s="10"/>
      <c r="Y6" s="10"/>
      <c r="Z6" s="10"/>
      <c r="AA6" s="10"/>
      <c r="AB6" s="10"/>
    </row>
    <row r="7">
      <c r="A7" s="187"/>
      <c r="B7" s="188"/>
      <c r="C7" s="189" t="s">
        <v>31</v>
      </c>
      <c r="D7" s="190">
        <v>0.94</v>
      </c>
      <c r="E7" s="185">
        <f>(SUMPRODUCT('各項機率與倍數設定'!$C$6:$S$6,'各項機率與倍數設定'!C20:S20)
-SUMPRODUCT('各項機率與倍數設定'!$E$6:$F$6,'各項機率與倍數設定'!E20:F20)
-SUMPRODUCT('各項機率與倍數設定'!$P$6:$Q$6,'各項機率與倍數設定'!P20:Q20))*
SUMPRODUCT('各項機率與倍數設定'!$B$10:$D$10,'各項機率與倍數設定'!$B$11:$D$11)</f>
        <v>0.6787276306</v>
      </c>
      <c r="F7" s="191">
        <f>(SUMPRODUCT('各項機率與倍數設定'!$E$6:$F$6,'各項機率與倍數設定'!E20:F20)
+SUMPRODUCT('各項機率與倍數設定'!$P$6:$Q$6,'各項機率與倍數設定'!P20:Q20))*
SUMPRODUCT('各項機率與倍數設定'!$B$10:$D$10,'各項機率與倍數設定'!$B$11:$D$11)</f>
        <v>0.2613938843</v>
      </c>
      <c r="G7" s="192">
        <v>0.01</v>
      </c>
      <c r="H7" s="193">
        <v>9404224.89253838</v>
      </c>
      <c r="I7" s="194">
        <f t="shared" si="1"/>
        <v>0.9404224893</v>
      </c>
      <c r="J7" s="170">
        <v>6786869.764545783</v>
      </c>
      <c r="K7" s="194">
        <f t="shared" si="2"/>
        <v>0.6786869765</v>
      </c>
      <c r="L7" s="171">
        <v>2617355.127992596</v>
      </c>
      <c r="M7" s="194">
        <f t="shared" si="3"/>
        <v>0.2617355128</v>
      </c>
      <c r="N7" s="184">
        <f t="shared" si="4"/>
        <v>94126627.21</v>
      </c>
      <c r="O7" s="194">
        <f t="shared" si="5"/>
        <v>0.9412662721</v>
      </c>
      <c r="P7" s="170">
        <v>6.791423004E7</v>
      </c>
      <c r="Q7" s="194">
        <f t="shared" si="6"/>
        <v>0.6791423004</v>
      </c>
      <c r="R7" s="171">
        <v>2.621239717E7</v>
      </c>
      <c r="S7" s="194">
        <f t="shared" si="7"/>
        <v>0.2621239717</v>
      </c>
      <c r="T7" s="185">
        <f t="shared" si="8"/>
        <v>-0.0012662721</v>
      </c>
      <c r="U7" s="185">
        <f t="shared" si="9"/>
        <v>-0.0004146697848</v>
      </c>
      <c r="V7" s="186">
        <f t="shared" si="10"/>
        <v>-0.0007300874227</v>
      </c>
      <c r="W7" s="10"/>
      <c r="X7" s="10"/>
      <c r="Y7" s="10"/>
      <c r="Z7" s="10"/>
      <c r="AA7" s="10"/>
      <c r="AB7" s="10"/>
    </row>
    <row r="8">
      <c r="A8" s="187"/>
      <c r="B8" s="195"/>
      <c r="C8" s="196" t="s">
        <v>32</v>
      </c>
      <c r="D8" s="197">
        <v>0.94</v>
      </c>
      <c r="E8" s="198">
        <f>(SUMPRODUCT('各項機率與倍數設定'!$C$6:$S$6,'各項機率與倍數設定'!C21:S21)
*
SUMPRODUCT('各項機率與倍數設定'!$B$10:$D$10,'各項機率與倍數設定'!$B$11:$D$11))</f>
        <v>0.9403539429</v>
      </c>
      <c r="F8" s="199"/>
      <c r="G8" s="200">
        <v>0.01</v>
      </c>
      <c r="H8" s="201">
        <v>9401714.129999999</v>
      </c>
      <c r="I8" s="202">
        <f t="shared" si="1"/>
        <v>0.940171413</v>
      </c>
      <c r="J8" s="203">
        <v>9401714.129999999</v>
      </c>
      <c r="K8" s="202">
        <f t="shared" si="2"/>
        <v>0.940171413</v>
      </c>
      <c r="L8" s="168">
        <v>0.0</v>
      </c>
      <c r="M8" s="202">
        <f t="shared" si="3"/>
        <v>0</v>
      </c>
      <c r="N8" s="184">
        <f t="shared" si="4"/>
        <v>94038506.66</v>
      </c>
      <c r="O8" s="202">
        <f t="shared" si="5"/>
        <v>0.9403850666</v>
      </c>
      <c r="P8" s="204">
        <v>9.403850666200003E7</v>
      </c>
      <c r="Q8" s="202">
        <f t="shared" si="6"/>
        <v>0.9403850666</v>
      </c>
      <c r="R8" s="168">
        <v>0.0</v>
      </c>
      <c r="S8" s="202">
        <f t="shared" si="7"/>
        <v>0</v>
      </c>
      <c r="T8" s="185">
        <f t="shared" si="8"/>
        <v>-0.00038506662</v>
      </c>
      <c r="U8" s="185">
        <f t="shared" si="9"/>
        <v>-0.00003112374891</v>
      </c>
      <c r="V8" s="186">
        <f t="shared" si="10"/>
        <v>0</v>
      </c>
      <c r="W8" s="10"/>
      <c r="X8" s="10"/>
      <c r="Y8" s="10"/>
      <c r="Z8" s="10"/>
      <c r="AA8" s="10"/>
      <c r="AB8" s="10"/>
    </row>
    <row r="9">
      <c r="A9" s="187"/>
      <c r="B9" s="174">
        <v>0.92</v>
      </c>
      <c r="C9" s="175" t="s">
        <v>30</v>
      </c>
      <c r="D9" s="205">
        <v>0.92</v>
      </c>
      <c r="E9" s="206">
        <f>(SUMPRODUCT('各項機率與倍數設定'!$C$6:$S$6,'各項機率與倍數設定'!C22:S22)
-SUMPRODUCT('各項機率與倍數設定'!$E$6:$F$6,'各項機率與倍數設定'!E22:F22)
-SUMPRODUCT('各項機率與倍數設定'!$P$6:$Q$6,'各項機率與倍數設定'!P22:Q22))*
SUMPRODUCT('各項機率與倍數設定'!$B$10:$D$10,'各項機率與倍數設定'!$B$11:$D$11)</f>
        <v>0.6297625732</v>
      </c>
      <c r="F9" s="178">
        <f>(SUMPRODUCT('各項機率與倍數設定'!$E$6:$F$6,'各項機率與倍數設定'!E22:F22)
+SUMPRODUCT('各項機率與倍數設定'!$P$6:$Q$6,'各項機率與倍數設定'!P22:Q22))*
SUMPRODUCT('各項機率與倍數設定'!$B$10:$D$10,'各項機率與倍數設定'!$B$11:$D$11)</f>
        <v>0.2893693848</v>
      </c>
      <c r="G9" s="207">
        <v>0.01</v>
      </c>
      <c r="H9" s="184">
        <v>9172710.73372556</v>
      </c>
      <c r="I9" s="208">
        <f t="shared" si="1"/>
        <v>0.9172710734</v>
      </c>
      <c r="J9" s="209">
        <v>6276391.039564878</v>
      </c>
      <c r="K9" s="208">
        <f t="shared" si="2"/>
        <v>0.627639104</v>
      </c>
      <c r="L9" s="210">
        <v>2896319.694160683</v>
      </c>
      <c r="M9" s="208">
        <f t="shared" si="3"/>
        <v>0.2896319694</v>
      </c>
      <c r="N9" s="184">
        <f t="shared" si="4"/>
        <v>92307233.48</v>
      </c>
      <c r="O9" s="208">
        <f t="shared" si="5"/>
        <v>0.9230723348</v>
      </c>
      <c r="P9" s="209">
        <v>6.31942771E7</v>
      </c>
      <c r="Q9" s="208">
        <f t="shared" si="6"/>
        <v>0.631942771</v>
      </c>
      <c r="R9" s="183">
        <v>2.911295638E7</v>
      </c>
      <c r="S9" s="208">
        <f t="shared" si="7"/>
        <v>0.2911295638</v>
      </c>
      <c r="T9" s="185">
        <f t="shared" si="8"/>
        <v>-0.0030723348</v>
      </c>
      <c r="U9" s="185">
        <f t="shared" si="9"/>
        <v>-0.002180197758</v>
      </c>
      <c r="V9" s="186">
        <f t="shared" si="10"/>
        <v>-0.001760179034</v>
      </c>
      <c r="W9" s="10"/>
      <c r="X9" s="10"/>
      <c r="Y9" s="10"/>
      <c r="Z9" s="10"/>
      <c r="AA9" s="10"/>
      <c r="AB9" s="10"/>
    </row>
    <row r="10">
      <c r="A10" s="187"/>
      <c r="B10" s="188"/>
      <c r="C10" s="189" t="s">
        <v>31</v>
      </c>
      <c r="D10" s="190">
        <v>0.92</v>
      </c>
      <c r="E10" s="185">
        <f>(SUMPRODUCT('各項機率與倍數設定'!$C$6:$S$6,'各項機率與倍數設定'!C23:S23)
-SUMPRODUCT('各項機率與倍數設定'!$E$6:$F$6,'各項機率與倍數設定'!E23:F23)
-SUMPRODUCT('各項機率與倍數設定'!$P$6:$Q$6,'各項機率與倍數設定'!P23:Q23))*
SUMPRODUCT('各項機率與倍數設定'!$B$10:$D$10,'各項機率與倍數設定'!$B$11:$D$11)</f>
        <v>0.6590850525</v>
      </c>
      <c r="F10" s="191">
        <f>(SUMPRODUCT('各項機率與倍數設定'!$E$6:$F$6,'各項機率與倍數設定'!E23:F23)
+SUMPRODUCT('各項機率與倍數設定'!$P$6:$Q$6,'各項機率與倍數設定'!P23:Q23))*
SUMPRODUCT('各項機率與倍數設定'!$B$10:$D$10,'各項機率與倍數設定'!$B$11:$D$11)</f>
        <v>0.2613938843</v>
      </c>
      <c r="G10" s="192">
        <v>0.01</v>
      </c>
      <c r="H10" s="193">
        <v>9207185.020668339</v>
      </c>
      <c r="I10" s="194">
        <f t="shared" si="1"/>
        <v>0.9207185021</v>
      </c>
      <c r="J10" s="170">
        <v>6589829.8926757425</v>
      </c>
      <c r="K10" s="194">
        <f t="shared" si="2"/>
        <v>0.6589829893</v>
      </c>
      <c r="L10" s="171">
        <v>2617355.127992596</v>
      </c>
      <c r="M10" s="194">
        <f t="shared" si="3"/>
        <v>0.2617355128</v>
      </c>
      <c r="N10" s="184">
        <f t="shared" si="4"/>
        <v>92166809.5</v>
      </c>
      <c r="O10" s="194">
        <f t="shared" si="5"/>
        <v>0.921668095</v>
      </c>
      <c r="P10" s="170">
        <v>6.595441233E7</v>
      </c>
      <c r="Q10" s="194">
        <f t="shared" si="6"/>
        <v>0.6595441233</v>
      </c>
      <c r="R10" s="171">
        <v>2.621239717E7</v>
      </c>
      <c r="S10" s="194">
        <f t="shared" si="7"/>
        <v>0.2621239717</v>
      </c>
      <c r="T10" s="185">
        <f t="shared" si="8"/>
        <v>-0.001668095</v>
      </c>
      <c r="U10" s="185">
        <f t="shared" si="9"/>
        <v>-0.0004590708098</v>
      </c>
      <c r="V10" s="186">
        <f t="shared" si="10"/>
        <v>-0.0007300874227</v>
      </c>
      <c r="W10" s="10"/>
      <c r="X10" s="10"/>
      <c r="Y10" s="10"/>
      <c r="Z10" s="10"/>
      <c r="AA10" s="10"/>
      <c r="AB10" s="10"/>
    </row>
    <row r="11">
      <c r="A11" s="164"/>
      <c r="B11" s="195"/>
      <c r="C11" s="196" t="s">
        <v>32</v>
      </c>
      <c r="D11" s="197">
        <v>0.92</v>
      </c>
      <c r="E11" s="198">
        <f>(SUMPRODUCT('各項機率與倍數設定'!$C$6:$S$6,'各項機率與倍數設定'!C24:S24)
*
SUMPRODUCT('各項機率與倍數設定'!$B$10:$D$10,'各項機率與倍數設定'!$B$11:$D$11))</f>
        <v>0.9190147095</v>
      </c>
      <c r="F11" s="199"/>
      <c r="G11" s="200">
        <v>0.01</v>
      </c>
      <c r="H11" s="201">
        <v>9188230.462</v>
      </c>
      <c r="I11" s="202">
        <f t="shared" si="1"/>
        <v>0.9188230462</v>
      </c>
      <c r="J11" s="203">
        <v>9188230.462</v>
      </c>
      <c r="K11" s="202">
        <f t="shared" si="2"/>
        <v>0.9188230462</v>
      </c>
      <c r="L11" s="168">
        <v>0.0</v>
      </c>
      <c r="M11" s="202">
        <f t="shared" si="3"/>
        <v>0</v>
      </c>
      <c r="N11" s="184">
        <f t="shared" si="4"/>
        <v>91904914.23</v>
      </c>
      <c r="O11" s="202">
        <f t="shared" si="5"/>
        <v>0.9190491423</v>
      </c>
      <c r="P11" s="204">
        <v>9.190491422500001E7</v>
      </c>
      <c r="Q11" s="202">
        <f t="shared" si="6"/>
        <v>0.9190491423</v>
      </c>
      <c r="R11" s="168">
        <v>0.0</v>
      </c>
      <c r="S11" s="202">
        <f t="shared" si="7"/>
        <v>0</v>
      </c>
      <c r="T11" s="185">
        <f t="shared" si="8"/>
        <v>0.00095085775</v>
      </c>
      <c r="U11" s="185">
        <f t="shared" si="9"/>
        <v>-0.00003443277734</v>
      </c>
      <c r="V11" s="186">
        <f t="shared" si="10"/>
        <v>0</v>
      </c>
      <c r="W11" s="10"/>
      <c r="X11" s="10"/>
      <c r="Y11" s="10"/>
      <c r="Z11" s="10"/>
      <c r="AA11" s="10"/>
      <c r="AB11" s="10"/>
    </row>
    <row r="12">
      <c r="A12" s="211" t="s">
        <v>86</v>
      </c>
      <c r="B12" s="174">
        <v>0.955</v>
      </c>
      <c r="C12" s="175" t="s">
        <v>30</v>
      </c>
      <c r="D12" s="205">
        <v>0.955</v>
      </c>
      <c r="E12" s="206">
        <v>0.6636542968750001</v>
      </c>
      <c r="F12" s="178">
        <v>0.289369384765625</v>
      </c>
      <c r="G12" s="207">
        <v>0.0</v>
      </c>
      <c r="H12" s="184">
        <f t="shared" ref="H12:H13" si="11">J12+L12</f>
        <v>9487527.813</v>
      </c>
      <c r="I12" s="208">
        <f t="shared" si="1"/>
        <v>0.9487527813</v>
      </c>
      <c r="J12" s="182">
        <v>6615118.812877536</v>
      </c>
      <c r="K12" s="208">
        <f t="shared" si="2"/>
        <v>0.6615118813</v>
      </c>
      <c r="L12" s="210">
        <v>2872409.0</v>
      </c>
      <c r="M12" s="208">
        <f t="shared" si="3"/>
        <v>0.2872409</v>
      </c>
      <c r="N12" s="184">
        <f t="shared" si="4"/>
        <v>95494612.93</v>
      </c>
      <c r="O12" s="208">
        <f t="shared" si="5"/>
        <v>0.9549461293</v>
      </c>
      <c r="P12" s="209">
        <v>6.663766393E7</v>
      </c>
      <c r="Q12" s="208">
        <f t="shared" si="6"/>
        <v>0.6663766393</v>
      </c>
      <c r="R12" s="210">
        <v>2.8856949E7</v>
      </c>
      <c r="S12" s="208">
        <f t="shared" si="7"/>
        <v>0.28856949</v>
      </c>
      <c r="T12" s="185">
        <f t="shared" si="8"/>
        <v>0.0000538707</v>
      </c>
      <c r="U12" s="185">
        <f t="shared" si="9"/>
        <v>-0.002722342425</v>
      </c>
      <c r="V12" s="186">
        <f t="shared" si="10"/>
        <v>0.0007998947656</v>
      </c>
      <c r="W12" s="10"/>
      <c r="X12" s="10"/>
      <c r="Y12" s="10"/>
      <c r="Z12" s="10"/>
      <c r="AA12" s="10"/>
      <c r="AB12" s="10"/>
    </row>
    <row r="13">
      <c r="A13" s="212"/>
      <c r="B13" s="188"/>
      <c r="C13" s="189" t="s">
        <v>31</v>
      </c>
      <c r="D13" s="190">
        <v>0.955</v>
      </c>
      <c r="E13" s="185">
        <v>0.6937906188964845</v>
      </c>
      <c r="F13" s="191">
        <v>0.2613938842773438</v>
      </c>
      <c r="G13" s="192">
        <v>0.0</v>
      </c>
      <c r="H13" s="184">
        <f t="shared" si="11"/>
        <v>9543002.021</v>
      </c>
      <c r="I13" s="194">
        <f t="shared" si="1"/>
        <v>0.9543002021</v>
      </c>
      <c r="J13" s="170">
        <v>6937592.020805702</v>
      </c>
      <c r="K13" s="194">
        <f t="shared" si="2"/>
        <v>0.6937592021</v>
      </c>
      <c r="L13" s="171">
        <v>2605410.0</v>
      </c>
      <c r="M13" s="194">
        <f t="shared" si="3"/>
        <v>0.260541</v>
      </c>
      <c r="N13" s="184">
        <f t="shared" si="4"/>
        <v>95473769.61</v>
      </c>
      <c r="O13" s="194">
        <f t="shared" si="5"/>
        <v>0.9547376961</v>
      </c>
      <c r="P13" s="170">
        <v>6.942012361E7</v>
      </c>
      <c r="Q13" s="194">
        <f t="shared" si="6"/>
        <v>0.6942012361</v>
      </c>
      <c r="R13" s="171">
        <v>2.6053646E7</v>
      </c>
      <c r="S13" s="194">
        <f t="shared" si="7"/>
        <v>0.26053646</v>
      </c>
      <c r="T13" s="185">
        <f t="shared" si="8"/>
        <v>0.0002623039</v>
      </c>
      <c r="U13" s="185">
        <f t="shared" si="9"/>
        <v>-0.0004106172035</v>
      </c>
      <c r="V13" s="186">
        <f t="shared" si="10"/>
        <v>0.0008574242773</v>
      </c>
      <c r="W13" s="10"/>
      <c r="X13" s="10"/>
      <c r="Y13" s="10"/>
      <c r="Z13" s="10"/>
      <c r="AA13" s="10"/>
      <c r="AB13" s="10"/>
    </row>
    <row r="14">
      <c r="A14" s="212"/>
      <c r="B14" s="195"/>
      <c r="C14" s="196" t="s">
        <v>32</v>
      </c>
      <c r="D14" s="213"/>
      <c r="E14" s="214"/>
      <c r="F14" s="215"/>
      <c r="G14" s="216"/>
      <c r="H14" s="217"/>
      <c r="I14" s="218"/>
      <c r="J14" s="219"/>
      <c r="K14" s="218"/>
      <c r="L14" s="220"/>
      <c r="M14" s="218"/>
      <c r="N14" s="221"/>
      <c r="O14" s="218"/>
      <c r="P14" s="222"/>
      <c r="Q14" s="218"/>
      <c r="R14" s="220"/>
      <c r="S14" s="218"/>
      <c r="T14" s="185">
        <f t="shared" si="8"/>
        <v>0</v>
      </c>
      <c r="U14" s="185">
        <f t="shared" si="9"/>
        <v>0</v>
      </c>
      <c r="V14" s="186">
        <f t="shared" si="10"/>
        <v>0</v>
      </c>
      <c r="W14" s="10"/>
      <c r="X14" s="10"/>
      <c r="Y14" s="10"/>
      <c r="Z14" s="10"/>
      <c r="AA14" s="10"/>
      <c r="AB14" s="10"/>
    </row>
    <row r="15">
      <c r="A15" s="212"/>
      <c r="B15" s="174">
        <v>0.94</v>
      </c>
      <c r="C15" s="175" t="s">
        <v>30</v>
      </c>
      <c r="D15" s="205">
        <v>0.94</v>
      </c>
      <c r="E15" s="206">
        <v>0.651101806640625</v>
      </c>
      <c r="F15" s="178">
        <v>0.289369384765625</v>
      </c>
      <c r="G15" s="207">
        <v>0.0</v>
      </c>
      <c r="H15" s="193">
        <f t="shared" ref="H15:H16" si="12">J15+L15</f>
        <v>9362030.983</v>
      </c>
      <c r="I15" s="194">
        <f t="shared" ref="I15:I16" si="13">H15/$I$1</f>
        <v>0.9362030983</v>
      </c>
      <c r="J15" s="209">
        <v>6489621.982956767</v>
      </c>
      <c r="K15" s="194">
        <f t="shared" ref="K15:K16" si="14">J15/$I$1</f>
        <v>0.6489621983</v>
      </c>
      <c r="L15" s="171">
        <v>2872409.0</v>
      </c>
      <c r="M15" s="194">
        <f t="shared" ref="M15:M16" si="15">L15/$I$1</f>
        <v>0.2872409</v>
      </c>
      <c r="N15" s="184">
        <f t="shared" ref="N15:N16" si="16">P15+R15</f>
        <v>94238241.63</v>
      </c>
      <c r="O15" s="208">
        <f t="shared" ref="O15:O16" si="17">N15/$O$1</f>
        <v>0.9423824163</v>
      </c>
      <c r="P15" s="209">
        <v>6.538129263E7</v>
      </c>
      <c r="Q15" s="208">
        <f t="shared" ref="Q15:Q16" si="18">P15/$O$1</f>
        <v>0.6538129263</v>
      </c>
      <c r="R15" s="210">
        <v>2.8856949E7</v>
      </c>
      <c r="S15" s="208">
        <f t="shared" ref="S15:S16" si="19">R15/$O$1</f>
        <v>0.28856949</v>
      </c>
      <c r="T15" s="185">
        <f t="shared" si="8"/>
        <v>-0.0023824163</v>
      </c>
      <c r="U15" s="185">
        <f t="shared" si="9"/>
        <v>-0.002711119659</v>
      </c>
      <c r="V15" s="186">
        <f t="shared" si="10"/>
        <v>0.0007998947656</v>
      </c>
      <c r="W15" s="10"/>
      <c r="X15" s="10"/>
      <c r="Y15" s="10"/>
      <c r="Z15" s="10"/>
      <c r="AA15" s="10"/>
      <c r="AB15" s="10"/>
    </row>
    <row r="16">
      <c r="A16" s="212"/>
      <c r="B16" s="188"/>
      <c r="C16" s="189" t="s">
        <v>31</v>
      </c>
      <c r="D16" s="190">
        <v>0.94</v>
      </c>
      <c r="E16" s="185">
        <v>0.6787276306152344</v>
      </c>
      <c r="F16" s="191">
        <v>0.2613938842773438</v>
      </c>
      <c r="G16" s="192">
        <v>0.0</v>
      </c>
      <c r="H16" s="184">
        <f t="shared" si="12"/>
        <v>9392279.765</v>
      </c>
      <c r="I16" s="194">
        <f t="shared" si="13"/>
        <v>0.9392279765</v>
      </c>
      <c r="J16" s="170">
        <v>6786869.764545783</v>
      </c>
      <c r="K16" s="194">
        <f t="shared" si="14"/>
        <v>0.6786869765</v>
      </c>
      <c r="L16" s="171">
        <v>2605410.0</v>
      </c>
      <c r="M16" s="194">
        <f t="shared" si="15"/>
        <v>0.260541</v>
      </c>
      <c r="N16" s="184">
        <f t="shared" si="16"/>
        <v>93967876.04</v>
      </c>
      <c r="O16" s="194">
        <f t="shared" si="17"/>
        <v>0.9396787604</v>
      </c>
      <c r="P16" s="170">
        <v>6.791423004E7</v>
      </c>
      <c r="Q16" s="194">
        <f t="shared" si="18"/>
        <v>0.6791423004</v>
      </c>
      <c r="R16" s="171">
        <v>2.6053646E7</v>
      </c>
      <c r="S16" s="194">
        <f t="shared" si="19"/>
        <v>0.26053646</v>
      </c>
      <c r="T16" s="185">
        <f t="shared" si="8"/>
        <v>0.0003212396</v>
      </c>
      <c r="U16" s="185">
        <f t="shared" si="9"/>
        <v>-0.0004146697848</v>
      </c>
      <c r="V16" s="186">
        <f t="shared" si="10"/>
        <v>0.0008574242773</v>
      </c>
      <c r="W16" s="10"/>
      <c r="X16" s="10"/>
      <c r="Y16" s="10"/>
      <c r="Z16" s="10"/>
      <c r="AA16" s="10"/>
      <c r="AB16" s="10"/>
    </row>
    <row r="17">
      <c r="A17" s="212"/>
      <c r="B17" s="195"/>
      <c r="C17" s="196" t="s">
        <v>32</v>
      </c>
      <c r="D17" s="213"/>
      <c r="E17" s="214"/>
      <c r="F17" s="215"/>
      <c r="G17" s="216"/>
      <c r="H17" s="217"/>
      <c r="I17" s="218"/>
      <c r="J17" s="219"/>
      <c r="K17" s="218"/>
      <c r="L17" s="220"/>
      <c r="M17" s="218"/>
      <c r="N17" s="221"/>
      <c r="O17" s="218"/>
      <c r="P17" s="222"/>
      <c r="Q17" s="218"/>
      <c r="R17" s="220"/>
      <c r="S17" s="218"/>
      <c r="T17" s="185">
        <f t="shared" si="8"/>
        <v>0</v>
      </c>
      <c r="U17" s="185">
        <f t="shared" si="9"/>
        <v>0</v>
      </c>
      <c r="V17" s="186">
        <f t="shared" si="10"/>
        <v>0</v>
      </c>
      <c r="W17" s="10"/>
      <c r="X17" s="10"/>
      <c r="Y17" s="10"/>
      <c r="Z17" s="10"/>
      <c r="AA17" s="10"/>
      <c r="AB17" s="10"/>
    </row>
    <row r="18">
      <c r="A18" s="212"/>
      <c r="B18" s="174">
        <v>0.92</v>
      </c>
      <c r="C18" s="175" t="s">
        <v>30</v>
      </c>
      <c r="D18" s="205">
        <v>0.92</v>
      </c>
      <c r="E18" s="206">
        <v>0.6297625732421875</v>
      </c>
      <c r="F18" s="178">
        <v>0.289369384765625</v>
      </c>
      <c r="G18" s="207">
        <v>0.0</v>
      </c>
      <c r="H18" s="193">
        <f t="shared" ref="H18:H19" si="20">J18+L18</f>
        <v>9148800.04</v>
      </c>
      <c r="I18" s="208">
        <f t="shared" ref="I18:I19" si="21">H18/$I$1</f>
        <v>0.914880004</v>
      </c>
      <c r="J18" s="209">
        <v>6276391.039564878</v>
      </c>
      <c r="K18" s="208">
        <f t="shared" ref="K18:K19" si="22">J18/$I$1</f>
        <v>0.627639104</v>
      </c>
      <c r="L18" s="210">
        <v>2872409.0</v>
      </c>
      <c r="M18" s="208">
        <f t="shared" ref="M18:M19" si="23">L18/$I$1</f>
        <v>0.2872409</v>
      </c>
      <c r="N18" s="184">
        <f t="shared" ref="N18:N19" si="24">P18+R18</f>
        <v>92104531.69</v>
      </c>
      <c r="O18" s="208">
        <f t="shared" ref="O18:O19" si="25">N18/$O$1</f>
        <v>0.9210453169</v>
      </c>
      <c r="P18" s="209">
        <v>6.324758269E7</v>
      </c>
      <c r="Q18" s="208">
        <f t="shared" ref="Q18:Q19" si="26">P18/$O$1</f>
        <v>0.6324758269</v>
      </c>
      <c r="R18" s="210">
        <v>2.8856949E7</v>
      </c>
      <c r="S18" s="208">
        <f t="shared" ref="S18:S19" si="27">R18/$O$1</f>
        <v>0.28856949</v>
      </c>
      <c r="T18" s="185">
        <f t="shared" si="8"/>
        <v>-0.0010453169</v>
      </c>
      <c r="U18" s="185">
        <f t="shared" si="9"/>
        <v>-0.002713253658</v>
      </c>
      <c r="V18" s="186">
        <f t="shared" si="10"/>
        <v>0.0007998947656</v>
      </c>
      <c r="W18" s="10"/>
      <c r="X18" s="10"/>
      <c r="Y18" s="10"/>
      <c r="Z18" s="10"/>
      <c r="AA18" s="10"/>
      <c r="AB18" s="10"/>
    </row>
    <row r="19">
      <c r="A19" s="212"/>
      <c r="B19" s="188"/>
      <c r="C19" s="189" t="s">
        <v>31</v>
      </c>
      <c r="D19" s="190">
        <v>0.92</v>
      </c>
      <c r="E19" s="185">
        <v>0.6590850524902344</v>
      </c>
      <c r="F19" s="191">
        <v>0.2613938842773438</v>
      </c>
      <c r="G19" s="192">
        <v>0.0</v>
      </c>
      <c r="H19" s="184">
        <f t="shared" si="20"/>
        <v>9195239.893</v>
      </c>
      <c r="I19" s="194">
        <f t="shared" si="21"/>
        <v>0.9195239893</v>
      </c>
      <c r="J19" s="170">
        <v>6589829.8926757425</v>
      </c>
      <c r="K19" s="194">
        <f t="shared" si="22"/>
        <v>0.6589829893</v>
      </c>
      <c r="L19" s="171">
        <v>2605410.0</v>
      </c>
      <c r="M19" s="194">
        <f t="shared" si="23"/>
        <v>0.260541</v>
      </c>
      <c r="N19" s="184">
        <f t="shared" si="24"/>
        <v>92008058.33</v>
      </c>
      <c r="O19" s="194">
        <f t="shared" si="25"/>
        <v>0.9200805833</v>
      </c>
      <c r="P19" s="170">
        <v>6.595441233E7</v>
      </c>
      <c r="Q19" s="194">
        <f t="shared" si="26"/>
        <v>0.6595441233</v>
      </c>
      <c r="R19" s="171">
        <v>2.6053646E7</v>
      </c>
      <c r="S19" s="194">
        <f t="shared" si="27"/>
        <v>0.26053646</v>
      </c>
      <c r="T19" s="185">
        <f t="shared" si="8"/>
        <v>-0.0000805833</v>
      </c>
      <c r="U19" s="185">
        <f t="shared" si="9"/>
        <v>-0.0004590708098</v>
      </c>
      <c r="V19" s="186">
        <f t="shared" si="10"/>
        <v>0.0008574242773</v>
      </c>
      <c r="W19" s="10"/>
      <c r="X19" s="10"/>
      <c r="Y19" s="10"/>
      <c r="Z19" s="10"/>
      <c r="AA19" s="10"/>
      <c r="AB19" s="10"/>
    </row>
    <row r="20">
      <c r="A20" s="28"/>
      <c r="B20" s="195"/>
      <c r="C20" s="196" t="s">
        <v>32</v>
      </c>
      <c r="D20" s="213"/>
      <c r="E20" s="214"/>
      <c r="F20" s="215"/>
      <c r="G20" s="216"/>
      <c r="H20" s="217"/>
      <c r="I20" s="218"/>
      <c r="J20" s="219"/>
      <c r="K20" s="218"/>
      <c r="L20" s="220"/>
      <c r="M20" s="223"/>
      <c r="N20" s="221"/>
      <c r="O20" s="218"/>
      <c r="P20" s="222"/>
      <c r="Q20" s="218"/>
      <c r="R20" s="220"/>
      <c r="S20" s="224"/>
      <c r="T20" s="185">
        <f t="shared" si="8"/>
        <v>0</v>
      </c>
      <c r="U20" s="185">
        <f t="shared" si="9"/>
        <v>0</v>
      </c>
      <c r="V20" s="186">
        <f t="shared" si="10"/>
        <v>0</v>
      </c>
      <c r="W20" s="10"/>
      <c r="X20" s="10"/>
      <c r="Y20" s="10"/>
      <c r="Z20" s="10"/>
      <c r="AA20" s="10"/>
      <c r="AB20" s="10"/>
    </row>
    <row r="21">
      <c r="A21" s="10"/>
      <c r="B21" s="10"/>
      <c r="C21" s="10"/>
      <c r="D21" s="225"/>
      <c r="E21" s="10"/>
      <c r="F21" s="10"/>
      <c r="G21" s="10"/>
      <c r="H21" s="10"/>
      <c r="I21" s="10"/>
      <c r="J21" s="10"/>
      <c r="K21" s="10"/>
      <c r="L21" s="22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10"/>
      <c r="D22" s="225"/>
      <c r="E22" s="10"/>
      <c r="F22" s="10"/>
      <c r="G22" s="10"/>
      <c r="H22" s="10"/>
      <c r="I22" s="10"/>
      <c r="J22" s="10"/>
      <c r="K22" s="10"/>
      <c r="L22" s="22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10"/>
      <c r="D23" s="225"/>
      <c r="E23" s="10"/>
      <c r="F23" s="10"/>
      <c r="G23" s="10"/>
      <c r="H23" s="10"/>
      <c r="I23" s="10"/>
      <c r="J23" s="10"/>
      <c r="K23" s="10"/>
      <c r="L23" s="22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10"/>
      <c r="D24" s="225"/>
      <c r="E24" s="10"/>
      <c r="F24" s="10"/>
      <c r="G24" s="10"/>
      <c r="H24" s="10"/>
      <c r="I24" s="10"/>
      <c r="J24" s="10"/>
      <c r="K24" s="10"/>
      <c r="L24" s="22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10"/>
      <c r="D25" s="225"/>
      <c r="E25" s="10"/>
      <c r="F25" s="10"/>
      <c r="G25" s="10"/>
      <c r="H25" s="10"/>
      <c r="I25" s="10"/>
      <c r="J25" s="10"/>
      <c r="K25" s="10"/>
      <c r="L25" s="22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10"/>
      <c r="D26" s="225"/>
      <c r="E26" s="10"/>
      <c r="F26" s="10"/>
      <c r="G26" s="10"/>
      <c r="H26" s="10"/>
      <c r="I26" s="10"/>
      <c r="J26" s="10"/>
      <c r="K26" s="10"/>
      <c r="L26" s="22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10"/>
      <c r="D27" s="225"/>
      <c r="E27" s="10"/>
      <c r="F27" s="10"/>
      <c r="G27" s="10"/>
      <c r="H27" s="10"/>
      <c r="I27" s="10"/>
      <c r="J27" s="10"/>
      <c r="K27" s="10"/>
      <c r="L27" s="22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10"/>
      <c r="D28" s="225"/>
      <c r="E28" s="10"/>
      <c r="F28" s="10"/>
      <c r="G28" s="10"/>
      <c r="H28" s="10"/>
      <c r="I28" s="10"/>
      <c r="J28" s="10"/>
      <c r="K28" s="10"/>
      <c r="L28" s="22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10"/>
      <c r="D29" s="225"/>
      <c r="E29" s="10"/>
      <c r="F29" s="10"/>
      <c r="G29" s="10"/>
      <c r="H29" s="10"/>
      <c r="I29" s="10"/>
      <c r="J29" s="10"/>
      <c r="K29" s="10"/>
      <c r="L29" s="22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10"/>
      <c r="D30" s="225"/>
      <c r="E30" s="10"/>
      <c r="F30" s="10"/>
      <c r="G30" s="10"/>
      <c r="H30" s="10"/>
      <c r="I30" s="10"/>
      <c r="J30" s="10"/>
      <c r="K30" s="10"/>
      <c r="L30" s="22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10"/>
      <c r="D31" s="225"/>
      <c r="E31" s="10"/>
      <c r="F31" s="10"/>
      <c r="G31" s="10"/>
      <c r="H31" s="10"/>
      <c r="I31" s="10"/>
      <c r="J31" s="10"/>
      <c r="K31" s="10"/>
      <c r="L31" s="22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225"/>
      <c r="E32" s="10"/>
      <c r="F32" s="10"/>
      <c r="G32" s="10"/>
      <c r="H32" s="10"/>
      <c r="I32" s="10"/>
      <c r="J32" s="10"/>
      <c r="K32" s="10"/>
      <c r="L32" s="22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225"/>
      <c r="E33" s="10"/>
      <c r="F33" s="10"/>
      <c r="G33" s="10"/>
      <c r="H33" s="10"/>
      <c r="I33" s="10"/>
      <c r="J33" s="10"/>
      <c r="K33" s="10"/>
      <c r="L33" s="22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225"/>
      <c r="E34" s="10"/>
      <c r="F34" s="10"/>
      <c r="G34" s="10"/>
      <c r="H34" s="10"/>
      <c r="I34" s="10"/>
      <c r="J34" s="10"/>
      <c r="K34" s="10"/>
      <c r="L34" s="22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22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22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22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22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22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22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22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22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22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22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22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22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22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22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22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22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22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22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22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22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22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22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2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22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22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22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22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22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22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22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22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22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22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22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22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22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22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22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22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22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22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22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22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22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22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22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22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22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22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22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22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22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22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22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22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22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22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22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22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22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22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22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22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22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22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22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22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22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22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22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22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22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22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22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22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22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22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22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22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22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226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226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226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226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22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226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226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226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226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226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22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22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22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22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22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22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22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22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22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226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226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226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22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22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22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22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22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22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226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22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22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226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226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22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22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22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22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22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22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22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22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22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22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22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22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22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226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22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22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22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22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22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22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22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22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22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22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22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226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226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226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226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226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22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226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22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22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22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22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22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22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22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22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22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22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22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22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22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22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22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22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22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22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22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22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226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226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22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22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22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226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22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22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226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226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22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22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22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22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22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22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22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22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22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22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22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22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22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226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22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22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22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22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22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226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22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22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22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22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22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22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22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226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22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226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22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22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226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22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226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226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226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22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22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226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226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226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226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226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226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226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226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226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226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226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22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22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22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22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22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22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22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22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22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22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22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22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22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22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22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22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22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22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22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22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22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22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22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22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22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22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22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22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22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226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22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22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22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22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226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22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22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22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22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22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22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22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22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22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22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22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22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22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22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22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22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22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22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22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22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22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22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22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22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22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22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22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22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22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22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22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22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22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22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22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22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22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22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22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22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22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226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22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226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22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22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22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22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22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22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22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22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22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22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22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226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22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22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22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22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22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22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22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22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22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22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22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22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22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22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22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22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22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22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22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22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22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22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226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22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22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226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226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22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22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22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226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22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22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22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22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22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22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22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22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22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22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226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226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226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22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22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22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22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22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22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22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22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22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226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22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22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22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22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22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22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22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22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22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22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22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22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22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22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22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22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22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22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22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22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22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22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22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22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22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22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22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22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22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22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22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22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22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22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22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22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22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22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22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22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226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22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22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22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22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22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22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22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22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22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22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22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22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22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22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22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22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22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22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22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22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22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22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22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22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22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226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226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226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226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226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226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226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226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226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226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226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226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226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226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226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226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226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226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226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226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226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226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226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226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226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226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226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226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226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226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226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226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226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226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226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226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226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226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226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226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226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226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226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226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226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226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226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226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226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226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226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226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226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226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226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226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226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226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226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226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226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226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226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226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226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226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226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226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226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226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226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226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226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226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226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226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226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226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226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226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226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226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226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226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226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226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226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226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226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226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226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226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226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226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226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226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226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226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226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226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226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226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226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226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226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226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226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226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226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226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226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226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226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226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226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226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226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226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226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226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226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226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226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226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226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226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226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226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226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226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226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226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226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226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226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226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226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226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226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226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226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226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226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226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226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226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226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226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226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226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226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226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226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226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226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226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226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226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226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226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226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226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226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226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226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226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226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226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226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226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226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226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226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226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226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226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226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226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226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226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226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226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226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226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226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226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226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226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226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226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226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226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226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226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226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226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226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226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226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226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226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226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226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226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226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226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226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226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226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226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226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226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226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226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226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226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226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226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226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226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226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226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226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226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226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226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226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226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226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226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226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226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226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226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226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226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226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226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226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226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226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226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226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226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226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226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226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226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226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226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226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226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226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226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226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226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226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226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226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226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226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226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226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226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226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226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226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226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226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226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226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226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226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226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226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226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226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226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226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226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226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226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226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226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226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226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226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226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226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226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226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226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226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226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226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226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226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226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226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226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226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226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226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226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226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226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226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226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226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226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226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226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226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226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226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226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226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226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226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226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226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226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226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226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226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226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226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226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226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226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226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226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226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226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226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226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226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226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226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226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226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226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226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226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226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226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226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226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226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226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226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226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226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226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226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226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226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226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226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226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226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226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226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226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226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226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226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226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226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226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226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226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226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226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226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226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226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226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226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226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226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226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226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226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226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226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226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226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226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226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226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226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226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226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226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226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226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226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226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226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226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226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226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226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226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226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226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226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226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226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226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226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226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226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226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226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226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226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226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226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226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226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226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226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226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226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226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226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226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226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226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226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226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226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226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226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226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226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226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226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226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226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226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226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226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226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226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226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226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226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226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226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226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226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226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226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226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226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226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226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226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226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226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226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226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226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226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226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226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226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226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226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226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226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226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226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226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226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226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226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226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226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226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226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226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226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226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226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226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226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226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226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226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226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226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226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226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226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226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226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226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226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226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226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226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226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226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226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</sheetData>
  <mergeCells count="11">
    <mergeCell ref="B9:B11"/>
    <mergeCell ref="B12:B14"/>
    <mergeCell ref="B15:B17"/>
    <mergeCell ref="B18:B20"/>
    <mergeCell ref="A1:A2"/>
    <mergeCell ref="B1:B2"/>
    <mergeCell ref="C1:C2"/>
    <mergeCell ref="A3:A11"/>
    <mergeCell ref="B3:B5"/>
    <mergeCell ref="B6:B8"/>
    <mergeCell ref="A12:A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5.38"/>
    <col customWidth="1" min="3" max="40" width="12.5"/>
  </cols>
  <sheetData>
    <row r="1">
      <c r="A1" s="16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ht="15.7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ht="15.75" customHeight="1">
      <c r="A3" s="21" t="s">
        <v>15</v>
      </c>
      <c r="T3" s="20"/>
      <c r="U3" s="20"/>
      <c r="V3" s="22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ht="15.75" customHeight="1">
      <c r="A4" s="23" t="s">
        <v>16</v>
      </c>
      <c r="B4" s="24" t="s">
        <v>17</v>
      </c>
      <c r="C4" s="24">
        <v>0.0</v>
      </c>
      <c r="D4" s="24">
        <v>1.0</v>
      </c>
      <c r="E4" s="24">
        <v>2.0</v>
      </c>
      <c r="F4" s="24">
        <v>3.0</v>
      </c>
      <c r="G4" s="24">
        <v>4.0</v>
      </c>
      <c r="H4" s="24">
        <v>5.0</v>
      </c>
      <c r="I4" s="24">
        <v>6.0</v>
      </c>
      <c r="J4" s="24">
        <v>7.0</v>
      </c>
      <c r="K4" s="24">
        <v>8.0</v>
      </c>
      <c r="L4" s="24">
        <v>9.0</v>
      </c>
      <c r="M4" s="24">
        <v>10.0</v>
      </c>
      <c r="N4" s="24">
        <v>11.0</v>
      </c>
      <c r="O4" s="24">
        <v>12.0</v>
      </c>
      <c r="P4" s="24">
        <v>13.0</v>
      </c>
      <c r="Q4" s="24">
        <v>14.0</v>
      </c>
      <c r="R4" s="24">
        <v>15.0</v>
      </c>
      <c r="S4" s="24">
        <v>16.0</v>
      </c>
      <c r="T4" s="20"/>
      <c r="U4" s="24"/>
      <c r="V4" s="25" t="s">
        <v>18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ht="15.75" customHeight="1">
      <c r="A5" s="26">
        <v>16.0</v>
      </c>
      <c r="B5" s="24" t="s">
        <v>19</v>
      </c>
      <c r="C5" s="27">
        <f t="shared" ref="C5:S5" si="1">COMBIN($A$5,C4)</f>
        <v>1</v>
      </c>
      <c r="D5" s="27">
        <f t="shared" si="1"/>
        <v>16</v>
      </c>
      <c r="E5" s="27">
        <f t="shared" si="1"/>
        <v>120</v>
      </c>
      <c r="F5" s="27">
        <f t="shared" si="1"/>
        <v>560</v>
      </c>
      <c r="G5" s="27">
        <f t="shared" si="1"/>
        <v>1820</v>
      </c>
      <c r="H5" s="27">
        <f t="shared" si="1"/>
        <v>4368</v>
      </c>
      <c r="I5" s="27">
        <f t="shared" si="1"/>
        <v>8008</v>
      </c>
      <c r="J5" s="27">
        <f t="shared" si="1"/>
        <v>11440</v>
      </c>
      <c r="K5" s="27">
        <f t="shared" si="1"/>
        <v>12870</v>
      </c>
      <c r="L5" s="27">
        <f t="shared" si="1"/>
        <v>11440</v>
      </c>
      <c r="M5" s="27">
        <f t="shared" si="1"/>
        <v>8008</v>
      </c>
      <c r="N5" s="27">
        <f t="shared" si="1"/>
        <v>4368</v>
      </c>
      <c r="O5" s="27">
        <f t="shared" si="1"/>
        <v>1820</v>
      </c>
      <c r="P5" s="27">
        <f t="shared" si="1"/>
        <v>560</v>
      </c>
      <c r="Q5" s="27">
        <f t="shared" si="1"/>
        <v>120</v>
      </c>
      <c r="R5" s="27">
        <f t="shared" si="1"/>
        <v>16</v>
      </c>
      <c r="S5" s="27">
        <f t="shared" si="1"/>
        <v>1</v>
      </c>
      <c r="U5" s="25" t="s">
        <v>20</v>
      </c>
      <c r="V5" s="24">
        <f t="shared" ref="V5:V6" si="3">sum(C5:S5)</f>
        <v>65536</v>
      </c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ht="15.75" customHeight="1">
      <c r="A6" s="28"/>
      <c r="B6" s="24" t="s">
        <v>21</v>
      </c>
      <c r="C6" s="29">
        <f t="shared" ref="C6:S6" si="2">C5/SUM($C$5:$S$5)</f>
        <v>0.00001525878906</v>
      </c>
      <c r="D6" s="29">
        <f t="shared" si="2"/>
        <v>0.000244140625</v>
      </c>
      <c r="E6" s="29">
        <f t="shared" si="2"/>
        <v>0.001831054688</v>
      </c>
      <c r="F6" s="29">
        <f t="shared" si="2"/>
        <v>0.008544921875</v>
      </c>
      <c r="G6" s="29">
        <f t="shared" si="2"/>
        <v>0.02777099609</v>
      </c>
      <c r="H6" s="29">
        <f t="shared" si="2"/>
        <v>0.06665039063</v>
      </c>
      <c r="I6" s="29">
        <f t="shared" si="2"/>
        <v>0.1221923828</v>
      </c>
      <c r="J6" s="29">
        <f t="shared" si="2"/>
        <v>0.1745605469</v>
      </c>
      <c r="K6" s="29">
        <f t="shared" si="2"/>
        <v>0.1963806152</v>
      </c>
      <c r="L6" s="29">
        <f t="shared" si="2"/>
        <v>0.1745605469</v>
      </c>
      <c r="M6" s="29">
        <f t="shared" si="2"/>
        <v>0.1221923828</v>
      </c>
      <c r="N6" s="29">
        <f t="shared" si="2"/>
        <v>0.06665039063</v>
      </c>
      <c r="O6" s="29">
        <f t="shared" si="2"/>
        <v>0.02777099609</v>
      </c>
      <c r="P6" s="29">
        <f t="shared" si="2"/>
        <v>0.008544921875</v>
      </c>
      <c r="Q6" s="29">
        <f t="shared" si="2"/>
        <v>0.001831054688</v>
      </c>
      <c r="R6" s="29">
        <f t="shared" si="2"/>
        <v>0.000244140625</v>
      </c>
      <c r="S6" s="29">
        <f t="shared" si="2"/>
        <v>0.00001525878906</v>
      </c>
      <c r="U6" s="25" t="s">
        <v>22</v>
      </c>
      <c r="V6" s="24">
        <f t="shared" si="3"/>
        <v>1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ht="15.75" customHeight="1">
      <c r="A7" s="30" t="s">
        <v>23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ht="15.75" customHeight="1">
      <c r="A8" s="31"/>
      <c r="B8" s="32"/>
      <c r="C8" s="3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ht="15.75" customHeight="1">
      <c r="A9" s="21" t="s">
        <v>24</v>
      </c>
      <c r="B9" s="21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ht="15.75" customHeight="1">
      <c r="A10" s="33" t="s">
        <v>25</v>
      </c>
      <c r="B10" s="34">
        <v>1.0</v>
      </c>
      <c r="C10" s="34">
        <v>2.0</v>
      </c>
      <c r="D10" s="34">
        <v>5.0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ht="15.75" customHeight="1">
      <c r="A11" s="33" t="s">
        <v>26</v>
      </c>
      <c r="B11" s="35">
        <v>0.93</v>
      </c>
      <c r="C11" s="35">
        <v>0.05</v>
      </c>
      <c r="D11" s="35">
        <v>0.02</v>
      </c>
      <c r="E11" s="20">
        <f>B10*B11+C10*C11+D10*D11</f>
        <v>1.13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ht="15.75" customHeight="1">
      <c r="A12" s="30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ht="15.75" customHeight="1">
      <c r="A13" s="36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ht="15.75" customHeight="1">
      <c r="A14" s="21" t="s">
        <v>27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  <c r="U14" s="22" t="s">
        <v>62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</row>
    <row r="15" ht="15.75" customHeight="1">
      <c r="A15" s="37" t="s">
        <v>28</v>
      </c>
      <c r="B15" s="38" t="s">
        <v>29</v>
      </c>
      <c r="C15" s="39">
        <v>0.0</v>
      </c>
      <c r="D15" s="39">
        <v>1.0</v>
      </c>
      <c r="E15" s="39">
        <v>2.0</v>
      </c>
      <c r="F15" s="39">
        <v>3.0</v>
      </c>
      <c r="G15" s="39">
        <v>4.0</v>
      </c>
      <c r="H15" s="39">
        <v>5.0</v>
      </c>
      <c r="I15" s="39">
        <v>6.0</v>
      </c>
      <c r="J15" s="40">
        <v>7.0</v>
      </c>
      <c r="K15" s="41">
        <v>8.0</v>
      </c>
      <c r="L15" s="42">
        <v>9.0</v>
      </c>
      <c r="M15" s="39">
        <v>10.0</v>
      </c>
      <c r="N15" s="39">
        <v>11.0</v>
      </c>
      <c r="O15" s="39">
        <v>12.0</v>
      </c>
      <c r="P15" s="39">
        <v>13.0</v>
      </c>
      <c r="Q15" s="39">
        <v>14.0</v>
      </c>
      <c r="R15" s="39">
        <v>15.0</v>
      </c>
      <c r="S15" s="43">
        <v>16.0</v>
      </c>
      <c r="T15" s="20"/>
      <c r="U15" s="37" t="s">
        <v>28</v>
      </c>
      <c r="V15" s="38" t="s">
        <v>29</v>
      </c>
      <c r="W15" s="42"/>
      <c r="X15" s="39">
        <v>0.0</v>
      </c>
      <c r="Y15" s="39">
        <v>1.0</v>
      </c>
      <c r="Z15" s="39">
        <v>2.0</v>
      </c>
      <c r="AA15" s="39">
        <v>3.0</v>
      </c>
      <c r="AB15" s="39">
        <v>4.0</v>
      </c>
      <c r="AC15" s="39">
        <v>5.0</v>
      </c>
      <c r="AD15" s="39">
        <v>6.0</v>
      </c>
      <c r="AE15" s="40">
        <v>7.0</v>
      </c>
      <c r="AF15" s="41">
        <v>8.0</v>
      </c>
      <c r="AG15" s="42">
        <v>9.0</v>
      </c>
      <c r="AH15" s="39">
        <v>10.0</v>
      </c>
      <c r="AI15" s="39">
        <v>11.0</v>
      </c>
      <c r="AJ15" s="39">
        <v>12.0</v>
      </c>
      <c r="AK15" s="39">
        <v>13.0</v>
      </c>
      <c r="AL15" s="39">
        <v>14.0</v>
      </c>
      <c r="AM15" s="39">
        <v>15.0</v>
      </c>
      <c r="AN15" s="43">
        <v>16.0</v>
      </c>
    </row>
    <row r="16" ht="15.75" customHeight="1">
      <c r="A16" s="44">
        <v>0.955</v>
      </c>
      <c r="B16" s="45" t="s">
        <v>30</v>
      </c>
      <c r="C16" s="46">
        <v>1000.0</v>
      </c>
      <c r="D16" s="46">
        <v>125.0</v>
      </c>
      <c r="E16" s="47">
        <v>12.34</v>
      </c>
      <c r="F16" s="47">
        <v>12.34</v>
      </c>
      <c r="G16" s="46">
        <v>2.2</v>
      </c>
      <c r="H16" s="46">
        <v>1.1</v>
      </c>
      <c r="I16" s="46">
        <v>0.5</v>
      </c>
      <c r="J16" s="48">
        <v>0.3</v>
      </c>
      <c r="K16" s="49">
        <v>0.0</v>
      </c>
      <c r="L16" s="50">
        <v>0.3</v>
      </c>
      <c r="M16" s="46">
        <v>0.5</v>
      </c>
      <c r="N16" s="46">
        <v>1.1</v>
      </c>
      <c r="O16" s="46">
        <v>2.2</v>
      </c>
      <c r="P16" s="47">
        <v>12.34</v>
      </c>
      <c r="Q16" s="47">
        <v>12.34</v>
      </c>
      <c r="R16" s="46">
        <v>125.0</v>
      </c>
      <c r="S16" s="51">
        <v>1000.0</v>
      </c>
      <c r="T16" s="20"/>
      <c r="U16" s="44">
        <v>0.955</v>
      </c>
      <c r="V16" s="45" t="s">
        <v>30</v>
      </c>
      <c r="W16" s="227">
        <f t="shared" ref="W16:W24" si="9">sum(X16:AN16)</f>
        <v>0.9197333984</v>
      </c>
      <c r="X16" s="46">
        <f t="shared" ref="X16:Y16" si="4">C$6*C16*$E$11</f>
        <v>0.01724243164</v>
      </c>
      <c r="Y16" s="46">
        <f t="shared" si="4"/>
        <v>0.03448486328</v>
      </c>
      <c r="Z16" s="47">
        <f t="shared" ref="Z16:AA16" si="5">E$6*E16</f>
        <v>0.02259521484</v>
      </c>
      <c r="AA16" s="47">
        <f t="shared" si="5"/>
        <v>0.1054443359</v>
      </c>
      <c r="AB16" s="46">
        <f t="shared" ref="AB16:AJ16" si="6">G$6*G16*$E$11</f>
        <v>0.06903869629</v>
      </c>
      <c r="AC16" s="46">
        <f t="shared" si="6"/>
        <v>0.08284643555</v>
      </c>
      <c r="AD16" s="46">
        <f t="shared" si="6"/>
        <v>0.06903869629</v>
      </c>
      <c r="AE16" s="48">
        <f t="shared" si="6"/>
        <v>0.05917602539</v>
      </c>
      <c r="AF16" s="49">
        <f t="shared" si="6"/>
        <v>0</v>
      </c>
      <c r="AG16" s="50">
        <f t="shared" si="6"/>
        <v>0.05917602539</v>
      </c>
      <c r="AH16" s="46">
        <f t="shared" si="6"/>
        <v>0.06903869629</v>
      </c>
      <c r="AI16" s="46">
        <f t="shared" si="6"/>
        <v>0.08284643555</v>
      </c>
      <c r="AJ16" s="46">
        <f t="shared" si="6"/>
        <v>0.06903869629</v>
      </c>
      <c r="AK16" s="47">
        <f t="shared" ref="AK16:AL16" si="7">P$6*P16</f>
        <v>0.1054443359</v>
      </c>
      <c r="AL16" s="47">
        <f t="shared" si="7"/>
        <v>0.02259521484</v>
      </c>
      <c r="AM16" s="46">
        <f t="shared" ref="AM16:AN16" si="8">R$6*R16*$E$11</f>
        <v>0.03448486328</v>
      </c>
      <c r="AN16" s="51">
        <f t="shared" si="8"/>
        <v>0.01724243164</v>
      </c>
    </row>
    <row r="17" ht="15.75" customHeight="1">
      <c r="A17" s="52"/>
      <c r="B17" s="53" t="s">
        <v>31</v>
      </c>
      <c r="C17" s="54">
        <v>200.0</v>
      </c>
      <c r="D17" s="54">
        <v>36.0</v>
      </c>
      <c r="E17" s="55">
        <v>11.147</v>
      </c>
      <c r="F17" s="55">
        <v>11.147</v>
      </c>
      <c r="G17" s="54">
        <v>2.0</v>
      </c>
      <c r="H17" s="54">
        <v>1.3</v>
      </c>
      <c r="I17" s="54">
        <v>0.6</v>
      </c>
      <c r="J17" s="56">
        <v>0.4</v>
      </c>
      <c r="K17" s="57">
        <v>0.1</v>
      </c>
      <c r="L17" s="58">
        <v>0.4</v>
      </c>
      <c r="M17" s="54">
        <v>0.6</v>
      </c>
      <c r="N17" s="54">
        <v>1.3</v>
      </c>
      <c r="O17" s="54">
        <v>2.0</v>
      </c>
      <c r="P17" s="55">
        <v>11.147</v>
      </c>
      <c r="Q17" s="55">
        <v>11.147</v>
      </c>
      <c r="R17" s="54">
        <v>36.0</v>
      </c>
      <c r="S17" s="59">
        <v>200.0</v>
      </c>
      <c r="T17" s="20"/>
      <c r="U17" s="52"/>
      <c r="V17" s="53" t="s">
        <v>31</v>
      </c>
      <c r="W17" s="228">
        <f t="shared" si="9"/>
        <v>0.9551845032</v>
      </c>
      <c r="X17" s="54">
        <f t="shared" ref="X17:AN17" si="10">C$6*C17*$E$11</f>
        <v>0.003448486328</v>
      </c>
      <c r="Y17" s="54">
        <f t="shared" si="10"/>
        <v>0.009931640625</v>
      </c>
      <c r="Z17" s="55">
        <f t="shared" si="10"/>
        <v>0.02306416626</v>
      </c>
      <c r="AA17" s="55">
        <f t="shared" si="10"/>
        <v>0.1076327759</v>
      </c>
      <c r="AB17" s="54">
        <f t="shared" si="10"/>
        <v>0.06276245117</v>
      </c>
      <c r="AC17" s="54">
        <f t="shared" si="10"/>
        <v>0.09790942383</v>
      </c>
      <c r="AD17" s="54">
        <f t="shared" si="10"/>
        <v>0.08284643555</v>
      </c>
      <c r="AE17" s="56">
        <f t="shared" si="10"/>
        <v>0.07890136719</v>
      </c>
      <c r="AF17" s="57">
        <f t="shared" si="10"/>
        <v>0.02219100952</v>
      </c>
      <c r="AG17" s="58">
        <f t="shared" si="10"/>
        <v>0.07890136719</v>
      </c>
      <c r="AH17" s="54">
        <f t="shared" si="10"/>
        <v>0.08284643555</v>
      </c>
      <c r="AI17" s="54">
        <f t="shared" si="10"/>
        <v>0.09790942383</v>
      </c>
      <c r="AJ17" s="54">
        <f t="shared" si="10"/>
        <v>0.06276245117</v>
      </c>
      <c r="AK17" s="55">
        <f t="shared" si="10"/>
        <v>0.1076327759</v>
      </c>
      <c r="AL17" s="55">
        <f t="shared" si="10"/>
        <v>0.02306416626</v>
      </c>
      <c r="AM17" s="54">
        <f t="shared" si="10"/>
        <v>0.009931640625</v>
      </c>
      <c r="AN17" s="59">
        <f t="shared" si="10"/>
        <v>0.003448486328</v>
      </c>
    </row>
    <row r="18" ht="15.75" customHeight="1">
      <c r="A18" s="60"/>
      <c r="B18" s="61" t="s">
        <v>32</v>
      </c>
      <c r="C18" s="62">
        <v>60.0</v>
      </c>
      <c r="D18" s="62">
        <v>30.0</v>
      </c>
      <c r="E18" s="62">
        <v>8.0</v>
      </c>
      <c r="F18" s="62">
        <v>2.6</v>
      </c>
      <c r="G18" s="62">
        <v>1.6</v>
      </c>
      <c r="H18" s="62">
        <v>1.3</v>
      </c>
      <c r="I18" s="62">
        <v>1.0</v>
      </c>
      <c r="J18" s="63">
        <v>0.6</v>
      </c>
      <c r="K18" s="64">
        <v>0.2</v>
      </c>
      <c r="L18" s="65">
        <v>0.6</v>
      </c>
      <c r="M18" s="62">
        <v>1.0</v>
      </c>
      <c r="N18" s="62">
        <v>1.3</v>
      </c>
      <c r="O18" s="62">
        <v>1.6</v>
      </c>
      <c r="P18" s="62">
        <v>2.6</v>
      </c>
      <c r="Q18" s="62">
        <v>8.0</v>
      </c>
      <c r="R18" s="62">
        <v>30.0</v>
      </c>
      <c r="S18" s="66">
        <v>60.0</v>
      </c>
      <c r="T18" s="20"/>
      <c r="U18" s="60"/>
      <c r="V18" s="61" t="s">
        <v>32</v>
      </c>
      <c r="W18" s="229">
        <f t="shared" si="9"/>
        <v>0.9554169312</v>
      </c>
      <c r="X18" s="62">
        <f t="shared" ref="X18:AN18" si="11">C$6*C18*$E$11</f>
        <v>0.001034545898</v>
      </c>
      <c r="Y18" s="62">
        <f t="shared" si="11"/>
        <v>0.008276367188</v>
      </c>
      <c r="Z18" s="62">
        <f t="shared" si="11"/>
        <v>0.01655273438</v>
      </c>
      <c r="AA18" s="62">
        <f t="shared" si="11"/>
        <v>0.02510498047</v>
      </c>
      <c r="AB18" s="62">
        <f t="shared" si="11"/>
        <v>0.05020996094</v>
      </c>
      <c r="AC18" s="62">
        <f t="shared" si="11"/>
        <v>0.09790942383</v>
      </c>
      <c r="AD18" s="62">
        <f t="shared" si="11"/>
        <v>0.1380773926</v>
      </c>
      <c r="AE18" s="63">
        <f t="shared" si="11"/>
        <v>0.1183520508</v>
      </c>
      <c r="AF18" s="64">
        <f t="shared" si="11"/>
        <v>0.04438201904</v>
      </c>
      <c r="AG18" s="65">
        <f t="shared" si="11"/>
        <v>0.1183520508</v>
      </c>
      <c r="AH18" s="62">
        <f t="shared" si="11"/>
        <v>0.1380773926</v>
      </c>
      <c r="AI18" s="62">
        <f t="shared" si="11"/>
        <v>0.09790942383</v>
      </c>
      <c r="AJ18" s="62">
        <f t="shared" si="11"/>
        <v>0.05020996094</v>
      </c>
      <c r="AK18" s="62">
        <f t="shared" si="11"/>
        <v>0.02510498047</v>
      </c>
      <c r="AL18" s="62">
        <f t="shared" si="11"/>
        <v>0.01655273438</v>
      </c>
      <c r="AM18" s="62">
        <f t="shared" si="11"/>
        <v>0.008276367188</v>
      </c>
      <c r="AN18" s="66">
        <f t="shared" si="11"/>
        <v>0.001034545898</v>
      </c>
    </row>
    <row r="19" ht="15.75" customHeight="1">
      <c r="A19" s="67">
        <v>0.94</v>
      </c>
      <c r="B19" s="45" t="s">
        <v>30</v>
      </c>
      <c r="C19" s="46">
        <v>1000.0</v>
      </c>
      <c r="D19" s="46">
        <v>125.0</v>
      </c>
      <c r="E19" s="47">
        <v>12.34</v>
      </c>
      <c r="F19" s="47">
        <v>12.34</v>
      </c>
      <c r="G19" s="46">
        <v>2.0</v>
      </c>
      <c r="H19" s="46">
        <v>1.1</v>
      </c>
      <c r="I19" s="46">
        <v>0.5</v>
      </c>
      <c r="J19" s="48">
        <v>0.3</v>
      </c>
      <c r="K19" s="49">
        <v>0.0</v>
      </c>
      <c r="L19" s="50">
        <v>0.3</v>
      </c>
      <c r="M19" s="46">
        <v>0.5</v>
      </c>
      <c r="N19" s="46">
        <v>1.1</v>
      </c>
      <c r="O19" s="46">
        <v>2.0</v>
      </c>
      <c r="P19" s="47">
        <v>12.34</v>
      </c>
      <c r="Q19" s="47">
        <v>12.34</v>
      </c>
      <c r="R19" s="46">
        <v>125.0</v>
      </c>
      <c r="S19" s="51">
        <v>1000.0</v>
      </c>
      <c r="T19" s="20"/>
      <c r="U19" s="67">
        <v>0.94</v>
      </c>
      <c r="V19" s="45" t="s">
        <v>30</v>
      </c>
      <c r="W19" s="227">
        <f t="shared" si="9"/>
        <v>0.9404711914</v>
      </c>
      <c r="X19" s="46">
        <f t="shared" ref="X19:AN19" si="12">C$6*C19*$E$11</f>
        <v>0.01724243164</v>
      </c>
      <c r="Y19" s="46">
        <f t="shared" si="12"/>
        <v>0.03448486328</v>
      </c>
      <c r="Z19" s="47">
        <f t="shared" si="12"/>
        <v>0.02553259277</v>
      </c>
      <c r="AA19" s="47">
        <f t="shared" si="12"/>
        <v>0.1191520996</v>
      </c>
      <c r="AB19" s="46">
        <f t="shared" si="12"/>
        <v>0.06276245117</v>
      </c>
      <c r="AC19" s="46">
        <f t="shared" si="12"/>
        <v>0.08284643555</v>
      </c>
      <c r="AD19" s="46">
        <f t="shared" si="12"/>
        <v>0.06903869629</v>
      </c>
      <c r="AE19" s="48">
        <f t="shared" si="12"/>
        <v>0.05917602539</v>
      </c>
      <c r="AF19" s="49">
        <f t="shared" si="12"/>
        <v>0</v>
      </c>
      <c r="AG19" s="50">
        <f t="shared" si="12"/>
        <v>0.05917602539</v>
      </c>
      <c r="AH19" s="46">
        <f t="shared" si="12"/>
        <v>0.06903869629</v>
      </c>
      <c r="AI19" s="46">
        <f t="shared" si="12"/>
        <v>0.08284643555</v>
      </c>
      <c r="AJ19" s="46">
        <f t="shared" si="12"/>
        <v>0.06276245117</v>
      </c>
      <c r="AK19" s="47">
        <f t="shared" si="12"/>
        <v>0.1191520996</v>
      </c>
      <c r="AL19" s="47">
        <f t="shared" si="12"/>
        <v>0.02553259277</v>
      </c>
      <c r="AM19" s="46">
        <f t="shared" si="12"/>
        <v>0.03448486328</v>
      </c>
      <c r="AN19" s="51">
        <f t="shared" si="12"/>
        <v>0.01724243164</v>
      </c>
    </row>
    <row r="20" ht="15.75" customHeight="1">
      <c r="A20" s="52"/>
      <c r="B20" s="53" t="s">
        <v>31</v>
      </c>
      <c r="C20" s="54">
        <v>200.0</v>
      </c>
      <c r="D20" s="54">
        <v>36.0</v>
      </c>
      <c r="E20" s="55">
        <v>11.147</v>
      </c>
      <c r="F20" s="55">
        <v>11.147</v>
      </c>
      <c r="G20" s="54">
        <v>2.0</v>
      </c>
      <c r="H20" s="54">
        <v>1.2</v>
      </c>
      <c r="I20" s="54">
        <v>0.6</v>
      </c>
      <c r="J20" s="56">
        <v>0.4</v>
      </c>
      <c r="K20" s="57">
        <v>0.1</v>
      </c>
      <c r="L20" s="58">
        <v>0.4</v>
      </c>
      <c r="M20" s="54">
        <v>0.6</v>
      </c>
      <c r="N20" s="54">
        <v>1.2</v>
      </c>
      <c r="O20" s="54">
        <v>2.0</v>
      </c>
      <c r="P20" s="55">
        <v>11.147</v>
      </c>
      <c r="Q20" s="55">
        <v>11.147</v>
      </c>
      <c r="R20" s="54">
        <v>36.0</v>
      </c>
      <c r="S20" s="59">
        <v>200.0</v>
      </c>
      <c r="T20" s="20"/>
      <c r="U20" s="52"/>
      <c r="V20" s="53" t="s">
        <v>31</v>
      </c>
      <c r="W20" s="228">
        <f t="shared" si="9"/>
        <v>0.9401215149</v>
      </c>
      <c r="X20" s="54">
        <f t="shared" ref="X20:AN20" si="13">C$6*C20*$E$11</f>
        <v>0.003448486328</v>
      </c>
      <c r="Y20" s="54">
        <f t="shared" si="13"/>
        <v>0.009931640625</v>
      </c>
      <c r="Z20" s="55">
        <f t="shared" si="13"/>
        <v>0.02306416626</v>
      </c>
      <c r="AA20" s="55">
        <f t="shared" si="13"/>
        <v>0.1076327759</v>
      </c>
      <c r="AB20" s="54">
        <f t="shared" si="13"/>
        <v>0.06276245117</v>
      </c>
      <c r="AC20" s="54">
        <f t="shared" si="13"/>
        <v>0.09037792969</v>
      </c>
      <c r="AD20" s="54">
        <f t="shared" si="13"/>
        <v>0.08284643555</v>
      </c>
      <c r="AE20" s="56">
        <f t="shared" si="13"/>
        <v>0.07890136719</v>
      </c>
      <c r="AF20" s="57">
        <f t="shared" si="13"/>
        <v>0.02219100952</v>
      </c>
      <c r="AG20" s="58">
        <f t="shared" si="13"/>
        <v>0.07890136719</v>
      </c>
      <c r="AH20" s="54">
        <f t="shared" si="13"/>
        <v>0.08284643555</v>
      </c>
      <c r="AI20" s="54">
        <f t="shared" si="13"/>
        <v>0.09037792969</v>
      </c>
      <c r="AJ20" s="54">
        <f t="shared" si="13"/>
        <v>0.06276245117</v>
      </c>
      <c r="AK20" s="55">
        <f t="shared" si="13"/>
        <v>0.1076327759</v>
      </c>
      <c r="AL20" s="55">
        <f t="shared" si="13"/>
        <v>0.02306416626</v>
      </c>
      <c r="AM20" s="54">
        <f t="shared" si="13"/>
        <v>0.009931640625</v>
      </c>
      <c r="AN20" s="59">
        <f t="shared" si="13"/>
        <v>0.003448486328</v>
      </c>
    </row>
    <row r="21" ht="15.75" customHeight="1">
      <c r="A21" s="60"/>
      <c r="B21" s="61" t="s">
        <v>32</v>
      </c>
      <c r="C21" s="62">
        <v>60.0</v>
      </c>
      <c r="D21" s="62">
        <v>30.0</v>
      </c>
      <c r="E21" s="62">
        <v>8.0</v>
      </c>
      <c r="F21" s="62">
        <v>2.6</v>
      </c>
      <c r="G21" s="62">
        <v>1.6</v>
      </c>
      <c r="H21" s="62">
        <v>1.2</v>
      </c>
      <c r="I21" s="62">
        <v>1.0</v>
      </c>
      <c r="J21" s="63">
        <v>0.6</v>
      </c>
      <c r="K21" s="64">
        <v>0.2</v>
      </c>
      <c r="L21" s="65">
        <v>0.6</v>
      </c>
      <c r="M21" s="62">
        <v>1.0</v>
      </c>
      <c r="N21" s="62">
        <v>1.2</v>
      </c>
      <c r="O21" s="62">
        <v>1.6</v>
      </c>
      <c r="P21" s="62">
        <v>2.6</v>
      </c>
      <c r="Q21" s="62">
        <v>8.0</v>
      </c>
      <c r="R21" s="62">
        <v>30.0</v>
      </c>
      <c r="S21" s="66">
        <v>60.0</v>
      </c>
      <c r="T21" s="20"/>
      <c r="U21" s="60"/>
      <c r="V21" s="61" t="s">
        <v>32</v>
      </c>
      <c r="W21" s="229">
        <f t="shared" si="9"/>
        <v>0.9403539429</v>
      </c>
      <c r="X21" s="62">
        <f t="shared" ref="X21:AN21" si="14">C$6*C21*$E$11</f>
        <v>0.001034545898</v>
      </c>
      <c r="Y21" s="62">
        <f t="shared" si="14"/>
        <v>0.008276367188</v>
      </c>
      <c r="Z21" s="62">
        <f t="shared" si="14"/>
        <v>0.01655273438</v>
      </c>
      <c r="AA21" s="62">
        <f t="shared" si="14"/>
        <v>0.02510498047</v>
      </c>
      <c r="AB21" s="62">
        <f t="shared" si="14"/>
        <v>0.05020996094</v>
      </c>
      <c r="AC21" s="62">
        <f t="shared" si="14"/>
        <v>0.09037792969</v>
      </c>
      <c r="AD21" s="62">
        <f t="shared" si="14"/>
        <v>0.1380773926</v>
      </c>
      <c r="AE21" s="63">
        <f t="shared" si="14"/>
        <v>0.1183520508</v>
      </c>
      <c r="AF21" s="64">
        <f t="shared" si="14"/>
        <v>0.04438201904</v>
      </c>
      <c r="AG21" s="65">
        <f t="shared" si="14"/>
        <v>0.1183520508</v>
      </c>
      <c r="AH21" s="62">
        <f t="shared" si="14"/>
        <v>0.1380773926</v>
      </c>
      <c r="AI21" s="62">
        <f t="shared" si="14"/>
        <v>0.09037792969</v>
      </c>
      <c r="AJ21" s="62">
        <f t="shared" si="14"/>
        <v>0.05020996094</v>
      </c>
      <c r="AK21" s="62">
        <f t="shared" si="14"/>
        <v>0.02510498047</v>
      </c>
      <c r="AL21" s="62">
        <f t="shared" si="14"/>
        <v>0.01655273438</v>
      </c>
      <c r="AM21" s="62">
        <f t="shared" si="14"/>
        <v>0.008276367188</v>
      </c>
      <c r="AN21" s="66">
        <f t="shared" si="14"/>
        <v>0.001034545898</v>
      </c>
    </row>
    <row r="22" ht="15.75" customHeight="1">
      <c r="A22" s="68">
        <v>0.92</v>
      </c>
      <c r="B22" s="69" t="s">
        <v>30</v>
      </c>
      <c r="C22" s="46">
        <v>1000.0</v>
      </c>
      <c r="D22" s="46">
        <v>125.0</v>
      </c>
      <c r="E22" s="47">
        <v>12.34</v>
      </c>
      <c r="F22" s="47">
        <v>12.34</v>
      </c>
      <c r="G22" s="46">
        <v>2.1</v>
      </c>
      <c r="H22" s="46">
        <v>1.1</v>
      </c>
      <c r="I22" s="46">
        <v>0.4</v>
      </c>
      <c r="J22" s="48">
        <v>0.3</v>
      </c>
      <c r="K22" s="49">
        <v>0.0</v>
      </c>
      <c r="L22" s="50">
        <v>0.3</v>
      </c>
      <c r="M22" s="46">
        <v>0.4</v>
      </c>
      <c r="N22" s="46">
        <v>1.1</v>
      </c>
      <c r="O22" s="46">
        <v>2.1</v>
      </c>
      <c r="P22" s="47">
        <v>12.34</v>
      </c>
      <c r="Q22" s="47">
        <v>12.34</v>
      </c>
      <c r="R22" s="46">
        <v>125.0</v>
      </c>
      <c r="S22" s="51">
        <v>1000.0</v>
      </c>
      <c r="T22" s="20"/>
      <c r="U22" s="68">
        <v>0.92</v>
      </c>
      <c r="V22" s="69" t="s">
        <v>30</v>
      </c>
      <c r="W22" s="227">
        <f t="shared" si="9"/>
        <v>0.919131958</v>
      </c>
      <c r="X22" s="46">
        <f t="shared" ref="X22:AN22" si="15">C$6*C22*$E$11</f>
        <v>0.01724243164</v>
      </c>
      <c r="Y22" s="46">
        <f t="shared" si="15"/>
        <v>0.03448486328</v>
      </c>
      <c r="Z22" s="47">
        <f t="shared" si="15"/>
        <v>0.02553259277</v>
      </c>
      <c r="AA22" s="47">
        <f t="shared" si="15"/>
        <v>0.1191520996</v>
      </c>
      <c r="AB22" s="46">
        <f t="shared" si="15"/>
        <v>0.06590057373</v>
      </c>
      <c r="AC22" s="46">
        <f t="shared" si="15"/>
        <v>0.08284643555</v>
      </c>
      <c r="AD22" s="46">
        <f t="shared" si="15"/>
        <v>0.05523095703</v>
      </c>
      <c r="AE22" s="48">
        <f t="shared" si="15"/>
        <v>0.05917602539</v>
      </c>
      <c r="AF22" s="49">
        <f t="shared" si="15"/>
        <v>0</v>
      </c>
      <c r="AG22" s="50">
        <f t="shared" si="15"/>
        <v>0.05917602539</v>
      </c>
      <c r="AH22" s="46">
        <f t="shared" si="15"/>
        <v>0.05523095703</v>
      </c>
      <c r="AI22" s="46">
        <f t="shared" si="15"/>
        <v>0.08284643555</v>
      </c>
      <c r="AJ22" s="46">
        <f t="shared" si="15"/>
        <v>0.06590057373</v>
      </c>
      <c r="AK22" s="47">
        <f t="shared" si="15"/>
        <v>0.1191520996</v>
      </c>
      <c r="AL22" s="47">
        <f t="shared" si="15"/>
        <v>0.02553259277</v>
      </c>
      <c r="AM22" s="46">
        <f t="shared" si="15"/>
        <v>0.03448486328</v>
      </c>
      <c r="AN22" s="51">
        <f t="shared" si="15"/>
        <v>0.01724243164</v>
      </c>
    </row>
    <row r="23" ht="15.75" customHeight="1">
      <c r="A23" s="52"/>
      <c r="B23" s="70" t="s">
        <v>31</v>
      </c>
      <c r="C23" s="54">
        <v>200.0</v>
      </c>
      <c r="D23" s="54">
        <v>55.0</v>
      </c>
      <c r="E23" s="55">
        <v>11.147</v>
      </c>
      <c r="F23" s="55">
        <v>11.147</v>
      </c>
      <c r="G23" s="54">
        <v>2.0</v>
      </c>
      <c r="H23" s="54">
        <v>1.0</v>
      </c>
      <c r="I23" s="54">
        <v>0.6</v>
      </c>
      <c r="J23" s="56">
        <v>0.4</v>
      </c>
      <c r="K23" s="57">
        <v>0.1</v>
      </c>
      <c r="L23" s="58">
        <v>0.4</v>
      </c>
      <c r="M23" s="54">
        <v>0.6</v>
      </c>
      <c r="N23" s="54">
        <v>1.0</v>
      </c>
      <c r="O23" s="54">
        <v>2.0</v>
      </c>
      <c r="P23" s="55">
        <v>11.147</v>
      </c>
      <c r="Q23" s="55">
        <v>11.147</v>
      </c>
      <c r="R23" s="54">
        <v>55.0</v>
      </c>
      <c r="S23" s="59">
        <v>200.0</v>
      </c>
      <c r="T23" s="20"/>
      <c r="U23" s="52"/>
      <c r="V23" s="70" t="s">
        <v>31</v>
      </c>
      <c r="W23" s="228">
        <f t="shared" si="9"/>
        <v>0.9204789368</v>
      </c>
      <c r="X23" s="54">
        <f t="shared" ref="X23:AN23" si="16">C$6*C23*$E$11</f>
        <v>0.003448486328</v>
      </c>
      <c r="Y23" s="54">
        <f t="shared" si="16"/>
        <v>0.01517333984</v>
      </c>
      <c r="Z23" s="55">
        <f t="shared" si="16"/>
        <v>0.02306416626</v>
      </c>
      <c r="AA23" s="55">
        <f t="shared" si="16"/>
        <v>0.1076327759</v>
      </c>
      <c r="AB23" s="54">
        <f t="shared" si="16"/>
        <v>0.06276245117</v>
      </c>
      <c r="AC23" s="54">
        <f t="shared" si="16"/>
        <v>0.07531494141</v>
      </c>
      <c r="AD23" s="54">
        <f t="shared" si="16"/>
        <v>0.08284643555</v>
      </c>
      <c r="AE23" s="56">
        <f t="shared" si="16"/>
        <v>0.07890136719</v>
      </c>
      <c r="AF23" s="57">
        <f t="shared" si="16"/>
        <v>0.02219100952</v>
      </c>
      <c r="AG23" s="58">
        <f t="shared" si="16"/>
        <v>0.07890136719</v>
      </c>
      <c r="AH23" s="54">
        <f t="shared" si="16"/>
        <v>0.08284643555</v>
      </c>
      <c r="AI23" s="54">
        <f t="shared" si="16"/>
        <v>0.07531494141</v>
      </c>
      <c r="AJ23" s="54">
        <f t="shared" si="16"/>
        <v>0.06276245117</v>
      </c>
      <c r="AK23" s="55">
        <f t="shared" si="16"/>
        <v>0.1076327759</v>
      </c>
      <c r="AL23" s="55">
        <f t="shared" si="16"/>
        <v>0.02306416626</v>
      </c>
      <c r="AM23" s="54">
        <f t="shared" si="16"/>
        <v>0.01517333984</v>
      </c>
      <c r="AN23" s="59">
        <f t="shared" si="16"/>
        <v>0.003448486328</v>
      </c>
    </row>
    <row r="24" ht="15.75" customHeight="1">
      <c r="A24" s="71"/>
      <c r="B24" s="72" t="s">
        <v>32</v>
      </c>
      <c r="C24" s="62">
        <v>60.0</v>
      </c>
      <c r="D24" s="62">
        <v>30.0</v>
      </c>
      <c r="E24" s="62">
        <v>8.0</v>
      </c>
      <c r="F24" s="62">
        <v>2.6</v>
      </c>
      <c r="G24" s="62">
        <v>1.5</v>
      </c>
      <c r="H24" s="62">
        <v>1.1</v>
      </c>
      <c r="I24" s="62">
        <v>1.0</v>
      </c>
      <c r="J24" s="63">
        <v>0.6</v>
      </c>
      <c r="K24" s="64">
        <v>0.2</v>
      </c>
      <c r="L24" s="65">
        <v>0.6</v>
      </c>
      <c r="M24" s="62">
        <v>1.0</v>
      </c>
      <c r="N24" s="62">
        <v>1.1</v>
      </c>
      <c r="O24" s="62">
        <v>1.5</v>
      </c>
      <c r="P24" s="62">
        <v>2.6</v>
      </c>
      <c r="Q24" s="62">
        <v>8.0</v>
      </c>
      <c r="R24" s="62">
        <v>30.0</v>
      </c>
      <c r="S24" s="66">
        <v>60.0</v>
      </c>
      <c r="T24" s="20"/>
      <c r="U24" s="71"/>
      <c r="V24" s="72" t="s">
        <v>32</v>
      </c>
      <c r="W24" s="229">
        <f t="shared" si="9"/>
        <v>0.9190147095</v>
      </c>
      <c r="X24" s="62">
        <f t="shared" ref="X24:AN24" si="17">C$6*C24*$E$11</f>
        <v>0.001034545898</v>
      </c>
      <c r="Y24" s="62">
        <f t="shared" si="17"/>
        <v>0.008276367188</v>
      </c>
      <c r="Z24" s="62">
        <f t="shared" si="17"/>
        <v>0.01655273438</v>
      </c>
      <c r="AA24" s="62">
        <f t="shared" si="17"/>
        <v>0.02510498047</v>
      </c>
      <c r="AB24" s="62">
        <f t="shared" si="17"/>
        <v>0.04707183838</v>
      </c>
      <c r="AC24" s="62">
        <f t="shared" si="17"/>
        <v>0.08284643555</v>
      </c>
      <c r="AD24" s="62">
        <f t="shared" si="17"/>
        <v>0.1380773926</v>
      </c>
      <c r="AE24" s="63">
        <f t="shared" si="17"/>
        <v>0.1183520508</v>
      </c>
      <c r="AF24" s="64">
        <f t="shared" si="17"/>
        <v>0.04438201904</v>
      </c>
      <c r="AG24" s="65">
        <f t="shared" si="17"/>
        <v>0.1183520508</v>
      </c>
      <c r="AH24" s="62">
        <f t="shared" si="17"/>
        <v>0.1380773926</v>
      </c>
      <c r="AI24" s="62">
        <f t="shared" si="17"/>
        <v>0.08284643555</v>
      </c>
      <c r="AJ24" s="62">
        <f t="shared" si="17"/>
        <v>0.04707183838</v>
      </c>
      <c r="AK24" s="62">
        <f t="shared" si="17"/>
        <v>0.02510498047</v>
      </c>
      <c r="AL24" s="62">
        <f t="shared" si="17"/>
        <v>0.01655273438</v>
      </c>
      <c r="AM24" s="62">
        <f t="shared" si="17"/>
        <v>0.008276367188</v>
      </c>
      <c r="AN24" s="66">
        <f t="shared" si="17"/>
        <v>0.001034545898</v>
      </c>
    </row>
    <row r="25" ht="15.75" customHeight="1">
      <c r="A25" s="73" t="s">
        <v>33</v>
      </c>
      <c r="B25" s="74"/>
      <c r="C25" s="74"/>
      <c r="D25" s="7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ht="15.75" customHeight="1">
      <c r="A26" s="76" t="s">
        <v>34</v>
      </c>
      <c r="B26" s="76"/>
      <c r="C26" s="76"/>
      <c r="D26" s="7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ht="15.75" customHeight="1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</row>
    <row r="28" ht="15.75" customHeight="1">
      <c r="A28" s="21" t="s">
        <v>35</v>
      </c>
      <c r="B28" s="21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</row>
    <row r="29" ht="15.75" customHeight="1">
      <c r="A29" s="77" t="s">
        <v>36</v>
      </c>
      <c r="B29" s="6"/>
      <c r="C29" s="78" t="s">
        <v>37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</row>
    <row r="30" ht="15.75" customHeight="1">
      <c r="A30" s="79" t="s">
        <v>38</v>
      </c>
      <c r="B30" s="6"/>
      <c r="C30" s="87">
        <v>0.01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</row>
    <row r="31" ht="15.75" customHeight="1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</row>
    <row r="32" ht="15.75" customHeight="1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</row>
    <row r="33" ht="15.75" customHeight="1">
      <c r="A33" s="21" t="s">
        <v>39</v>
      </c>
      <c r="B33" s="21"/>
      <c r="C33" s="21"/>
      <c r="D33" s="21"/>
      <c r="E33" s="21"/>
      <c r="F33" s="21"/>
      <c r="G33" s="21"/>
      <c r="H33" s="21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</row>
    <row r="34" ht="15.75" customHeight="1">
      <c r="A34" s="77" t="s">
        <v>40</v>
      </c>
      <c r="B34" s="6"/>
      <c r="C34" s="77" t="s">
        <v>30</v>
      </c>
      <c r="D34" s="6"/>
      <c r="E34" s="77" t="s">
        <v>40</v>
      </c>
      <c r="F34" s="6"/>
      <c r="G34" s="77" t="s">
        <v>31</v>
      </c>
      <c r="H34" s="6"/>
      <c r="I34" s="82"/>
      <c r="J34" s="8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</row>
    <row r="35" ht="15.75" customHeight="1">
      <c r="A35" s="77" t="s">
        <v>6</v>
      </c>
      <c r="B35" s="6"/>
      <c r="C35" s="83" t="s">
        <v>37</v>
      </c>
      <c r="D35" s="83" t="s">
        <v>41</v>
      </c>
      <c r="E35" s="77" t="s">
        <v>6</v>
      </c>
      <c r="F35" s="6"/>
      <c r="G35" s="83" t="s">
        <v>37</v>
      </c>
      <c r="H35" s="83" t="s">
        <v>41</v>
      </c>
      <c r="I35" s="82"/>
      <c r="J35" s="8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</row>
    <row r="36" ht="15.75" customHeight="1">
      <c r="A36" s="84" t="str">
        <f>"Super JP / X "&amp;D36&amp;" 獎"</f>
        <v>Super JP / X 200 獎</v>
      </c>
      <c r="B36" s="12"/>
      <c r="C36" s="85">
        <v>0.5</v>
      </c>
      <c r="D36" s="86">
        <v>200.0</v>
      </c>
      <c r="E36" s="84" t="str">
        <f>"Super JP / X "&amp;H36&amp;" 獎"</f>
        <v>Super JP / X 100 獎</v>
      </c>
      <c r="F36" s="12"/>
      <c r="G36" s="87">
        <v>0.25</v>
      </c>
      <c r="H36" s="86">
        <v>100.0</v>
      </c>
      <c r="I36" s="82"/>
      <c r="J36" s="82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</row>
    <row r="37" ht="15.75" customHeight="1">
      <c r="A37" s="88" t="str">
        <f>"Lucky JP / X "&amp;D37&amp;" 獎"</f>
        <v>Lucky JP / X 100 獎</v>
      </c>
      <c r="B37" s="6"/>
      <c r="C37" s="85">
        <v>0.1</v>
      </c>
      <c r="D37" s="86">
        <v>100.0</v>
      </c>
      <c r="E37" s="88" t="str">
        <f>"Lucky JP / X "&amp;H37&amp;" 獎"</f>
        <v>Lucky JP / X 50 獎</v>
      </c>
      <c r="F37" s="6"/>
      <c r="G37" s="87">
        <v>0.05</v>
      </c>
      <c r="H37" s="86">
        <v>50.0</v>
      </c>
      <c r="I37" s="82"/>
      <c r="J37" s="82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</row>
    <row r="38" ht="15.75" customHeight="1">
      <c r="A38" s="88" t="str">
        <f t="shared" ref="A38:A41" si="18">" X "&amp;D38&amp;" 獎"</f>
        <v> X 50 獎</v>
      </c>
      <c r="B38" s="6"/>
      <c r="C38" s="87">
        <v>0.0</v>
      </c>
      <c r="D38" s="86">
        <v>50.0</v>
      </c>
      <c r="E38" s="88" t="str">
        <f t="shared" ref="E38:E41" si="19">" X "&amp;H38&amp;" 獎"</f>
        <v> X 25 獎</v>
      </c>
      <c r="F38" s="6"/>
      <c r="G38" s="87">
        <v>0.0</v>
      </c>
      <c r="H38" s="86">
        <v>25.0</v>
      </c>
      <c r="I38" s="82"/>
      <c r="J38" s="82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</row>
    <row r="39" ht="15.75" customHeight="1">
      <c r="A39" s="88" t="str">
        <f t="shared" si="18"/>
        <v> X 25 獎</v>
      </c>
      <c r="B39" s="6"/>
      <c r="C39" s="85">
        <v>0.0</v>
      </c>
      <c r="D39" s="86">
        <v>25.0</v>
      </c>
      <c r="E39" s="88" t="str">
        <f t="shared" si="19"/>
        <v> X 10 獎</v>
      </c>
      <c r="F39" s="6"/>
      <c r="G39" s="85">
        <v>0.0</v>
      </c>
      <c r="H39" s="86">
        <v>10.0</v>
      </c>
      <c r="I39" s="82"/>
      <c r="J39" s="82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</row>
    <row r="40" ht="15.75" customHeight="1">
      <c r="A40" s="88" t="str">
        <f t="shared" si="18"/>
        <v> X 10 獎</v>
      </c>
      <c r="B40" s="6"/>
      <c r="C40" s="85">
        <v>0.0</v>
      </c>
      <c r="D40" s="86">
        <v>10.0</v>
      </c>
      <c r="E40" s="88" t="str">
        <f t="shared" si="19"/>
        <v> X 5 獎</v>
      </c>
      <c r="F40" s="6"/>
      <c r="G40" s="85">
        <v>0.0</v>
      </c>
      <c r="H40" s="86">
        <v>5.0</v>
      </c>
      <c r="I40" s="82"/>
      <c r="J40" s="82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</row>
    <row r="41" ht="15.75" customHeight="1">
      <c r="A41" s="88" t="str">
        <f t="shared" si="18"/>
        <v> X 3 獎</v>
      </c>
      <c r="B41" s="6"/>
      <c r="C41" s="85">
        <v>0.0</v>
      </c>
      <c r="D41" s="86">
        <v>3.0</v>
      </c>
      <c r="E41" s="88" t="str">
        <f t="shared" si="19"/>
        <v> X 1 獎</v>
      </c>
      <c r="F41" s="6"/>
      <c r="G41" s="85">
        <v>0.0</v>
      </c>
      <c r="H41" s="86">
        <v>1.0</v>
      </c>
      <c r="I41" s="82"/>
      <c r="J41" s="82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</row>
    <row r="42" ht="15.75" customHeight="1">
      <c r="A42" s="82"/>
      <c r="B42" s="81"/>
      <c r="C42" s="81"/>
      <c r="D42" s="81"/>
      <c r="E42" s="81"/>
      <c r="F42" s="81"/>
      <c r="G42" s="81"/>
      <c r="H42" s="82"/>
      <c r="I42" s="82"/>
      <c r="J42" s="82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</row>
    <row r="43" ht="15.75" customHeight="1">
      <c r="A43" s="89" t="s">
        <v>42</v>
      </c>
      <c r="E43" s="21"/>
      <c r="F43" s="21"/>
      <c r="G43" s="21"/>
      <c r="H43" s="21"/>
      <c r="I43" s="82"/>
      <c r="J43" s="82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</row>
    <row r="44" ht="15.75" customHeight="1">
      <c r="A44" s="77" t="s">
        <v>40</v>
      </c>
      <c r="B44" s="6"/>
      <c r="C44" s="77" t="s">
        <v>30</v>
      </c>
      <c r="D44" s="6"/>
      <c r="E44" s="77" t="s">
        <v>40</v>
      </c>
      <c r="F44" s="6"/>
      <c r="G44" s="77" t="s">
        <v>31</v>
      </c>
      <c r="H44" s="6"/>
      <c r="I44" s="20"/>
      <c r="J44" s="82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</row>
    <row r="45" ht="15.75" customHeight="1">
      <c r="A45" s="77" t="s">
        <v>6</v>
      </c>
      <c r="B45" s="6"/>
      <c r="C45" s="91" t="s">
        <v>43</v>
      </c>
      <c r="D45" s="91" t="s">
        <v>44</v>
      </c>
      <c r="E45" s="77" t="s">
        <v>6</v>
      </c>
      <c r="F45" s="6"/>
      <c r="G45" s="91" t="s">
        <v>43</v>
      </c>
      <c r="H45" s="91" t="s">
        <v>44</v>
      </c>
      <c r="I45" s="20"/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</row>
    <row r="46" ht="15.75" customHeight="1">
      <c r="A46" s="88" t="str">
        <f t="shared" ref="A46:A51" si="20">A36</f>
        <v>Super JP / X 200 獎</v>
      </c>
      <c r="B46" s="6"/>
      <c r="C46" s="86">
        <v>220.0</v>
      </c>
      <c r="D46" s="86">
        <v>255.0</v>
      </c>
      <c r="E46" s="88" t="str">
        <f t="shared" ref="E46:E51" si="21">E36</f>
        <v>Super JP / X 100 獎</v>
      </c>
      <c r="F46" s="6"/>
      <c r="G46" s="86">
        <v>2312.0</v>
      </c>
      <c r="H46" s="86">
        <v>2312.0</v>
      </c>
      <c r="I46" s="20"/>
      <c r="J46" s="82"/>
      <c r="K46" s="81"/>
      <c r="L46" s="81"/>
      <c r="M46" s="81"/>
      <c r="N46" s="81">
        <f>C46/sum(C$46:C$51)</f>
        <v>0.0022</v>
      </c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</row>
    <row r="47" ht="15.75" customHeight="1">
      <c r="A47" s="88" t="str">
        <f t="shared" si="20"/>
        <v>Lucky JP / X 100 獎</v>
      </c>
      <c r="B47" s="6"/>
      <c r="C47" s="86">
        <v>910.0</v>
      </c>
      <c r="D47" s="86">
        <v>1020.0</v>
      </c>
      <c r="E47" s="88" t="str">
        <f t="shared" si="21"/>
        <v>Lucky JP / X 50 獎</v>
      </c>
      <c r="F47" s="6"/>
      <c r="G47" s="86">
        <v>5215.0</v>
      </c>
      <c r="H47" s="86">
        <v>5300.0</v>
      </c>
      <c r="I47" s="20"/>
      <c r="J47" s="82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</row>
    <row r="48" ht="15.75" customHeight="1">
      <c r="A48" s="88" t="str">
        <f t="shared" si="20"/>
        <v> X 50 獎</v>
      </c>
      <c r="B48" s="6"/>
      <c r="C48" s="86">
        <v>6400.0</v>
      </c>
      <c r="D48" s="86">
        <v>6510.0</v>
      </c>
      <c r="E48" s="88" t="str">
        <f t="shared" si="21"/>
        <v> X 25 獎</v>
      </c>
      <c r="F48" s="6"/>
      <c r="G48" s="86">
        <v>10005.0</v>
      </c>
      <c r="H48" s="86">
        <v>11000.0</v>
      </c>
      <c r="I48" s="20"/>
      <c r="J48" s="82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</row>
    <row r="49" ht="15.75" customHeight="1">
      <c r="A49" s="88" t="str">
        <f t="shared" si="20"/>
        <v> X 25 獎</v>
      </c>
      <c r="B49" s="6"/>
      <c r="C49" s="86">
        <v>11400.0</v>
      </c>
      <c r="D49" s="86">
        <v>12611.0</v>
      </c>
      <c r="E49" s="88" t="str">
        <f t="shared" si="21"/>
        <v> X 10 獎</v>
      </c>
      <c r="F49" s="6"/>
      <c r="G49" s="86">
        <v>14450.0</v>
      </c>
      <c r="H49" s="86">
        <v>16500.0</v>
      </c>
      <c r="I49" s="20"/>
      <c r="J49" s="82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</row>
    <row r="50" ht="15.75" customHeight="1">
      <c r="A50" s="88" t="str">
        <f t="shared" si="20"/>
        <v> X 10 獎</v>
      </c>
      <c r="B50" s="6"/>
      <c r="C50" s="86">
        <v>29735.0</v>
      </c>
      <c r="D50" s="86">
        <v>28773.0</v>
      </c>
      <c r="E50" s="88" t="str">
        <f t="shared" si="21"/>
        <v> X 5 獎</v>
      </c>
      <c r="F50" s="6"/>
      <c r="G50" s="86">
        <v>29365.0</v>
      </c>
      <c r="H50" s="86">
        <v>28400.0</v>
      </c>
      <c r="I50" s="20"/>
      <c r="J50" s="82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</row>
    <row r="51" ht="15.75" customHeight="1">
      <c r="A51" s="88" t="str">
        <f t="shared" si="20"/>
        <v> X 3 獎</v>
      </c>
      <c r="B51" s="6"/>
      <c r="C51" s="92">
        <f t="shared" ref="C51:D51" si="22">100000-SUM(C46:C50)</f>
        <v>51335</v>
      </c>
      <c r="D51" s="92">
        <f t="shared" si="22"/>
        <v>50831</v>
      </c>
      <c r="E51" s="88" t="str">
        <f t="shared" si="21"/>
        <v> X 1 獎</v>
      </c>
      <c r="F51" s="6"/>
      <c r="G51" s="92">
        <f t="shared" ref="G51:H51" si="23">100000-SUM(G46:G50)</f>
        <v>38653</v>
      </c>
      <c r="H51" s="92">
        <f t="shared" si="23"/>
        <v>36488</v>
      </c>
      <c r="I51" s="20"/>
      <c r="J51" s="82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</row>
    <row r="52" ht="15.75" customHeight="1">
      <c r="A52" s="36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>
      <c r="A53" s="230" t="s">
        <v>104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ht="15.75" customHeight="1">
      <c r="A55" s="77" t="s">
        <v>6</v>
      </c>
      <c r="B55" s="6"/>
      <c r="C55" s="91" t="s">
        <v>43</v>
      </c>
      <c r="D55" s="91" t="s">
        <v>44</v>
      </c>
      <c r="E55" s="77" t="s">
        <v>6</v>
      </c>
      <c r="F55" s="6"/>
      <c r="G55" s="91" t="s">
        <v>43</v>
      </c>
      <c r="H55" s="91" t="s">
        <v>44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ht="15.75" customHeight="1">
      <c r="A56" s="88" t="str">
        <f t="shared" ref="A56:A61" si="26">A46</f>
        <v>Super JP / X 200 獎</v>
      </c>
      <c r="B56" s="6"/>
      <c r="C56" s="20">
        <f t="shared" ref="C56:D56" si="24">C46*$D36/SUM(C$46:C$51)</f>
        <v>0.44</v>
      </c>
      <c r="D56" s="20">
        <f t="shared" si="24"/>
        <v>0.51</v>
      </c>
      <c r="E56" s="20"/>
      <c r="F56" s="20"/>
      <c r="G56" s="20">
        <f t="shared" ref="G56:H56" si="25">G46*$H36/SUM(G$46:G$51)</f>
        <v>2.312</v>
      </c>
      <c r="H56" s="20">
        <f t="shared" si="25"/>
        <v>2.312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ht="15.75" customHeight="1">
      <c r="A57" s="88" t="str">
        <f t="shared" si="26"/>
        <v>Lucky JP / X 100 獎</v>
      </c>
      <c r="B57" s="6"/>
      <c r="C57" s="20">
        <f t="shared" ref="C57:D57" si="27">C47*$D37/SUM(C$46:C$51)</f>
        <v>0.91</v>
      </c>
      <c r="D57" s="20">
        <f t="shared" si="27"/>
        <v>1.02</v>
      </c>
      <c r="E57" s="20"/>
      <c r="F57" s="20"/>
      <c r="G57" s="20">
        <f t="shared" ref="G57:H57" si="28">G47*$H37/SUM(G$46:G$51)</f>
        <v>2.6075</v>
      </c>
      <c r="H57" s="20">
        <f t="shared" si="28"/>
        <v>2.65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ht="15.75" customHeight="1">
      <c r="A58" s="88" t="str">
        <f t="shared" si="26"/>
        <v> X 50 獎</v>
      </c>
      <c r="B58" s="6"/>
      <c r="C58" s="20">
        <f t="shared" ref="C58:D58" si="29">C48*$D38/SUM(C$46:C$51)</f>
        <v>3.2</v>
      </c>
      <c r="D58" s="20">
        <f t="shared" si="29"/>
        <v>3.255</v>
      </c>
      <c r="E58" s="20"/>
      <c r="F58" s="20"/>
      <c r="G58" s="20">
        <f t="shared" ref="G58:H58" si="30">G48*$H38/SUM(G$46:G$51)</f>
        <v>2.50125</v>
      </c>
      <c r="H58" s="20">
        <f t="shared" si="30"/>
        <v>2.75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ht="15.75" customHeight="1">
      <c r="A59" s="88" t="str">
        <f t="shared" si="26"/>
        <v> X 25 獎</v>
      </c>
      <c r="B59" s="6"/>
      <c r="C59" s="20">
        <f t="shared" ref="C59:D59" si="31">C49*$D39/SUM(C$46:C$51)</f>
        <v>2.85</v>
      </c>
      <c r="D59" s="20">
        <f t="shared" si="31"/>
        <v>3.15275</v>
      </c>
      <c r="E59" s="20"/>
      <c r="F59" s="20"/>
      <c r="G59" s="20">
        <f t="shared" ref="G59:H59" si="32">G49*$H39/SUM(G$46:G$51)</f>
        <v>1.445</v>
      </c>
      <c r="H59" s="20">
        <f t="shared" si="32"/>
        <v>1.65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</row>
    <row r="60" ht="15.75" customHeight="1">
      <c r="A60" s="88" t="str">
        <f t="shared" si="26"/>
        <v> X 10 獎</v>
      </c>
      <c r="B60" s="6"/>
      <c r="C60" s="20">
        <f t="shared" ref="C60:D60" si="33">C50*$D40/SUM(C$46:C$51)</f>
        <v>2.9735</v>
      </c>
      <c r="D60" s="20">
        <f t="shared" si="33"/>
        <v>2.8773</v>
      </c>
      <c r="E60" s="20"/>
      <c r="F60" s="20"/>
      <c r="G60" s="20">
        <f t="shared" ref="G60:H60" si="34">G50*$H40/SUM(G$46:G$51)</f>
        <v>1.46825</v>
      </c>
      <c r="H60" s="20">
        <f t="shared" si="34"/>
        <v>1.42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</row>
    <row r="61" ht="15.75" customHeight="1">
      <c r="A61" s="88" t="str">
        <f t="shared" si="26"/>
        <v> X 3 獎</v>
      </c>
      <c r="B61" s="6"/>
      <c r="C61" s="20">
        <f t="shared" ref="C61:D61" si="35">C51*$D41/SUM(C$46:C$51)</f>
        <v>1.54005</v>
      </c>
      <c r="D61" s="20">
        <f t="shared" si="35"/>
        <v>1.52493</v>
      </c>
      <c r="E61" s="20"/>
      <c r="F61" s="20"/>
      <c r="G61" s="20">
        <f t="shared" ref="G61:H61" si="36">G51*$H41/SUM(G$46:G$51)</f>
        <v>0.38653</v>
      </c>
      <c r="H61" s="20">
        <f t="shared" si="36"/>
        <v>0.36488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</row>
    <row r="62" ht="15.75" customHeight="1">
      <c r="A62" s="20"/>
      <c r="B62" s="22" t="s">
        <v>105</v>
      </c>
      <c r="C62" s="20">
        <f t="shared" ref="C62:D62" si="37">sum(C56:C61)</f>
        <v>11.91355</v>
      </c>
      <c r="D62" s="20">
        <f t="shared" si="37"/>
        <v>12.33998</v>
      </c>
      <c r="E62" s="20"/>
      <c r="F62" s="22" t="s">
        <v>105</v>
      </c>
      <c r="G62" s="20">
        <f t="shared" ref="G62:H62" si="38">sum(G56:G61)</f>
        <v>10.72053</v>
      </c>
      <c r="H62" s="20">
        <f t="shared" si="38"/>
        <v>11.14688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</row>
    <row r="63" ht="15.75" customHeight="1">
      <c r="A63" s="20"/>
      <c r="B63" s="22" t="s">
        <v>106</v>
      </c>
      <c r="C63" s="231">
        <f t="shared" ref="C63:D63" si="39">C62*$E$11</f>
        <v>13.4623115</v>
      </c>
      <c r="D63" s="231">
        <f t="shared" si="39"/>
        <v>13.9441774</v>
      </c>
      <c r="E63" s="20"/>
      <c r="F63" s="22" t="s">
        <v>106</v>
      </c>
      <c r="G63" s="231">
        <f t="shared" ref="G63:H63" si="40">G62*$E$11</f>
        <v>12.1141989</v>
      </c>
      <c r="H63" s="231">
        <f t="shared" si="40"/>
        <v>12.5959744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ht="15.75" customHeight="1">
      <c r="A64" s="20"/>
      <c r="B64" s="22"/>
      <c r="C64" s="231"/>
      <c r="D64" s="231"/>
      <c r="E64" s="20"/>
      <c r="F64" s="22"/>
      <c r="G64" s="231"/>
      <c r="H64" s="231"/>
      <c r="I64" s="20"/>
      <c r="J64" s="22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</row>
    <row r="65" ht="15.75" customHeight="1">
      <c r="A65" s="20"/>
      <c r="B65" s="22" t="s">
        <v>107</v>
      </c>
      <c r="C65" s="231">
        <f t="shared" ref="C65:D65" si="41">C63*($E$6+$F$6)*2</f>
        <v>0.2793692572</v>
      </c>
      <c r="D65" s="231">
        <f t="shared" si="41"/>
        <v>0.2893689158</v>
      </c>
      <c r="E65" s="20"/>
      <c r="F65" s="22" t="s">
        <v>107</v>
      </c>
      <c r="G65" s="231">
        <f t="shared" ref="G65:H65" si="42">G63*($E$6+$F$6)*2</f>
        <v>0.2513932877</v>
      </c>
      <c r="H65" s="231">
        <f t="shared" si="42"/>
        <v>0.2613910703</v>
      </c>
      <c r="I65" s="20"/>
      <c r="J65" s="22" t="s">
        <v>108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</row>
    <row r="66" ht="15.75" customHeight="1">
      <c r="A66" s="20"/>
      <c r="B66" s="22" t="s">
        <v>109</v>
      </c>
      <c r="C66" s="231">
        <f>C65+C$30</f>
        <v>0.2893692572</v>
      </c>
      <c r="D66" s="231">
        <f>D65</f>
        <v>0.2893689158</v>
      </c>
      <c r="E66" s="20"/>
      <c r="F66" s="22" t="s">
        <v>110</v>
      </c>
      <c r="G66" s="231">
        <f>G65+C$30</f>
        <v>0.2613932877</v>
      </c>
      <c r="H66" s="231">
        <f>H65</f>
        <v>0.2613910703</v>
      </c>
      <c r="I66" s="20"/>
      <c r="J66" s="22" t="s">
        <v>111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</row>
    <row r="67" ht="15.75" customHeight="1">
      <c r="A67" s="20"/>
      <c r="B67" s="22" t="s">
        <v>112</v>
      </c>
      <c r="C67" s="231">
        <f>E16*($E$6+$F$6)*2*$E$11</f>
        <v>0.2893693848</v>
      </c>
      <c r="D67" s="231">
        <f>E16*($E$6+$F$6)*2*$E$11</f>
        <v>0.2893693848</v>
      </c>
      <c r="E67" s="20"/>
      <c r="F67" s="22" t="s">
        <v>112</v>
      </c>
      <c r="G67" s="231">
        <f t="shared" ref="G67:H67" si="43">E17*($E$6+$F$6)*2*$E$11</f>
        <v>0.2613938843</v>
      </c>
      <c r="H67" s="231">
        <f t="shared" si="43"/>
        <v>0.2613938843</v>
      </c>
      <c r="I67" s="20"/>
      <c r="J67" s="22" t="s">
        <v>113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</row>
    <row r="68" ht="15.75" customHeight="1">
      <c r="A68" s="20"/>
      <c r="B68" s="22"/>
      <c r="C68" s="231"/>
      <c r="D68" s="20"/>
      <c r="E68" s="20"/>
      <c r="F68" s="22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</row>
    <row r="69" ht="15.75" customHeight="1">
      <c r="A69" s="20"/>
      <c r="B69" s="22"/>
      <c r="C69" s="231"/>
      <c r="D69" s="20"/>
      <c r="E69" s="20"/>
      <c r="F69" s="22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</row>
    <row r="70" ht="15.75" customHeight="1">
      <c r="A70" s="20"/>
      <c r="B70" s="22"/>
      <c r="C70" s="231"/>
      <c r="D70" s="20"/>
      <c r="E70" s="20"/>
      <c r="F70" s="22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</row>
    <row r="71" ht="15.75" customHeight="1">
      <c r="A71" s="20"/>
      <c r="B71" s="22"/>
      <c r="C71" s="231"/>
      <c r="D71" s="20"/>
      <c r="E71" s="20"/>
      <c r="F71" s="22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</row>
    <row r="72" ht="15.75" customHeight="1">
      <c r="A72" s="20"/>
      <c r="B72" s="22"/>
      <c r="C72" s="231"/>
      <c r="D72" s="20"/>
      <c r="E72" s="20"/>
      <c r="F72" s="22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</row>
    <row r="73" ht="15.75" customHeight="1">
      <c r="A73" s="20"/>
      <c r="B73" s="22" t="s">
        <v>114</v>
      </c>
      <c r="C73" s="231">
        <f t="shared" ref="C73:D73" si="44">C66/(($E$6+$F$6)*2)</f>
        <v>13.94419385</v>
      </c>
      <c r="D73" s="231">
        <f t="shared" si="44"/>
        <v>13.9441774</v>
      </c>
      <c r="E73" s="20"/>
      <c r="F73" s="22" t="s">
        <v>115</v>
      </c>
      <c r="G73" s="231">
        <f t="shared" ref="G73:H73" si="45">G66/(($E$6+$F$6)*2)</f>
        <v>12.59608125</v>
      </c>
      <c r="H73" s="231">
        <f t="shared" si="45"/>
        <v>12.5959744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</row>
    <row r="74" ht="15.75" customHeight="1">
      <c r="A74" s="20"/>
      <c r="B74" s="22" t="s">
        <v>116</v>
      </c>
      <c r="C74" s="231">
        <f t="shared" ref="C74:D74" si="46">$E$16*$E$11</f>
        <v>13.9442</v>
      </c>
      <c r="D74" s="231">
        <f t="shared" si="46"/>
        <v>13.9442</v>
      </c>
      <c r="E74" s="20"/>
      <c r="F74" s="22" t="s">
        <v>116</v>
      </c>
      <c r="G74" s="20">
        <f t="shared" ref="G74:H74" si="47">E17*$E$11</f>
        <v>12.59611</v>
      </c>
      <c r="H74" s="20">
        <f t="shared" si="47"/>
        <v>12.59611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</row>
    <row r="82" ht="15.75" customHeight="1">
      <c r="A82" s="230" t="s">
        <v>104</v>
      </c>
      <c r="B82" s="18"/>
      <c r="C82" s="18"/>
      <c r="D82" s="1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</row>
    <row r="85" ht="15.75" customHeight="1">
      <c r="A85" s="95" t="s">
        <v>47</v>
      </c>
      <c r="B85" s="95"/>
      <c r="C85" s="95"/>
      <c r="D85" s="95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</row>
    <row r="86" ht="15.75" customHeight="1">
      <c r="A86" s="77" t="s">
        <v>48</v>
      </c>
      <c r="B86" s="91" t="s">
        <v>49</v>
      </c>
      <c r="C86" s="91" t="s">
        <v>50</v>
      </c>
      <c r="D86" s="91" t="s">
        <v>51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</row>
    <row r="87" ht="15.75" customHeight="1">
      <c r="A87" s="96" t="s">
        <v>30</v>
      </c>
      <c r="B87" s="97">
        <f t="shared" ref="B87:B88" si="49">sum(E111:F111)*2*($B$10*$B$11+$C$10*$C$11+$D$10*$D$11)</f>
        <v>0.2893693848</v>
      </c>
      <c r="C87" s="98">
        <f t="shared" ref="C87:D87" si="48">C169</f>
        <v>0.2811480183</v>
      </c>
      <c r="D87" s="98">
        <f t="shared" si="48"/>
        <v>0.2893689158</v>
      </c>
      <c r="E87" s="20"/>
      <c r="F87" s="232">
        <f>C87-B87</f>
        <v>-0.008221366502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</row>
    <row r="88" ht="15.75" customHeight="1">
      <c r="A88" s="96" t="s">
        <v>31</v>
      </c>
      <c r="B88" s="97">
        <f t="shared" si="49"/>
        <v>0.2613938843</v>
      </c>
      <c r="C88" s="98">
        <f t="shared" ref="C88:D88" si="50">G169</f>
        <v>0.2588158541</v>
      </c>
      <c r="D88" s="98">
        <f t="shared" si="50"/>
        <v>0.2613910703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</row>
    <row r="89" ht="15.75" customHeight="1">
      <c r="A89" s="36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</row>
    <row r="91" ht="15.75" customHeight="1">
      <c r="A91" s="89" t="s">
        <v>52</v>
      </c>
      <c r="B91" s="89"/>
      <c r="C91" s="89"/>
      <c r="D91" s="89"/>
      <c r="E91" s="89"/>
      <c r="F91" s="89"/>
      <c r="G91" s="89"/>
      <c r="H91" s="89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</row>
    <row r="92" ht="15.75" customHeight="1">
      <c r="A92" s="99" t="s">
        <v>53</v>
      </c>
      <c r="B92" s="6"/>
      <c r="C92" s="100">
        <f>C129</f>
        <v>48.18823529</v>
      </c>
      <c r="D92" s="101"/>
      <c r="E92" s="101"/>
      <c r="F92" s="101"/>
      <c r="G92" s="101"/>
      <c r="H92" s="12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</row>
    <row r="93" ht="15.75" customHeight="1">
      <c r="A93" s="102" t="s">
        <v>54</v>
      </c>
      <c r="B93" s="103"/>
      <c r="C93" s="104" t="s">
        <v>55</v>
      </c>
      <c r="D93" s="6"/>
      <c r="E93" s="102" t="s">
        <v>54</v>
      </c>
      <c r="F93" s="103"/>
      <c r="G93" s="104" t="s">
        <v>56</v>
      </c>
      <c r="H93" s="6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</row>
    <row r="94" ht="15.75" customHeight="1">
      <c r="A94" s="105" t="s">
        <v>48</v>
      </c>
      <c r="B94" s="6"/>
      <c r="C94" s="78" t="s">
        <v>57</v>
      </c>
      <c r="D94" s="78" t="s">
        <v>58</v>
      </c>
      <c r="E94" s="105" t="s">
        <v>48</v>
      </c>
      <c r="F94" s="6"/>
      <c r="G94" s="78" t="s">
        <v>57</v>
      </c>
      <c r="H94" s="78" t="s">
        <v>58</v>
      </c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</row>
    <row r="95" ht="15.75" customHeight="1">
      <c r="A95" s="106" t="s">
        <v>59</v>
      </c>
      <c r="B95" s="6"/>
      <c r="C95" s="107">
        <f t="shared" ref="C95:D95" si="51">1/sum(C134,C137)*$C$129</f>
        <v>4264.445601</v>
      </c>
      <c r="D95" s="107">
        <f t="shared" si="51"/>
        <v>3779.469435</v>
      </c>
      <c r="E95" s="106" t="s">
        <v>59</v>
      </c>
      <c r="F95" s="6"/>
      <c r="G95" s="107">
        <f t="shared" ref="G95:H95" si="52">1/sum(G134,G137)*$C$129</f>
        <v>640.2050657</v>
      </c>
      <c r="H95" s="107">
        <f t="shared" si="52"/>
        <v>633.0561652</v>
      </c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</row>
    <row r="96" ht="15.75" customHeight="1">
      <c r="A96" s="88" t="str">
        <f t="shared" ref="A96:A97" si="55">A46</f>
        <v>Super JP / X 200 獎</v>
      </c>
      <c r="B96" s="6"/>
      <c r="C96" s="107">
        <f t="shared" ref="C96:D96" si="53">C136</f>
        <v>21903.74332</v>
      </c>
      <c r="D96" s="107">
        <f t="shared" si="53"/>
        <v>18897.34717</v>
      </c>
      <c r="E96" s="88" t="str">
        <f t="shared" ref="E96:E97" si="57">E46</f>
        <v>Super JP / X 100 獎</v>
      </c>
      <c r="F96" s="6"/>
      <c r="G96" s="107">
        <f t="shared" ref="G96:H96" si="54">G136</f>
        <v>2084.266232</v>
      </c>
      <c r="H96" s="107">
        <f t="shared" si="54"/>
        <v>2084.266232</v>
      </c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</row>
    <row r="97" ht="15.75" customHeight="1">
      <c r="A97" s="88" t="str">
        <f t="shared" si="55"/>
        <v>Lucky JP / X 100 獎</v>
      </c>
      <c r="B97" s="6"/>
      <c r="C97" s="107">
        <f t="shared" ref="C97:D97" si="56">C139</f>
        <v>5295.410472</v>
      </c>
      <c r="D97" s="107">
        <f t="shared" si="56"/>
        <v>4724.336794</v>
      </c>
      <c r="E97" s="88" t="str">
        <f t="shared" si="57"/>
        <v>Lucky JP / X 50 獎</v>
      </c>
      <c r="F97" s="6"/>
      <c r="G97" s="107">
        <f t="shared" ref="G97:H97" si="58">G139</f>
        <v>924.0313575</v>
      </c>
      <c r="H97" s="107">
        <f t="shared" si="58"/>
        <v>909.2119867</v>
      </c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</row>
    <row r="98" ht="15.75" customHeight="1">
      <c r="A98" s="106" t="s">
        <v>60</v>
      </c>
      <c r="B98" s="6"/>
      <c r="C98" s="107">
        <f t="shared" ref="C98:D98" si="59">1/sum(C140,C143,C146,C149)*$C$129</f>
        <v>48.73898583</v>
      </c>
      <c r="D98" s="107">
        <f t="shared" si="59"/>
        <v>48.81057006</v>
      </c>
      <c r="E98" s="106" t="s">
        <v>60</v>
      </c>
      <c r="F98" s="6"/>
      <c r="G98" s="107">
        <f t="shared" ref="G98:H98" si="60">1/sum(G140,G143,G146,G149)*$C$129</f>
        <v>52.11060017</v>
      </c>
      <c r="H98" s="107">
        <f t="shared" si="60"/>
        <v>52.15854364</v>
      </c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</row>
    <row r="99" ht="15.75" customHeight="1">
      <c r="A99" s="88" t="str">
        <f t="shared" ref="A99:A102" si="63">A48</f>
        <v> X 50 獎</v>
      </c>
      <c r="B99" s="6"/>
      <c r="C99" s="107">
        <f t="shared" ref="C99:D99" si="61">C142</f>
        <v>752.9411765</v>
      </c>
      <c r="D99" s="107">
        <f t="shared" si="61"/>
        <v>740.2186681</v>
      </c>
      <c r="E99" s="88" t="str">
        <f t="shared" ref="E99:E102" si="65">E48</f>
        <v> X 25 獎</v>
      </c>
      <c r="F99" s="6"/>
      <c r="G99" s="107">
        <f t="shared" ref="G99:H99" si="62">G142</f>
        <v>481.6415322</v>
      </c>
      <c r="H99" s="107">
        <f t="shared" si="62"/>
        <v>438.0748663</v>
      </c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</row>
    <row r="100" ht="15.75" customHeight="1">
      <c r="A100" s="88" t="str">
        <f t="shared" si="63"/>
        <v> X 25 獎</v>
      </c>
      <c r="B100" s="6"/>
      <c r="C100" s="107">
        <f t="shared" ref="C100:D100" si="64">C145</f>
        <v>422.7038184</v>
      </c>
      <c r="D100" s="107">
        <f t="shared" si="64"/>
        <v>382.1127214</v>
      </c>
      <c r="E100" s="88" t="str">
        <f t="shared" si="65"/>
        <v> X 10 獎</v>
      </c>
      <c r="F100" s="6"/>
      <c r="G100" s="107">
        <f t="shared" ref="G100:H100" si="66">G145</f>
        <v>333.4825972</v>
      </c>
      <c r="H100" s="107">
        <f t="shared" si="66"/>
        <v>292.0499109</v>
      </c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</row>
    <row r="101" ht="15.75" customHeight="1">
      <c r="A101" s="88" t="str">
        <f t="shared" si="63"/>
        <v> X 10 獎</v>
      </c>
      <c r="B101" s="6"/>
      <c r="C101" s="107">
        <f t="shared" ref="C101:D101" si="67">C148</f>
        <v>162.0589719</v>
      </c>
      <c r="D101" s="107">
        <f t="shared" si="67"/>
        <v>167.4772714</v>
      </c>
      <c r="E101" s="88" t="str">
        <f t="shared" si="65"/>
        <v> X 5 獎</v>
      </c>
      <c r="F101" s="6"/>
      <c r="G101" s="107">
        <f t="shared" ref="G101:H101" si="68">G148</f>
        <v>164.1009205</v>
      </c>
      <c r="H101" s="107">
        <f t="shared" si="68"/>
        <v>169.6768848</v>
      </c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</row>
    <row r="102" ht="15.75" customHeight="1">
      <c r="A102" s="88" t="str">
        <f t="shared" si="63"/>
        <v> X 3 獎</v>
      </c>
      <c r="B102" s="6"/>
      <c r="C102" s="107">
        <f t="shared" ref="C102:D102" si="69">C151</f>
        <v>93.87013791</v>
      </c>
      <c r="D102" s="107">
        <f t="shared" si="69"/>
        <v>94.80087996</v>
      </c>
      <c r="E102" s="88" t="str">
        <f t="shared" si="65"/>
        <v> X 1 獎</v>
      </c>
      <c r="F102" s="6"/>
      <c r="G102" s="107">
        <f t="shared" ref="G102:H102" si="70">G151</f>
        <v>124.6688104</v>
      </c>
      <c r="H102" s="107">
        <f t="shared" si="70"/>
        <v>132.0659814</v>
      </c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</row>
    <row r="103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</row>
    <row r="104" ht="15.75" customHeight="1">
      <c r="A104" s="36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</row>
    <row r="105" ht="15.75" customHeight="1">
      <c r="A105" s="36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</row>
    <row r="106" ht="15.75" customHeight="1">
      <c r="A106" s="3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</row>
    <row r="107">
      <c r="A107" s="16" t="s">
        <v>61</v>
      </c>
      <c r="B107" s="17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ht="15.75" customHeight="1">
      <c r="A108" s="36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</row>
    <row r="109" ht="15.75" customHeight="1">
      <c r="A109" s="21" t="s">
        <v>62</v>
      </c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</row>
    <row r="110" ht="15.75" customHeight="1">
      <c r="A110" s="37" t="s">
        <v>28</v>
      </c>
      <c r="B110" s="38" t="s">
        <v>29</v>
      </c>
      <c r="C110" s="39">
        <v>0.0</v>
      </c>
      <c r="D110" s="39">
        <v>1.0</v>
      </c>
      <c r="E110" s="39">
        <v>2.0</v>
      </c>
      <c r="F110" s="39">
        <v>3.0</v>
      </c>
      <c r="G110" s="39">
        <v>4.0</v>
      </c>
      <c r="H110" s="39">
        <v>5.0</v>
      </c>
      <c r="I110" s="39">
        <v>6.0</v>
      </c>
      <c r="J110" s="39">
        <v>7.0</v>
      </c>
      <c r="K110" s="39">
        <v>8.0</v>
      </c>
      <c r="L110" s="39">
        <v>9.0</v>
      </c>
      <c r="M110" s="39">
        <v>10.0</v>
      </c>
      <c r="N110" s="39">
        <v>11.0</v>
      </c>
      <c r="O110" s="39">
        <v>12.0</v>
      </c>
      <c r="P110" s="39">
        <v>13.0</v>
      </c>
      <c r="Q110" s="39">
        <v>14.0</v>
      </c>
      <c r="R110" s="39">
        <v>15.0</v>
      </c>
      <c r="S110" s="43">
        <v>16.0</v>
      </c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</row>
    <row r="111" ht="15.75" customHeight="1">
      <c r="A111" s="108">
        <f t="shared" ref="A111:A119" si="72">SUM(C111:S111)*($B$10*$B$11+$C$10*$C$11+$D$10*$D$11)</f>
        <v>0.9530236816</v>
      </c>
      <c r="B111" s="45" t="s">
        <v>30</v>
      </c>
      <c r="C111" s="109">
        <f t="shared" ref="C111:S111" si="71">C16*C$6</f>
        <v>0.01525878906</v>
      </c>
      <c r="D111" s="110">
        <f t="shared" si="71"/>
        <v>0.03051757813</v>
      </c>
      <c r="E111" s="111">
        <f t="shared" si="71"/>
        <v>0.02259521484</v>
      </c>
      <c r="F111" s="111">
        <f t="shared" si="71"/>
        <v>0.1054443359</v>
      </c>
      <c r="G111" s="109">
        <f t="shared" si="71"/>
        <v>0.06109619141</v>
      </c>
      <c r="H111" s="109">
        <f t="shared" si="71"/>
        <v>0.07331542969</v>
      </c>
      <c r="I111" s="109">
        <f t="shared" si="71"/>
        <v>0.06109619141</v>
      </c>
      <c r="J111" s="109">
        <f t="shared" si="71"/>
        <v>0.05236816406</v>
      </c>
      <c r="K111" s="110">
        <f t="shared" si="71"/>
        <v>0</v>
      </c>
      <c r="L111" s="109">
        <f t="shared" si="71"/>
        <v>0.05236816406</v>
      </c>
      <c r="M111" s="109">
        <f t="shared" si="71"/>
        <v>0.06109619141</v>
      </c>
      <c r="N111" s="109">
        <f t="shared" si="71"/>
        <v>0.07331542969</v>
      </c>
      <c r="O111" s="109">
        <f t="shared" si="71"/>
        <v>0.06109619141</v>
      </c>
      <c r="P111" s="111">
        <f t="shared" si="71"/>
        <v>0.1054443359</v>
      </c>
      <c r="Q111" s="111">
        <f t="shared" si="71"/>
        <v>0.02259521484</v>
      </c>
      <c r="R111" s="110">
        <f t="shared" si="71"/>
        <v>0.03051757813</v>
      </c>
      <c r="S111" s="112">
        <f t="shared" si="71"/>
        <v>0.01525878906</v>
      </c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</row>
    <row r="112" ht="15.75" customHeight="1">
      <c r="A112" s="108">
        <f t="shared" si="72"/>
        <v>0.9551845032</v>
      </c>
      <c r="B112" s="53" t="s">
        <v>31</v>
      </c>
      <c r="C112" s="113">
        <f t="shared" ref="C112:S112" si="73">C17*C$6</f>
        <v>0.003051757813</v>
      </c>
      <c r="D112" s="113">
        <f t="shared" si="73"/>
        <v>0.0087890625</v>
      </c>
      <c r="E112" s="114">
        <f t="shared" si="73"/>
        <v>0.0204107666</v>
      </c>
      <c r="F112" s="114">
        <f t="shared" si="73"/>
        <v>0.09525024414</v>
      </c>
      <c r="G112" s="113">
        <f t="shared" si="73"/>
        <v>0.05554199219</v>
      </c>
      <c r="H112" s="113">
        <f t="shared" si="73"/>
        <v>0.08664550781</v>
      </c>
      <c r="I112" s="113">
        <f t="shared" si="73"/>
        <v>0.07331542969</v>
      </c>
      <c r="J112" s="113">
        <f t="shared" si="73"/>
        <v>0.06982421875</v>
      </c>
      <c r="K112" s="115">
        <f t="shared" si="73"/>
        <v>0.01963806152</v>
      </c>
      <c r="L112" s="113">
        <f t="shared" si="73"/>
        <v>0.06982421875</v>
      </c>
      <c r="M112" s="113">
        <f t="shared" si="73"/>
        <v>0.07331542969</v>
      </c>
      <c r="N112" s="113">
        <f t="shared" si="73"/>
        <v>0.08664550781</v>
      </c>
      <c r="O112" s="113">
        <f t="shared" si="73"/>
        <v>0.05554199219</v>
      </c>
      <c r="P112" s="114">
        <f t="shared" si="73"/>
        <v>0.09525024414</v>
      </c>
      <c r="Q112" s="114">
        <f t="shared" si="73"/>
        <v>0.0204107666</v>
      </c>
      <c r="R112" s="113">
        <f t="shared" si="73"/>
        <v>0.0087890625</v>
      </c>
      <c r="S112" s="116">
        <f t="shared" si="73"/>
        <v>0.003051757813</v>
      </c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</row>
    <row r="113" ht="15.75" customHeight="1">
      <c r="A113" s="117">
        <f t="shared" si="72"/>
        <v>0.9554169312</v>
      </c>
      <c r="B113" s="61" t="s">
        <v>32</v>
      </c>
      <c r="C113" s="118">
        <f t="shared" ref="C113:S113" si="74">C18*C$6</f>
        <v>0.0009155273438</v>
      </c>
      <c r="D113" s="118">
        <f t="shared" si="74"/>
        <v>0.00732421875</v>
      </c>
      <c r="E113" s="118">
        <f t="shared" si="74"/>
        <v>0.0146484375</v>
      </c>
      <c r="F113" s="118">
        <f t="shared" si="74"/>
        <v>0.02221679688</v>
      </c>
      <c r="G113" s="118">
        <f t="shared" si="74"/>
        <v>0.04443359375</v>
      </c>
      <c r="H113" s="118">
        <f t="shared" si="74"/>
        <v>0.08664550781</v>
      </c>
      <c r="I113" s="118">
        <f t="shared" si="74"/>
        <v>0.1221923828</v>
      </c>
      <c r="J113" s="118">
        <f t="shared" si="74"/>
        <v>0.1047363281</v>
      </c>
      <c r="K113" s="119">
        <f t="shared" si="74"/>
        <v>0.03927612305</v>
      </c>
      <c r="L113" s="118">
        <f t="shared" si="74"/>
        <v>0.1047363281</v>
      </c>
      <c r="M113" s="118">
        <f t="shared" si="74"/>
        <v>0.1221923828</v>
      </c>
      <c r="N113" s="118">
        <f t="shared" si="74"/>
        <v>0.08664550781</v>
      </c>
      <c r="O113" s="118">
        <f t="shared" si="74"/>
        <v>0.04443359375</v>
      </c>
      <c r="P113" s="118">
        <f t="shared" si="74"/>
        <v>0.02221679688</v>
      </c>
      <c r="Q113" s="118">
        <f t="shared" si="74"/>
        <v>0.0146484375</v>
      </c>
      <c r="R113" s="118">
        <f t="shared" si="74"/>
        <v>0.00732421875</v>
      </c>
      <c r="S113" s="120">
        <f t="shared" si="74"/>
        <v>0.0009155273438</v>
      </c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</row>
    <row r="114" ht="15.75" customHeight="1">
      <c r="A114" s="121">
        <f t="shared" si="72"/>
        <v>0.9404711914</v>
      </c>
      <c r="B114" s="45" t="s">
        <v>30</v>
      </c>
      <c r="C114" s="109">
        <f t="shared" ref="C114:S114" si="75">C19*C$6</f>
        <v>0.01525878906</v>
      </c>
      <c r="D114" s="110">
        <f t="shared" si="75"/>
        <v>0.03051757813</v>
      </c>
      <c r="E114" s="111">
        <f t="shared" si="75"/>
        <v>0.02259521484</v>
      </c>
      <c r="F114" s="111">
        <f t="shared" si="75"/>
        <v>0.1054443359</v>
      </c>
      <c r="G114" s="109">
        <f t="shared" si="75"/>
        <v>0.05554199219</v>
      </c>
      <c r="H114" s="109">
        <f t="shared" si="75"/>
        <v>0.07331542969</v>
      </c>
      <c r="I114" s="109">
        <f t="shared" si="75"/>
        <v>0.06109619141</v>
      </c>
      <c r="J114" s="109">
        <f t="shared" si="75"/>
        <v>0.05236816406</v>
      </c>
      <c r="K114" s="110">
        <f t="shared" si="75"/>
        <v>0</v>
      </c>
      <c r="L114" s="109">
        <f t="shared" si="75"/>
        <v>0.05236816406</v>
      </c>
      <c r="M114" s="109">
        <f t="shared" si="75"/>
        <v>0.06109619141</v>
      </c>
      <c r="N114" s="109">
        <f t="shared" si="75"/>
        <v>0.07331542969</v>
      </c>
      <c r="O114" s="109">
        <f t="shared" si="75"/>
        <v>0.05554199219</v>
      </c>
      <c r="P114" s="111">
        <f t="shared" si="75"/>
        <v>0.1054443359</v>
      </c>
      <c r="Q114" s="111">
        <f t="shared" si="75"/>
        <v>0.02259521484</v>
      </c>
      <c r="R114" s="110">
        <f t="shared" si="75"/>
        <v>0.03051757813</v>
      </c>
      <c r="S114" s="112">
        <f t="shared" si="75"/>
        <v>0.01525878906</v>
      </c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</row>
    <row r="115" ht="15.75" customHeight="1">
      <c r="A115" s="108">
        <f t="shared" si="72"/>
        <v>0.9401215149</v>
      </c>
      <c r="B115" s="53" t="s">
        <v>31</v>
      </c>
      <c r="C115" s="113">
        <f t="shared" ref="C115:S115" si="76">C20*C$6</f>
        <v>0.003051757813</v>
      </c>
      <c r="D115" s="113">
        <f t="shared" si="76"/>
        <v>0.0087890625</v>
      </c>
      <c r="E115" s="114">
        <f t="shared" si="76"/>
        <v>0.0204107666</v>
      </c>
      <c r="F115" s="114">
        <f t="shared" si="76"/>
        <v>0.09525024414</v>
      </c>
      <c r="G115" s="113">
        <f t="shared" si="76"/>
        <v>0.05554199219</v>
      </c>
      <c r="H115" s="113">
        <f t="shared" si="76"/>
        <v>0.07998046875</v>
      </c>
      <c r="I115" s="113">
        <f t="shared" si="76"/>
        <v>0.07331542969</v>
      </c>
      <c r="J115" s="113">
        <f t="shared" si="76"/>
        <v>0.06982421875</v>
      </c>
      <c r="K115" s="115">
        <f t="shared" si="76"/>
        <v>0.01963806152</v>
      </c>
      <c r="L115" s="113">
        <f t="shared" si="76"/>
        <v>0.06982421875</v>
      </c>
      <c r="M115" s="113">
        <f t="shared" si="76"/>
        <v>0.07331542969</v>
      </c>
      <c r="N115" s="113">
        <f t="shared" si="76"/>
        <v>0.07998046875</v>
      </c>
      <c r="O115" s="113">
        <f t="shared" si="76"/>
        <v>0.05554199219</v>
      </c>
      <c r="P115" s="114">
        <f t="shared" si="76"/>
        <v>0.09525024414</v>
      </c>
      <c r="Q115" s="114">
        <f t="shared" si="76"/>
        <v>0.0204107666</v>
      </c>
      <c r="R115" s="113">
        <f t="shared" si="76"/>
        <v>0.0087890625</v>
      </c>
      <c r="S115" s="116">
        <f t="shared" si="76"/>
        <v>0.003051757813</v>
      </c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</row>
    <row r="116" ht="15.75" customHeight="1">
      <c r="A116" s="117">
        <f t="shared" si="72"/>
        <v>0.9403539429</v>
      </c>
      <c r="B116" s="61" t="s">
        <v>32</v>
      </c>
      <c r="C116" s="118">
        <f t="shared" ref="C116:S116" si="77">C21*C$6</f>
        <v>0.0009155273438</v>
      </c>
      <c r="D116" s="118">
        <f t="shared" si="77"/>
        <v>0.00732421875</v>
      </c>
      <c r="E116" s="118">
        <f t="shared" si="77"/>
        <v>0.0146484375</v>
      </c>
      <c r="F116" s="118">
        <f t="shared" si="77"/>
        <v>0.02221679688</v>
      </c>
      <c r="G116" s="118">
        <f t="shared" si="77"/>
        <v>0.04443359375</v>
      </c>
      <c r="H116" s="118">
        <f t="shared" si="77"/>
        <v>0.07998046875</v>
      </c>
      <c r="I116" s="118">
        <f t="shared" si="77"/>
        <v>0.1221923828</v>
      </c>
      <c r="J116" s="118">
        <f t="shared" si="77"/>
        <v>0.1047363281</v>
      </c>
      <c r="K116" s="119">
        <f t="shared" si="77"/>
        <v>0.03927612305</v>
      </c>
      <c r="L116" s="118">
        <f t="shared" si="77"/>
        <v>0.1047363281</v>
      </c>
      <c r="M116" s="118">
        <f t="shared" si="77"/>
        <v>0.1221923828</v>
      </c>
      <c r="N116" s="118">
        <f t="shared" si="77"/>
        <v>0.07998046875</v>
      </c>
      <c r="O116" s="118">
        <f t="shared" si="77"/>
        <v>0.04443359375</v>
      </c>
      <c r="P116" s="118">
        <f t="shared" si="77"/>
        <v>0.02221679688</v>
      </c>
      <c r="Q116" s="118">
        <f t="shared" si="77"/>
        <v>0.0146484375</v>
      </c>
      <c r="R116" s="118">
        <f t="shared" si="77"/>
        <v>0.00732421875</v>
      </c>
      <c r="S116" s="120">
        <f t="shared" si="77"/>
        <v>0.0009155273438</v>
      </c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</row>
    <row r="117" ht="15.75" customHeight="1">
      <c r="A117" s="108">
        <f t="shared" si="72"/>
        <v>0.919131958</v>
      </c>
      <c r="B117" s="69" t="s">
        <v>30</v>
      </c>
      <c r="C117" s="109">
        <f t="shared" ref="C117:S117" si="78">C22*C$6</f>
        <v>0.01525878906</v>
      </c>
      <c r="D117" s="110">
        <f t="shared" si="78"/>
        <v>0.03051757813</v>
      </c>
      <c r="E117" s="111">
        <f t="shared" si="78"/>
        <v>0.02259521484</v>
      </c>
      <c r="F117" s="111">
        <f t="shared" si="78"/>
        <v>0.1054443359</v>
      </c>
      <c r="G117" s="109">
        <f t="shared" si="78"/>
        <v>0.0583190918</v>
      </c>
      <c r="H117" s="109">
        <f t="shared" si="78"/>
        <v>0.07331542969</v>
      </c>
      <c r="I117" s="109">
        <f t="shared" si="78"/>
        <v>0.04887695313</v>
      </c>
      <c r="J117" s="109">
        <f t="shared" si="78"/>
        <v>0.05236816406</v>
      </c>
      <c r="K117" s="110">
        <f t="shared" si="78"/>
        <v>0</v>
      </c>
      <c r="L117" s="109">
        <f t="shared" si="78"/>
        <v>0.05236816406</v>
      </c>
      <c r="M117" s="109">
        <f t="shared" si="78"/>
        <v>0.04887695313</v>
      </c>
      <c r="N117" s="109">
        <f t="shared" si="78"/>
        <v>0.07331542969</v>
      </c>
      <c r="O117" s="109">
        <f t="shared" si="78"/>
        <v>0.0583190918</v>
      </c>
      <c r="P117" s="111">
        <f t="shared" si="78"/>
        <v>0.1054443359</v>
      </c>
      <c r="Q117" s="111">
        <f t="shared" si="78"/>
        <v>0.02259521484</v>
      </c>
      <c r="R117" s="110">
        <f t="shared" si="78"/>
        <v>0.03051757813</v>
      </c>
      <c r="S117" s="112">
        <f t="shared" si="78"/>
        <v>0.01525878906</v>
      </c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</row>
    <row r="118" ht="15.75" customHeight="1">
      <c r="A118" s="108">
        <f t="shared" si="72"/>
        <v>0.9204789368</v>
      </c>
      <c r="B118" s="70" t="s">
        <v>31</v>
      </c>
      <c r="C118" s="113">
        <f t="shared" ref="C118:S118" si="79">C23*C$6</f>
        <v>0.003051757813</v>
      </c>
      <c r="D118" s="113">
        <f t="shared" si="79"/>
        <v>0.01342773438</v>
      </c>
      <c r="E118" s="114">
        <f t="shared" si="79"/>
        <v>0.0204107666</v>
      </c>
      <c r="F118" s="114">
        <f t="shared" si="79"/>
        <v>0.09525024414</v>
      </c>
      <c r="G118" s="113">
        <f t="shared" si="79"/>
        <v>0.05554199219</v>
      </c>
      <c r="H118" s="113">
        <f t="shared" si="79"/>
        <v>0.06665039063</v>
      </c>
      <c r="I118" s="113">
        <f t="shared" si="79"/>
        <v>0.07331542969</v>
      </c>
      <c r="J118" s="113">
        <f t="shared" si="79"/>
        <v>0.06982421875</v>
      </c>
      <c r="K118" s="115">
        <f t="shared" si="79"/>
        <v>0.01963806152</v>
      </c>
      <c r="L118" s="113">
        <f t="shared" si="79"/>
        <v>0.06982421875</v>
      </c>
      <c r="M118" s="113">
        <f t="shared" si="79"/>
        <v>0.07331542969</v>
      </c>
      <c r="N118" s="113">
        <f t="shared" si="79"/>
        <v>0.06665039063</v>
      </c>
      <c r="O118" s="113">
        <f t="shared" si="79"/>
        <v>0.05554199219</v>
      </c>
      <c r="P118" s="114">
        <f t="shared" si="79"/>
        <v>0.09525024414</v>
      </c>
      <c r="Q118" s="114">
        <f t="shared" si="79"/>
        <v>0.0204107666</v>
      </c>
      <c r="R118" s="113">
        <f t="shared" si="79"/>
        <v>0.01342773438</v>
      </c>
      <c r="S118" s="116">
        <f t="shared" si="79"/>
        <v>0.003051757813</v>
      </c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</row>
    <row r="119" ht="15.75" customHeight="1">
      <c r="A119" s="122">
        <f t="shared" si="72"/>
        <v>0.9190147095</v>
      </c>
      <c r="B119" s="72" t="s">
        <v>32</v>
      </c>
      <c r="C119" s="118">
        <f t="shared" ref="C119:S119" si="80">C24*C$6</f>
        <v>0.0009155273438</v>
      </c>
      <c r="D119" s="118">
        <f t="shared" si="80"/>
        <v>0.00732421875</v>
      </c>
      <c r="E119" s="118">
        <f t="shared" si="80"/>
        <v>0.0146484375</v>
      </c>
      <c r="F119" s="118">
        <f t="shared" si="80"/>
        <v>0.02221679688</v>
      </c>
      <c r="G119" s="118">
        <f t="shared" si="80"/>
        <v>0.04165649414</v>
      </c>
      <c r="H119" s="118">
        <f t="shared" si="80"/>
        <v>0.07331542969</v>
      </c>
      <c r="I119" s="118">
        <f t="shared" si="80"/>
        <v>0.1221923828</v>
      </c>
      <c r="J119" s="118">
        <f t="shared" si="80"/>
        <v>0.1047363281</v>
      </c>
      <c r="K119" s="119">
        <f t="shared" si="80"/>
        <v>0.03927612305</v>
      </c>
      <c r="L119" s="118">
        <f t="shared" si="80"/>
        <v>0.1047363281</v>
      </c>
      <c r="M119" s="118">
        <f t="shared" si="80"/>
        <v>0.1221923828</v>
      </c>
      <c r="N119" s="118">
        <f t="shared" si="80"/>
        <v>0.07331542969</v>
      </c>
      <c r="O119" s="118">
        <f t="shared" si="80"/>
        <v>0.04165649414</v>
      </c>
      <c r="P119" s="118">
        <f t="shared" si="80"/>
        <v>0.02221679688</v>
      </c>
      <c r="Q119" s="118">
        <f t="shared" si="80"/>
        <v>0.0146484375</v>
      </c>
      <c r="R119" s="118">
        <f t="shared" si="80"/>
        <v>0.00732421875</v>
      </c>
      <c r="S119" s="120">
        <f t="shared" si="80"/>
        <v>0.0009155273438</v>
      </c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</row>
    <row r="120" ht="15.75" customHeight="1">
      <c r="A120" s="36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</row>
    <row r="121" ht="15.75" customHeight="1">
      <c r="A121" s="21" t="s">
        <v>63</v>
      </c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</row>
    <row r="122" ht="15.75" customHeight="1">
      <c r="A122" s="23" t="s">
        <v>16</v>
      </c>
      <c r="B122" s="24" t="s">
        <v>17</v>
      </c>
      <c r="C122" s="24">
        <v>0.0</v>
      </c>
      <c r="D122" s="24">
        <v>1.0</v>
      </c>
      <c r="E122" s="24">
        <v>2.0</v>
      </c>
      <c r="F122" s="24">
        <v>3.0</v>
      </c>
      <c r="G122" s="24">
        <v>4.0</v>
      </c>
      <c r="H122" s="24">
        <v>5.0</v>
      </c>
      <c r="I122" s="24">
        <v>6.0</v>
      </c>
      <c r="J122" s="24">
        <v>7.0</v>
      </c>
      <c r="K122" s="24">
        <v>8.0</v>
      </c>
      <c r="L122" s="24">
        <v>9.0</v>
      </c>
      <c r="M122" s="24">
        <v>10.0</v>
      </c>
      <c r="N122" s="24">
        <v>11.0</v>
      </c>
      <c r="O122" s="24">
        <v>12.0</v>
      </c>
      <c r="P122" s="24">
        <v>13.0</v>
      </c>
      <c r="Q122" s="24">
        <v>14.0</v>
      </c>
      <c r="R122" s="24">
        <v>15.0</v>
      </c>
      <c r="S122" s="24">
        <v>16.0</v>
      </c>
      <c r="T122" s="20"/>
      <c r="U122" s="24"/>
      <c r="V122" s="25" t="s">
        <v>18</v>
      </c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</row>
    <row r="123" ht="15.75" customHeight="1">
      <c r="A123" s="123"/>
      <c r="B123" s="25" t="s">
        <v>64</v>
      </c>
      <c r="C123" s="124">
        <f t="shared" ref="C123:S123" si="81">1/C6</f>
        <v>65536</v>
      </c>
      <c r="D123" s="124">
        <f t="shared" si="81"/>
        <v>4096</v>
      </c>
      <c r="E123" s="124">
        <f t="shared" si="81"/>
        <v>546.1333333</v>
      </c>
      <c r="F123" s="124">
        <f t="shared" si="81"/>
        <v>117.0285714</v>
      </c>
      <c r="G123" s="124">
        <f t="shared" si="81"/>
        <v>36.00879121</v>
      </c>
      <c r="H123" s="124">
        <f t="shared" si="81"/>
        <v>15.003663</v>
      </c>
      <c r="I123" s="124">
        <f t="shared" si="81"/>
        <v>8.183816184</v>
      </c>
      <c r="J123" s="124">
        <f t="shared" si="81"/>
        <v>5.728671329</v>
      </c>
      <c r="K123" s="124">
        <f t="shared" si="81"/>
        <v>5.092152292</v>
      </c>
      <c r="L123" s="124">
        <f t="shared" si="81"/>
        <v>5.728671329</v>
      </c>
      <c r="M123" s="124">
        <f t="shared" si="81"/>
        <v>8.183816184</v>
      </c>
      <c r="N123" s="124">
        <f t="shared" si="81"/>
        <v>15.003663</v>
      </c>
      <c r="O123" s="124">
        <f t="shared" si="81"/>
        <v>36.00879121</v>
      </c>
      <c r="P123" s="124">
        <f t="shared" si="81"/>
        <v>117.0285714</v>
      </c>
      <c r="Q123" s="124">
        <f t="shared" si="81"/>
        <v>546.1333333</v>
      </c>
      <c r="R123" s="124">
        <f t="shared" si="81"/>
        <v>4096</v>
      </c>
      <c r="S123" s="124">
        <f t="shared" si="81"/>
        <v>65536</v>
      </c>
      <c r="U123" s="25" t="s">
        <v>22</v>
      </c>
      <c r="V123" s="124">
        <f>sum(C123:S123)</f>
        <v>140725.2658</v>
      </c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</row>
    <row r="124" ht="26.25" customHeight="1">
      <c r="A124" s="123"/>
      <c r="B124" s="25" t="s">
        <v>65</v>
      </c>
      <c r="C124" s="124">
        <f t="shared" ref="C124:S124" si="82">C123/2</f>
        <v>32768</v>
      </c>
      <c r="D124" s="124">
        <f t="shared" si="82"/>
        <v>2048</v>
      </c>
      <c r="E124" s="124">
        <f t="shared" si="82"/>
        <v>273.0666667</v>
      </c>
      <c r="F124" s="124">
        <f t="shared" si="82"/>
        <v>58.51428571</v>
      </c>
      <c r="G124" s="124">
        <f t="shared" si="82"/>
        <v>18.0043956</v>
      </c>
      <c r="H124" s="124">
        <f t="shared" si="82"/>
        <v>7.501831502</v>
      </c>
      <c r="I124" s="124">
        <f t="shared" si="82"/>
        <v>4.091908092</v>
      </c>
      <c r="J124" s="124">
        <f t="shared" si="82"/>
        <v>2.864335664</v>
      </c>
      <c r="K124" s="124">
        <f t="shared" si="82"/>
        <v>2.546076146</v>
      </c>
      <c r="L124" s="124">
        <f t="shared" si="82"/>
        <v>2.864335664</v>
      </c>
      <c r="M124" s="124">
        <f t="shared" si="82"/>
        <v>4.091908092</v>
      </c>
      <c r="N124" s="124">
        <f t="shared" si="82"/>
        <v>7.501831502</v>
      </c>
      <c r="O124" s="124">
        <f t="shared" si="82"/>
        <v>18.0043956</v>
      </c>
      <c r="P124" s="124">
        <f t="shared" si="82"/>
        <v>58.51428571</v>
      </c>
      <c r="Q124" s="124">
        <f t="shared" si="82"/>
        <v>273.0666667</v>
      </c>
      <c r="R124" s="124">
        <f t="shared" si="82"/>
        <v>2048</v>
      </c>
      <c r="S124" s="124">
        <f t="shared" si="82"/>
        <v>32768</v>
      </c>
      <c r="U124" s="25"/>
      <c r="V124" s="12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</row>
    <row r="125" ht="15.75" customHeight="1">
      <c r="A125" s="36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</row>
    <row r="126" ht="15.75" customHeight="1">
      <c r="A126" s="125" t="s">
        <v>66</v>
      </c>
      <c r="D126" s="126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</row>
    <row r="127" ht="15.75" customHeight="1">
      <c r="A127" s="127" t="s">
        <v>48</v>
      </c>
      <c r="B127" s="6"/>
      <c r="C127" s="128" t="s">
        <v>18</v>
      </c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</row>
    <row r="128" ht="15.75" customHeight="1">
      <c r="A128" s="129" t="s">
        <v>67</v>
      </c>
      <c r="B128" s="12"/>
      <c r="C128" s="130">
        <f>((E6+F6)*2)</f>
        <v>0.02075195313</v>
      </c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</row>
    <row r="129" ht="15.75" customHeight="1">
      <c r="A129" s="129" t="s">
        <v>68</v>
      </c>
      <c r="B129" s="12"/>
      <c r="C129" s="131">
        <f>1/((E6+F6)*2)</f>
        <v>48.18823529</v>
      </c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</row>
    <row r="130" ht="15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</row>
    <row r="131" ht="15.75" customHeight="1">
      <c r="A131" s="132" t="s">
        <v>69</v>
      </c>
      <c r="B131" s="132"/>
      <c r="C131" s="132"/>
      <c r="D131" s="132"/>
      <c r="E131" s="132"/>
      <c r="F131" s="132"/>
      <c r="G131" s="132"/>
      <c r="H131" s="132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</row>
    <row r="132" ht="15.75" customHeight="1">
      <c r="A132" s="77" t="s">
        <v>40</v>
      </c>
      <c r="B132" s="6"/>
      <c r="C132" s="77" t="s">
        <v>30</v>
      </c>
      <c r="D132" s="6"/>
      <c r="E132" s="77" t="s">
        <v>40</v>
      </c>
      <c r="F132" s="6"/>
      <c r="G132" s="77" t="s">
        <v>31</v>
      </c>
      <c r="H132" s="6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</row>
    <row r="133" ht="15.75" customHeight="1">
      <c r="A133" s="133" t="s">
        <v>48</v>
      </c>
      <c r="B133" s="6"/>
      <c r="C133" s="134" t="s">
        <v>57</v>
      </c>
      <c r="D133" s="128" t="s">
        <v>58</v>
      </c>
      <c r="E133" s="133" t="s">
        <v>48</v>
      </c>
      <c r="F133" s="6"/>
      <c r="G133" s="134" t="s">
        <v>57</v>
      </c>
      <c r="H133" s="128" t="s">
        <v>58</v>
      </c>
      <c r="I133" s="81"/>
      <c r="J133" s="133" t="s">
        <v>70</v>
      </c>
      <c r="K133" s="6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</row>
    <row r="134" ht="15.75" customHeight="1">
      <c r="A134" s="135" t="str">
        <f>"開"&amp;A36&amp;"機率"</f>
        <v>開Super JP / X 200 獎機率</v>
      </c>
      <c r="B134" s="12"/>
      <c r="C134" s="136">
        <f t="shared" ref="C134:D134" si="83">C46/SUM(C$46:C$51)</f>
        <v>0.0022</v>
      </c>
      <c r="D134" s="136">
        <f t="shared" si="83"/>
        <v>0.00255</v>
      </c>
      <c r="E134" s="135" t="str">
        <f>"開"&amp;E36&amp;"機率"</f>
        <v>開Super JP / X 100 獎機率</v>
      </c>
      <c r="F134" s="12"/>
      <c r="G134" s="136">
        <f t="shared" ref="G134:H134" si="84">G46/SUM(G$46:G$51)</f>
        <v>0.02312</v>
      </c>
      <c r="H134" s="136">
        <f t="shared" si="84"/>
        <v>0.02312</v>
      </c>
      <c r="I134" s="81"/>
      <c r="J134" s="135" t="s">
        <v>71</v>
      </c>
      <c r="K134" s="12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</row>
    <row r="135" ht="15.75" customHeight="1">
      <c r="A135" s="129" t="s">
        <v>72</v>
      </c>
      <c r="B135" s="12"/>
      <c r="C135" s="137">
        <f t="shared" ref="C135:D135" si="85">1/C134</f>
        <v>454.5454545</v>
      </c>
      <c r="D135" s="137">
        <f t="shared" si="85"/>
        <v>392.1568627</v>
      </c>
      <c r="E135" s="129" t="s">
        <v>72</v>
      </c>
      <c r="F135" s="12"/>
      <c r="G135" s="137">
        <f t="shared" ref="G135:H135" si="86">1/G134</f>
        <v>43.25259516</v>
      </c>
      <c r="H135" s="137">
        <f t="shared" si="86"/>
        <v>43.25259516</v>
      </c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</row>
    <row r="136" ht="15.75" customHeight="1">
      <c r="A136" s="135" t="s">
        <v>64</v>
      </c>
      <c r="B136" s="12"/>
      <c r="C136" s="137">
        <f t="shared" ref="C136:D136" si="87">C135*$C$129</f>
        <v>21903.74332</v>
      </c>
      <c r="D136" s="137">
        <f t="shared" si="87"/>
        <v>18897.34717</v>
      </c>
      <c r="E136" s="135" t="s">
        <v>64</v>
      </c>
      <c r="F136" s="12"/>
      <c r="G136" s="137">
        <f t="shared" ref="G136:H136" si="88">G135*$C$129</f>
        <v>2084.266232</v>
      </c>
      <c r="H136" s="137">
        <f t="shared" si="88"/>
        <v>2084.266232</v>
      </c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</row>
    <row r="137" ht="15.75" customHeight="1">
      <c r="A137" s="135" t="str">
        <f>"開"&amp;A37&amp;"機率"</f>
        <v>開Lucky JP / X 100 獎機率</v>
      </c>
      <c r="B137" s="12"/>
      <c r="C137" s="136">
        <f t="shared" ref="C137:D137" si="89">C47/SUM(C$46:C$51)</f>
        <v>0.0091</v>
      </c>
      <c r="D137" s="136">
        <f t="shared" si="89"/>
        <v>0.0102</v>
      </c>
      <c r="E137" s="135" t="str">
        <f>"開"&amp;E37&amp;"機率"</f>
        <v>開Lucky JP / X 50 獎機率</v>
      </c>
      <c r="F137" s="12"/>
      <c r="G137" s="136">
        <f t="shared" ref="G137:H137" si="90">G47/SUM(G$46:G$51)</f>
        <v>0.05215</v>
      </c>
      <c r="H137" s="136">
        <f t="shared" si="90"/>
        <v>0.053</v>
      </c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</row>
    <row r="138" ht="15.75" customHeight="1">
      <c r="A138" s="129" t="s">
        <v>72</v>
      </c>
      <c r="B138" s="12"/>
      <c r="C138" s="137">
        <f t="shared" ref="C138:D138" si="91">1/C137</f>
        <v>109.8901099</v>
      </c>
      <c r="D138" s="137">
        <f t="shared" si="91"/>
        <v>98.03921569</v>
      </c>
      <c r="E138" s="129" t="s">
        <v>72</v>
      </c>
      <c r="F138" s="12"/>
      <c r="G138" s="137">
        <f t="shared" ref="G138:H138" si="92">1/G137</f>
        <v>19.17545542</v>
      </c>
      <c r="H138" s="137">
        <f t="shared" si="92"/>
        <v>18.86792453</v>
      </c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</row>
    <row r="139" ht="15.75" customHeight="1">
      <c r="A139" s="135" t="s">
        <v>64</v>
      </c>
      <c r="B139" s="12"/>
      <c r="C139" s="137">
        <f t="shared" ref="C139:D139" si="93">C138*$C$129</f>
        <v>5295.410472</v>
      </c>
      <c r="D139" s="137">
        <f t="shared" si="93"/>
        <v>4724.336794</v>
      </c>
      <c r="E139" s="135" t="s">
        <v>64</v>
      </c>
      <c r="F139" s="12"/>
      <c r="G139" s="137">
        <f t="shared" ref="G139:H139" si="94">G138*$C$129</f>
        <v>924.0313575</v>
      </c>
      <c r="H139" s="137">
        <f t="shared" si="94"/>
        <v>909.2119867</v>
      </c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</row>
    <row r="140" ht="15.75" customHeight="1">
      <c r="A140" s="135" t="str">
        <f>"開"&amp;A38&amp;"機率"</f>
        <v>開 X 50 獎機率</v>
      </c>
      <c r="B140" s="12"/>
      <c r="C140" s="136">
        <f t="shared" ref="C140:D140" si="95">C48/SUM(C$46:C$51)</f>
        <v>0.064</v>
      </c>
      <c r="D140" s="136">
        <f t="shared" si="95"/>
        <v>0.0651</v>
      </c>
      <c r="E140" s="135" t="str">
        <f>"開"&amp;E38&amp;"機率"</f>
        <v>開 X 25 獎機率</v>
      </c>
      <c r="F140" s="12"/>
      <c r="G140" s="136">
        <f t="shared" ref="G140:H140" si="96">G48/SUM(G$46:G$51)</f>
        <v>0.10005</v>
      </c>
      <c r="H140" s="136">
        <f t="shared" si="96"/>
        <v>0.11</v>
      </c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</row>
    <row r="141" ht="15.75" customHeight="1">
      <c r="A141" s="129" t="s">
        <v>72</v>
      </c>
      <c r="B141" s="12"/>
      <c r="C141" s="137">
        <f t="shared" ref="C141:D141" si="97">1/C140</f>
        <v>15.625</v>
      </c>
      <c r="D141" s="137">
        <f t="shared" si="97"/>
        <v>15.3609831</v>
      </c>
      <c r="E141" s="129" t="s">
        <v>72</v>
      </c>
      <c r="F141" s="12"/>
      <c r="G141" s="137">
        <f t="shared" ref="G141:H141" si="98">1/G140</f>
        <v>9.995002499</v>
      </c>
      <c r="H141" s="137">
        <f t="shared" si="98"/>
        <v>9.090909091</v>
      </c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</row>
    <row r="142" ht="15.75" customHeight="1">
      <c r="A142" s="135" t="s">
        <v>64</v>
      </c>
      <c r="B142" s="12"/>
      <c r="C142" s="137">
        <f t="shared" ref="C142:D142" si="99">C141*$C$129</f>
        <v>752.9411765</v>
      </c>
      <c r="D142" s="137">
        <f t="shared" si="99"/>
        <v>740.2186681</v>
      </c>
      <c r="E142" s="135" t="s">
        <v>64</v>
      </c>
      <c r="F142" s="12"/>
      <c r="G142" s="137">
        <f t="shared" ref="G142:H142" si="100">G141*$C$129</f>
        <v>481.6415322</v>
      </c>
      <c r="H142" s="137">
        <f t="shared" si="100"/>
        <v>438.0748663</v>
      </c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</row>
    <row r="143" ht="15.75" customHeight="1">
      <c r="A143" s="135" t="str">
        <f>"開"&amp;A39&amp;"機率"</f>
        <v>開 X 25 獎機率</v>
      </c>
      <c r="B143" s="12"/>
      <c r="C143" s="136">
        <f t="shared" ref="C143:D143" si="101">C49/SUM(C$46:C$51)</f>
        <v>0.114</v>
      </c>
      <c r="D143" s="136">
        <f t="shared" si="101"/>
        <v>0.12611</v>
      </c>
      <c r="E143" s="135" t="str">
        <f>"開"&amp;E39&amp;"機率"</f>
        <v>開 X 10 獎機率</v>
      </c>
      <c r="F143" s="12"/>
      <c r="G143" s="136">
        <f t="shared" ref="G143:H143" si="102">G49/SUM(G$46:G$51)</f>
        <v>0.1445</v>
      </c>
      <c r="H143" s="136">
        <f t="shared" si="102"/>
        <v>0.165</v>
      </c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</row>
    <row r="144" ht="15.75" customHeight="1">
      <c r="A144" s="129" t="s">
        <v>72</v>
      </c>
      <c r="B144" s="12"/>
      <c r="C144" s="137">
        <f t="shared" ref="C144:D144" si="103">1/C143</f>
        <v>8.771929825</v>
      </c>
      <c r="D144" s="137">
        <f t="shared" si="103"/>
        <v>7.929585283</v>
      </c>
      <c r="E144" s="129" t="s">
        <v>72</v>
      </c>
      <c r="F144" s="12"/>
      <c r="G144" s="137">
        <f t="shared" ref="G144:H144" si="104">1/G143</f>
        <v>6.920415225</v>
      </c>
      <c r="H144" s="137">
        <f t="shared" si="104"/>
        <v>6.060606061</v>
      </c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</row>
    <row r="145" ht="15.75" customHeight="1">
      <c r="A145" s="135" t="s">
        <v>64</v>
      </c>
      <c r="B145" s="12"/>
      <c r="C145" s="137">
        <f t="shared" ref="C145:D145" si="105">C144*$C$129</f>
        <v>422.7038184</v>
      </c>
      <c r="D145" s="137">
        <f t="shared" si="105"/>
        <v>382.1127214</v>
      </c>
      <c r="E145" s="135" t="s">
        <v>64</v>
      </c>
      <c r="F145" s="12"/>
      <c r="G145" s="137">
        <f t="shared" ref="G145:H145" si="106">G144*$C$129</f>
        <v>333.4825972</v>
      </c>
      <c r="H145" s="137">
        <f t="shared" si="106"/>
        <v>292.0499109</v>
      </c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</row>
    <row r="146" ht="15.75" customHeight="1">
      <c r="A146" s="135" t="str">
        <f>"開"&amp;A40&amp;"機率"</f>
        <v>開 X 10 獎機率</v>
      </c>
      <c r="B146" s="12"/>
      <c r="C146" s="136">
        <f t="shared" ref="C146:D146" si="107">C50/SUM(C$46:C$51)</f>
        <v>0.29735</v>
      </c>
      <c r="D146" s="136">
        <f t="shared" si="107"/>
        <v>0.28773</v>
      </c>
      <c r="E146" s="135" t="str">
        <f>"開"&amp;E40&amp;"機率"</f>
        <v>開 X 5 獎機率</v>
      </c>
      <c r="F146" s="12"/>
      <c r="G146" s="136">
        <f t="shared" ref="G146:H146" si="108">G50/SUM(G$46:G$51)</f>
        <v>0.29365</v>
      </c>
      <c r="H146" s="136">
        <f t="shared" si="108"/>
        <v>0.284</v>
      </c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</row>
    <row r="147" ht="15.75" customHeight="1">
      <c r="A147" s="129" t="s">
        <v>72</v>
      </c>
      <c r="B147" s="12"/>
      <c r="C147" s="137">
        <f t="shared" ref="C147:D147" si="109">1/C146</f>
        <v>3.363040188</v>
      </c>
      <c r="D147" s="137">
        <f t="shared" si="109"/>
        <v>3.475480485</v>
      </c>
      <c r="E147" s="129" t="s">
        <v>72</v>
      </c>
      <c r="F147" s="12"/>
      <c r="G147" s="137">
        <f t="shared" ref="G147:H147" si="110">1/G146</f>
        <v>3.405414609</v>
      </c>
      <c r="H147" s="137">
        <f t="shared" si="110"/>
        <v>3.521126761</v>
      </c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</row>
    <row r="148" ht="15.75" customHeight="1">
      <c r="A148" s="135" t="s">
        <v>64</v>
      </c>
      <c r="B148" s="12"/>
      <c r="C148" s="137">
        <f t="shared" ref="C148:D148" si="111">C147*$C$129</f>
        <v>162.0589719</v>
      </c>
      <c r="D148" s="137">
        <f t="shared" si="111"/>
        <v>167.4772714</v>
      </c>
      <c r="E148" s="135" t="s">
        <v>64</v>
      </c>
      <c r="F148" s="12"/>
      <c r="G148" s="137">
        <f t="shared" ref="G148:H148" si="112">G147*$C$129</f>
        <v>164.1009205</v>
      </c>
      <c r="H148" s="137">
        <f t="shared" si="112"/>
        <v>169.6768848</v>
      </c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</row>
    <row r="149" ht="15.75" customHeight="1">
      <c r="A149" s="135" t="str">
        <f>"開"&amp;A41&amp;"機率"</f>
        <v>開 X 3 獎機率</v>
      </c>
      <c r="B149" s="12"/>
      <c r="C149" s="136">
        <f t="shared" ref="C149:D149" si="113">C51/SUM(C$46:C$51)</f>
        <v>0.51335</v>
      </c>
      <c r="D149" s="136">
        <f t="shared" si="113"/>
        <v>0.50831</v>
      </c>
      <c r="E149" s="135" t="str">
        <f>"開"&amp;E41&amp;"機率"</f>
        <v>開 X 1 獎機率</v>
      </c>
      <c r="F149" s="12"/>
      <c r="G149" s="136">
        <f t="shared" ref="G149:H149" si="114">G51/SUM(G$46:G$51)</f>
        <v>0.38653</v>
      </c>
      <c r="H149" s="136">
        <f t="shared" si="114"/>
        <v>0.36488</v>
      </c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</row>
    <row r="150" ht="15.75" customHeight="1">
      <c r="A150" s="129" t="s">
        <v>72</v>
      </c>
      <c r="B150" s="12"/>
      <c r="C150" s="137">
        <f t="shared" ref="C150:D150" si="115">1/C149</f>
        <v>1.947988702</v>
      </c>
      <c r="D150" s="137">
        <f t="shared" si="115"/>
        <v>1.967303417</v>
      </c>
      <c r="E150" s="129" t="s">
        <v>72</v>
      </c>
      <c r="F150" s="12"/>
      <c r="G150" s="137">
        <f t="shared" ref="G150:H150" si="116">1/G149</f>
        <v>2.58712131</v>
      </c>
      <c r="H150" s="137">
        <f t="shared" si="116"/>
        <v>2.740627055</v>
      </c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</row>
    <row r="151" ht="15.75" customHeight="1">
      <c r="A151" s="135" t="s">
        <v>64</v>
      </c>
      <c r="B151" s="12"/>
      <c r="C151" s="137">
        <f t="shared" ref="C151:D151" si="117">C150*$C$129</f>
        <v>93.87013791</v>
      </c>
      <c r="D151" s="137">
        <f t="shared" si="117"/>
        <v>94.80087996</v>
      </c>
      <c r="E151" s="135" t="s">
        <v>64</v>
      </c>
      <c r="F151" s="12"/>
      <c r="G151" s="137">
        <f t="shared" ref="G151:H151" si="118">G150*$C$129</f>
        <v>124.6688104</v>
      </c>
      <c r="H151" s="137">
        <f t="shared" si="118"/>
        <v>132.0659814</v>
      </c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</row>
    <row r="152" ht="15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</row>
    <row r="153" ht="15.75" customHeight="1">
      <c r="A153" s="132" t="s">
        <v>73</v>
      </c>
      <c r="B153" s="132"/>
      <c r="C153" s="132"/>
      <c r="D153" s="132"/>
      <c r="E153" s="132"/>
      <c r="F153" s="132"/>
      <c r="G153" s="132"/>
      <c r="H153" s="132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</row>
    <row r="154" ht="15.75" customHeight="1">
      <c r="A154" s="77" t="s">
        <v>40</v>
      </c>
      <c r="B154" s="6"/>
      <c r="C154" s="77" t="s">
        <v>30</v>
      </c>
      <c r="D154" s="6"/>
      <c r="E154" s="77" t="s">
        <v>40</v>
      </c>
      <c r="F154" s="6"/>
      <c r="G154" s="77" t="s">
        <v>31</v>
      </c>
      <c r="H154" s="6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</row>
    <row r="155" ht="15.75" customHeight="1">
      <c r="A155" s="133" t="s">
        <v>48</v>
      </c>
      <c r="B155" s="6"/>
      <c r="C155" s="134" t="s">
        <v>57</v>
      </c>
      <c r="D155" s="128" t="s">
        <v>58</v>
      </c>
      <c r="E155" s="133" t="s">
        <v>48</v>
      </c>
      <c r="F155" s="6"/>
      <c r="G155" s="134" t="s">
        <v>57</v>
      </c>
      <c r="H155" s="128" t="s">
        <v>58</v>
      </c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</row>
    <row r="156" ht="30.0" customHeight="1">
      <c r="A156" s="138" t="s">
        <v>74</v>
      </c>
      <c r="B156" s="6"/>
      <c r="C156" s="139">
        <f>$C$129*C30</f>
        <v>0.4818823529</v>
      </c>
      <c r="D156" s="140">
        <v>0.0</v>
      </c>
      <c r="E156" s="138" t="s">
        <v>74</v>
      </c>
      <c r="F156" s="6"/>
      <c r="G156" s="139">
        <f>$C$129*C30</f>
        <v>0.4818823529</v>
      </c>
      <c r="H156" s="140">
        <v>0.0</v>
      </c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</row>
    <row r="157" ht="30.0" customHeight="1">
      <c r="A157" s="135" t="s">
        <v>75</v>
      </c>
      <c r="B157" s="12"/>
      <c r="C157" s="141">
        <f>IF((C137+C134)=0,0,
1/(C137+C134)*C156)</f>
        <v>42.64445601</v>
      </c>
      <c r="D157" s="140">
        <v>0.0</v>
      </c>
      <c r="E157" s="135" t="s">
        <v>75</v>
      </c>
      <c r="F157" s="12"/>
      <c r="G157" s="141">
        <f>IF((G137+G134)=0,0,
1/(G137+G134)*G156)</f>
        <v>6.402050657</v>
      </c>
      <c r="H157" s="140">
        <v>0.0</v>
      </c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</row>
    <row r="158" ht="30.0" customHeight="1">
      <c r="A158" s="135" t="s">
        <v>76</v>
      </c>
      <c r="B158" s="12"/>
      <c r="C158" s="142">
        <f>if(SUM($C$46:$C$47)=0,0,
(C36/SUM($C$46:$C$47)*C46)
+(C37/SUM($C$46:$C$47)*C47)
)</f>
        <v>0.1778761062</v>
      </c>
      <c r="D158" s="140">
        <v>0.0</v>
      </c>
      <c r="E158" s="135" t="s">
        <v>76</v>
      </c>
      <c r="F158" s="12"/>
      <c r="G158" s="142">
        <f>if(SUM($C$46:$C$47)=0,0,
(G36/SUM($C$46:$C$47)*G46)
+(G37/SUM($C$46:$C$47)*G47)
)</f>
        <v>0.7422566372</v>
      </c>
      <c r="H158" s="140">
        <v>0.0</v>
      </c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</row>
    <row r="159" ht="30.0" customHeight="1">
      <c r="A159" s="135" t="s">
        <v>77</v>
      </c>
      <c r="B159" s="12"/>
      <c r="C159" s="143">
        <f>C158*C157</f>
        <v>7.585429786</v>
      </c>
      <c r="D159" s="140">
        <v>0.0</v>
      </c>
      <c r="E159" s="135" t="s">
        <v>77</v>
      </c>
      <c r="F159" s="12"/>
      <c r="G159" s="143">
        <f t="shared" ref="G159:H159" si="119">G158*G157</f>
        <v>4.751964592</v>
      </c>
      <c r="H159" s="143">
        <f t="shared" si="119"/>
        <v>0</v>
      </c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</row>
    <row r="160" ht="30.0" customHeight="1">
      <c r="A160" s="135" t="s">
        <v>78</v>
      </c>
      <c r="B160" s="12"/>
      <c r="C160" s="144">
        <f>IF(SUM(C$46:C$47)=0,0,
((C46/SUM(C$46:C$47)*D36)
+(C47/SUM(C$46:C$47)*D37))
*($B$10*$B$11+$C$10*$C$11+$D$10*$D$11))</f>
        <v>135</v>
      </c>
      <c r="D160" s="144">
        <f>IF(SUM(D$46:D$47)=0,0,
((D46/SUM(D$46:D$47)*D36)
+(D47/SUM(D$46:D$47)*D37))
*($B$10*$B$11+$C$10*$C$11+$D$10*$D$11))</f>
        <v>135.6</v>
      </c>
      <c r="E160" s="135" t="s">
        <v>78</v>
      </c>
      <c r="F160" s="12"/>
      <c r="G160" s="144">
        <f>IF(SUM(G$46:G$47)=0,0,
((G46/SUM(G$46:G$47)*H36)
+(G47/SUM(G$46:G$47)*H37))
*($B$10*$B$11+$C$10*$C$11+$D$10*$D$11))</f>
        <v>73.85459014</v>
      </c>
      <c r="H160" s="144">
        <f>IF(SUM(H$46:H$47)=0,0,
((H46/SUM(H$46:H$47)*H36)
+(H47/SUM(H$46:H$47)*H37))
*($B$10*$B$11+$C$10*$C$11+$D$10*$D$11))</f>
        <v>73.66079874</v>
      </c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</row>
    <row r="161" ht="15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</row>
    <row r="162" ht="15.75" customHeight="1">
      <c r="A162" s="132" t="s">
        <v>79</v>
      </c>
      <c r="B162" s="132"/>
      <c r="C162" s="132"/>
      <c r="D162" s="132"/>
      <c r="E162" s="132"/>
      <c r="F162" s="132"/>
      <c r="G162" s="132"/>
      <c r="H162" s="132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</row>
    <row r="163" ht="15.75" customHeight="1">
      <c r="A163" s="77" t="s">
        <v>40</v>
      </c>
      <c r="B163" s="6"/>
      <c r="C163" s="77" t="s">
        <v>30</v>
      </c>
      <c r="D163" s="6"/>
      <c r="E163" s="77" t="s">
        <v>40</v>
      </c>
      <c r="F163" s="6"/>
      <c r="G163" s="77" t="s">
        <v>31</v>
      </c>
      <c r="H163" s="6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</row>
    <row r="164" ht="15.75" customHeight="1">
      <c r="A164" s="133" t="s">
        <v>48</v>
      </c>
      <c r="B164" s="6"/>
      <c r="C164" s="145" t="s">
        <v>57</v>
      </c>
      <c r="D164" s="145" t="s">
        <v>58</v>
      </c>
      <c r="E164" s="133" t="s">
        <v>48</v>
      </c>
      <c r="F164" s="6"/>
      <c r="G164" s="145" t="s">
        <v>57</v>
      </c>
      <c r="H164" s="145" t="s">
        <v>58</v>
      </c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</row>
    <row r="165" ht="15.75" customHeight="1">
      <c r="A165" s="146" t="s">
        <v>80</v>
      </c>
      <c r="B165" s="6"/>
      <c r="C165" s="147">
        <f t="shared" ref="C165:D165" si="120">C134+C137</f>
        <v>0.0113</v>
      </c>
      <c r="D165" s="147">
        <f t="shared" si="120"/>
        <v>0.01275</v>
      </c>
      <c r="E165" s="146" t="s">
        <v>80</v>
      </c>
      <c r="F165" s="6"/>
      <c r="G165" s="147">
        <f t="shared" ref="G165:H165" si="121">G134+G137</f>
        <v>0.07527</v>
      </c>
      <c r="H165" s="147">
        <f t="shared" si="121"/>
        <v>0.07612</v>
      </c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</row>
    <row r="166" ht="15.75" customHeight="1">
      <c r="A166" s="146" t="s">
        <v>81</v>
      </c>
      <c r="B166" s="6"/>
      <c r="C166" s="144">
        <f t="shared" ref="C166:D166" si="122">C159+C160</f>
        <v>142.5854298</v>
      </c>
      <c r="D166" s="144">
        <f t="shared" si="122"/>
        <v>135.6</v>
      </c>
      <c r="E166" s="146" t="s">
        <v>81</v>
      </c>
      <c r="F166" s="6"/>
      <c r="G166" s="144">
        <f t="shared" ref="G166:H166" si="123">G159+G160</f>
        <v>78.60655473</v>
      </c>
      <c r="H166" s="144">
        <f t="shared" si="123"/>
        <v>73.66079874</v>
      </c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</row>
    <row r="167" ht="15.75" customHeight="1">
      <c r="A167" s="146" t="s">
        <v>82</v>
      </c>
      <c r="B167" s="6"/>
      <c r="C167" s="147">
        <f t="shared" ref="C167:D167" si="124">C140+C143+C146+C149</f>
        <v>0.9887</v>
      </c>
      <c r="D167" s="147">
        <f t="shared" si="124"/>
        <v>0.98725</v>
      </c>
      <c r="E167" s="146" t="s">
        <v>82</v>
      </c>
      <c r="F167" s="6"/>
      <c r="G167" s="147">
        <f t="shared" ref="G167:H167" si="125">G140+G143+G146+G149</f>
        <v>0.92473</v>
      </c>
      <c r="H167" s="147">
        <f t="shared" si="125"/>
        <v>0.92388</v>
      </c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</row>
    <row r="168" ht="15.75" customHeight="1">
      <c r="A168" s="146" t="s">
        <v>83</v>
      </c>
      <c r="B168" s="6"/>
      <c r="C168" s="148">
        <f t="shared" ref="C168:D168" si="126">if(SUM(C140,C143,C146,C149)=0,0,
($D$38*(C140/SUM(C140,C143,C146,C149))
+$D$39*(C143/SUM(C140,C143,C146,C149))
+$D$40*(C146/SUM(C140,C143,C146,C149))
+$D$41*(C149/SUM(C140,C143,C146,C149)))
*($B$10*$B$11+$C$10*$C$11+$D$10*$D$11)
)</f>
        <v>12.0732391</v>
      </c>
      <c r="D168" s="148">
        <f t="shared" si="126"/>
        <v>12.37303358</v>
      </c>
      <c r="E168" s="146" t="s">
        <v>83</v>
      </c>
      <c r="F168" s="6"/>
      <c r="G168" s="148">
        <f t="shared" ref="G168:H168" si="127">if(SUM(G140,G143,G146,G149)=0,0,
($H$38*(G140/SUM(G140,G143,G146,G149))
+$H$39*(G143/SUM(G140,G143,G146,G149))
+$H$40*(G146/SUM(G140,G143,G146,G149))
+$H$41*(G149/SUM(G140,G143,G146,G149)))
*($B$10*$B$11+$C$10*$C$11+$D$10*$D$11)
)</f>
        <v>7.088732819</v>
      </c>
      <c r="H168" s="148">
        <f t="shared" si="127"/>
        <v>7.564742607</v>
      </c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</row>
    <row r="169" ht="15.75" customHeight="1">
      <c r="A169" s="146" t="s">
        <v>84</v>
      </c>
      <c r="B169" s="6"/>
      <c r="C169" s="149">
        <f t="shared" ref="C169:D169" si="128">(C165*C166+C167*C168)/$C$129</f>
        <v>0.2811480183</v>
      </c>
      <c r="D169" s="149">
        <f t="shared" si="128"/>
        <v>0.2893689158</v>
      </c>
      <c r="E169" s="146" t="s">
        <v>84</v>
      </c>
      <c r="F169" s="6"/>
      <c r="G169" s="149">
        <f t="shared" ref="G169:H169" si="129">(G165*G166+G167*G168)/$C$129</f>
        <v>0.2588158541</v>
      </c>
      <c r="H169" s="149">
        <f t="shared" si="129"/>
        <v>0.2613910703</v>
      </c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</row>
    <row r="170" ht="15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</row>
    <row r="171" ht="15.75" customHeight="1">
      <c r="A171" s="150" t="s">
        <v>85</v>
      </c>
      <c r="B171" s="151"/>
      <c r="C171" s="151"/>
      <c r="D171" s="151"/>
      <c r="E171" s="151"/>
      <c r="F171" s="151"/>
      <c r="G171" s="151"/>
      <c r="H171" s="151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</row>
    <row r="172" ht="15.75" customHeight="1">
      <c r="A172" s="36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</row>
    <row r="173" ht="15.75" customHeight="1">
      <c r="A173" s="36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</row>
    <row r="174" ht="15.75" customHeight="1">
      <c r="A174" s="36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</row>
    <row r="175" ht="15.75" customHeight="1">
      <c r="A175" s="36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</row>
    <row r="176" ht="15.75" customHeight="1">
      <c r="A176" s="36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</row>
    <row r="177" ht="15.75" customHeight="1">
      <c r="A177" s="36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</row>
    <row r="178" ht="15.75" customHeight="1">
      <c r="A178" s="36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</row>
    <row r="179" ht="15.75" customHeight="1">
      <c r="A179" s="36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</row>
    <row r="180" ht="15.75" customHeight="1">
      <c r="A180" s="36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</row>
    <row r="181" ht="15.75" customHeight="1">
      <c r="A181" s="36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</row>
    <row r="182" ht="15.75" customHeight="1">
      <c r="A182" s="36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</row>
    <row r="183" ht="15.75" customHeight="1">
      <c r="A183" s="36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</row>
    <row r="184" ht="15.75" customHeight="1">
      <c r="A184" s="36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</row>
    <row r="185" ht="15.75" customHeight="1">
      <c r="A185" s="36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</row>
    <row r="186" ht="15.75" customHeight="1">
      <c r="A186" s="36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</row>
    <row r="187" ht="15.75" customHeight="1">
      <c r="A187" s="36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</row>
    <row r="188" ht="15.75" customHeight="1">
      <c r="A188" s="36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</row>
    <row r="189" ht="15.75" customHeight="1">
      <c r="A189" s="36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</row>
    <row r="190" ht="15.75" customHeight="1">
      <c r="A190" s="36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</row>
    <row r="191" ht="15.75" customHeight="1">
      <c r="A191" s="36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</row>
    <row r="192" ht="15.75" customHeight="1">
      <c r="A192" s="36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</row>
    <row r="193" ht="15.75" customHeight="1">
      <c r="A193" s="36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</row>
    <row r="194" ht="15.75" customHeight="1">
      <c r="A194" s="36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</row>
    <row r="195" ht="15.75" customHeight="1">
      <c r="A195" s="36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</row>
    <row r="196" ht="15.75" customHeight="1">
      <c r="A196" s="36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</row>
    <row r="197" ht="15.75" customHeight="1">
      <c r="A197" s="36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</row>
    <row r="198" ht="15.75" customHeight="1">
      <c r="A198" s="36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</row>
    <row r="199" ht="15.75" customHeight="1">
      <c r="A199" s="36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</row>
    <row r="200" ht="15.75" customHeight="1">
      <c r="A200" s="36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</row>
    <row r="201" ht="15.75" customHeight="1">
      <c r="A201" s="36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</row>
    <row r="202" ht="15.75" customHeight="1">
      <c r="A202" s="36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</row>
    <row r="203" ht="15.75" customHeight="1">
      <c r="A203" s="36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</row>
    <row r="204" ht="15.75" customHeight="1">
      <c r="A204" s="36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</row>
    <row r="205" ht="15.75" customHeight="1">
      <c r="A205" s="36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</row>
    <row r="206" ht="15.75" customHeight="1">
      <c r="A206" s="36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</row>
    <row r="207" ht="15.75" customHeight="1">
      <c r="A207" s="36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</row>
    <row r="208" ht="15.75" customHeight="1">
      <c r="A208" s="36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</row>
    <row r="209" ht="15.75" customHeight="1">
      <c r="A209" s="36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</row>
    <row r="210" ht="15.75" customHeight="1">
      <c r="A210" s="36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</row>
    <row r="211" ht="15.75" customHeight="1">
      <c r="A211" s="36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</row>
    <row r="212" ht="15.75" customHeight="1">
      <c r="A212" s="36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</row>
    <row r="213" ht="15.75" customHeight="1">
      <c r="A213" s="36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</row>
    <row r="214" ht="15.75" customHeight="1">
      <c r="A214" s="36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</row>
    <row r="215" ht="15.75" customHeight="1">
      <c r="A215" s="36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</row>
    <row r="216" ht="15.75" customHeight="1">
      <c r="A216" s="36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</row>
    <row r="217" ht="15.75" customHeight="1">
      <c r="A217" s="36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</row>
    <row r="218" ht="15.75" customHeight="1">
      <c r="A218" s="36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</row>
    <row r="219" ht="15.75" customHeight="1">
      <c r="A219" s="36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</row>
    <row r="220" ht="15.75" customHeight="1">
      <c r="A220" s="36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</row>
    <row r="221" ht="15.75" customHeight="1">
      <c r="A221" s="36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</row>
    <row r="222" ht="15.75" customHeight="1">
      <c r="A222" s="36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</row>
    <row r="223" ht="15.75" customHeight="1">
      <c r="A223" s="36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</row>
    <row r="224" ht="15.75" customHeight="1">
      <c r="A224" s="36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</row>
    <row r="225" ht="15.75" customHeight="1">
      <c r="A225" s="36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</row>
    <row r="226" ht="15.75" customHeight="1">
      <c r="A226" s="36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</row>
    <row r="227" ht="15.75" customHeight="1">
      <c r="A227" s="36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</row>
    <row r="228" ht="15.75" customHeight="1">
      <c r="A228" s="36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</row>
    <row r="229" ht="15.75" customHeight="1">
      <c r="A229" s="36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</row>
    <row r="230" ht="15.75" customHeight="1">
      <c r="A230" s="36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</row>
    <row r="231" ht="15.75" customHeight="1">
      <c r="A231" s="36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</row>
    <row r="232" ht="15.75" customHeight="1">
      <c r="A232" s="36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</row>
    <row r="233" ht="15.75" customHeight="1">
      <c r="A233" s="36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</row>
    <row r="234" ht="15.75" customHeight="1">
      <c r="A234" s="36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</row>
    <row r="235" ht="15.75" customHeight="1">
      <c r="A235" s="36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</row>
    <row r="236" ht="15.75" customHeight="1">
      <c r="A236" s="36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</row>
    <row r="237" ht="15.75" customHeight="1">
      <c r="A237" s="36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</row>
    <row r="238" ht="15.75" customHeight="1">
      <c r="A238" s="36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</row>
    <row r="239" ht="15.75" customHeight="1">
      <c r="A239" s="36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</row>
    <row r="240" ht="15.75" customHeight="1">
      <c r="A240" s="36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</row>
    <row r="241" ht="15.75" customHeight="1">
      <c r="A241" s="36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</row>
    <row r="242" ht="15.75" customHeight="1">
      <c r="A242" s="36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</row>
    <row r="243" ht="15.75" customHeight="1">
      <c r="A243" s="36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</row>
    <row r="244" ht="15.75" customHeight="1">
      <c r="A244" s="36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</row>
    <row r="245" ht="15.75" customHeight="1">
      <c r="A245" s="36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</row>
    <row r="246" ht="15.75" customHeight="1">
      <c r="A246" s="36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</row>
    <row r="247" ht="15.75" customHeight="1">
      <c r="A247" s="36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</row>
    <row r="248" ht="15.75" customHeight="1">
      <c r="A248" s="36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</row>
    <row r="249" ht="15.75" customHeight="1">
      <c r="A249" s="36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</row>
    <row r="250" ht="15.75" customHeight="1">
      <c r="A250" s="36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ht="15.75" customHeight="1">
      <c r="A251" s="36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ht="15.75" customHeight="1">
      <c r="A252" s="36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159">
    <mergeCell ref="A3:S3"/>
    <mergeCell ref="A5:A6"/>
    <mergeCell ref="A16:A18"/>
    <mergeCell ref="U16:U18"/>
    <mergeCell ref="A19:A21"/>
    <mergeCell ref="U19:U21"/>
    <mergeCell ref="U22:U24"/>
    <mergeCell ref="E34:F34"/>
    <mergeCell ref="E35:F35"/>
    <mergeCell ref="A22:A24"/>
    <mergeCell ref="A29:B29"/>
    <mergeCell ref="A30:B30"/>
    <mergeCell ref="A34:B34"/>
    <mergeCell ref="C34:D34"/>
    <mergeCell ref="G34:H34"/>
    <mergeCell ref="A35:B35"/>
    <mergeCell ref="A36:B36"/>
    <mergeCell ref="E36:F36"/>
    <mergeCell ref="A37:B37"/>
    <mergeCell ref="E37:F37"/>
    <mergeCell ref="A38:B38"/>
    <mergeCell ref="E38:F38"/>
    <mergeCell ref="E39:F39"/>
    <mergeCell ref="A39:B39"/>
    <mergeCell ref="A40:B40"/>
    <mergeCell ref="A41:B41"/>
    <mergeCell ref="A43:D43"/>
    <mergeCell ref="A44:B44"/>
    <mergeCell ref="C44:D44"/>
    <mergeCell ref="A45:B45"/>
    <mergeCell ref="E48:F48"/>
    <mergeCell ref="E49:F49"/>
    <mergeCell ref="E50:F50"/>
    <mergeCell ref="E51:F51"/>
    <mergeCell ref="E55:F55"/>
    <mergeCell ref="E40:F40"/>
    <mergeCell ref="E41:F41"/>
    <mergeCell ref="E44:F44"/>
    <mergeCell ref="G44:H44"/>
    <mergeCell ref="E45:F45"/>
    <mergeCell ref="E46:F46"/>
    <mergeCell ref="E47:F47"/>
    <mergeCell ref="A46:B46"/>
    <mergeCell ref="A47:B47"/>
    <mergeCell ref="A48:B48"/>
    <mergeCell ref="A49:B49"/>
    <mergeCell ref="A50:B50"/>
    <mergeCell ref="A51:B51"/>
    <mergeCell ref="A55:B55"/>
    <mergeCell ref="A56:B56"/>
    <mergeCell ref="A57:B57"/>
    <mergeCell ref="A58:B58"/>
    <mergeCell ref="A59:B59"/>
    <mergeCell ref="A60:B60"/>
    <mergeCell ref="A61:B61"/>
    <mergeCell ref="A92:B92"/>
    <mergeCell ref="E98:F98"/>
    <mergeCell ref="E99:F99"/>
    <mergeCell ref="E100:F100"/>
    <mergeCell ref="E101:F101"/>
    <mergeCell ref="E102:F102"/>
    <mergeCell ref="C92:H92"/>
    <mergeCell ref="C93:D93"/>
    <mergeCell ref="G93:H93"/>
    <mergeCell ref="E94:F94"/>
    <mergeCell ref="E95:F95"/>
    <mergeCell ref="E96:F96"/>
    <mergeCell ref="E97:F97"/>
    <mergeCell ref="A101:B101"/>
    <mergeCell ref="A102:B102"/>
    <mergeCell ref="A109:S109"/>
    <mergeCell ref="A121:S121"/>
    <mergeCell ref="A94:B94"/>
    <mergeCell ref="A95:B95"/>
    <mergeCell ref="A96:B96"/>
    <mergeCell ref="A97:B97"/>
    <mergeCell ref="A98:B98"/>
    <mergeCell ref="A99:B99"/>
    <mergeCell ref="A100:B100"/>
    <mergeCell ref="A132:B132"/>
    <mergeCell ref="A133:B133"/>
    <mergeCell ref="J133:K133"/>
    <mergeCell ref="J134:K134"/>
    <mergeCell ref="A148:B148"/>
    <mergeCell ref="A149:B149"/>
    <mergeCell ref="A150:B150"/>
    <mergeCell ref="A151:B151"/>
    <mergeCell ref="A154:B154"/>
    <mergeCell ref="C154:D154"/>
    <mergeCell ref="A155:B155"/>
    <mergeCell ref="A164:B164"/>
    <mergeCell ref="A165:B165"/>
    <mergeCell ref="A166:B166"/>
    <mergeCell ref="A167:B167"/>
    <mergeCell ref="A168:B168"/>
    <mergeCell ref="A169:B169"/>
    <mergeCell ref="A156:B156"/>
    <mergeCell ref="A157:B157"/>
    <mergeCell ref="A158:B158"/>
    <mergeCell ref="A159:B159"/>
    <mergeCell ref="A160:B160"/>
    <mergeCell ref="A163:B163"/>
    <mergeCell ref="C163:D163"/>
    <mergeCell ref="E149:F149"/>
    <mergeCell ref="E150:F150"/>
    <mergeCell ref="E151:F151"/>
    <mergeCell ref="E154:F154"/>
    <mergeCell ref="G154:H154"/>
    <mergeCell ref="E155:F155"/>
    <mergeCell ref="E156:F156"/>
    <mergeCell ref="E157:F157"/>
    <mergeCell ref="E158:F158"/>
    <mergeCell ref="E159:F159"/>
    <mergeCell ref="E160:F160"/>
    <mergeCell ref="E163:F163"/>
    <mergeCell ref="G163:H163"/>
    <mergeCell ref="E164:F164"/>
    <mergeCell ref="A126:C126"/>
    <mergeCell ref="A127:B127"/>
    <mergeCell ref="A128:B128"/>
    <mergeCell ref="A129:B129"/>
    <mergeCell ref="C132:D132"/>
    <mergeCell ref="E132:F132"/>
    <mergeCell ref="G132:H132"/>
    <mergeCell ref="E136:F136"/>
    <mergeCell ref="E137:F137"/>
    <mergeCell ref="E133:F133"/>
    <mergeCell ref="A134:B134"/>
    <mergeCell ref="E134:F134"/>
    <mergeCell ref="A135:B135"/>
    <mergeCell ref="E135:F135"/>
    <mergeCell ref="A136:B136"/>
    <mergeCell ref="A137:B137"/>
    <mergeCell ref="A138:B138"/>
    <mergeCell ref="E138:F138"/>
    <mergeCell ref="A139:B139"/>
    <mergeCell ref="E139:F139"/>
    <mergeCell ref="A140:B140"/>
    <mergeCell ref="E140:F140"/>
    <mergeCell ref="E141:F141"/>
    <mergeCell ref="A141:B141"/>
    <mergeCell ref="A142:B142"/>
    <mergeCell ref="A143:B143"/>
    <mergeCell ref="A144:B144"/>
    <mergeCell ref="A145:B145"/>
    <mergeCell ref="A146:B146"/>
    <mergeCell ref="A147:B147"/>
    <mergeCell ref="E142:F142"/>
    <mergeCell ref="E143:F143"/>
    <mergeCell ref="E144:F144"/>
    <mergeCell ref="E145:F145"/>
    <mergeCell ref="E146:F146"/>
    <mergeCell ref="E147:F147"/>
    <mergeCell ref="E148:F148"/>
    <mergeCell ref="E165:F165"/>
    <mergeCell ref="E166:F166"/>
    <mergeCell ref="E167:F167"/>
    <mergeCell ref="E168:F168"/>
    <mergeCell ref="E169:F16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0" width="12.5"/>
  </cols>
  <sheetData>
    <row r="1">
      <c r="A1" s="16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ht="15.7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ht="15.75" customHeight="1">
      <c r="A3" s="21" t="s">
        <v>15</v>
      </c>
      <c r="T3" s="20"/>
      <c r="U3" s="20"/>
      <c r="V3" s="22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ht="15.75" customHeight="1">
      <c r="A4" s="23" t="s">
        <v>16</v>
      </c>
      <c r="B4" s="24" t="s">
        <v>17</v>
      </c>
      <c r="C4" s="24">
        <v>0.0</v>
      </c>
      <c r="D4" s="24">
        <v>1.0</v>
      </c>
      <c r="E4" s="24">
        <v>2.0</v>
      </c>
      <c r="F4" s="24">
        <v>3.0</v>
      </c>
      <c r="G4" s="24">
        <v>4.0</v>
      </c>
      <c r="H4" s="24">
        <v>5.0</v>
      </c>
      <c r="I4" s="24">
        <v>6.0</v>
      </c>
      <c r="J4" s="24">
        <v>7.0</v>
      </c>
      <c r="K4" s="24">
        <v>8.0</v>
      </c>
      <c r="L4" s="24">
        <v>9.0</v>
      </c>
      <c r="M4" s="24">
        <v>10.0</v>
      </c>
      <c r="N4" s="24">
        <v>11.0</v>
      </c>
      <c r="O4" s="24">
        <v>12.0</v>
      </c>
      <c r="P4" s="24">
        <v>13.0</v>
      </c>
      <c r="Q4" s="24">
        <v>14.0</v>
      </c>
      <c r="R4" s="24">
        <v>15.0</v>
      </c>
      <c r="S4" s="24">
        <v>16.0</v>
      </c>
      <c r="T4" s="20"/>
      <c r="U4" s="24"/>
      <c r="V4" s="25" t="s">
        <v>18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ht="15.75" customHeight="1">
      <c r="A5" s="26">
        <v>16.0</v>
      </c>
      <c r="B5" s="24" t="s">
        <v>19</v>
      </c>
      <c r="C5" s="27">
        <f t="shared" ref="C5:S5" si="1">COMBIN($A$5,C4)</f>
        <v>1</v>
      </c>
      <c r="D5" s="27">
        <f t="shared" si="1"/>
        <v>16</v>
      </c>
      <c r="E5" s="27">
        <f t="shared" si="1"/>
        <v>120</v>
      </c>
      <c r="F5" s="27">
        <f t="shared" si="1"/>
        <v>560</v>
      </c>
      <c r="G5" s="27">
        <f t="shared" si="1"/>
        <v>1820</v>
      </c>
      <c r="H5" s="27">
        <f t="shared" si="1"/>
        <v>4368</v>
      </c>
      <c r="I5" s="27">
        <f t="shared" si="1"/>
        <v>8008</v>
      </c>
      <c r="J5" s="27">
        <f t="shared" si="1"/>
        <v>11440</v>
      </c>
      <c r="K5" s="27">
        <f t="shared" si="1"/>
        <v>12870</v>
      </c>
      <c r="L5" s="27">
        <f t="shared" si="1"/>
        <v>11440</v>
      </c>
      <c r="M5" s="27">
        <f t="shared" si="1"/>
        <v>8008</v>
      </c>
      <c r="N5" s="27">
        <f t="shared" si="1"/>
        <v>4368</v>
      </c>
      <c r="O5" s="27">
        <f t="shared" si="1"/>
        <v>1820</v>
      </c>
      <c r="P5" s="27">
        <f t="shared" si="1"/>
        <v>560</v>
      </c>
      <c r="Q5" s="27">
        <f t="shared" si="1"/>
        <v>120</v>
      </c>
      <c r="R5" s="27">
        <f t="shared" si="1"/>
        <v>16</v>
      </c>
      <c r="S5" s="27">
        <f t="shared" si="1"/>
        <v>1</v>
      </c>
      <c r="U5" s="25" t="s">
        <v>20</v>
      </c>
      <c r="V5" s="24">
        <f t="shared" ref="V5:V6" si="3">sum(C5:S5)</f>
        <v>65536</v>
      </c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ht="15.75" customHeight="1">
      <c r="A6" s="28"/>
      <c r="B6" s="24" t="s">
        <v>21</v>
      </c>
      <c r="C6" s="29">
        <f t="shared" ref="C6:S6" si="2">C5/SUM($C$5:$S$5)</f>
        <v>0.00001525878906</v>
      </c>
      <c r="D6" s="29">
        <f t="shared" si="2"/>
        <v>0.000244140625</v>
      </c>
      <c r="E6" s="29">
        <f t="shared" si="2"/>
        <v>0.001831054688</v>
      </c>
      <c r="F6" s="29">
        <f t="shared" si="2"/>
        <v>0.008544921875</v>
      </c>
      <c r="G6" s="29">
        <f t="shared" si="2"/>
        <v>0.02777099609</v>
      </c>
      <c r="H6" s="29">
        <f t="shared" si="2"/>
        <v>0.06665039063</v>
      </c>
      <c r="I6" s="29">
        <f t="shared" si="2"/>
        <v>0.1221923828</v>
      </c>
      <c r="J6" s="29">
        <f t="shared" si="2"/>
        <v>0.1745605469</v>
      </c>
      <c r="K6" s="29">
        <f t="shared" si="2"/>
        <v>0.1963806152</v>
      </c>
      <c r="L6" s="29">
        <f t="shared" si="2"/>
        <v>0.1745605469</v>
      </c>
      <c r="M6" s="29">
        <f t="shared" si="2"/>
        <v>0.1221923828</v>
      </c>
      <c r="N6" s="29">
        <f t="shared" si="2"/>
        <v>0.06665039063</v>
      </c>
      <c r="O6" s="29">
        <f t="shared" si="2"/>
        <v>0.02777099609</v>
      </c>
      <c r="P6" s="29">
        <f t="shared" si="2"/>
        <v>0.008544921875</v>
      </c>
      <c r="Q6" s="29">
        <f t="shared" si="2"/>
        <v>0.001831054688</v>
      </c>
      <c r="R6" s="29">
        <f t="shared" si="2"/>
        <v>0.000244140625</v>
      </c>
      <c r="S6" s="29">
        <f t="shared" si="2"/>
        <v>0.00001525878906</v>
      </c>
      <c r="U6" s="25" t="s">
        <v>22</v>
      </c>
      <c r="V6" s="24">
        <f t="shared" si="3"/>
        <v>1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ht="15.75" customHeight="1">
      <c r="A7" s="30" t="s">
        <v>23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ht="15.75" customHeight="1">
      <c r="A8" s="31"/>
      <c r="B8" s="32"/>
      <c r="C8" s="3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ht="15.75" customHeight="1">
      <c r="A9" s="21" t="s">
        <v>24</v>
      </c>
      <c r="B9" s="21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ht="15.75" customHeight="1">
      <c r="A10" s="33" t="s">
        <v>25</v>
      </c>
      <c r="B10" s="34">
        <v>1.0</v>
      </c>
      <c r="C10" s="34">
        <v>2.0</v>
      </c>
      <c r="D10" s="34">
        <v>5.0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ht="15.75" customHeight="1">
      <c r="A11" s="33" t="s">
        <v>26</v>
      </c>
      <c r="B11" s="35">
        <v>0.93</v>
      </c>
      <c r="C11" s="35">
        <v>0.05</v>
      </c>
      <c r="D11" s="35">
        <v>0.02</v>
      </c>
      <c r="E11" s="20">
        <f>B10*B11+C10*C11+D10*D11</f>
        <v>1.13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ht="15.75" customHeight="1">
      <c r="A12" s="30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ht="15.75" customHeight="1">
      <c r="A13" s="36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ht="15.75" customHeight="1">
      <c r="A14" s="21" t="s">
        <v>27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  <c r="U14" s="22" t="s">
        <v>62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</row>
    <row r="15" ht="15.75" customHeight="1">
      <c r="A15" s="37" t="s">
        <v>28</v>
      </c>
      <c r="B15" s="38" t="s">
        <v>29</v>
      </c>
      <c r="C15" s="39">
        <v>0.0</v>
      </c>
      <c r="D15" s="39">
        <v>1.0</v>
      </c>
      <c r="E15" s="39">
        <v>2.0</v>
      </c>
      <c r="F15" s="39">
        <v>3.0</v>
      </c>
      <c r="G15" s="39">
        <v>4.0</v>
      </c>
      <c r="H15" s="39">
        <v>5.0</v>
      </c>
      <c r="I15" s="39">
        <v>6.0</v>
      </c>
      <c r="J15" s="40">
        <v>7.0</v>
      </c>
      <c r="K15" s="41">
        <v>8.0</v>
      </c>
      <c r="L15" s="42">
        <v>9.0</v>
      </c>
      <c r="M15" s="39">
        <v>10.0</v>
      </c>
      <c r="N15" s="39">
        <v>11.0</v>
      </c>
      <c r="O15" s="39">
        <v>12.0</v>
      </c>
      <c r="P15" s="39">
        <v>13.0</v>
      </c>
      <c r="Q15" s="39">
        <v>14.0</v>
      </c>
      <c r="R15" s="39">
        <v>15.0</v>
      </c>
      <c r="S15" s="43">
        <v>16.0</v>
      </c>
      <c r="T15" s="20"/>
      <c r="U15" s="37" t="s">
        <v>28</v>
      </c>
      <c r="V15" s="38" t="s">
        <v>29</v>
      </c>
      <c r="W15" s="42"/>
      <c r="X15" s="39">
        <v>0.0</v>
      </c>
      <c r="Y15" s="39">
        <v>1.0</v>
      </c>
      <c r="Z15" s="39">
        <v>2.0</v>
      </c>
      <c r="AA15" s="39">
        <v>3.0</v>
      </c>
      <c r="AB15" s="39">
        <v>4.0</v>
      </c>
      <c r="AC15" s="39">
        <v>5.0</v>
      </c>
      <c r="AD15" s="39">
        <v>6.0</v>
      </c>
      <c r="AE15" s="40">
        <v>7.0</v>
      </c>
      <c r="AF15" s="41">
        <v>8.0</v>
      </c>
      <c r="AG15" s="42">
        <v>9.0</v>
      </c>
      <c r="AH15" s="39">
        <v>10.0</v>
      </c>
      <c r="AI15" s="39">
        <v>11.0</v>
      </c>
      <c r="AJ15" s="39">
        <v>12.0</v>
      </c>
      <c r="AK15" s="39">
        <v>13.0</v>
      </c>
      <c r="AL15" s="39">
        <v>14.0</v>
      </c>
      <c r="AM15" s="39">
        <v>15.0</v>
      </c>
      <c r="AN15" s="43">
        <v>16.0</v>
      </c>
    </row>
    <row r="16" ht="15.75" customHeight="1">
      <c r="A16" s="44">
        <v>0.955</v>
      </c>
      <c r="B16" s="45" t="s">
        <v>30</v>
      </c>
      <c r="C16" s="46">
        <v>1000.0</v>
      </c>
      <c r="D16" s="46">
        <v>125.0</v>
      </c>
      <c r="E16" s="47">
        <v>12.34</v>
      </c>
      <c r="F16" s="47">
        <v>12.34</v>
      </c>
      <c r="G16" s="46">
        <v>2.2</v>
      </c>
      <c r="H16" s="46">
        <v>1.1</v>
      </c>
      <c r="I16" s="46">
        <v>0.5</v>
      </c>
      <c r="J16" s="48">
        <v>0.3</v>
      </c>
      <c r="K16" s="49">
        <v>0.0</v>
      </c>
      <c r="L16" s="50">
        <v>0.3</v>
      </c>
      <c r="M16" s="46">
        <v>0.5</v>
      </c>
      <c r="N16" s="46">
        <v>1.1</v>
      </c>
      <c r="O16" s="46">
        <v>2.2</v>
      </c>
      <c r="P16" s="47">
        <v>12.34</v>
      </c>
      <c r="Q16" s="47">
        <v>12.34</v>
      </c>
      <c r="R16" s="46">
        <v>125.0</v>
      </c>
      <c r="S16" s="51">
        <v>1000.0</v>
      </c>
      <c r="T16" s="20"/>
      <c r="U16" s="44">
        <v>0.955</v>
      </c>
      <c r="V16" s="45" t="s">
        <v>30</v>
      </c>
      <c r="W16" s="227">
        <f t="shared" ref="W16:W24" si="5">sum(X16:AN16)</f>
        <v>0.9530236816</v>
      </c>
      <c r="X16" s="46">
        <f t="shared" ref="X16:AN16" si="4">C$6*C16*$E$11</f>
        <v>0.01724243164</v>
      </c>
      <c r="Y16" s="46">
        <f t="shared" si="4"/>
        <v>0.03448486328</v>
      </c>
      <c r="Z16" s="47">
        <f t="shared" si="4"/>
        <v>0.02553259277</v>
      </c>
      <c r="AA16" s="47">
        <f t="shared" si="4"/>
        <v>0.1191520996</v>
      </c>
      <c r="AB16" s="46">
        <f t="shared" si="4"/>
        <v>0.06903869629</v>
      </c>
      <c r="AC16" s="46">
        <f t="shared" si="4"/>
        <v>0.08284643555</v>
      </c>
      <c r="AD16" s="46">
        <f t="shared" si="4"/>
        <v>0.06903869629</v>
      </c>
      <c r="AE16" s="48">
        <f t="shared" si="4"/>
        <v>0.05917602539</v>
      </c>
      <c r="AF16" s="49">
        <f t="shared" si="4"/>
        <v>0</v>
      </c>
      <c r="AG16" s="50">
        <f t="shared" si="4"/>
        <v>0.05917602539</v>
      </c>
      <c r="AH16" s="46">
        <f t="shared" si="4"/>
        <v>0.06903869629</v>
      </c>
      <c r="AI16" s="46">
        <f t="shared" si="4"/>
        <v>0.08284643555</v>
      </c>
      <c r="AJ16" s="46">
        <f t="shared" si="4"/>
        <v>0.06903869629</v>
      </c>
      <c r="AK16" s="47">
        <f t="shared" si="4"/>
        <v>0.1191520996</v>
      </c>
      <c r="AL16" s="47">
        <f t="shared" si="4"/>
        <v>0.02553259277</v>
      </c>
      <c r="AM16" s="46">
        <f t="shared" si="4"/>
        <v>0.03448486328</v>
      </c>
      <c r="AN16" s="51">
        <f t="shared" si="4"/>
        <v>0.01724243164</v>
      </c>
    </row>
    <row r="17" ht="15.75" customHeight="1">
      <c r="A17" s="52"/>
      <c r="B17" s="53" t="s">
        <v>31</v>
      </c>
      <c r="C17" s="54">
        <v>200.0</v>
      </c>
      <c r="D17" s="54">
        <v>36.0</v>
      </c>
      <c r="E17" s="55">
        <v>11.147</v>
      </c>
      <c r="F17" s="55">
        <v>11.147</v>
      </c>
      <c r="G17" s="54">
        <v>2.0</v>
      </c>
      <c r="H17" s="54">
        <v>1.3</v>
      </c>
      <c r="I17" s="54">
        <v>0.6</v>
      </c>
      <c r="J17" s="56">
        <v>0.4</v>
      </c>
      <c r="K17" s="57">
        <v>0.1</v>
      </c>
      <c r="L17" s="58">
        <v>0.4</v>
      </c>
      <c r="M17" s="54">
        <v>0.6</v>
      </c>
      <c r="N17" s="54">
        <v>1.3</v>
      </c>
      <c r="O17" s="54">
        <v>2.0</v>
      </c>
      <c r="P17" s="55">
        <v>11.147</v>
      </c>
      <c r="Q17" s="55">
        <v>11.147</v>
      </c>
      <c r="R17" s="54">
        <v>36.0</v>
      </c>
      <c r="S17" s="59">
        <v>200.0</v>
      </c>
      <c r="T17" s="20"/>
      <c r="U17" s="52"/>
      <c r="V17" s="53" t="s">
        <v>31</v>
      </c>
      <c r="W17" s="228">
        <f t="shared" si="5"/>
        <v>0.9551845032</v>
      </c>
      <c r="X17" s="54">
        <f t="shared" ref="X17:AN17" si="6">C$6*C17*$E$11</f>
        <v>0.003448486328</v>
      </c>
      <c r="Y17" s="54">
        <f t="shared" si="6"/>
        <v>0.009931640625</v>
      </c>
      <c r="Z17" s="55">
        <f t="shared" si="6"/>
        <v>0.02306416626</v>
      </c>
      <c r="AA17" s="55">
        <f t="shared" si="6"/>
        <v>0.1076327759</v>
      </c>
      <c r="AB17" s="54">
        <f t="shared" si="6"/>
        <v>0.06276245117</v>
      </c>
      <c r="AC17" s="54">
        <f t="shared" si="6"/>
        <v>0.09790942383</v>
      </c>
      <c r="AD17" s="54">
        <f t="shared" si="6"/>
        <v>0.08284643555</v>
      </c>
      <c r="AE17" s="56">
        <f t="shared" si="6"/>
        <v>0.07890136719</v>
      </c>
      <c r="AF17" s="57">
        <f t="shared" si="6"/>
        <v>0.02219100952</v>
      </c>
      <c r="AG17" s="58">
        <f t="shared" si="6"/>
        <v>0.07890136719</v>
      </c>
      <c r="AH17" s="54">
        <f t="shared" si="6"/>
        <v>0.08284643555</v>
      </c>
      <c r="AI17" s="54">
        <f t="shared" si="6"/>
        <v>0.09790942383</v>
      </c>
      <c r="AJ17" s="54">
        <f t="shared" si="6"/>
        <v>0.06276245117</v>
      </c>
      <c r="AK17" s="55">
        <f t="shared" si="6"/>
        <v>0.1076327759</v>
      </c>
      <c r="AL17" s="55">
        <f t="shared" si="6"/>
        <v>0.02306416626</v>
      </c>
      <c r="AM17" s="54">
        <f t="shared" si="6"/>
        <v>0.009931640625</v>
      </c>
      <c r="AN17" s="59">
        <f t="shared" si="6"/>
        <v>0.003448486328</v>
      </c>
    </row>
    <row r="18" ht="15.75" customHeight="1">
      <c r="A18" s="60"/>
      <c r="B18" s="61" t="s">
        <v>32</v>
      </c>
      <c r="C18" s="62">
        <v>60.0</v>
      </c>
      <c r="D18" s="62">
        <v>30.0</v>
      </c>
      <c r="E18" s="62">
        <v>8.0</v>
      </c>
      <c r="F18" s="62">
        <v>2.6</v>
      </c>
      <c r="G18" s="62">
        <v>1.6</v>
      </c>
      <c r="H18" s="62">
        <v>1.3</v>
      </c>
      <c r="I18" s="62">
        <v>1.0</v>
      </c>
      <c r="J18" s="63">
        <v>0.6</v>
      </c>
      <c r="K18" s="64">
        <v>0.2</v>
      </c>
      <c r="L18" s="65">
        <v>0.6</v>
      </c>
      <c r="M18" s="62">
        <v>1.0</v>
      </c>
      <c r="N18" s="62">
        <v>1.3</v>
      </c>
      <c r="O18" s="62">
        <v>1.6</v>
      </c>
      <c r="P18" s="62">
        <v>2.6</v>
      </c>
      <c r="Q18" s="62">
        <v>8.0</v>
      </c>
      <c r="R18" s="62">
        <v>30.0</v>
      </c>
      <c r="S18" s="66">
        <v>60.0</v>
      </c>
      <c r="T18" s="20"/>
      <c r="U18" s="60"/>
      <c r="V18" s="61" t="s">
        <v>32</v>
      </c>
      <c r="W18" s="229">
        <f t="shared" si="5"/>
        <v>0.9554169312</v>
      </c>
      <c r="X18" s="62">
        <f t="shared" ref="X18:AN18" si="7">C$6*C18*$E$11</f>
        <v>0.001034545898</v>
      </c>
      <c r="Y18" s="62">
        <f t="shared" si="7"/>
        <v>0.008276367188</v>
      </c>
      <c r="Z18" s="62">
        <f t="shared" si="7"/>
        <v>0.01655273438</v>
      </c>
      <c r="AA18" s="62">
        <f t="shared" si="7"/>
        <v>0.02510498047</v>
      </c>
      <c r="AB18" s="62">
        <f t="shared" si="7"/>
        <v>0.05020996094</v>
      </c>
      <c r="AC18" s="62">
        <f t="shared" si="7"/>
        <v>0.09790942383</v>
      </c>
      <c r="AD18" s="62">
        <f t="shared" si="7"/>
        <v>0.1380773926</v>
      </c>
      <c r="AE18" s="63">
        <f t="shared" si="7"/>
        <v>0.1183520508</v>
      </c>
      <c r="AF18" s="64">
        <f t="shared" si="7"/>
        <v>0.04438201904</v>
      </c>
      <c r="AG18" s="65">
        <f t="shared" si="7"/>
        <v>0.1183520508</v>
      </c>
      <c r="AH18" s="62">
        <f t="shared" si="7"/>
        <v>0.1380773926</v>
      </c>
      <c r="AI18" s="62">
        <f t="shared" si="7"/>
        <v>0.09790942383</v>
      </c>
      <c r="AJ18" s="62">
        <f t="shared" si="7"/>
        <v>0.05020996094</v>
      </c>
      <c r="AK18" s="62">
        <f t="shared" si="7"/>
        <v>0.02510498047</v>
      </c>
      <c r="AL18" s="62">
        <f t="shared" si="7"/>
        <v>0.01655273438</v>
      </c>
      <c r="AM18" s="62">
        <f t="shared" si="7"/>
        <v>0.008276367188</v>
      </c>
      <c r="AN18" s="66">
        <f t="shared" si="7"/>
        <v>0.001034545898</v>
      </c>
    </row>
    <row r="19" ht="15.75" customHeight="1">
      <c r="A19" s="67">
        <v>0.94</v>
      </c>
      <c r="B19" s="45" t="s">
        <v>30</v>
      </c>
      <c r="C19" s="46">
        <v>1000.0</v>
      </c>
      <c r="D19" s="46">
        <v>125.0</v>
      </c>
      <c r="E19" s="47">
        <v>12.34</v>
      </c>
      <c r="F19" s="47">
        <v>12.34</v>
      </c>
      <c r="G19" s="46">
        <v>2.0</v>
      </c>
      <c r="H19" s="46">
        <v>1.1</v>
      </c>
      <c r="I19" s="46">
        <v>0.5</v>
      </c>
      <c r="J19" s="48">
        <v>0.3</v>
      </c>
      <c r="K19" s="49">
        <v>0.0</v>
      </c>
      <c r="L19" s="50">
        <v>0.3</v>
      </c>
      <c r="M19" s="46">
        <v>0.5</v>
      </c>
      <c r="N19" s="46">
        <v>1.1</v>
      </c>
      <c r="O19" s="46">
        <v>2.0</v>
      </c>
      <c r="P19" s="47">
        <v>12.34</v>
      </c>
      <c r="Q19" s="47">
        <v>12.34</v>
      </c>
      <c r="R19" s="46">
        <v>125.0</v>
      </c>
      <c r="S19" s="51">
        <v>1000.0</v>
      </c>
      <c r="T19" s="20"/>
      <c r="U19" s="67">
        <v>0.94</v>
      </c>
      <c r="V19" s="45" t="s">
        <v>30</v>
      </c>
      <c r="W19" s="227">
        <f t="shared" si="5"/>
        <v>0.9071809082</v>
      </c>
      <c r="X19" s="46">
        <f t="shared" ref="X19:Y19" si="8">C$6*C19*$E$11</f>
        <v>0.01724243164</v>
      </c>
      <c r="Y19" s="46">
        <f t="shared" si="8"/>
        <v>0.03448486328</v>
      </c>
      <c r="Z19" s="47">
        <f t="shared" ref="Z19:AA19" si="9">E$6*E19</f>
        <v>0.02259521484</v>
      </c>
      <c r="AA19" s="47">
        <f t="shared" si="9"/>
        <v>0.1054443359</v>
      </c>
      <c r="AB19" s="46">
        <f t="shared" ref="AB19:AJ19" si="10">G$6*G19*$E$11</f>
        <v>0.06276245117</v>
      </c>
      <c r="AC19" s="46">
        <f t="shared" si="10"/>
        <v>0.08284643555</v>
      </c>
      <c r="AD19" s="46">
        <f t="shared" si="10"/>
        <v>0.06903869629</v>
      </c>
      <c r="AE19" s="48">
        <f t="shared" si="10"/>
        <v>0.05917602539</v>
      </c>
      <c r="AF19" s="49">
        <f t="shared" si="10"/>
        <v>0</v>
      </c>
      <c r="AG19" s="50">
        <f t="shared" si="10"/>
        <v>0.05917602539</v>
      </c>
      <c r="AH19" s="46">
        <f t="shared" si="10"/>
        <v>0.06903869629</v>
      </c>
      <c r="AI19" s="46">
        <f t="shared" si="10"/>
        <v>0.08284643555</v>
      </c>
      <c r="AJ19" s="46">
        <f t="shared" si="10"/>
        <v>0.06276245117</v>
      </c>
      <c r="AK19" s="47">
        <f t="shared" ref="AK19:AL19" si="11">P$6*P19</f>
        <v>0.1054443359</v>
      </c>
      <c r="AL19" s="47">
        <f t="shared" si="11"/>
        <v>0.02259521484</v>
      </c>
      <c r="AM19" s="46">
        <f t="shared" ref="AM19:AN19" si="12">R$6*R19*$E$11</f>
        <v>0.03448486328</v>
      </c>
      <c r="AN19" s="51">
        <f t="shared" si="12"/>
        <v>0.01724243164</v>
      </c>
    </row>
    <row r="20" ht="15.75" customHeight="1">
      <c r="A20" s="52"/>
      <c r="B20" s="53" t="s">
        <v>31</v>
      </c>
      <c r="C20" s="54">
        <v>200.0</v>
      </c>
      <c r="D20" s="54">
        <v>36.0</v>
      </c>
      <c r="E20" s="55">
        <v>11.147</v>
      </c>
      <c r="F20" s="55">
        <v>11.147</v>
      </c>
      <c r="G20" s="54">
        <v>2.0</v>
      </c>
      <c r="H20" s="54">
        <v>1.2</v>
      </c>
      <c r="I20" s="54">
        <v>0.6</v>
      </c>
      <c r="J20" s="56">
        <v>0.4</v>
      </c>
      <c r="K20" s="57">
        <v>0.1</v>
      </c>
      <c r="L20" s="58">
        <v>0.4</v>
      </c>
      <c r="M20" s="54">
        <v>0.6</v>
      </c>
      <c r="N20" s="54">
        <v>1.2</v>
      </c>
      <c r="O20" s="54">
        <v>2.0</v>
      </c>
      <c r="P20" s="55">
        <v>11.147</v>
      </c>
      <c r="Q20" s="55">
        <v>11.147</v>
      </c>
      <c r="R20" s="54">
        <v>36.0</v>
      </c>
      <c r="S20" s="59">
        <v>200.0</v>
      </c>
      <c r="T20" s="20"/>
      <c r="U20" s="52"/>
      <c r="V20" s="53" t="s">
        <v>31</v>
      </c>
      <c r="W20" s="228">
        <f t="shared" si="5"/>
        <v>0.9100496521</v>
      </c>
      <c r="X20" s="54">
        <f t="shared" ref="X20:Y20" si="13">C$6*C20*$E$11</f>
        <v>0.003448486328</v>
      </c>
      <c r="Y20" s="54">
        <f t="shared" si="13"/>
        <v>0.009931640625</v>
      </c>
      <c r="Z20" s="55">
        <f t="shared" ref="Z20:AA20" si="14">E$6*E20</f>
        <v>0.0204107666</v>
      </c>
      <c r="AA20" s="55">
        <f t="shared" si="14"/>
        <v>0.09525024414</v>
      </c>
      <c r="AB20" s="54">
        <f t="shared" ref="AB20:AJ20" si="15">G$6*G20*$E$11</f>
        <v>0.06276245117</v>
      </c>
      <c r="AC20" s="54">
        <f t="shared" si="15"/>
        <v>0.09037792969</v>
      </c>
      <c r="AD20" s="54">
        <f t="shared" si="15"/>
        <v>0.08284643555</v>
      </c>
      <c r="AE20" s="56">
        <f t="shared" si="15"/>
        <v>0.07890136719</v>
      </c>
      <c r="AF20" s="57">
        <f t="shared" si="15"/>
        <v>0.02219100952</v>
      </c>
      <c r="AG20" s="58">
        <f t="shared" si="15"/>
        <v>0.07890136719</v>
      </c>
      <c r="AH20" s="54">
        <f t="shared" si="15"/>
        <v>0.08284643555</v>
      </c>
      <c r="AI20" s="54">
        <f t="shared" si="15"/>
        <v>0.09037792969</v>
      </c>
      <c r="AJ20" s="54">
        <f t="shared" si="15"/>
        <v>0.06276245117</v>
      </c>
      <c r="AK20" s="55">
        <f t="shared" ref="AK20:AL20" si="16">P$6*P20</f>
        <v>0.09525024414</v>
      </c>
      <c r="AL20" s="55">
        <f t="shared" si="16"/>
        <v>0.0204107666</v>
      </c>
      <c r="AM20" s="54">
        <f t="shared" ref="AM20:AN20" si="17">R$6*R20*$E$11</f>
        <v>0.009931640625</v>
      </c>
      <c r="AN20" s="59">
        <f t="shared" si="17"/>
        <v>0.003448486328</v>
      </c>
    </row>
    <row r="21" ht="15.75" customHeight="1">
      <c r="A21" s="60"/>
      <c r="B21" s="61" t="s">
        <v>32</v>
      </c>
      <c r="C21" s="62">
        <v>60.0</v>
      </c>
      <c r="D21" s="62">
        <v>30.0</v>
      </c>
      <c r="E21" s="62">
        <v>8.0</v>
      </c>
      <c r="F21" s="62">
        <v>2.6</v>
      </c>
      <c r="G21" s="62">
        <v>1.6</v>
      </c>
      <c r="H21" s="62">
        <v>1.2</v>
      </c>
      <c r="I21" s="62">
        <v>1.0</v>
      </c>
      <c r="J21" s="63">
        <v>0.6</v>
      </c>
      <c r="K21" s="64">
        <v>0.2</v>
      </c>
      <c r="L21" s="65">
        <v>0.6</v>
      </c>
      <c r="M21" s="62">
        <v>1.0</v>
      </c>
      <c r="N21" s="62">
        <v>1.2</v>
      </c>
      <c r="O21" s="62">
        <v>1.6</v>
      </c>
      <c r="P21" s="62">
        <v>2.6</v>
      </c>
      <c r="Q21" s="62">
        <v>8.0</v>
      </c>
      <c r="R21" s="62">
        <v>30.0</v>
      </c>
      <c r="S21" s="66">
        <v>60.0</v>
      </c>
      <c r="T21" s="20"/>
      <c r="U21" s="60"/>
      <c r="V21" s="61" t="s">
        <v>32</v>
      </c>
      <c r="W21" s="229">
        <f t="shared" si="5"/>
        <v>0.9403539429</v>
      </c>
      <c r="X21" s="62">
        <f t="shared" ref="X21:AN21" si="18">C$6*C21*$E$11</f>
        <v>0.001034545898</v>
      </c>
      <c r="Y21" s="62">
        <f t="shared" si="18"/>
        <v>0.008276367188</v>
      </c>
      <c r="Z21" s="62">
        <f t="shared" si="18"/>
        <v>0.01655273438</v>
      </c>
      <c r="AA21" s="62">
        <f t="shared" si="18"/>
        <v>0.02510498047</v>
      </c>
      <c r="AB21" s="62">
        <f t="shared" si="18"/>
        <v>0.05020996094</v>
      </c>
      <c r="AC21" s="62">
        <f t="shared" si="18"/>
        <v>0.09037792969</v>
      </c>
      <c r="AD21" s="62">
        <f t="shared" si="18"/>
        <v>0.1380773926</v>
      </c>
      <c r="AE21" s="63">
        <f t="shared" si="18"/>
        <v>0.1183520508</v>
      </c>
      <c r="AF21" s="64">
        <f t="shared" si="18"/>
        <v>0.04438201904</v>
      </c>
      <c r="AG21" s="65">
        <f t="shared" si="18"/>
        <v>0.1183520508</v>
      </c>
      <c r="AH21" s="62">
        <f t="shared" si="18"/>
        <v>0.1380773926</v>
      </c>
      <c r="AI21" s="62">
        <f t="shared" si="18"/>
        <v>0.09037792969</v>
      </c>
      <c r="AJ21" s="62">
        <f t="shared" si="18"/>
        <v>0.05020996094</v>
      </c>
      <c r="AK21" s="62">
        <f t="shared" si="18"/>
        <v>0.02510498047</v>
      </c>
      <c r="AL21" s="62">
        <f t="shared" si="18"/>
        <v>0.01655273438</v>
      </c>
      <c r="AM21" s="62">
        <f t="shared" si="18"/>
        <v>0.008276367188</v>
      </c>
      <c r="AN21" s="66">
        <f t="shared" si="18"/>
        <v>0.001034545898</v>
      </c>
    </row>
    <row r="22" ht="15.75" customHeight="1">
      <c r="A22" s="68">
        <v>0.92</v>
      </c>
      <c r="B22" s="69" t="s">
        <v>30</v>
      </c>
      <c r="C22" s="46">
        <v>1000.0</v>
      </c>
      <c r="D22" s="46">
        <v>125.0</v>
      </c>
      <c r="E22" s="47">
        <v>12.34</v>
      </c>
      <c r="F22" s="47">
        <v>12.34</v>
      </c>
      <c r="G22" s="46">
        <v>2.1</v>
      </c>
      <c r="H22" s="46">
        <v>1.1</v>
      </c>
      <c r="I22" s="46">
        <v>0.4</v>
      </c>
      <c r="J22" s="48">
        <v>0.3</v>
      </c>
      <c r="K22" s="49">
        <v>0.0</v>
      </c>
      <c r="L22" s="50">
        <v>0.3</v>
      </c>
      <c r="M22" s="46">
        <v>0.4</v>
      </c>
      <c r="N22" s="46">
        <v>1.1</v>
      </c>
      <c r="O22" s="46">
        <v>2.1</v>
      </c>
      <c r="P22" s="47">
        <v>12.34</v>
      </c>
      <c r="Q22" s="47">
        <v>12.34</v>
      </c>
      <c r="R22" s="46">
        <v>125.0</v>
      </c>
      <c r="S22" s="51">
        <v>1000.0</v>
      </c>
      <c r="T22" s="20"/>
      <c r="U22" s="68">
        <v>0.92</v>
      </c>
      <c r="V22" s="69" t="s">
        <v>30</v>
      </c>
      <c r="W22" s="227">
        <f t="shared" si="5"/>
        <v>0.8858416748</v>
      </c>
      <c r="X22" s="46">
        <f t="shared" ref="X22:Y22" si="19">C$6*C22*$E$11</f>
        <v>0.01724243164</v>
      </c>
      <c r="Y22" s="46">
        <f t="shared" si="19"/>
        <v>0.03448486328</v>
      </c>
      <c r="Z22" s="47">
        <f t="shared" ref="Z22:AA22" si="20">E$6*E22</f>
        <v>0.02259521484</v>
      </c>
      <c r="AA22" s="47">
        <f t="shared" si="20"/>
        <v>0.1054443359</v>
      </c>
      <c r="AB22" s="46">
        <f t="shared" ref="AB22:AJ22" si="21">G$6*G22*$E$11</f>
        <v>0.06590057373</v>
      </c>
      <c r="AC22" s="46">
        <f t="shared" si="21"/>
        <v>0.08284643555</v>
      </c>
      <c r="AD22" s="46">
        <f t="shared" si="21"/>
        <v>0.05523095703</v>
      </c>
      <c r="AE22" s="48">
        <f t="shared" si="21"/>
        <v>0.05917602539</v>
      </c>
      <c r="AF22" s="49">
        <f t="shared" si="21"/>
        <v>0</v>
      </c>
      <c r="AG22" s="50">
        <f t="shared" si="21"/>
        <v>0.05917602539</v>
      </c>
      <c r="AH22" s="46">
        <f t="shared" si="21"/>
        <v>0.05523095703</v>
      </c>
      <c r="AI22" s="46">
        <f t="shared" si="21"/>
        <v>0.08284643555</v>
      </c>
      <c r="AJ22" s="46">
        <f t="shared" si="21"/>
        <v>0.06590057373</v>
      </c>
      <c r="AK22" s="47">
        <f t="shared" ref="AK22:AL22" si="22">P$6*P22</f>
        <v>0.1054443359</v>
      </c>
      <c r="AL22" s="47">
        <f t="shared" si="22"/>
        <v>0.02259521484</v>
      </c>
      <c r="AM22" s="46">
        <f t="shared" ref="AM22:AN22" si="23">R$6*R22*$E$11</f>
        <v>0.03448486328</v>
      </c>
      <c r="AN22" s="51">
        <f t="shared" si="23"/>
        <v>0.01724243164</v>
      </c>
    </row>
    <row r="23" ht="15.75" customHeight="1">
      <c r="A23" s="52"/>
      <c r="B23" s="70" t="s">
        <v>31</v>
      </c>
      <c r="C23" s="54">
        <v>200.0</v>
      </c>
      <c r="D23" s="54">
        <v>55.0</v>
      </c>
      <c r="E23" s="55">
        <v>11.147</v>
      </c>
      <c r="F23" s="55">
        <v>11.147</v>
      </c>
      <c r="G23" s="54">
        <v>2.0</v>
      </c>
      <c r="H23" s="54">
        <v>1.0</v>
      </c>
      <c r="I23" s="54">
        <v>0.6</v>
      </c>
      <c r="J23" s="56">
        <v>0.4</v>
      </c>
      <c r="K23" s="57">
        <v>0.1</v>
      </c>
      <c r="L23" s="58">
        <v>0.4</v>
      </c>
      <c r="M23" s="54">
        <v>0.6</v>
      </c>
      <c r="N23" s="54">
        <v>1.0</v>
      </c>
      <c r="O23" s="54">
        <v>2.0</v>
      </c>
      <c r="P23" s="55">
        <v>11.147</v>
      </c>
      <c r="Q23" s="55">
        <v>11.147</v>
      </c>
      <c r="R23" s="54">
        <v>55.0</v>
      </c>
      <c r="S23" s="59">
        <v>200.0</v>
      </c>
      <c r="T23" s="20"/>
      <c r="U23" s="52"/>
      <c r="V23" s="70" t="s">
        <v>31</v>
      </c>
      <c r="W23" s="228">
        <f t="shared" si="5"/>
        <v>0.890407074</v>
      </c>
      <c r="X23" s="54">
        <f t="shared" ref="X23:Y23" si="24">C$6*C23*$E$11</f>
        <v>0.003448486328</v>
      </c>
      <c r="Y23" s="54">
        <f t="shared" si="24"/>
        <v>0.01517333984</v>
      </c>
      <c r="Z23" s="55">
        <f t="shared" ref="Z23:AA23" si="25">E$6*E23</f>
        <v>0.0204107666</v>
      </c>
      <c r="AA23" s="55">
        <f t="shared" si="25"/>
        <v>0.09525024414</v>
      </c>
      <c r="AB23" s="54">
        <f t="shared" ref="AB23:AJ23" si="26">G$6*G23*$E$11</f>
        <v>0.06276245117</v>
      </c>
      <c r="AC23" s="54">
        <f t="shared" si="26"/>
        <v>0.07531494141</v>
      </c>
      <c r="AD23" s="54">
        <f t="shared" si="26"/>
        <v>0.08284643555</v>
      </c>
      <c r="AE23" s="56">
        <f t="shared" si="26"/>
        <v>0.07890136719</v>
      </c>
      <c r="AF23" s="57">
        <f t="shared" si="26"/>
        <v>0.02219100952</v>
      </c>
      <c r="AG23" s="58">
        <f t="shared" si="26"/>
        <v>0.07890136719</v>
      </c>
      <c r="AH23" s="54">
        <f t="shared" si="26"/>
        <v>0.08284643555</v>
      </c>
      <c r="AI23" s="54">
        <f t="shared" si="26"/>
        <v>0.07531494141</v>
      </c>
      <c r="AJ23" s="54">
        <f t="shared" si="26"/>
        <v>0.06276245117</v>
      </c>
      <c r="AK23" s="55">
        <f t="shared" ref="AK23:AL23" si="27">P$6*P23</f>
        <v>0.09525024414</v>
      </c>
      <c r="AL23" s="55">
        <f t="shared" si="27"/>
        <v>0.0204107666</v>
      </c>
      <c r="AM23" s="54">
        <f t="shared" ref="AM23:AN23" si="28">R$6*R23*$E$11</f>
        <v>0.01517333984</v>
      </c>
      <c r="AN23" s="59">
        <f t="shared" si="28"/>
        <v>0.003448486328</v>
      </c>
    </row>
    <row r="24" ht="15.75" customHeight="1">
      <c r="A24" s="71"/>
      <c r="B24" s="72" t="s">
        <v>32</v>
      </c>
      <c r="C24" s="62">
        <v>60.0</v>
      </c>
      <c r="D24" s="62">
        <v>30.0</v>
      </c>
      <c r="E24" s="62">
        <v>8.0</v>
      </c>
      <c r="F24" s="62">
        <v>2.6</v>
      </c>
      <c r="G24" s="62">
        <v>1.5</v>
      </c>
      <c r="H24" s="62">
        <v>1.1</v>
      </c>
      <c r="I24" s="62">
        <v>1.0</v>
      </c>
      <c r="J24" s="63">
        <v>0.6</v>
      </c>
      <c r="K24" s="64">
        <v>0.2</v>
      </c>
      <c r="L24" s="65">
        <v>0.6</v>
      </c>
      <c r="M24" s="62">
        <v>1.0</v>
      </c>
      <c r="N24" s="62">
        <v>1.1</v>
      </c>
      <c r="O24" s="62">
        <v>1.5</v>
      </c>
      <c r="P24" s="62">
        <v>2.6</v>
      </c>
      <c r="Q24" s="62">
        <v>8.0</v>
      </c>
      <c r="R24" s="62">
        <v>30.0</v>
      </c>
      <c r="S24" s="66">
        <v>60.0</v>
      </c>
      <c r="T24" s="20"/>
      <c r="U24" s="71"/>
      <c r="V24" s="72" t="s">
        <v>32</v>
      </c>
      <c r="W24" s="229">
        <f t="shared" si="5"/>
        <v>0.9190147095</v>
      </c>
      <c r="X24" s="62">
        <f t="shared" ref="X24:AN24" si="29">C$6*C24*$E$11</f>
        <v>0.001034545898</v>
      </c>
      <c r="Y24" s="62">
        <f t="shared" si="29"/>
        <v>0.008276367188</v>
      </c>
      <c r="Z24" s="62">
        <f t="shared" si="29"/>
        <v>0.01655273438</v>
      </c>
      <c r="AA24" s="62">
        <f t="shared" si="29"/>
        <v>0.02510498047</v>
      </c>
      <c r="AB24" s="62">
        <f t="shared" si="29"/>
        <v>0.04707183838</v>
      </c>
      <c r="AC24" s="62">
        <f t="shared" si="29"/>
        <v>0.08284643555</v>
      </c>
      <c r="AD24" s="62">
        <f t="shared" si="29"/>
        <v>0.1380773926</v>
      </c>
      <c r="AE24" s="63">
        <f t="shared" si="29"/>
        <v>0.1183520508</v>
      </c>
      <c r="AF24" s="64">
        <f t="shared" si="29"/>
        <v>0.04438201904</v>
      </c>
      <c r="AG24" s="65">
        <f t="shared" si="29"/>
        <v>0.1183520508</v>
      </c>
      <c r="AH24" s="62">
        <f t="shared" si="29"/>
        <v>0.1380773926</v>
      </c>
      <c r="AI24" s="62">
        <f t="shared" si="29"/>
        <v>0.08284643555</v>
      </c>
      <c r="AJ24" s="62">
        <f t="shared" si="29"/>
        <v>0.04707183838</v>
      </c>
      <c r="AK24" s="62">
        <f t="shared" si="29"/>
        <v>0.02510498047</v>
      </c>
      <c r="AL24" s="62">
        <f t="shared" si="29"/>
        <v>0.01655273438</v>
      </c>
      <c r="AM24" s="62">
        <f t="shared" si="29"/>
        <v>0.008276367188</v>
      </c>
      <c r="AN24" s="66">
        <f t="shared" si="29"/>
        <v>0.001034545898</v>
      </c>
    </row>
    <row r="25" ht="15.75" customHeight="1">
      <c r="A25" s="73" t="s">
        <v>33</v>
      </c>
      <c r="B25" s="74"/>
      <c r="C25" s="74"/>
      <c r="D25" s="7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ht="15.75" customHeight="1">
      <c r="A26" s="76" t="s">
        <v>34</v>
      </c>
      <c r="B26" s="76"/>
      <c r="C26" s="76"/>
      <c r="D26" s="7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ht="15.75" customHeight="1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</row>
    <row r="28" ht="15.75" customHeight="1">
      <c r="A28" s="21" t="s">
        <v>35</v>
      </c>
      <c r="B28" s="21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</row>
    <row r="29" ht="15.75" customHeight="1">
      <c r="A29" s="77" t="s">
        <v>36</v>
      </c>
      <c r="B29" s="6"/>
      <c r="C29" s="78" t="s">
        <v>37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</row>
    <row r="30" ht="15.75" customHeight="1">
      <c r="A30" s="79" t="s">
        <v>38</v>
      </c>
      <c r="B30" s="6"/>
      <c r="C30" s="87">
        <v>0.01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</row>
    <row r="31" ht="15.75" customHeight="1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</row>
    <row r="32" ht="15.75" customHeight="1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</row>
    <row r="33" ht="15.75" customHeight="1">
      <c r="A33" s="21" t="s">
        <v>39</v>
      </c>
      <c r="B33" s="21"/>
      <c r="C33" s="21"/>
      <c r="D33" s="21"/>
      <c r="E33" s="21"/>
      <c r="F33" s="21"/>
      <c r="G33" s="21"/>
      <c r="H33" s="21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</row>
    <row r="34" ht="15.75" customHeight="1">
      <c r="A34" s="77" t="s">
        <v>40</v>
      </c>
      <c r="B34" s="6"/>
      <c r="C34" s="77" t="s">
        <v>30</v>
      </c>
      <c r="D34" s="6"/>
      <c r="E34" s="77" t="s">
        <v>40</v>
      </c>
      <c r="F34" s="6"/>
      <c r="G34" s="77" t="s">
        <v>31</v>
      </c>
      <c r="H34" s="6"/>
      <c r="I34" s="82"/>
      <c r="J34" s="8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</row>
    <row r="35" ht="15.75" customHeight="1">
      <c r="A35" s="77" t="s">
        <v>6</v>
      </c>
      <c r="B35" s="6"/>
      <c r="C35" s="83" t="s">
        <v>37</v>
      </c>
      <c r="D35" s="83" t="s">
        <v>41</v>
      </c>
      <c r="E35" s="77" t="s">
        <v>6</v>
      </c>
      <c r="F35" s="6"/>
      <c r="G35" s="83" t="s">
        <v>37</v>
      </c>
      <c r="H35" s="83" t="s">
        <v>41</v>
      </c>
      <c r="I35" s="82"/>
      <c r="J35" s="8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</row>
    <row r="36" ht="15.75" customHeight="1">
      <c r="A36" s="84" t="str">
        <f>"Super JP / X "&amp;D36&amp;" 獎"</f>
        <v>Super JP / X 200 獎</v>
      </c>
      <c r="B36" s="12"/>
      <c r="C36" s="85">
        <v>0.5</v>
      </c>
      <c r="D36" s="86">
        <v>200.0</v>
      </c>
      <c r="E36" s="84" t="str">
        <f>"Super JP / X "&amp;H36&amp;" 獎"</f>
        <v>Super JP / X 100 獎</v>
      </c>
      <c r="F36" s="12"/>
      <c r="G36" s="87">
        <v>0.25</v>
      </c>
      <c r="H36" s="86">
        <v>100.0</v>
      </c>
      <c r="I36" s="82"/>
      <c r="J36" s="82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</row>
    <row r="37" ht="15.75" customHeight="1">
      <c r="A37" s="88" t="str">
        <f>"Lucky JP / X "&amp;D37&amp;" 獎"</f>
        <v>Lucky JP / X 100 獎</v>
      </c>
      <c r="B37" s="6"/>
      <c r="C37" s="85">
        <v>0.1</v>
      </c>
      <c r="D37" s="86">
        <v>100.0</v>
      </c>
      <c r="E37" s="88" t="str">
        <f>"Lucky JP / X "&amp;H37&amp;" 獎"</f>
        <v>Lucky JP / X 50 獎</v>
      </c>
      <c r="F37" s="6"/>
      <c r="G37" s="87">
        <v>0.05</v>
      </c>
      <c r="H37" s="86">
        <v>50.0</v>
      </c>
      <c r="I37" s="82"/>
      <c r="J37" s="82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</row>
    <row r="38" ht="15.75" customHeight="1">
      <c r="A38" s="88" t="str">
        <f t="shared" ref="A38:A41" si="30">" X "&amp;D38&amp;" 獎"</f>
        <v> X 50 獎</v>
      </c>
      <c r="B38" s="6"/>
      <c r="C38" s="87">
        <v>0.0</v>
      </c>
      <c r="D38" s="86">
        <v>50.0</v>
      </c>
      <c r="E38" s="88" t="str">
        <f t="shared" ref="E38:E41" si="31">" X "&amp;H38&amp;" 獎"</f>
        <v> X 25 獎</v>
      </c>
      <c r="F38" s="6"/>
      <c r="G38" s="87">
        <v>0.0</v>
      </c>
      <c r="H38" s="86">
        <v>25.0</v>
      </c>
      <c r="I38" s="82"/>
      <c r="J38" s="82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</row>
    <row r="39" ht="15.75" customHeight="1">
      <c r="A39" s="88" t="str">
        <f t="shared" si="30"/>
        <v> X 25 獎</v>
      </c>
      <c r="B39" s="6"/>
      <c r="C39" s="85">
        <v>0.0</v>
      </c>
      <c r="D39" s="86">
        <v>25.0</v>
      </c>
      <c r="E39" s="88" t="str">
        <f t="shared" si="31"/>
        <v> X 10 獎</v>
      </c>
      <c r="F39" s="6"/>
      <c r="G39" s="85">
        <v>0.0</v>
      </c>
      <c r="H39" s="86">
        <v>10.0</v>
      </c>
      <c r="I39" s="82"/>
      <c r="J39" s="82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</row>
    <row r="40" ht="15.75" customHeight="1">
      <c r="A40" s="88" t="str">
        <f t="shared" si="30"/>
        <v> X 10 獎</v>
      </c>
      <c r="B40" s="6"/>
      <c r="C40" s="85">
        <v>0.0</v>
      </c>
      <c r="D40" s="86">
        <v>10.0</v>
      </c>
      <c r="E40" s="88" t="str">
        <f t="shared" si="31"/>
        <v> X 5 獎</v>
      </c>
      <c r="F40" s="6"/>
      <c r="G40" s="85">
        <v>0.0</v>
      </c>
      <c r="H40" s="86">
        <v>5.0</v>
      </c>
      <c r="I40" s="82"/>
      <c r="J40" s="82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</row>
    <row r="41" ht="15.75" customHeight="1">
      <c r="A41" s="88" t="str">
        <f t="shared" si="30"/>
        <v> X 3 獎</v>
      </c>
      <c r="B41" s="6"/>
      <c r="C41" s="85">
        <v>0.0</v>
      </c>
      <c r="D41" s="86">
        <v>3.0</v>
      </c>
      <c r="E41" s="88" t="str">
        <f t="shared" si="31"/>
        <v> X 1 獎</v>
      </c>
      <c r="F41" s="6"/>
      <c r="G41" s="85">
        <v>0.0</v>
      </c>
      <c r="H41" s="86">
        <v>1.0</v>
      </c>
      <c r="I41" s="82"/>
      <c r="J41" s="82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</row>
    <row r="42" ht="15.75" customHeight="1">
      <c r="A42" s="82"/>
      <c r="B42" s="81"/>
      <c r="C42" s="81"/>
      <c r="D42" s="81"/>
      <c r="E42" s="81"/>
      <c r="F42" s="81"/>
      <c r="G42" s="81"/>
      <c r="H42" s="82"/>
      <c r="I42" s="82"/>
      <c r="J42" s="82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</row>
    <row r="43" ht="15.75" customHeight="1">
      <c r="A43" s="89" t="s">
        <v>42</v>
      </c>
      <c r="E43" s="21"/>
      <c r="F43" s="21"/>
      <c r="G43" s="21"/>
      <c r="H43" s="21"/>
      <c r="I43" s="82"/>
      <c r="J43" s="82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</row>
    <row r="44" ht="15.75" customHeight="1">
      <c r="A44" s="77" t="s">
        <v>40</v>
      </c>
      <c r="B44" s="6"/>
      <c r="C44" s="77" t="s">
        <v>30</v>
      </c>
      <c r="D44" s="6"/>
      <c r="E44" s="77" t="s">
        <v>40</v>
      </c>
      <c r="F44" s="6"/>
      <c r="G44" s="77" t="s">
        <v>31</v>
      </c>
      <c r="H44" s="6"/>
      <c r="I44" s="20"/>
      <c r="J44" s="82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</row>
    <row r="45" ht="15.75" customHeight="1">
      <c r="A45" s="77" t="s">
        <v>6</v>
      </c>
      <c r="B45" s="6"/>
      <c r="C45" s="91" t="s">
        <v>43</v>
      </c>
      <c r="D45" s="91" t="s">
        <v>44</v>
      </c>
      <c r="E45" s="77" t="s">
        <v>6</v>
      </c>
      <c r="F45" s="6"/>
      <c r="G45" s="91" t="s">
        <v>43</v>
      </c>
      <c r="H45" s="91" t="s">
        <v>44</v>
      </c>
      <c r="I45" s="20"/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</row>
    <row r="46" ht="15.75" customHeight="1">
      <c r="A46" s="88" t="str">
        <f t="shared" ref="A46:A51" si="32">A36</f>
        <v>Super JP / X 200 獎</v>
      </c>
      <c r="B46" s="6"/>
      <c r="C46" s="86">
        <v>220.0</v>
      </c>
      <c r="D46" s="86">
        <v>255.0</v>
      </c>
      <c r="E46" s="88" t="str">
        <f t="shared" ref="E46:E51" si="33">E36</f>
        <v>Super JP / X 100 獎</v>
      </c>
      <c r="F46" s="6"/>
      <c r="G46" s="86">
        <v>3212.0</v>
      </c>
      <c r="H46" s="86">
        <v>3312.0</v>
      </c>
      <c r="I46" s="20"/>
      <c r="J46" s="82">
        <f t="shared" ref="J46:J51" si="34">D46-C46</f>
        <v>35</v>
      </c>
      <c r="K46" s="81">
        <f t="shared" ref="K46:K51" si="35">C46/sum($C$46:$C$51)</f>
        <v>0.0022</v>
      </c>
      <c r="L46" s="81">
        <f>K46</f>
        <v>0.0022</v>
      </c>
      <c r="M46" s="81"/>
      <c r="N46" s="81">
        <f>C46/sum(C$46:C$51)</f>
        <v>0.0022</v>
      </c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</row>
    <row r="47" ht="15.75" customHeight="1">
      <c r="A47" s="88" t="str">
        <f t="shared" si="32"/>
        <v>Lucky JP / X 100 獎</v>
      </c>
      <c r="B47" s="6"/>
      <c r="C47" s="86">
        <v>910.0</v>
      </c>
      <c r="D47" s="86">
        <v>1020.0</v>
      </c>
      <c r="E47" s="88" t="str">
        <f t="shared" si="33"/>
        <v>Lucky JP / X 50 獎</v>
      </c>
      <c r="F47" s="6"/>
      <c r="G47" s="86">
        <v>6015.0</v>
      </c>
      <c r="H47" s="86">
        <v>6215.0</v>
      </c>
      <c r="I47" s="20"/>
      <c r="J47" s="82">
        <f t="shared" si="34"/>
        <v>110</v>
      </c>
      <c r="K47" s="81">
        <f t="shared" si="35"/>
        <v>0.0091</v>
      </c>
      <c r="L47" s="81">
        <f t="shared" ref="L47:L51" si="36">sum($K$46:K47)</f>
        <v>0.0113</v>
      </c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</row>
    <row r="48" ht="15.75" customHeight="1">
      <c r="A48" s="88" t="str">
        <f t="shared" si="32"/>
        <v> X 50 獎</v>
      </c>
      <c r="B48" s="6"/>
      <c r="C48" s="86">
        <v>6400.0</v>
      </c>
      <c r="D48" s="86">
        <v>6510.0</v>
      </c>
      <c r="E48" s="88" t="str">
        <f t="shared" si="33"/>
        <v> X 25 獎</v>
      </c>
      <c r="F48" s="6"/>
      <c r="G48" s="86">
        <v>9550.0</v>
      </c>
      <c r="H48" s="86">
        <v>10605.0</v>
      </c>
      <c r="I48" s="20"/>
      <c r="J48" s="82">
        <f t="shared" si="34"/>
        <v>110</v>
      </c>
      <c r="K48" s="81">
        <f t="shared" si="35"/>
        <v>0.064</v>
      </c>
      <c r="L48" s="81">
        <f t="shared" si="36"/>
        <v>0.0753</v>
      </c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</row>
    <row r="49" ht="15.75" customHeight="1">
      <c r="A49" s="88" t="str">
        <f t="shared" si="32"/>
        <v> X 25 獎</v>
      </c>
      <c r="B49" s="6"/>
      <c r="C49" s="86">
        <v>11400.0</v>
      </c>
      <c r="D49" s="86">
        <v>12611.0</v>
      </c>
      <c r="E49" s="88" t="str">
        <f t="shared" si="33"/>
        <v> X 10 獎</v>
      </c>
      <c r="F49" s="6"/>
      <c r="G49" s="86">
        <v>14050.0</v>
      </c>
      <c r="H49" s="86">
        <v>14445.0</v>
      </c>
      <c r="I49" s="20"/>
      <c r="J49" s="82">
        <f t="shared" si="34"/>
        <v>1211</v>
      </c>
      <c r="K49" s="81">
        <f t="shared" si="35"/>
        <v>0.114</v>
      </c>
      <c r="L49" s="81">
        <f t="shared" si="36"/>
        <v>0.1893</v>
      </c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</row>
    <row r="50" ht="15.75" customHeight="1">
      <c r="A50" s="88" t="str">
        <f t="shared" si="32"/>
        <v> X 10 獎</v>
      </c>
      <c r="B50" s="6"/>
      <c r="C50" s="86">
        <v>28890.0</v>
      </c>
      <c r="D50" s="86">
        <v>28773.0</v>
      </c>
      <c r="E50" s="88" t="str">
        <f t="shared" si="33"/>
        <v> X 5 獎</v>
      </c>
      <c r="F50" s="6"/>
      <c r="G50" s="86">
        <v>29373.0</v>
      </c>
      <c r="H50" s="86">
        <v>29265.0</v>
      </c>
      <c r="I50" s="20"/>
      <c r="J50" s="82">
        <f t="shared" si="34"/>
        <v>-117</v>
      </c>
      <c r="K50" s="81">
        <f t="shared" si="35"/>
        <v>0.2889</v>
      </c>
      <c r="L50" s="81">
        <f t="shared" si="36"/>
        <v>0.4782</v>
      </c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</row>
    <row r="51" ht="15.75" customHeight="1">
      <c r="A51" s="88" t="str">
        <f t="shared" si="32"/>
        <v> X 3 獎</v>
      </c>
      <c r="B51" s="6"/>
      <c r="C51" s="92">
        <f t="shared" ref="C51:D51" si="37">100000-SUM(C46:C50)</f>
        <v>52180</v>
      </c>
      <c r="D51" s="92">
        <f t="shared" si="37"/>
        <v>50831</v>
      </c>
      <c r="E51" s="88" t="str">
        <f t="shared" si="33"/>
        <v> X 1 獎</v>
      </c>
      <c r="F51" s="6"/>
      <c r="G51" s="92">
        <f t="shared" ref="G51:H51" si="38">100000-SUM(G46:G50)</f>
        <v>37800</v>
      </c>
      <c r="H51" s="92">
        <f t="shared" si="38"/>
        <v>36158</v>
      </c>
      <c r="I51" s="20"/>
      <c r="J51" s="82">
        <f t="shared" si="34"/>
        <v>-1349</v>
      </c>
      <c r="K51" s="81">
        <f t="shared" si="35"/>
        <v>0.5218</v>
      </c>
      <c r="L51" s="81">
        <f t="shared" si="36"/>
        <v>1</v>
      </c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</row>
    <row r="52" ht="15.75" customHeight="1">
      <c r="A52" s="36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>
      <c r="A53" s="230" t="s">
        <v>104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ht="15.75" customHeight="1">
      <c r="A55" s="77" t="s">
        <v>6</v>
      </c>
      <c r="B55" s="6"/>
      <c r="C55" s="91" t="s">
        <v>43</v>
      </c>
      <c r="D55" s="91" t="s">
        <v>44</v>
      </c>
      <c r="E55" s="77" t="s">
        <v>6</v>
      </c>
      <c r="F55" s="6"/>
      <c r="G55" s="91" t="s">
        <v>43</v>
      </c>
      <c r="H55" s="91" t="s">
        <v>44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ht="15.75" customHeight="1">
      <c r="A56" s="88" t="str">
        <f t="shared" ref="A56:A61" si="41">A46</f>
        <v>Super JP / X 200 獎</v>
      </c>
      <c r="B56" s="6"/>
      <c r="C56" s="20">
        <f t="shared" ref="C56:D56" si="39">C46*$D36/SUM(C$46:C$51)</f>
        <v>0.44</v>
      </c>
      <c r="D56" s="20">
        <f t="shared" si="39"/>
        <v>0.51</v>
      </c>
      <c r="E56" s="20"/>
      <c r="F56" s="20"/>
      <c r="G56" s="20">
        <f t="shared" ref="G56:H56" si="40">G46*$H36/SUM(G$46:G$51)</f>
        <v>3.212</v>
      </c>
      <c r="H56" s="20">
        <f t="shared" si="40"/>
        <v>3.312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ht="15.75" customHeight="1">
      <c r="A57" s="88" t="str">
        <f t="shared" si="41"/>
        <v>Lucky JP / X 100 獎</v>
      </c>
      <c r="B57" s="6"/>
      <c r="C57" s="20">
        <f t="shared" ref="C57:D57" si="42">C47*$D37/SUM(C$46:C$51)</f>
        <v>0.91</v>
      </c>
      <c r="D57" s="20">
        <f t="shared" si="42"/>
        <v>1.02</v>
      </c>
      <c r="E57" s="20"/>
      <c r="F57" s="20"/>
      <c r="G57" s="20">
        <f t="shared" ref="G57:H57" si="43">G47*$H37/SUM(G$46:G$51)</f>
        <v>3.0075</v>
      </c>
      <c r="H57" s="20">
        <f t="shared" si="43"/>
        <v>3.1075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ht="15.75" customHeight="1">
      <c r="A58" s="88" t="str">
        <f t="shared" si="41"/>
        <v> X 50 獎</v>
      </c>
      <c r="B58" s="6"/>
      <c r="C58" s="20">
        <f t="shared" ref="C58:D58" si="44">C48*$D38/SUM(C$46:C$51)</f>
        <v>3.2</v>
      </c>
      <c r="D58" s="20">
        <f t="shared" si="44"/>
        <v>3.255</v>
      </c>
      <c r="E58" s="20"/>
      <c r="F58" s="20"/>
      <c r="G58" s="20">
        <f t="shared" ref="G58:H58" si="45">G48*$H38/SUM(G$46:G$51)</f>
        <v>2.3875</v>
      </c>
      <c r="H58" s="20">
        <f t="shared" si="45"/>
        <v>2.65125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ht="15.75" customHeight="1">
      <c r="A59" s="88" t="str">
        <f t="shared" si="41"/>
        <v> X 25 獎</v>
      </c>
      <c r="B59" s="6"/>
      <c r="C59" s="20">
        <f t="shared" ref="C59:D59" si="46">C49*$D39/SUM(C$46:C$51)</f>
        <v>2.85</v>
      </c>
      <c r="D59" s="20">
        <f t="shared" si="46"/>
        <v>3.15275</v>
      </c>
      <c r="E59" s="20"/>
      <c r="F59" s="20"/>
      <c r="G59" s="20">
        <f t="shared" ref="G59:H59" si="47">G49*$H39/SUM(G$46:G$51)</f>
        <v>1.405</v>
      </c>
      <c r="H59" s="20">
        <f t="shared" si="47"/>
        <v>1.4445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</row>
    <row r="60" ht="15.75" customHeight="1">
      <c r="A60" s="88" t="str">
        <f t="shared" si="41"/>
        <v> X 10 獎</v>
      </c>
      <c r="B60" s="6"/>
      <c r="C60" s="20">
        <f t="shared" ref="C60:D60" si="48">C50*$D40/SUM(C$46:C$51)</f>
        <v>2.889</v>
      </c>
      <c r="D60" s="20">
        <f t="shared" si="48"/>
        <v>2.8773</v>
      </c>
      <c r="E60" s="20"/>
      <c r="F60" s="20"/>
      <c r="G60" s="20">
        <f t="shared" ref="G60:H60" si="49">G50*$H40/SUM(G$46:G$51)</f>
        <v>1.46865</v>
      </c>
      <c r="H60" s="20">
        <f t="shared" si="49"/>
        <v>1.46325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</row>
    <row r="61" ht="15.75" customHeight="1">
      <c r="A61" s="88" t="str">
        <f t="shared" si="41"/>
        <v> X 3 獎</v>
      </c>
      <c r="B61" s="6"/>
      <c r="C61" s="20">
        <f t="shared" ref="C61:D61" si="50">C51*$D41/SUM(C$46:C$51)</f>
        <v>1.5654</v>
      </c>
      <c r="D61" s="20">
        <f t="shared" si="50"/>
        <v>1.52493</v>
      </c>
      <c r="E61" s="20"/>
      <c r="F61" s="20"/>
      <c r="G61" s="20">
        <f t="shared" ref="G61:H61" si="51">G51*$H41/SUM(G$46:G$51)</f>
        <v>0.378</v>
      </c>
      <c r="H61" s="20">
        <f t="shared" si="51"/>
        <v>0.36158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</row>
    <row r="62" ht="15.75" customHeight="1">
      <c r="A62" s="20"/>
      <c r="B62" s="22" t="s">
        <v>105</v>
      </c>
      <c r="C62" s="20">
        <f t="shared" ref="C62:D62" si="52">sum(C56:C61)</f>
        <v>11.8544</v>
      </c>
      <c r="D62" s="20">
        <f t="shared" si="52"/>
        <v>12.33998</v>
      </c>
      <c r="E62" s="20"/>
      <c r="F62" s="22" t="s">
        <v>105</v>
      </c>
      <c r="G62" s="20">
        <f t="shared" ref="G62:H62" si="53">sum(G56:G61)</f>
        <v>11.85865</v>
      </c>
      <c r="H62" s="20">
        <f t="shared" si="53"/>
        <v>12.34008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</row>
    <row r="63" ht="15.75" customHeight="1">
      <c r="A63" s="20"/>
      <c r="B63" s="22"/>
      <c r="C63" s="231"/>
      <c r="D63" s="231"/>
      <c r="E63" s="20"/>
      <c r="F63" s="22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ht="15.75" customHeight="1">
      <c r="A64" s="20"/>
      <c r="B64" s="22" t="s">
        <v>117</v>
      </c>
      <c r="C64" s="231">
        <f t="shared" ref="C64:D64" si="54">C62*($E$6+$F$6)*2</f>
        <v>0.2460019531</v>
      </c>
      <c r="D64" s="231">
        <f t="shared" si="54"/>
        <v>0.2560786865</v>
      </c>
      <c r="E64" s="20"/>
      <c r="F64" s="22" t="s">
        <v>117</v>
      </c>
      <c r="G64" s="231">
        <f t="shared" ref="G64:H64" si="55">G62*($E$6+$F$6)*2</f>
        <v>0.2460901489</v>
      </c>
      <c r="H64" s="231">
        <f t="shared" si="55"/>
        <v>0.2560807617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</row>
    <row r="65" ht="15.75" customHeight="1">
      <c r="A65" s="20"/>
      <c r="B65" s="22" t="s">
        <v>110</v>
      </c>
      <c r="C65" s="231">
        <f>C64+C$30</f>
        <v>0.2560019531</v>
      </c>
      <c r="D65" s="231">
        <f>D64</f>
        <v>0.2560786865</v>
      </c>
      <c r="E65" s="20"/>
      <c r="F65" s="22" t="s">
        <v>110</v>
      </c>
      <c r="G65" s="231">
        <f>G64+C$30</f>
        <v>0.2560901489</v>
      </c>
      <c r="H65" s="231">
        <f>H64</f>
        <v>0.2560807617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</row>
    <row r="66" ht="15.75" customHeight="1">
      <c r="A66" s="20"/>
      <c r="B66" s="22" t="s">
        <v>118</v>
      </c>
      <c r="C66" s="231">
        <f>E16*($E$6+$F$6)*2</f>
        <v>0.2560791016</v>
      </c>
      <c r="D66" s="231">
        <f>E16*($E$6+$F$6)*2</f>
        <v>0.2560791016</v>
      </c>
      <c r="E66" s="20"/>
      <c r="F66" s="22" t="s">
        <v>118</v>
      </c>
      <c r="G66" s="231">
        <f>E16*($E$6+$F$6)*2</f>
        <v>0.2560791016</v>
      </c>
      <c r="H66" s="231">
        <f>E16*($E$6+$F$6)*2</f>
        <v>0.2560791016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</row>
    <row r="67" ht="15.75" customHeight="1">
      <c r="A67" s="20"/>
      <c r="B67" s="22"/>
      <c r="C67" s="231"/>
      <c r="D67" s="20"/>
      <c r="E67" s="20"/>
      <c r="F67" s="22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</row>
    <row r="68" ht="15.75" customHeight="1">
      <c r="A68" s="20"/>
      <c r="B68" s="22" t="s">
        <v>115</v>
      </c>
      <c r="C68" s="231">
        <f>C65/(($E$6+$F$6)*2)</f>
        <v>12.33628235</v>
      </c>
      <c r="D68" s="20">
        <f>D62</f>
        <v>12.33998</v>
      </c>
      <c r="E68" s="20"/>
      <c r="F68" s="22" t="s">
        <v>115</v>
      </c>
      <c r="G68" s="20">
        <f>G62+0.7%</f>
        <v>11.86565</v>
      </c>
      <c r="H68" s="20">
        <f>H62</f>
        <v>12.34008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</row>
    <row r="69" ht="15.75" customHeight="1">
      <c r="A69" s="20"/>
      <c r="B69" s="22" t="s">
        <v>119</v>
      </c>
      <c r="C69" s="231">
        <f t="shared" ref="C69:D69" si="56">$E$16</f>
        <v>12.34</v>
      </c>
      <c r="D69" s="231">
        <f t="shared" si="56"/>
        <v>12.34</v>
      </c>
      <c r="E69" s="20"/>
      <c r="F69" s="22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</row>
    <row r="77" ht="15.75" customHeight="1">
      <c r="A77" s="230" t="s">
        <v>104</v>
      </c>
      <c r="B77" s="18"/>
      <c r="C77" s="18"/>
      <c r="D77" s="1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</row>
    <row r="80" ht="15.75" customHeight="1">
      <c r="A80" s="95" t="s">
        <v>47</v>
      </c>
      <c r="B80" s="95"/>
      <c r="C80" s="95"/>
      <c r="D80" s="95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</row>
    <row r="81" ht="15.75" customHeight="1">
      <c r="A81" s="77" t="s">
        <v>48</v>
      </c>
      <c r="B81" s="91" t="s">
        <v>49</v>
      </c>
      <c r="C81" s="91" t="s">
        <v>50</v>
      </c>
      <c r="D81" s="91" t="s">
        <v>51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</row>
    <row r="82" ht="15.75" customHeight="1">
      <c r="A82" s="96" t="s">
        <v>30</v>
      </c>
      <c r="B82" s="97">
        <f t="shared" ref="B82:B83" si="58">sum(E106:F106)*2*($B$10*$B$11+$C$10*$C$11+$D$10*$D$11)</f>
        <v>0.2893693848</v>
      </c>
      <c r="C82" s="98">
        <f t="shared" ref="C82:D82" si="57">C164</f>
        <v>0.2797609681</v>
      </c>
      <c r="D82" s="98">
        <f t="shared" si="57"/>
        <v>0.2893689158</v>
      </c>
      <c r="E82" s="20"/>
      <c r="F82" s="232">
        <f>C82-B82</f>
        <v>-0.009608416672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</row>
    <row r="83" ht="15.75" customHeight="1">
      <c r="A83" s="96" t="s">
        <v>31</v>
      </c>
      <c r="B83" s="97">
        <f t="shared" si="58"/>
        <v>0.2613938843</v>
      </c>
      <c r="C83" s="98">
        <f t="shared" ref="C83:D83" si="59">G164</f>
        <v>0.2878495674</v>
      </c>
      <c r="D83" s="98">
        <f t="shared" si="59"/>
        <v>0.2893712607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</row>
    <row r="84" ht="15.75" customHeight="1">
      <c r="A84" s="36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</row>
    <row r="86" ht="15.75" customHeight="1">
      <c r="A86" s="89" t="s">
        <v>52</v>
      </c>
      <c r="B86" s="89"/>
      <c r="C86" s="89"/>
      <c r="D86" s="89"/>
      <c r="E86" s="89"/>
      <c r="F86" s="89"/>
      <c r="G86" s="89"/>
      <c r="H86" s="89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</row>
    <row r="87" ht="15.75" customHeight="1">
      <c r="A87" s="99" t="s">
        <v>53</v>
      </c>
      <c r="B87" s="6"/>
      <c r="C87" s="100">
        <f>C124</f>
        <v>48.18823529</v>
      </c>
      <c r="D87" s="101"/>
      <c r="E87" s="101"/>
      <c r="F87" s="101"/>
      <c r="G87" s="101"/>
      <c r="H87" s="12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</row>
    <row r="88" ht="15.75" customHeight="1">
      <c r="A88" s="102" t="s">
        <v>54</v>
      </c>
      <c r="B88" s="103"/>
      <c r="C88" s="104" t="s">
        <v>55</v>
      </c>
      <c r="D88" s="6"/>
      <c r="E88" s="102" t="s">
        <v>54</v>
      </c>
      <c r="F88" s="103"/>
      <c r="G88" s="104" t="s">
        <v>56</v>
      </c>
      <c r="H88" s="6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</row>
    <row r="89" ht="15.75" customHeight="1">
      <c r="A89" s="105" t="s">
        <v>48</v>
      </c>
      <c r="B89" s="6"/>
      <c r="C89" s="78" t="s">
        <v>57</v>
      </c>
      <c r="D89" s="78" t="s">
        <v>58</v>
      </c>
      <c r="E89" s="105" t="s">
        <v>48</v>
      </c>
      <c r="F89" s="6"/>
      <c r="G89" s="78" t="s">
        <v>57</v>
      </c>
      <c r="H89" s="78" t="s">
        <v>58</v>
      </c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</row>
    <row r="90" ht="15.75" customHeight="1">
      <c r="A90" s="106" t="s">
        <v>59</v>
      </c>
      <c r="B90" s="6"/>
      <c r="C90" s="107">
        <f t="shared" ref="C90:D90" si="60">1/sum(C129,C132)*$C$124</f>
        <v>4264.445601</v>
      </c>
      <c r="D90" s="107">
        <f t="shared" si="60"/>
        <v>3779.469435</v>
      </c>
      <c r="E90" s="106" t="s">
        <v>59</v>
      </c>
      <c r="F90" s="6"/>
      <c r="G90" s="107">
        <f t="shared" ref="G90:H90" si="61">1/sum(G129,G132)*$C$124</f>
        <v>522.2524688</v>
      </c>
      <c r="H90" s="107">
        <f t="shared" si="61"/>
        <v>505.8070252</v>
      </c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</row>
    <row r="91" ht="15.75" customHeight="1">
      <c r="A91" s="88" t="str">
        <f t="shared" ref="A91:A92" si="64">A46</f>
        <v>Super JP / X 200 獎</v>
      </c>
      <c r="B91" s="6"/>
      <c r="C91" s="107">
        <f t="shared" ref="C91:D91" si="62">C131</f>
        <v>21903.74332</v>
      </c>
      <c r="D91" s="107">
        <f t="shared" si="62"/>
        <v>18897.34717</v>
      </c>
      <c r="E91" s="88" t="str">
        <f t="shared" ref="E91:E92" si="66">E46</f>
        <v>Super JP / X 100 獎</v>
      </c>
      <c r="F91" s="6"/>
      <c r="G91" s="107">
        <f t="shared" ref="G91:H91" si="63">G131</f>
        <v>1500.256391</v>
      </c>
      <c r="H91" s="107">
        <f t="shared" si="63"/>
        <v>1454.958795</v>
      </c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</row>
    <row r="92" ht="15.75" customHeight="1">
      <c r="A92" s="88" t="str">
        <f t="shared" si="64"/>
        <v>Lucky JP / X 100 獎</v>
      </c>
      <c r="B92" s="6"/>
      <c r="C92" s="107">
        <f t="shared" ref="C92:D92" si="65">C134</f>
        <v>5295.410472</v>
      </c>
      <c r="D92" s="107">
        <f t="shared" si="65"/>
        <v>4724.336794</v>
      </c>
      <c r="E92" s="88" t="str">
        <f t="shared" si="66"/>
        <v>Lucky JP / X 50 獎</v>
      </c>
      <c r="F92" s="6"/>
      <c r="G92" s="107">
        <f t="shared" ref="G92:H92" si="67">G134</f>
        <v>801.1344189</v>
      </c>
      <c r="H92" s="107">
        <f t="shared" si="67"/>
        <v>775.3537457</v>
      </c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</row>
    <row r="93" ht="15.75" customHeight="1">
      <c r="A93" s="106" t="s">
        <v>60</v>
      </c>
      <c r="B93" s="6"/>
      <c r="C93" s="107">
        <f t="shared" ref="C93:D93" si="68">1/sum(C135,C138,C141,C144)*$C$124</f>
        <v>48.73898583</v>
      </c>
      <c r="D93" s="107">
        <f t="shared" si="68"/>
        <v>48.81057006</v>
      </c>
      <c r="E93" s="106" t="s">
        <v>60</v>
      </c>
      <c r="F93" s="6"/>
      <c r="G93" s="107">
        <f t="shared" ref="G93:H93" si="69">1/sum(G135,G138,G141,G144)*$C$124</f>
        <v>53.08652936</v>
      </c>
      <c r="H93" s="107">
        <f t="shared" si="69"/>
        <v>53.26255932</v>
      </c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</row>
    <row r="94" ht="15.75" customHeight="1">
      <c r="A94" s="88" t="str">
        <f t="shared" ref="A94:A97" si="72">A48</f>
        <v> X 50 獎</v>
      </c>
      <c r="B94" s="6"/>
      <c r="C94" s="107">
        <f t="shared" ref="C94:D94" si="70">C137</f>
        <v>752.9411765</v>
      </c>
      <c r="D94" s="107">
        <f t="shared" si="70"/>
        <v>740.2186681</v>
      </c>
      <c r="E94" s="88" t="str">
        <f t="shared" ref="E94:E97" si="74">E48</f>
        <v> X 25 獎</v>
      </c>
      <c r="F94" s="6"/>
      <c r="G94" s="107">
        <f t="shared" ref="G94:H94" si="71">G137</f>
        <v>504.5888512</v>
      </c>
      <c r="H94" s="107">
        <f t="shared" si="71"/>
        <v>454.3916577</v>
      </c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</row>
    <row r="95" ht="15.75" customHeight="1">
      <c r="A95" s="88" t="str">
        <f t="shared" si="72"/>
        <v> X 25 獎</v>
      </c>
      <c r="B95" s="6"/>
      <c r="C95" s="107">
        <f t="shared" ref="C95:D95" si="73">C140</f>
        <v>422.7038184</v>
      </c>
      <c r="D95" s="107">
        <f t="shared" si="73"/>
        <v>382.1127214</v>
      </c>
      <c r="E95" s="88" t="str">
        <f t="shared" si="74"/>
        <v> X 10 獎</v>
      </c>
      <c r="F95" s="6"/>
      <c r="G95" s="107">
        <f t="shared" ref="G95:H95" si="75">G140</f>
        <v>342.9767637</v>
      </c>
      <c r="H95" s="107">
        <f t="shared" si="75"/>
        <v>333.598029</v>
      </c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</row>
    <row r="96" ht="15.75" customHeight="1">
      <c r="A96" s="88" t="str">
        <f t="shared" si="72"/>
        <v> X 10 獎</v>
      </c>
      <c r="B96" s="6"/>
      <c r="C96" s="107">
        <f t="shared" ref="C96:D96" si="76">C143</f>
        <v>166.7990145</v>
      </c>
      <c r="D96" s="107">
        <f t="shared" si="76"/>
        <v>167.4772714</v>
      </c>
      <c r="E96" s="88" t="str">
        <f t="shared" si="74"/>
        <v> X 5 獎</v>
      </c>
      <c r="F96" s="6"/>
      <c r="G96" s="107">
        <f t="shared" ref="G96:H96" si="77">G143</f>
        <v>164.0562261</v>
      </c>
      <c r="H96" s="107">
        <f t="shared" si="77"/>
        <v>164.6616617</v>
      </c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</row>
    <row r="97" ht="15.75" customHeight="1">
      <c r="A97" s="88" t="str">
        <f t="shared" si="72"/>
        <v> X 3 獎</v>
      </c>
      <c r="B97" s="6"/>
      <c r="C97" s="107">
        <f t="shared" ref="C97:D97" si="78">C146</f>
        <v>92.35001015</v>
      </c>
      <c r="D97" s="107">
        <f t="shared" si="78"/>
        <v>94.80087996</v>
      </c>
      <c r="E97" s="88" t="str">
        <f t="shared" si="74"/>
        <v> X 1 獎</v>
      </c>
      <c r="F97" s="6"/>
      <c r="G97" s="107">
        <f t="shared" ref="G97:H97" si="79">G146</f>
        <v>127.482104</v>
      </c>
      <c r="H97" s="107">
        <f t="shared" si="79"/>
        <v>133.2712962</v>
      </c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</row>
    <row r="98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</row>
    <row r="99" ht="15.75" customHeight="1">
      <c r="A99" s="36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</row>
    <row r="100" ht="15.75" customHeight="1">
      <c r="A100" s="36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</row>
    <row r="101" ht="15.75" customHeight="1">
      <c r="A101" s="36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</row>
    <row r="102">
      <c r="A102" s="16" t="s">
        <v>61</v>
      </c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ht="15.75" customHeight="1">
      <c r="A103" s="36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</row>
    <row r="104" ht="15.75" customHeight="1">
      <c r="A104" s="21" t="s">
        <v>62</v>
      </c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</row>
    <row r="105" ht="15.75" customHeight="1">
      <c r="A105" s="37" t="s">
        <v>28</v>
      </c>
      <c r="B105" s="38" t="s">
        <v>29</v>
      </c>
      <c r="C105" s="39">
        <v>0.0</v>
      </c>
      <c r="D105" s="39">
        <v>1.0</v>
      </c>
      <c r="E105" s="39">
        <v>2.0</v>
      </c>
      <c r="F105" s="39">
        <v>3.0</v>
      </c>
      <c r="G105" s="39">
        <v>4.0</v>
      </c>
      <c r="H105" s="39">
        <v>5.0</v>
      </c>
      <c r="I105" s="39">
        <v>6.0</v>
      </c>
      <c r="J105" s="39">
        <v>7.0</v>
      </c>
      <c r="K105" s="39">
        <v>8.0</v>
      </c>
      <c r="L105" s="39">
        <v>9.0</v>
      </c>
      <c r="M105" s="39">
        <v>10.0</v>
      </c>
      <c r="N105" s="39">
        <v>11.0</v>
      </c>
      <c r="O105" s="39">
        <v>12.0</v>
      </c>
      <c r="P105" s="39">
        <v>13.0</v>
      </c>
      <c r="Q105" s="39">
        <v>14.0</v>
      </c>
      <c r="R105" s="39">
        <v>15.0</v>
      </c>
      <c r="S105" s="43">
        <v>16.0</v>
      </c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</row>
    <row r="106" ht="15.75" customHeight="1">
      <c r="A106" s="108">
        <f t="shared" ref="A106:A114" si="81">SUM(C106:S106)*($B$10*$B$11+$C$10*$C$11+$D$10*$D$11)</f>
        <v>0.9530236816</v>
      </c>
      <c r="B106" s="45" t="s">
        <v>30</v>
      </c>
      <c r="C106" s="109">
        <f t="shared" ref="C106:S106" si="80">C16*C$6</f>
        <v>0.01525878906</v>
      </c>
      <c r="D106" s="110">
        <f t="shared" si="80"/>
        <v>0.03051757813</v>
      </c>
      <c r="E106" s="111">
        <f t="shared" si="80"/>
        <v>0.02259521484</v>
      </c>
      <c r="F106" s="111">
        <f t="shared" si="80"/>
        <v>0.1054443359</v>
      </c>
      <c r="G106" s="109">
        <f t="shared" si="80"/>
        <v>0.06109619141</v>
      </c>
      <c r="H106" s="109">
        <f t="shared" si="80"/>
        <v>0.07331542969</v>
      </c>
      <c r="I106" s="109">
        <f t="shared" si="80"/>
        <v>0.06109619141</v>
      </c>
      <c r="J106" s="109">
        <f t="shared" si="80"/>
        <v>0.05236816406</v>
      </c>
      <c r="K106" s="110">
        <f t="shared" si="80"/>
        <v>0</v>
      </c>
      <c r="L106" s="109">
        <f t="shared" si="80"/>
        <v>0.05236816406</v>
      </c>
      <c r="M106" s="109">
        <f t="shared" si="80"/>
        <v>0.06109619141</v>
      </c>
      <c r="N106" s="109">
        <f t="shared" si="80"/>
        <v>0.07331542969</v>
      </c>
      <c r="O106" s="109">
        <f t="shared" si="80"/>
        <v>0.06109619141</v>
      </c>
      <c r="P106" s="111">
        <f t="shared" si="80"/>
        <v>0.1054443359</v>
      </c>
      <c r="Q106" s="111">
        <f t="shared" si="80"/>
        <v>0.02259521484</v>
      </c>
      <c r="R106" s="110">
        <f t="shared" si="80"/>
        <v>0.03051757813</v>
      </c>
      <c r="S106" s="112">
        <f t="shared" si="80"/>
        <v>0.01525878906</v>
      </c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</row>
    <row r="107" ht="15.75" customHeight="1">
      <c r="A107" s="108">
        <f t="shared" si="81"/>
        <v>0.9551845032</v>
      </c>
      <c r="B107" s="53" t="s">
        <v>31</v>
      </c>
      <c r="C107" s="113">
        <f t="shared" ref="C107:S107" si="82">C17*C$6</f>
        <v>0.003051757813</v>
      </c>
      <c r="D107" s="113">
        <f t="shared" si="82"/>
        <v>0.0087890625</v>
      </c>
      <c r="E107" s="114">
        <f t="shared" si="82"/>
        <v>0.0204107666</v>
      </c>
      <c r="F107" s="114">
        <f t="shared" si="82"/>
        <v>0.09525024414</v>
      </c>
      <c r="G107" s="113">
        <f t="shared" si="82"/>
        <v>0.05554199219</v>
      </c>
      <c r="H107" s="113">
        <f t="shared" si="82"/>
        <v>0.08664550781</v>
      </c>
      <c r="I107" s="113">
        <f t="shared" si="82"/>
        <v>0.07331542969</v>
      </c>
      <c r="J107" s="113">
        <f t="shared" si="82"/>
        <v>0.06982421875</v>
      </c>
      <c r="K107" s="115">
        <f t="shared" si="82"/>
        <v>0.01963806152</v>
      </c>
      <c r="L107" s="113">
        <f t="shared" si="82"/>
        <v>0.06982421875</v>
      </c>
      <c r="M107" s="113">
        <f t="shared" si="82"/>
        <v>0.07331542969</v>
      </c>
      <c r="N107" s="113">
        <f t="shared" si="82"/>
        <v>0.08664550781</v>
      </c>
      <c r="O107" s="113">
        <f t="shared" si="82"/>
        <v>0.05554199219</v>
      </c>
      <c r="P107" s="114">
        <f t="shared" si="82"/>
        <v>0.09525024414</v>
      </c>
      <c r="Q107" s="114">
        <f t="shared" si="82"/>
        <v>0.0204107666</v>
      </c>
      <c r="R107" s="113">
        <f t="shared" si="82"/>
        <v>0.0087890625</v>
      </c>
      <c r="S107" s="116">
        <f t="shared" si="82"/>
        <v>0.003051757813</v>
      </c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</row>
    <row r="108" ht="15.75" customHeight="1">
      <c r="A108" s="117">
        <f t="shared" si="81"/>
        <v>0.9554169312</v>
      </c>
      <c r="B108" s="61" t="s">
        <v>32</v>
      </c>
      <c r="C108" s="118">
        <f t="shared" ref="C108:S108" si="83">C18*C$6</f>
        <v>0.0009155273438</v>
      </c>
      <c r="D108" s="118">
        <f t="shared" si="83"/>
        <v>0.00732421875</v>
      </c>
      <c r="E108" s="118">
        <f t="shared" si="83"/>
        <v>0.0146484375</v>
      </c>
      <c r="F108" s="118">
        <f t="shared" si="83"/>
        <v>0.02221679688</v>
      </c>
      <c r="G108" s="118">
        <f t="shared" si="83"/>
        <v>0.04443359375</v>
      </c>
      <c r="H108" s="118">
        <f t="shared" si="83"/>
        <v>0.08664550781</v>
      </c>
      <c r="I108" s="118">
        <f t="shared" si="83"/>
        <v>0.1221923828</v>
      </c>
      <c r="J108" s="118">
        <f t="shared" si="83"/>
        <v>0.1047363281</v>
      </c>
      <c r="K108" s="119">
        <f t="shared" si="83"/>
        <v>0.03927612305</v>
      </c>
      <c r="L108" s="118">
        <f t="shared" si="83"/>
        <v>0.1047363281</v>
      </c>
      <c r="M108" s="118">
        <f t="shared" si="83"/>
        <v>0.1221923828</v>
      </c>
      <c r="N108" s="118">
        <f t="shared" si="83"/>
        <v>0.08664550781</v>
      </c>
      <c r="O108" s="118">
        <f t="shared" si="83"/>
        <v>0.04443359375</v>
      </c>
      <c r="P108" s="118">
        <f t="shared" si="83"/>
        <v>0.02221679688</v>
      </c>
      <c r="Q108" s="118">
        <f t="shared" si="83"/>
        <v>0.0146484375</v>
      </c>
      <c r="R108" s="118">
        <f t="shared" si="83"/>
        <v>0.00732421875</v>
      </c>
      <c r="S108" s="120">
        <f t="shared" si="83"/>
        <v>0.0009155273438</v>
      </c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</row>
    <row r="109" ht="15.75" customHeight="1">
      <c r="A109" s="121">
        <f t="shared" si="81"/>
        <v>0.9404711914</v>
      </c>
      <c r="B109" s="45" t="s">
        <v>30</v>
      </c>
      <c r="C109" s="109">
        <f t="shared" ref="C109:S109" si="84">C19*C$6</f>
        <v>0.01525878906</v>
      </c>
      <c r="D109" s="110">
        <f t="shared" si="84"/>
        <v>0.03051757813</v>
      </c>
      <c r="E109" s="111">
        <f t="shared" si="84"/>
        <v>0.02259521484</v>
      </c>
      <c r="F109" s="111">
        <f t="shared" si="84"/>
        <v>0.1054443359</v>
      </c>
      <c r="G109" s="109">
        <f t="shared" si="84"/>
        <v>0.05554199219</v>
      </c>
      <c r="H109" s="109">
        <f t="shared" si="84"/>
        <v>0.07331542969</v>
      </c>
      <c r="I109" s="109">
        <f t="shared" si="84"/>
        <v>0.06109619141</v>
      </c>
      <c r="J109" s="109">
        <f t="shared" si="84"/>
        <v>0.05236816406</v>
      </c>
      <c r="K109" s="110">
        <f t="shared" si="84"/>
        <v>0</v>
      </c>
      <c r="L109" s="109">
        <f t="shared" si="84"/>
        <v>0.05236816406</v>
      </c>
      <c r="M109" s="109">
        <f t="shared" si="84"/>
        <v>0.06109619141</v>
      </c>
      <c r="N109" s="109">
        <f t="shared" si="84"/>
        <v>0.07331542969</v>
      </c>
      <c r="O109" s="109">
        <f t="shared" si="84"/>
        <v>0.05554199219</v>
      </c>
      <c r="P109" s="111">
        <f t="shared" si="84"/>
        <v>0.1054443359</v>
      </c>
      <c r="Q109" s="111">
        <f t="shared" si="84"/>
        <v>0.02259521484</v>
      </c>
      <c r="R109" s="110">
        <f t="shared" si="84"/>
        <v>0.03051757813</v>
      </c>
      <c r="S109" s="112">
        <f t="shared" si="84"/>
        <v>0.01525878906</v>
      </c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</row>
    <row r="110" ht="15.75" customHeight="1">
      <c r="A110" s="108">
        <f t="shared" si="81"/>
        <v>0.9401215149</v>
      </c>
      <c r="B110" s="53" t="s">
        <v>31</v>
      </c>
      <c r="C110" s="113">
        <f t="shared" ref="C110:S110" si="85">C20*C$6</f>
        <v>0.003051757813</v>
      </c>
      <c r="D110" s="113">
        <f t="shared" si="85"/>
        <v>0.0087890625</v>
      </c>
      <c r="E110" s="114">
        <f t="shared" si="85"/>
        <v>0.0204107666</v>
      </c>
      <c r="F110" s="114">
        <f t="shared" si="85"/>
        <v>0.09525024414</v>
      </c>
      <c r="G110" s="113">
        <f t="shared" si="85"/>
        <v>0.05554199219</v>
      </c>
      <c r="H110" s="113">
        <f t="shared" si="85"/>
        <v>0.07998046875</v>
      </c>
      <c r="I110" s="113">
        <f t="shared" si="85"/>
        <v>0.07331542969</v>
      </c>
      <c r="J110" s="113">
        <f t="shared" si="85"/>
        <v>0.06982421875</v>
      </c>
      <c r="K110" s="115">
        <f t="shared" si="85"/>
        <v>0.01963806152</v>
      </c>
      <c r="L110" s="113">
        <f t="shared" si="85"/>
        <v>0.06982421875</v>
      </c>
      <c r="M110" s="113">
        <f t="shared" si="85"/>
        <v>0.07331542969</v>
      </c>
      <c r="N110" s="113">
        <f t="shared" si="85"/>
        <v>0.07998046875</v>
      </c>
      <c r="O110" s="113">
        <f t="shared" si="85"/>
        <v>0.05554199219</v>
      </c>
      <c r="P110" s="114">
        <f t="shared" si="85"/>
        <v>0.09525024414</v>
      </c>
      <c r="Q110" s="114">
        <f t="shared" si="85"/>
        <v>0.0204107666</v>
      </c>
      <c r="R110" s="113">
        <f t="shared" si="85"/>
        <v>0.0087890625</v>
      </c>
      <c r="S110" s="116">
        <f t="shared" si="85"/>
        <v>0.003051757813</v>
      </c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</row>
    <row r="111" ht="15.75" customHeight="1">
      <c r="A111" s="117">
        <f t="shared" si="81"/>
        <v>0.9403539429</v>
      </c>
      <c r="B111" s="61" t="s">
        <v>32</v>
      </c>
      <c r="C111" s="118">
        <f t="shared" ref="C111:S111" si="86">C21*C$6</f>
        <v>0.0009155273438</v>
      </c>
      <c r="D111" s="118">
        <f t="shared" si="86"/>
        <v>0.00732421875</v>
      </c>
      <c r="E111" s="118">
        <f t="shared" si="86"/>
        <v>0.0146484375</v>
      </c>
      <c r="F111" s="118">
        <f t="shared" si="86"/>
        <v>0.02221679688</v>
      </c>
      <c r="G111" s="118">
        <f t="shared" si="86"/>
        <v>0.04443359375</v>
      </c>
      <c r="H111" s="118">
        <f t="shared" si="86"/>
        <v>0.07998046875</v>
      </c>
      <c r="I111" s="118">
        <f t="shared" si="86"/>
        <v>0.1221923828</v>
      </c>
      <c r="J111" s="118">
        <f t="shared" si="86"/>
        <v>0.1047363281</v>
      </c>
      <c r="K111" s="119">
        <f t="shared" si="86"/>
        <v>0.03927612305</v>
      </c>
      <c r="L111" s="118">
        <f t="shared" si="86"/>
        <v>0.1047363281</v>
      </c>
      <c r="M111" s="118">
        <f t="shared" si="86"/>
        <v>0.1221923828</v>
      </c>
      <c r="N111" s="118">
        <f t="shared" si="86"/>
        <v>0.07998046875</v>
      </c>
      <c r="O111" s="118">
        <f t="shared" si="86"/>
        <v>0.04443359375</v>
      </c>
      <c r="P111" s="118">
        <f t="shared" si="86"/>
        <v>0.02221679688</v>
      </c>
      <c r="Q111" s="118">
        <f t="shared" si="86"/>
        <v>0.0146484375</v>
      </c>
      <c r="R111" s="118">
        <f t="shared" si="86"/>
        <v>0.00732421875</v>
      </c>
      <c r="S111" s="120">
        <f t="shared" si="86"/>
        <v>0.0009155273438</v>
      </c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</row>
    <row r="112" ht="15.75" customHeight="1">
      <c r="A112" s="108">
        <f t="shared" si="81"/>
        <v>0.919131958</v>
      </c>
      <c r="B112" s="69" t="s">
        <v>30</v>
      </c>
      <c r="C112" s="109">
        <f t="shared" ref="C112:S112" si="87">C22*C$6</f>
        <v>0.01525878906</v>
      </c>
      <c r="D112" s="110">
        <f t="shared" si="87"/>
        <v>0.03051757813</v>
      </c>
      <c r="E112" s="111">
        <f t="shared" si="87"/>
        <v>0.02259521484</v>
      </c>
      <c r="F112" s="111">
        <f t="shared" si="87"/>
        <v>0.1054443359</v>
      </c>
      <c r="G112" s="109">
        <f t="shared" si="87"/>
        <v>0.0583190918</v>
      </c>
      <c r="H112" s="109">
        <f t="shared" si="87"/>
        <v>0.07331542969</v>
      </c>
      <c r="I112" s="109">
        <f t="shared" si="87"/>
        <v>0.04887695313</v>
      </c>
      <c r="J112" s="109">
        <f t="shared" si="87"/>
        <v>0.05236816406</v>
      </c>
      <c r="K112" s="110">
        <f t="shared" si="87"/>
        <v>0</v>
      </c>
      <c r="L112" s="109">
        <f t="shared" si="87"/>
        <v>0.05236816406</v>
      </c>
      <c r="M112" s="109">
        <f t="shared" si="87"/>
        <v>0.04887695313</v>
      </c>
      <c r="N112" s="109">
        <f t="shared" si="87"/>
        <v>0.07331542969</v>
      </c>
      <c r="O112" s="109">
        <f t="shared" si="87"/>
        <v>0.0583190918</v>
      </c>
      <c r="P112" s="111">
        <f t="shared" si="87"/>
        <v>0.1054443359</v>
      </c>
      <c r="Q112" s="111">
        <f t="shared" si="87"/>
        <v>0.02259521484</v>
      </c>
      <c r="R112" s="110">
        <f t="shared" si="87"/>
        <v>0.03051757813</v>
      </c>
      <c r="S112" s="112">
        <f t="shared" si="87"/>
        <v>0.01525878906</v>
      </c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</row>
    <row r="113" ht="15.75" customHeight="1">
      <c r="A113" s="108">
        <f t="shared" si="81"/>
        <v>0.9204789368</v>
      </c>
      <c r="B113" s="70" t="s">
        <v>31</v>
      </c>
      <c r="C113" s="113">
        <f t="shared" ref="C113:S113" si="88">C23*C$6</f>
        <v>0.003051757813</v>
      </c>
      <c r="D113" s="113">
        <f t="shared" si="88"/>
        <v>0.01342773438</v>
      </c>
      <c r="E113" s="114">
        <f t="shared" si="88"/>
        <v>0.0204107666</v>
      </c>
      <c r="F113" s="114">
        <f t="shared" si="88"/>
        <v>0.09525024414</v>
      </c>
      <c r="G113" s="113">
        <f t="shared" si="88"/>
        <v>0.05554199219</v>
      </c>
      <c r="H113" s="113">
        <f t="shared" si="88"/>
        <v>0.06665039063</v>
      </c>
      <c r="I113" s="113">
        <f t="shared" si="88"/>
        <v>0.07331542969</v>
      </c>
      <c r="J113" s="113">
        <f t="shared" si="88"/>
        <v>0.06982421875</v>
      </c>
      <c r="K113" s="115">
        <f t="shared" si="88"/>
        <v>0.01963806152</v>
      </c>
      <c r="L113" s="113">
        <f t="shared" si="88"/>
        <v>0.06982421875</v>
      </c>
      <c r="M113" s="113">
        <f t="shared" si="88"/>
        <v>0.07331542969</v>
      </c>
      <c r="N113" s="113">
        <f t="shared" si="88"/>
        <v>0.06665039063</v>
      </c>
      <c r="O113" s="113">
        <f t="shared" si="88"/>
        <v>0.05554199219</v>
      </c>
      <c r="P113" s="114">
        <f t="shared" si="88"/>
        <v>0.09525024414</v>
      </c>
      <c r="Q113" s="114">
        <f t="shared" si="88"/>
        <v>0.0204107666</v>
      </c>
      <c r="R113" s="113">
        <f t="shared" si="88"/>
        <v>0.01342773438</v>
      </c>
      <c r="S113" s="116">
        <f t="shared" si="88"/>
        <v>0.003051757813</v>
      </c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</row>
    <row r="114" ht="15.75" customHeight="1">
      <c r="A114" s="122">
        <f t="shared" si="81"/>
        <v>0.9190147095</v>
      </c>
      <c r="B114" s="72" t="s">
        <v>32</v>
      </c>
      <c r="C114" s="118">
        <f t="shared" ref="C114:S114" si="89">C24*C$6</f>
        <v>0.0009155273438</v>
      </c>
      <c r="D114" s="118">
        <f t="shared" si="89"/>
        <v>0.00732421875</v>
      </c>
      <c r="E114" s="118">
        <f t="shared" si="89"/>
        <v>0.0146484375</v>
      </c>
      <c r="F114" s="118">
        <f t="shared" si="89"/>
        <v>0.02221679688</v>
      </c>
      <c r="G114" s="118">
        <f t="shared" si="89"/>
        <v>0.04165649414</v>
      </c>
      <c r="H114" s="118">
        <f t="shared" si="89"/>
        <v>0.07331542969</v>
      </c>
      <c r="I114" s="118">
        <f t="shared" si="89"/>
        <v>0.1221923828</v>
      </c>
      <c r="J114" s="118">
        <f t="shared" si="89"/>
        <v>0.1047363281</v>
      </c>
      <c r="K114" s="119">
        <f t="shared" si="89"/>
        <v>0.03927612305</v>
      </c>
      <c r="L114" s="118">
        <f t="shared" si="89"/>
        <v>0.1047363281</v>
      </c>
      <c r="M114" s="118">
        <f t="shared" si="89"/>
        <v>0.1221923828</v>
      </c>
      <c r="N114" s="118">
        <f t="shared" si="89"/>
        <v>0.07331542969</v>
      </c>
      <c r="O114" s="118">
        <f t="shared" si="89"/>
        <v>0.04165649414</v>
      </c>
      <c r="P114" s="118">
        <f t="shared" si="89"/>
        <v>0.02221679688</v>
      </c>
      <c r="Q114" s="118">
        <f t="shared" si="89"/>
        <v>0.0146484375</v>
      </c>
      <c r="R114" s="118">
        <f t="shared" si="89"/>
        <v>0.00732421875</v>
      </c>
      <c r="S114" s="120">
        <f t="shared" si="89"/>
        <v>0.0009155273438</v>
      </c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</row>
    <row r="115" ht="15.75" customHeight="1">
      <c r="A115" s="36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</row>
    <row r="116" ht="15.75" customHeight="1">
      <c r="A116" s="21" t="s">
        <v>63</v>
      </c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</row>
    <row r="117" ht="15.75" customHeight="1">
      <c r="A117" s="23" t="s">
        <v>16</v>
      </c>
      <c r="B117" s="24" t="s">
        <v>17</v>
      </c>
      <c r="C117" s="24">
        <v>0.0</v>
      </c>
      <c r="D117" s="24">
        <v>1.0</v>
      </c>
      <c r="E117" s="24">
        <v>2.0</v>
      </c>
      <c r="F117" s="24">
        <v>3.0</v>
      </c>
      <c r="G117" s="24">
        <v>4.0</v>
      </c>
      <c r="H117" s="24">
        <v>5.0</v>
      </c>
      <c r="I117" s="24">
        <v>6.0</v>
      </c>
      <c r="J117" s="24">
        <v>7.0</v>
      </c>
      <c r="K117" s="24">
        <v>8.0</v>
      </c>
      <c r="L117" s="24">
        <v>9.0</v>
      </c>
      <c r="M117" s="24">
        <v>10.0</v>
      </c>
      <c r="N117" s="24">
        <v>11.0</v>
      </c>
      <c r="O117" s="24">
        <v>12.0</v>
      </c>
      <c r="P117" s="24">
        <v>13.0</v>
      </c>
      <c r="Q117" s="24">
        <v>14.0</v>
      </c>
      <c r="R117" s="24">
        <v>15.0</v>
      </c>
      <c r="S117" s="24">
        <v>16.0</v>
      </c>
      <c r="T117" s="20"/>
      <c r="U117" s="24"/>
      <c r="V117" s="25" t="s">
        <v>18</v>
      </c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</row>
    <row r="118" ht="15.75" customHeight="1">
      <c r="A118" s="123"/>
      <c r="B118" s="25" t="s">
        <v>64</v>
      </c>
      <c r="C118" s="124">
        <f t="shared" ref="C118:S118" si="90">1/C6</f>
        <v>65536</v>
      </c>
      <c r="D118" s="124">
        <f t="shared" si="90"/>
        <v>4096</v>
      </c>
      <c r="E118" s="124">
        <f t="shared" si="90"/>
        <v>546.1333333</v>
      </c>
      <c r="F118" s="124">
        <f t="shared" si="90"/>
        <v>117.0285714</v>
      </c>
      <c r="G118" s="124">
        <f t="shared" si="90"/>
        <v>36.00879121</v>
      </c>
      <c r="H118" s="124">
        <f t="shared" si="90"/>
        <v>15.003663</v>
      </c>
      <c r="I118" s="124">
        <f t="shared" si="90"/>
        <v>8.183816184</v>
      </c>
      <c r="J118" s="124">
        <f t="shared" si="90"/>
        <v>5.728671329</v>
      </c>
      <c r="K118" s="124">
        <f t="shared" si="90"/>
        <v>5.092152292</v>
      </c>
      <c r="L118" s="124">
        <f t="shared" si="90"/>
        <v>5.728671329</v>
      </c>
      <c r="M118" s="124">
        <f t="shared" si="90"/>
        <v>8.183816184</v>
      </c>
      <c r="N118" s="124">
        <f t="shared" si="90"/>
        <v>15.003663</v>
      </c>
      <c r="O118" s="124">
        <f t="shared" si="90"/>
        <v>36.00879121</v>
      </c>
      <c r="P118" s="124">
        <f t="shared" si="90"/>
        <v>117.0285714</v>
      </c>
      <c r="Q118" s="124">
        <f t="shared" si="90"/>
        <v>546.1333333</v>
      </c>
      <c r="R118" s="124">
        <f t="shared" si="90"/>
        <v>4096</v>
      </c>
      <c r="S118" s="124">
        <f t="shared" si="90"/>
        <v>65536</v>
      </c>
      <c r="U118" s="25" t="s">
        <v>22</v>
      </c>
      <c r="V118" s="124">
        <f>sum(C118:S118)</f>
        <v>140725.2658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</row>
    <row r="119" ht="26.25" customHeight="1">
      <c r="A119" s="123"/>
      <c r="B119" s="25" t="s">
        <v>65</v>
      </c>
      <c r="C119" s="124">
        <f t="shared" ref="C119:S119" si="91">C118/2</f>
        <v>32768</v>
      </c>
      <c r="D119" s="124">
        <f t="shared" si="91"/>
        <v>2048</v>
      </c>
      <c r="E119" s="124">
        <f t="shared" si="91"/>
        <v>273.0666667</v>
      </c>
      <c r="F119" s="124">
        <f t="shared" si="91"/>
        <v>58.51428571</v>
      </c>
      <c r="G119" s="124">
        <f t="shared" si="91"/>
        <v>18.0043956</v>
      </c>
      <c r="H119" s="124">
        <f t="shared" si="91"/>
        <v>7.501831502</v>
      </c>
      <c r="I119" s="124">
        <f t="shared" si="91"/>
        <v>4.091908092</v>
      </c>
      <c r="J119" s="124">
        <f t="shared" si="91"/>
        <v>2.864335664</v>
      </c>
      <c r="K119" s="124">
        <f t="shared" si="91"/>
        <v>2.546076146</v>
      </c>
      <c r="L119" s="124">
        <f t="shared" si="91"/>
        <v>2.864335664</v>
      </c>
      <c r="M119" s="124">
        <f t="shared" si="91"/>
        <v>4.091908092</v>
      </c>
      <c r="N119" s="124">
        <f t="shared" si="91"/>
        <v>7.501831502</v>
      </c>
      <c r="O119" s="124">
        <f t="shared" si="91"/>
        <v>18.0043956</v>
      </c>
      <c r="P119" s="124">
        <f t="shared" si="91"/>
        <v>58.51428571</v>
      </c>
      <c r="Q119" s="124">
        <f t="shared" si="91"/>
        <v>273.0666667</v>
      </c>
      <c r="R119" s="124">
        <f t="shared" si="91"/>
        <v>2048</v>
      </c>
      <c r="S119" s="124">
        <f t="shared" si="91"/>
        <v>32768</v>
      </c>
      <c r="U119" s="25"/>
      <c r="V119" s="124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</row>
    <row r="120" ht="15.75" customHeight="1">
      <c r="A120" s="36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</row>
    <row r="121" ht="15.75" customHeight="1">
      <c r="A121" s="125" t="s">
        <v>66</v>
      </c>
      <c r="D121" s="126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</row>
    <row r="122" ht="15.75" customHeight="1">
      <c r="A122" s="127" t="s">
        <v>48</v>
      </c>
      <c r="B122" s="6"/>
      <c r="C122" s="128" t="s">
        <v>18</v>
      </c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</row>
    <row r="123" ht="15.75" customHeight="1">
      <c r="A123" s="129" t="s">
        <v>67</v>
      </c>
      <c r="B123" s="12"/>
      <c r="C123" s="130">
        <f>((E6+F6)*2)</f>
        <v>0.02075195313</v>
      </c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</row>
    <row r="124" ht="15.75" customHeight="1">
      <c r="A124" s="129" t="s">
        <v>68</v>
      </c>
      <c r="B124" s="12"/>
      <c r="C124" s="131">
        <f>1/((E6+F6)*2)</f>
        <v>48.18823529</v>
      </c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</row>
    <row r="125" ht="15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</row>
    <row r="126" ht="15.75" customHeight="1">
      <c r="A126" s="132" t="s">
        <v>69</v>
      </c>
      <c r="B126" s="132"/>
      <c r="C126" s="132"/>
      <c r="D126" s="132"/>
      <c r="E126" s="132"/>
      <c r="F126" s="132"/>
      <c r="G126" s="132"/>
      <c r="H126" s="132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</row>
    <row r="127" ht="15.75" customHeight="1">
      <c r="A127" s="77" t="s">
        <v>40</v>
      </c>
      <c r="B127" s="6"/>
      <c r="C127" s="77" t="s">
        <v>30</v>
      </c>
      <c r="D127" s="6"/>
      <c r="E127" s="77" t="s">
        <v>40</v>
      </c>
      <c r="F127" s="6"/>
      <c r="G127" s="77" t="s">
        <v>31</v>
      </c>
      <c r="H127" s="6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</row>
    <row r="128" ht="15.75" customHeight="1">
      <c r="A128" s="133" t="s">
        <v>48</v>
      </c>
      <c r="B128" s="6"/>
      <c r="C128" s="134" t="s">
        <v>57</v>
      </c>
      <c r="D128" s="128" t="s">
        <v>58</v>
      </c>
      <c r="E128" s="133" t="s">
        <v>48</v>
      </c>
      <c r="F128" s="6"/>
      <c r="G128" s="134" t="s">
        <v>57</v>
      </c>
      <c r="H128" s="128" t="s">
        <v>58</v>
      </c>
      <c r="I128" s="81"/>
      <c r="J128" s="133" t="s">
        <v>70</v>
      </c>
      <c r="K128" s="6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</row>
    <row r="129" ht="15.75" customHeight="1">
      <c r="A129" s="135" t="str">
        <f>"開"&amp;A36&amp;"機率"</f>
        <v>開Super JP / X 200 獎機率</v>
      </c>
      <c r="B129" s="12"/>
      <c r="C129" s="136">
        <f t="shared" ref="C129:D129" si="92">C46/SUM(C$46:C$51)</f>
        <v>0.0022</v>
      </c>
      <c r="D129" s="136">
        <f t="shared" si="92"/>
        <v>0.00255</v>
      </c>
      <c r="E129" s="135" t="str">
        <f>"開"&amp;E36&amp;"機率"</f>
        <v>開Super JP / X 100 獎機率</v>
      </c>
      <c r="F129" s="12"/>
      <c r="G129" s="136">
        <f t="shared" ref="G129:H129" si="93">G46/SUM(G$46:G$51)</f>
        <v>0.03212</v>
      </c>
      <c r="H129" s="136">
        <f t="shared" si="93"/>
        <v>0.03312</v>
      </c>
      <c r="I129" s="81"/>
      <c r="J129" s="135" t="s">
        <v>71</v>
      </c>
      <c r="K129" s="12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</row>
    <row r="130" ht="15.75" customHeight="1">
      <c r="A130" s="129" t="s">
        <v>72</v>
      </c>
      <c r="B130" s="12"/>
      <c r="C130" s="137">
        <f t="shared" ref="C130:D130" si="94">1/C129</f>
        <v>454.5454545</v>
      </c>
      <c r="D130" s="137">
        <f t="shared" si="94"/>
        <v>392.1568627</v>
      </c>
      <c r="E130" s="129" t="s">
        <v>72</v>
      </c>
      <c r="F130" s="12"/>
      <c r="G130" s="137">
        <f t="shared" ref="G130:H130" si="95">1/G129</f>
        <v>31.13325031</v>
      </c>
      <c r="H130" s="137">
        <f t="shared" si="95"/>
        <v>30.19323671</v>
      </c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</row>
    <row r="131" ht="15.75" customHeight="1">
      <c r="A131" s="135" t="s">
        <v>64</v>
      </c>
      <c r="B131" s="12"/>
      <c r="C131" s="137">
        <f t="shared" ref="C131:D131" si="96">C130*$C$124</f>
        <v>21903.74332</v>
      </c>
      <c r="D131" s="137">
        <f t="shared" si="96"/>
        <v>18897.34717</v>
      </c>
      <c r="E131" s="135" t="s">
        <v>64</v>
      </c>
      <c r="F131" s="12"/>
      <c r="G131" s="137">
        <f t="shared" ref="G131:H131" si="97">G130*$C$124</f>
        <v>1500.256391</v>
      </c>
      <c r="H131" s="137">
        <f t="shared" si="97"/>
        <v>1454.958795</v>
      </c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</row>
    <row r="132" ht="15.75" customHeight="1">
      <c r="A132" s="135" t="str">
        <f>"開"&amp;A37&amp;"機率"</f>
        <v>開Lucky JP / X 100 獎機率</v>
      </c>
      <c r="B132" s="12"/>
      <c r="C132" s="136">
        <f t="shared" ref="C132:D132" si="98">C47/SUM(C$46:C$51)</f>
        <v>0.0091</v>
      </c>
      <c r="D132" s="136">
        <f t="shared" si="98"/>
        <v>0.0102</v>
      </c>
      <c r="E132" s="135" t="str">
        <f>"開"&amp;E37&amp;"機率"</f>
        <v>開Lucky JP / X 50 獎機率</v>
      </c>
      <c r="F132" s="12"/>
      <c r="G132" s="136">
        <f t="shared" ref="G132:H132" si="99">G47/SUM(G$46:G$51)</f>
        <v>0.06015</v>
      </c>
      <c r="H132" s="136">
        <f t="shared" si="99"/>
        <v>0.06215</v>
      </c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</row>
    <row r="133" ht="15.75" customHeight="1">
      <c r="A133" s="129" t="s">
        <v>72</v>
      </c>
      <c r="B133" s="12"/>
      <c r="C133" s="137">
        <f t="shared" ref="C133:D133" si="100">1/C132</f>
        <v>109.8901099</v>
      </c>
      <c r="D133" s="137">
        <f t="shared" si="100"/>
        <v>98.03921569</v>
      </c>
      <c r="E133" s="129" t="s">
        <v>72</v>
      </c>
      <c r="F133" s="12"/>
      <c r="G133" s="137">
        <f t="shared" ref="G133:H133" si="101">1/G132</f>
        <v>16.62510391</v>
      </c>
      <c r="H133" s="137">
        <f t="shared" si="101"/>
        <v>16.09010459</v>
      </c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</row>
    <row r="134" ht="15.75" customHeight="1">
      <c r="A134" s="135" t="s">
        <v>64</v>
      </c>
      <c r="B134" s="12"/>
      <c r="C134" s="137">
        <f t="shared" ref="C134:D134" si="102">C133*$C$124</f>
        <v>5295.410472</v>
      </c>
      <c r="D134" s="137">
        <f t="shared" si="102"/>
        <v>4724.336794</v>
      </c>
      <c r="E134" s="135" t="s">
        <v>64</v>
      </c>
      <c r="F134" s="12"/>
      <c r="G134" s="137">
        <f t="shared" ref="G134:H134" si="103">G133*$C$124</f>
        <v>801.1344189</v>
      </c>
      <c r="H134" s="137">
        <f t="shared" si="103"/>
        <v>775.3537457</v>
      </c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</row>
    <row r="135" ht="15.75" customHeight="1">
      <c r="A135" s="135" t="str">
        <f>"開"&amp;A38&amp;"機率"</f>
        <v>開 X 50 獎機率</v>
      </c>
      <c r="B135" s="12"/>
      <c r="C135" s="136">
        <f t="shared" ref="C135:D135" si="104">C48/SUM(C$46:C$51)</f>
        <v>0.064</v>
      </c>
      <c r="D135" s="136">
        <f t="shared" si="104"/>
        <v>0.0651</v>
      </c>
      <c r="E135" s="135" t="str">
        <f>"開"&amp;E38&amp;"機率"</f>
        <v>開 X 25 獎機率</v>
      </c>
      <c r="F135" s="12"/>
      <c r="G135" s="136">
        <f t="shared" ref="G135:H135" si="105">G48/SUM(G$46:G$51)</f>
        <v>0.0955</v>
      </c>
      <c r="H135" s="136">
        <f t="shared" si="105"/>
        <v>0.10605</v>
      </c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</row>
    <row r="136" ht="15.75" customHeight="1">
      <c r="A136" s="129" t="s">
        <v>72</v>
      </c>
      <c r="B136" s="12"/>
      <c r="C136" s="137">
        <f t="shared" ref="C136:D136" si="106">1/C135</f>
        <v>15.625</v>
      </c>
      <c r="D136" s="137">
        <f t="shared" si="106"/>
        <v>15.3609831</v>
      </c>
      <c r="E136" s="129" t="s">
        <v>72</v>
      </c>
      <c r="F136" s="12"/>
      <c r="G136" s="137">
        <f t="shared" ref="G136:H136" si="107">1/G135</f>
        <v>10.47120419</v>
      </c>
      <c r="H136" s="137">
        <f t="shared" si="107"/>
        <v>9.42951438</v>
      </c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</row>
    <row r="137" ht="15.75" customHeight="1">
      <c r="A137" s="135" t="s">
        <v>64</v>
      </c>
      <c r="B137" s="12"/>
      <c r="C137" s="137">
        <f t="shared" ref="C137:D137" si="108">C136*$C$124</f>
        <v>752.9411765</v>
      </c>
      <c r="D137" s="137">
        <f t="shared" si="108"/>
        <v>740.2186681</v>
      </c>
      <c r="E137" s="135" t="s">
        <v>64</v>
      </c>
      <c r="F137" s="12"/>
      <c r="G137" s="137">
        <f t="shared" ref="G137:H137" si="109">G136*$C$124</f>
        <v>504.5888512</v>
      </c>
      <c r="H137" s="137">
        <f t="shared" si="109"/>
        <v>454.3916577</v>
      </c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</row>
    <row r="138" ht="15.75" customHeight="1">
      <c r="A138" s="135" t="str">
        <f>"開"&amp;A39&amp;"機率"</f>
        <v>開 X 25 獎機率</v>
      </c>
      <c r="B138" s="12"/>
      <c r="C138" s="136">
        <f t="shared" ref="C138:D138" si="110">C49/SUM(C$46:C$51)</f>
        <v>0.114</v>
      </c>
      <c r="D138" s="136">
        <f t="shared" si="110"/>
        <v>0.12611</v>
      </c>
      <c r="E138" s="135" t="str">
        <f>"開"&amp;E39&amp;"機率"</f>
        <v>開 X 10 獎機率</v>
      </c>
      <c r="F138" s="12"/>
      <c r="G138" s="136">
        <f t="shared" ref="G138:H138" si="111">G49/SUM(G$46:G$51)</f>
        <v>0.1405</v>
      </c>
      <c r="H138" s="136">
        <f t="shared" si="111"/>
        <v>0.14445</v>
      </c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</row>
    <row r="139" ht="15.75" customHeight="1">
      <c r="A139" s="129" t="s">
        <v>72</v>
      </c>
      <c r="B139" s="12"/>
      <c r="C139" s="137">
        <f t="shared" ref="C139:D139" si="112">1/C138</f>
        <v>8.771929825</v>
      </c>
      <c r="D139" s="137">
        <f t="shared" si="112"/>
        <v>7.929585283</v>
      </c>
      <c r="E139" s="129" t="s">
        <v>72</v>
      </c>
      <c r="F139" s="12"/>
      <c r="G139" s="137">
        <f t="shared" ref="G139:H139" si="113">1/G138</f>
        <v>7.117437722</v>
      </c>
      <c r="H139" s="137">
        <f t="shared" si="113"/>
        <v>6.922810661</v>
      </c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</row>
    <row r="140" ht="15.75" customHeight="1">
      <c r="A140" s="135" t="s">
        <v>64</v>
      </c>
      <c r="B140" s="12"/>
      <c r="C140" s="137">
        <f t="shared" ref="C140:D140" si="114">C139*$C$124</f>
        <v>422.7038184</v>
      </c>
      <c r="D140" s="137">
        <f t="shared" si="114"/>
        <v>382.1127214</v>
      </c>
      <c r="E140" s="135" t="s">
        <v>64</v>
      </c>
      <c r="F140" s="12"/>
      <c r="G140" s="137">
        <f t="shared" ref="G140:H140" si="115">G139*$C$124</f>
        <v>342.9767637</v>
      </c>
      <c r="H140" s="137">
        <f t="shared" si="115"/>
        <v>333.598029</v>
      </c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</row>
    <row r="141" ht="15.75" customHeight="1">
      <c r="A141" s="135" t="str">
        <f>"開"&amp;A40&amp;"機率"</f>
        <v>開 X 10 獎機率</v>
      </c>
      <c r="B141" s="12"/>
      <c r="C141" s="136">
        <f t="shared" ref="C141:D141" si="116">C50/SUM(C$46:C$51)</f>
        <v>0.2889</v>
      </c>
      <c r="D141" s="136">
        <f t="shared" si="116"/>
        <v>0.28773</v>
      </c>
      <c r="E141" s="135" t="str">
        <f>"開"&amp;E40&amp;"機率"</f>
        <v>開 X 5 獎機率</v>
      </c>
      <c r="F141" s="12"/>
      <c r="G141" s="136">
        <f t="shared" ref="G141:H141" si="117">G50/SUM(G$46:G$51)</f>
        <v>0.29373</v>
      </c>
      <c r="H141" s="136">
        <f t="shared" si="117"/>
        <v>0.29265</v>
      </c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</row>
    <row r="142" ht="15.75" customHeight="1">
      <c r="A142" s="129" t="s">
        <v>72</v>
      </c>
      <c r="B142" s="12"/>
      <c r="C142" s="137">
        <f t="shared" ref="C142:D142" si="118">1/C141</f>
        <v>3.461405331</v>
      </c>
      <c r="D142" s="137">
        <f t="shared" si="118"/>
        <v>3.475480485</v>
      </c>
      <c r="E142" s="129" t="s">
        <v>72</v>
      </c>
      <c r="F142" s="12"/>
      <c r="G142" s="137">
        <f t="shared" ref="G142:H142" si="119">1/G141</f>
        <v>3.404487114</v>
      </c>
      <c r="H142" s="137">
        <f t="shared" si="119"/>
        <v>3.417051085</v>
      </c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</row>
    <row r="143" ht="15.75" customHeight="1">
      <c r="A143" s="135" t="s">
        <v>64</v>
      </c>
      <c r="B143" s="12"/>
      <c r="C143" s="137">
        <f t="shared" ref="C143:D143" si="120">C142*$C$124</f>
        <v>166.7990145</v>
      </c>
      <c r="D143" s="137">
        <f t="shared" si="120"/>
        <v>167.4772714</v>
      </c>
      <c r="E143" s="135" t="s">
        <v>64</v>
      </c>
      <c r="F143" s="12"/>
      <c r="G143" s="137">
        <f t="shared" ref="G143:H143" si="121">G142*$C$124</f>
        <v>164.0562261</v>
      </c>
      <c r="H143" s="137">
        <f t="shared" si="121"/>
        <v>164.6616617</v>
      </c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</row>
    <row r="144" ht="15.75" customHeight="1">
      <c r="A144" s="135" t="str">
        <f>"開"&amp;A41&amp;"機率"</f>
        <v>開 X 3 獎機率</v>
      </c>
      <c r="B144" s="12"/>
      <c r="C144" s="136">
        <f t="shared" ref="C144:D144" si="122">C51/SUM(C$46:C$51)</f>
        <v>0.5218</v>
      </c>
      <c r="D144" s="136">
        <f t="shared" si="122"/>
        <v>0.50831</v>
      </c>
      <c r="E144" s="135" t="str">
        <f>"開"&amp;E41&amp;"機率"</f>
        <v>開 X 1 獎機率</v>
      </c>
      <c r="F144" s="12"/>
      <c r="G144" s="136">
        <f t="shared" ref="G144:H144" si="123">G51/SUM(G$46:G$51)</f>
        <v>0.378</v>
      </c>
      <c r="H144" s="136">
        <f t="shared" si="123"/>
        <v>0.36158</v>
      </c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</row>
    <row r="145" ht="15.75" customHeight="1">
      <c r="A145" s="129" t="s">
        <v>72</v>
      </c>
      <c r="B145" s="12"/>
      <c r="C145" s="137">
        <f t="shared" ref="C145:D145" si="124">1/C144</f>
        <v>1.916443082</v>
      </c>
      <c r="D145" s="137">
        <f t="shared" si="124"/>
        <v>1.967303417</v>
      </c>
      <c r="E145" s="129" t="s">
        <v>72</v>
      </c>
      <c r="F145" s="12"/>
      <c r="G145" s="137">
        <f t="shared" ref="G145:H145" si="125">1/G144</f>
        <v>2.645502646</v>
      </c>
      <c r="H145" s="137">
        <f t="shared" si="125"/>
        <v>2.765639692</v>
      </c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</row>
    <row r="146" ht="15.75" customHeight="1">
      <c r="A146" s="135" t="s">
        <v>64</v>
      </c>
      <c r="B146" s="12"/>
      <c r="C146" s="137">
        <f t="shared" ref="C146:D146" si="126">C145*$C$124</f>
        <v>92.35001015</v>
      </c>
      <c r="D146" s="137">
        <f t="shared" si="126"/>
        <v>94.80087996</v>
      </c>
      <c r="E146" s="135" t="s">
        <v>64</v>
      </c>
      <c r="F146" s="12"/>
      <c r="G146" s="137">
        <f t="shared" ref="G146:H146" si="127">G145*$C$124</f>
        <v>127.482104</v>
      </c>
      <c r="H146" s="137">
        <f t="shared" si="127"/>
        <v>133.2712962</v>
      </c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</row>
    <row r="147" ht="15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</row>
    <row r="148" ht="15.75" customHeight="1">
      <c r="A148" s="132" t="s">
        <v>73</v>
      </c>
      <c r="B148" s="132"/>
      <c r="C148" s="132"/>
      <c r="D148" s="132"/>
      <c r="E148" s="132"/>
      <c r="F148" s="132"/>
      <c r="G148" s="132"/>
      <c r="H148" s="132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</row>
    <row r="149" ht="15.75" customHeight="1">
      <c r="A149" s="77" t="s">
        <v>40</v>
      </c>
      <c r="B149" s="6"/>
      <c r="C149" s="77" t="s">
        <v>30</v>
      </c>
      <c r="D149" s="6"/>
      <c r="E149" s="77" t="s">
        <v>40</v>
      </c>
      <c r="F149" s="6"/>
      <c r="G149" s="77" t="s">
        <v>31</v>
      </c>
      <c r="H149" s="6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</row>
    <row r="150" ht="15.75" customHeight="1">
      <c r="A150" s="133" t="s">
        <v>48</v>
      </c>
      <c r="B150" s="6"/>
      <c r="C150" s="134" t="s">
        <v>57</v>
      </c>
      <c r="D150" s="128" t="s">
        <v>58</v>
      </c>
      <c r="E150" s="133" t="s">
        <v>48</v>
      </c>
      <c r="F150" s="6"/>
      <c r="G150" s="134" t="s">
        <v>57</v>
      </c>
      <c r="H150" s="128" t="s">
        <v>58</v>
      </c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</row>
    <row r="151" ht="30.0" customHeight="1">
      <c r="A151" s="138" t="s">
        <v>74</v>
      </c>
      <c r="B151" s="6"/>
      <c r="C151" s="139">
        <f>$C$124*C30</f>
        <v>0.4818823529</v>
      </c>
      <c r="D151" s="140">
        <v>0.0</v>
      </c>
      <c r="E151" s="138" t="s">
        <v>74</v>
      </c>
      <c r="F151" s="6"/>
      <c r="G151" s="139">
        <f>$C$124*C30</f>
        <v>0.4818823529</v>
      </c>
      <c r="H151" s="140">
        <v>0.0</v>
      </c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</row>
    <row r="152" ht="30.0" customHeight="1">
      <c r="A152" s="135" t="s">
        <v>75</v>
      </c>
      <c r="B152" s="12"/>
      <c r="C152" s="141">
        <f>IF((C132+C129)=0,0,
1/(C132+C129)*C151)</f>
        <v>42.64445601</v>
      </c>
      <c r="D152" s="140">
        <v>0.0</v>
      </c>
      <c r="E152" s="135" t="s">
        <v>75</v>
      </c>
      <c r="F152" s="12"/>
      <c r="G152" s="141">
        <f>IF((G132+G129)=0,0,
1/(G132+G129)*G151)</f>
        <v>5.222524688</v>
      </c>
      <c r="H152" s="140">
        <v>0.0</v>
      </c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</row>
    <row r="153" ht="30.0" customHeight="1">
      <c r="A153" s="135" t="s">
        <v>76</v>
      </c>
      <c r="B153" s="12"/>
      <c r="C153" s="142">
        <f>if(SUM($C$46:$C$47)=0,0,
(C36/SUM($C$46:$C$47)*C46)
+(C37/SUM($C$46:$C$47)*C47)
)</f>
        <v>0.1778761062</v>
      </c>
      <c r="D153" s="140">
        <v>0.0</v>
      </c>
      <c r="E153" s="135" t="s">
        <v>76</v>
      </c>
      <c r="F153" s="12"/>
      <c r="G153" s="142">
        <f>if(SUM($C$46:$C$47)=0,0,
(G36/SUM($C$46:$C$47)*G46)
+(G37/SUM($C$46:$C$47)*G47)
)</f>
        <v>0.9767699115</v>
      </c>
      <c r="H153" s="140">
        <v>0.0</v>
      </c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</row>
    <row r="154" ht="30.0" customHeight="1">
      <c r="A154" s="135" t="s">
        <v>77</v>
      </c>
      <c r="B154" s="12"/>
      <c r="C154" s="143">
        <f>C153*C152</f>
        <v>7.585429786</v>
      </c>
      <c r="D154" s="140">
        <v>0.0</v>
      </c>
      <c r="E154" s="135" t="s">
        <v>77</v>
      </c>
      <c r="F154" s="12"/>
      <c r="G154" s="143">
        <f t="shared" ref="G154:H154" si="128">G153*G152</f>
        <v>5.101204977</v>
      </c>
      <c r="H154" s="143">
        <f t="shared" si="128"/>
        <v>0</v>
      </c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</row>
    <row r="155" ht="30.0" customHeight="1">
      <c r="A155" s="135" t="s">
        <v>78</v>
      </c>
      <c r="B155" s="12"/>
      <c r="C155" s="144">
        <f>IF(SUM(C$46:C$47)=0,0,
((C46/SUM(C$46:C$47)*D36)
+(C47/SUM(C$46:C$47)*D37))
*($B$10*$B$11+$C$10*$C$11+$D$10*$D$11))</f>
        <v>135</v>
      </c>
      <c r="D155" s="144">
        <f>IF(SUM(D$46:D$47)=0,0,
((D46/SUM(D$46:D$47)*D36)
+(D47/SUM(D$46:D$47)*D37))
*($B$10*$B$11+$C$10*$C$11+$D$10*$D$11))</f>
        <v>135.6</v>
      </c>
      <c r="E155" s="135" t="s">
        <v>78</v>
      </c>
      <c r="F155" s="12"/>
      <c r="G155" s="144">
        <f>IF(SUM(G$46:G$47)=0,0,
((G46/SUM(G$46:G$47)*H36)
+(G47/SUM(G$46:G$47)*H37))
*($B$10*$B$11+$C$10*$C$11+$D$10*$D$11))</f>
        <v>76.16814783</v>
      </c>
      <c r="H155" s="144">
        <f>IF(SUM(H$46:H$47)=0,0,
((H46/SUM(H$46:H$47)*H36)
+(H47/SUM(H$46:H$47)*H37))
*($B$10*$B$11+$C$10*$C$11+$D$10*$D$11))</f>
        <v>76.14185998</v>
      </c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</row>
    <row r="156" ht="15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</row>
    <row r="157" ht="15.75" customHeight="1">
      <c r="A157" s="132" t="s">
        <v>79</v>
      </c>
      <c r="B157" s="132"/>
      <c r="C157" s="132"/>
      <c r="D157" s="132"/>
      <c r="E157" s="132"/>
      <c r="F157" s="132"/>
      <c r="G157" s="132"/>
      <c r="H157" s="132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</row>
    <row r="158" ht="15.75" customHeight="1">
      <c r="A158" s="77" t="s">
        <v>40</v>
      </c>
      <c r="B158" s="6"/>
      <c r="C158" s="77" t="s">
        <v>30</v>
      </c>
      <c r="D158" s="6"/>
      <c r="E158" s="77" t="s">
        <v>40</v>
      </c>
      <c r="F158" s="6"/>
      <c r="G158" s="77" t="s">
        <v>31</v>
      </c>
      <c r="H158" s="6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</row>
    <row r="159" ht="15.75" customHeight="1">
      <c r="A159" s="133" t="s">
        <v>48</v>
      </c>
      <c r="B159" s="6"/>
      <c r="C159" s="145" t="s">
        <v>57</v>
      </c>
      <c r="D159" s="145" t="s">
        <v>58</v>
      </c>
      <c r="E159" s="133" t="s">
        <v>48</v>
      </c>
      <c r="F159" s="6"/>
      <c r="G159" s="145" t="s">
        <v>57</v>
      </c>
      <c r="H159" s="145" t="s">
        <v>58</v>
      </c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</row>
    <row r="160" ht="15.75" customHeight="1">
      <c r="A160" s="146" t="s">
        <v>80</v>
      </c>
      <c r="B160" s="6"/>
      <c r="C160" s="147">
        <f t="shared" ref="C160:D160" si="129">C129+C132</f>
        <v>0.0113</v>
      </c>
      <c r="D160" s="147">
        <f t="shared" si="129"/>
        <v>0.01275</v>
      </c>
      <c r="E160" s="146" t="s">
        <v>80</v>
      </c>
      <c r="F160" s="6"/>
      <c r="G160" s="147">
        <f t="shared" ref="G160:H160" si="130">G129+G132</f>
        <v>0.09227</v>
      </c>
      <c r="H160" s="147">
        <f t="shared" si="130"/>
        <v>0.09527</v>
      </c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</row>
    <row r="161" ht="15.75" customHeight="1">
      <c r="A161" s="146" t="s">
        <v>81</v>
      </c>
      <c r="B161" s="6"/>
      <c r="C161" s="144">
        <f t="shared" ref="C161:D161" si="131">C154+C155</f>
        <v>142.5854298</v>
      </c>
      <c r="D161" s="144">
        <f t="shared" si="131"/>
        <v>135.6</v>
      </c>
      <c r="E161" s="146" t="s">
        <v>81</v>
      </c>
      <c r="F161" s="6"/>
      <c r="G161" s="144">
        <f t="shared" ref="G161:H161" si="132">G154+G155</f>
        <v>81.2693528</v>
      </c>
      <c r="H161" s="144">
        <f t="shared" si="132"/>
        <v>76.14185998</v>
      </c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</row>
    <row r="162" ht="15.75" customHeight="1">
      <c r="A162" s="146" t="s">
        <v>82</v>
      </c>
      <c r="B162" s="6"/>
      <c r="C162" s="147">
        <f t="shared" ref="C162:D162" si="133">C135+C138+C141+C144</f>
        <v>0.9887</v>
      </c>
      <c r="D162" s="147">
        <f t="shared" si="133"/>
        <v>0.98725</v>
      </c>
      <c r="E162" s="146" t="s">
        <v>82</v>
      </c>
      <c r="F162" s="6"/>
      <c r="G162" s="147">
        <f t="shared" ref="G162:H162" si="134">G135+G138+G141+G144</f>
        <v>0.90773</v>
      </c>
      <c r="H162" s="147">
        <f t="shared" si="134"/>
        <v>0.90473</v>
      </c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</row>
    <row r="163" ht="15.75" customHeight="1">
      <c r="A163" s="146" t="s">
        <v>83</v>
      </c>
      <c r="B163" s="6"/>
      <c r="C163" s="148">
        <f t="shared" ref="C163:D163" si="135">if(SUM(C135,C138,C141,C144)=0,0,
($D$38*(C135/SUM(C135,C138,C141,C144))
+$D$39*(C138/SUM(C135,C138,C141,C144))
+$D$40*(C141/SUM(C135,C138,C141,C144))
+$D$41*(C144/SUM(C135,C138,C141,C144)))
*($B$10*$B$11+$C$10*$C$11+$D$10*$D$11)
)</f>
        <v>12.00563568</v>
      </c>
      <c r="D163" s="148">
        <f t="shared" si="135"/>
        <v>12.37303358</v>
      </c>
      <c r="E163" s="146" t="s">
        <v>83</v>
      </c>
      <c r="F163" s="6"/>
      <c r="G163" s="148">
        <f t="shared" ref="G163:H163" si="136">if(SUM(G135,G138,G141,G144)=0,0,
($H$38*(G135/SUM(G135,G138,G141,G144))
+$H$39*(G138/SUM(G135,G138,G141,G144))
+$H$40*(G141/SUM(G135,G138,G141,G144))
+$H$41*(G144/SUM(G135,G138,G141,G144)))
*($B$10*$B$11+$C$10*$C$11+$D$10*$D$11)
)</f>
        <v>7.019972349</v>
      </c>
      <c r="H163" s="148">
        <f t="shared" si="136"/>
        <v>7.394753573</v>
      </c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</row>
    <row r="164" ht="15.75" customHeight="1">
      <c r="A164" s="146" t="s">
        <v>84</v>
      </c>
      <c r="B164" s="6"/>
      <c r="C164" s="149">
        <f t="shared" ref="C164:D164" si="137">(C160*C161+C162*C163)/$C$124</f>
        <v>0.2797609681</v>
      </c>
      <c r="D164" s="149">
        <f t="shared" si="137"/>
        <v>0.2893689158</v>
      </c>
      <c r="E164" s="146" t="s">
        <v>84</v>
      </c>
      <c r="F164" s="6"/>
      <c r="G164" s="149">
        <f t="shared" ref="G164:H164" si="138">(G160*G161+G162*G163)/$C$124</f>
        <v>0.2878495674</v>
      </c>
      <c r="H164" s="149">
        <f t="shared" si="138"/>
        <v>0.2893712607</v>
      </c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</row>
    <row r="165" ht="15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</row>
    <row r="166" ht="15.75" customHeight="1">
      <c r="A166" s="150" t="s">
        <v>85</v>
      </c>
      <c r="B166" s="151"/>
      <c r="C166" s="151"/>
      <c r="D166" s="151"/>
      <c r="E166" s="151"/>
      <c r="F166" s="151"/>
      <c r="G166" s="151"/>
      <c r="H166" s="151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</row>
    <row r="167" ht="15.75" customHeight="1">
      <c r="A167" s="36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</row>
    <row r="168" ht="15.75" customHeight="1">
      <c r="A168" s="36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</row>
    <row r="169" ht="15.75" customHeight="1">
      <c r="A169" s="36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</row>
    <row r="170" ht="15.75" customHeight="1">
      <c r="A170" s="36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</row>
    <row r="171" ht="15.75" customHeight="1">
      <c r="A171" s="36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</row>
    <row r="172" ht="15.75" customHeight="1">
      <c r="A172" s="36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</row>
    <row r="173" ht="15.75" customHeight="1">
      <c r="A173" s="36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</row>
    <row r="174" ht="15.75" customHeight="1">
      <c r="A174" s="36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</row>
    <row r="175" ht="15.75" customHeight="1">
      <c r="A175" s="36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</row>
    <row r="176" ht="15.75" customHeight="1">
      <c r="A176" s="36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</row>
    <row r="177" ht="15.75" customHeight="1">
      <c r="A177" s="36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</row>
    <row r="178" ht="15.75" customHeight="1">
      <c r="A178" s="36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</row>
    <row r="179" ht="15.75" customHeight="1">
      <c r="A179" s="36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</row>
    <row r="180" ht="15.75" customHeight="1">
      <c r="A180" s="36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</row>
    <row r="181" ht="15.75" customHeight="1">
      <c r="A181" s="36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</row>
    <row r="182" ht="15.75" customHeight="1">
      <c r="A182" s="36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</row>
    <row r="183" ht="15.75" customHeight="1">
      <c r="A183" s="36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</row>
    <row r="184" ht="15.75" customHeight="1">
      <c r="A184" s="36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</row>
    <row r="185" ht="15.75" customHeight="1">
      <c r="A185" s="36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</row>
    <row r="186" ht="15.75" customHeight="1">
      <c r="A186" s="36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</row>
    <row r="187" ht="15.75" customHeight="1">
      <c r="A187" s="36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</row>
    <row r="188" ht="15.75" customHeight="1">
      <c r="A188" s="36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</row>
    <row r="189" ht="15.75" customHeight="1">
      <c r="A189" s="36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</row>
    <row r="190" ht="15.75" customHeight="1">
      <c r="A190" s="36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</row>
    <row r="191" ht="15.75" customHeight="1">
      <c r="A191" s="36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</row>
    <row r="192" ht="15.75" customHeight="1">
      <c r="A192" s="36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</row>
    <row r="193" ht="15.75" customHeight="1">
      <c r="A193" s="36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</row>
    <row r="194" ht="15.75" customHeight="1">
      <c r="A194" s="36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</row>
    <row r="195" ht="15.75" customHeight="1">
      <c r="A195" s="36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</row>
    <row r="196" ht="15.75" customHeight="1">
      <c r="A196" s="36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</row>
    <row r="197" ht="15.75" customHeight="1">
      <c r="A197" s="36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</row>
    <row r="198" ht="15.75" customHeight="1">
      <c r="A198" s="36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</row>
    <row r="199" ht="15.75" customHeight="1">
      <c r="A199" s="36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</row>
    <row r="200" ht="15.75" customHeight="1">
      <c r="A200" s="36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</row>
    <row r="201" ht="15.75" customHeight="1">
      <c r="A201" s="36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</row>
    <row r="202" ht="15.75" customHeight="1">
      <c r="A202" s="36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</row>
    <row r="203" ht="15.75" customHeight="1">
      <c r="A203" s="36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</row>
    <row r="204" ht="15.75" customHeight="1">
      <c r="A204" s="36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</row>
    <row r="205" ht="15.75" customHeight="1">
      <c r="A205" s="36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</row>
    <row r="206" ht="15.75" customHeight="1">
      <c r="A206" s="36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</row>
    <row r="207" ht="15.75" customHeight="1">
      <c r="A207" s="36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</row>
    <row r="208" ht="15.75" customHeight="1">
      <c r="A208" s="36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</row>
    <row r="209" ht="15.75" customHeight="1">
      <c r="A209" s="36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</row>
    <row r="210" ht="15.75" customHeight="1">
      <c r="A210" s="36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</row>
    <row r="211" ht="15.75" customHeight="1">
      <c r="A211" s="36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</row>
    <row r="212" ht="15.75" customHeight="1">
      <c r="A212" s="36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</row>
    <row r="213" ht="15.75" customHeight="1">
      <c r="A213" s="36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</row>
    <row r="214" ht="15.75" customHeight="1">
      <c r="A214" s="36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</row>
    <row r="215" ht="15.75" customHeight="1">
      <c r="A215" s="36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</row>
    <row r="216" ht="15.75" customHeight="1">
      <c r="A216" s="36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</row>
    <row r="217" ht="15.75" customHeight="1">
      <c r="A217" s="36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</row>
    <row r="218" ht="15.75" customHeight="1">
      <c r="A218" s="36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</row>
    <row r="219" ht="15.75" customHeight="1">
      <c r="A219" s="36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</row>
    <row r="220" ht="15.75" customHeight="1">
      <c r="A220" s="36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</row>
    <row r="221" ht="15.75" customHeight="1">
      <c r="A221" s="36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</row>
    <row r="222" ht="15.75" customHeight="1">
      <c r="A222" s="36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</row>
    <row r="223" ht="15.75" customHeight="1">
      <c r="A223" s="36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</row>
    <row r="224" ht="15.75" customHeight="1">
      <c r="A224" s="36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</row>
    <row r="225" ht="15.75" customHeight="1">
      <c r="A225" s="36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</row>
    <row r="226" ht="15.75" customHeight="1">
      <c r="A226" s="36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</row>
    <row r="227" ht="15.75" customHeight="1">
      <c r="A227" s="36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</row>
    <row r="228" ht="15.75" customHeight="1">
      <c r="A228" s="36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</row>
    <row r="229" ht="15.75" customHeight="1">
      <c r="A229" s="36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</row>
    <row r="230" ht="15.75" customHeight="1">
      <c r="A230" s="36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</row>
    <row r="231" ht="15.75" customHeight="1">
      <c r="A231" s="36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</row>
    <row r="232" ht="15.75" customHeight="1">
      <c r="A232" s="36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</row>
    <row r="233" ht="15.75" customHeight="1">
      <c r="A233" s="36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</row>
    <row r="234" ht="15.75" customHeight="1">
      <c r="A234" s="36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</row>
    <row r="235" ht="15.75" customHeight="1">
      <c r="A235" s="36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</row>
    <row r="236" ht="15.75" customHeight="1">
      <c r="A236" s="36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</row>
    <row r="237" ht="15.75" customHeight="1">
      <c r="A237" s="36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</row>
    <row r="238" ht="15.75" customHeight="1">
      <c r="A238" s="36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</row>
    <row r="239" ht="15.75" customHeight="1">
      <c r="A239" s="36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</row>
    <row r="240" ht="15.75" customHeight="1">
      <c r="A240" s="36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</row>
    <row r="241" ht="15.75" customHeight="1">
      <c r="A241" s="36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</row>
    <row r="242" ht="15.75" customHeight="1">
      <c r="A242" s="36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</row>
    <row r="243" ht="15.75" customHeight="1">
      <c r="A243" s="36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</row>
    <row r="244" ht="15.75" customHeight="1">
      <c r="A244" s="36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</row>
    <row r="245" ht="15.75" customHeight="1">
      <c r="A245" s="36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</row>
    <row r="246" ht="15.75" customHeight="1">
      <c r="A246" s="36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</row>
    <row r="247" ht="15.75" customHeight="1">
      <c r="A247" s="36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59">
    <mergeCell ref="A3:S3"/>
    <mergeCell ref="A5:A6"/>
    <mergeCell ref="A16:A18"/>
    <mergeCell ref="U16:U18"/>
    <mergeCell ref="A19:A21"/>
    <mergeCell ref="U19:U21"/>
    <mergeCell ref="U22:U24"/>
    <mergeCell ref="E34:F34"/>
    <mergeCell ref="E35:F35"/>
    <mergeCell ref="A22:A24"/>
    <mergeCell ref="A29:B29"/>
    <mergeCell ref="A30:B30"/>
    <mergeCell ref="A34:B34"/>
    <mergeCell ref="C34:D34"/>
    <mergeCell ref="G34:H34"/>
    <mergeCell ref="A35:B35"/>
    <mergeCell ref="A36:B36"/>
    <mergeCell ref="E36:F36"/>
    <mergeCell ref="A37:B37"/>
    <mergeCell ref="E37:F37"/>
    <mergeCell ref="A38:B38"/>
    <mergeCell ref="E38:F38"/>
    <mergeCell ref="E39:F39"/>
    <mergeCell ref="A39:B39"/>
    <mergeCell ref="A40:B40"/>
    <mergeCell ref="A41:B41"/>
    <mergeCell ref="A43:D43"/>
    <mergeCell ref="A44:B44"/>
    <mergeCell ref="C44:D44"/>
    <mergeCell ref="A45:B45"/>
    <mergeCell ref="E48:F48"/>
    <mergeCell ref="E49:F49"/>
    <mergeCell ref="E50:F50"/>
    <mergeCell ref="E51:F51"/>
    <mergeCell ref="E55:F55"/>
    <mergeCell ref="E40:F40"/>
    <mergeCell ref="E41:F41"/>
    <mergeCell ref="E44:F44"/>
    <mergeCell ref="G44:H44"/>
    <mergeCell ref="E45:F45"/>
    <mergeCell ref="E46:F46"/>
    <mergeCell ref="E47:F47"/>
    <mergeCell ref="A46:B46"/>
    <mergeCell ref="A47:B47"/>
    <mergeCell ref="A48:B48"/>
    <mergeCell ref="A49:B49"/>
    <mergeCell ref="A50:B50"/>
    <mergeCell ref="A51:B51"/>
    <mergeCell ref="A55:B55"/>
    <mergeCell ref="A56:B56"/>
    <mergeCell ref="A57:B57"/>
    <mergeCell ref="A58:B58"/>
    <mergeCell ref="A59:B59"/>
    <mergeCell ref="A60:B60"/>
    <mergeCell ref="A61:B61"/>
    <mergeCell ref="A87:B87"/>
    <mergeCell ref="E93:F93"/>
    <mergeCell ref="E94:F94"/>
    <mergeCell ref="E95:F95"/>
    <mergeCell ref="E96:F96"/>
    <mergeCell ref="E97:F97"/>
    <mergeCell ref="C87:H87"/>
    <mergeCell ref="C88:D88"/>
    <mergeCell ref="G88:H88"/>
    <mergeCell ref="E89:F89"/>
    <mergeCell ref="E90:F90"/>
    <mergeCell ref="E91:F91"/>
    <mergeCell ref="E92:F92"/>
    <mergeCell ref="A96:B96"/>
    <mergeCell ref="A97:B97"/>
    <mergeCell ref="A104:S104"/>
    <mergeCell ref="A116:S116"/>
    <mergeCell ref="A89:B89"/>
    <mergeCell ref="A90:B90"/>
    <mergeCell ref="A91:B91"/>
    <mergeCell ref="A92:B92"/>
    <mergeCell ref="A93:B93"/>
    <mergeCell ref="A94:B94"/>
    <mergeCell ref="A95:B95"/>
    <mergeCell ref="A127:B127"/>
    <mergeCell ref="A128:B128"/>
    <mergeCell ref="J128:K128"/>
    <mergeCell ref="J129:K129"/>
    <mergeCell ref="A143:B143"/>
    <mergeCell ref="A144:B144"/>
    <mergeCell ref="A145:B145"/>
    <mergeCell ref="A146:B146"/>
    <mergeCell ref="A149:B149"/>
    <mergeCell ref="C149:D149"/>
    <mergeCell ref="A150:B150"/>
    <mergeCell ref="A159:B159"/>
    <mergeCell ref="A160:B160"/>
    <mergeCell ref="A161:B161"/>
    <mergeCell ref="A162:B162"/>
    <mergeCell ref="A163:B163"/>
    <mergeCell ref="A164:B164"/>
    <mergeCell ref="A151:B151"/>
    <mergeCell ref="A152:B152"/>
    <mergeCell ref="A153:B153"/>
    <mergeCell ref="A154:B154"/>
    <mergeCell ref="A155:B155"/>
    <mergeCell ref="A158:B158"/>
    <mergeCell ref="C158:D158"/>
    <mergeCell ref="E144:F144"/>
    <mergeCell ref="E145:F145"/>
    <mergeCell ref="E146:F146"/>
    <mergeCell ref="E149:F149"/>
    <mergeCell ref="G149:H149"/>
    <mergeCell ref="E150:F150"/>
    <mergeCell ref="E151:F151"/>
    <mergeCell ref="E152:F152"/>
    <mergeCell ref="E153:F153"/>
    <mergeCell ref="E154:F154"/>
    <mergeCell ref="E155:F155"/>
    <mergeCell ref="E158:F158"/>
    <mergeCell ref="G158:H158"/>
    <mergeCell ref="E159:F159"/>
    <mergeCell ref="A121:C121"/>
    <mergeCell ref="A122:B122"/>
    <mergeCell ref="A123:B123"/>
    <mergeCell ref="A124:B124"/>
    <mergeCell ref="C127:D127"/>
    <mergeCell ref="E127:F127"/>
    <mergeCell ref="G127:H127"/>
    <mergeCell ref="E131:F131"/>
    <mergeCell ref="E132:F132"/>
    <mergeCell ref="E128:F128"/>
    <mergeCell ref="A129:B129"/>
    <mergeCell ref="E129:F129"/>
    <mergeCell ref="A130:B130"/>
    <mergeCell ref="E130:F130"/>
    <mergeCell ref="A131:B131"/>
    <mergeCell ref="A132:B132"/>
    <mergeCell ref="A133:B133"/>
    <mergeCell ref="E133:F133"/>
    <mergeCell ref="A134:B134"/>
    <mergeCell ref="E134:F134"/>
    <mergeCell ref="A135:B135"/>
    <mergeCell ref="E135:F135"/>
    <mergeCell ref="E136:F136"/>
    <mergeCell ref="A136:B136"/>
    <mergeCell ref="A137:B137"/>
    <mergeCell ref="A138:B138"/>
    <mergeCell ref="A139:B139"/>
    <mergeCell ref="A140:B140"/>
    <mergeCell ref="A141:B141"/>
    <mergeCell ref="A142:B142"/>
    <mergeCell ref="E137:F137"/>
    <mergeCell ref="E138:F138"/>
    <mergeCell ref="E139:F139"/>
    <mergeCell ref="E140:F140"/>
    <mergeCell ref="E141:F141"/>
    <mergeCell ref="E142:F142"/>
    <mergeCell ref="E143:F143"/>
    <mergeCell ref="E160:F160"/>
    <mergeCell ref="E161:F161"/>
    <mergeCell ref="E162:F162"/>
    <mergeCell ref="E163:F163"/>
    <mergeCell ref="E164:F16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2" width="12.5"/>
  </cols>
  <sheetData>
    <row r="1">
      <c r="A1" s="16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ht="15.7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ht="15.75" customHeight="1">
      <c r="A3" s="21" t="s">
        <v>15</v>
      </c>
      <c r="T3" s="20"/>
      <c r="U3" s="20"/>
      <c r="V3" s="22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15.75" customHeight="1">
      <c r="A4" s="23" t="s">
        <v>16</v>
      </c>
      <c r="B4" s="24" t="s">
        <v>17</v>
      </c>
      <c r="C4" s="24">
        <v>0.0</v>
      </c>
      <c r="D4" s="24">
        <v>1.0</v>
      </c>
      <c r="E4" s="24">
        <v>2.0</v>
      </c>
      <c r="F4" s="24">
        <v>3.0</v>
      </c>
      <c r="G4" s="24">
        <v>4.0</v>
      </c>
      <c r="H4" s="24">
        <v>5.0</v>
      </c>
      <c r="I4" s="24">
        <v>6.0</v>
      </c>
      <c r="J4" s="24">
        <v>7.0</v>
      </c>
      <c r="K4" s="24">
        <v>8.0</v>
      </c>
      <c r="L4" s="24">
        <v>9.0</v>
      </c>
      <c r="M4" s="24">
        <v>10.0</v>
      </c>
      <c r="N4" s="24">
        <v>11.0</v>
      </c>
      <c r="O4" s="24">
        <v>12.0</v>
      </c>
      <c r="P4" s="24">
        <v>13.0</v>
      </c>
      <c r="Q4" s="24">
        <v>14.0</v>
      </c>
      <c r="R4" s="24">
        <v>15.0</v>
      </c>
      <c r="S4" s="24">
        <v>16.0</v>
      </c>
      <c r="T4" s="20"/>
      <c r="U4" s="24"/>
      <c r="V4" s="25" t="s">
        <v>18</v>
      </c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ht="15.75" customHeight="1">
      <c r="A5" s="26">
        <v>16.0</v>
      </c>
      <c r="B5" s="24" t="s">
        <v>19</v>
      </c>
      <c r="C5" s="233">
        <f t="shared" ref="C5:S5" si="1">COMBIN($A$5,C4)</f>
        <v>1</v>
      </c>
      <c r="D5" s="233">
        <f t="shared" si="1"/>
        <v>16</v>
      </c>
      <c r="E5" s="233">
        <f t="shared" si="1"/>
        <v>120</v>
      </c>
      <c r="F5" s="233">
        <f t="shared" si="1"/>
        <v>560</v>
      </c>
      <c r="G5" s="233">
        <f t="shared" si="1"/>
        <v>1820</v>
      </c>
      <c r="H5" s="233">
        <f t="shared" si="1"/>
        <v>4368</v>
      </c>
      <c r="I5" s="233">
        <f t="shared" si="1"/>
        <v>8008</v>
      </c>
      <c r="J5" s="233">
        <f t="shared" si="1"/>
        <v>11440</v>
      </c>
      <c r="K5" s="233">
        <f t="shared" si="1"/>
        <v>12870</v>
      </c>
      <c r="L5" s="233">
        <f t="shared" si="1"/>
        <v>11440</v>
      </c>
      <c r="M5" s="233">
        <f t="shared" si="1"/>
        <v>8008</v>
      </c>
      <c r="N5" s="233">
        <f t="shared" si="1"/>
        <v>4368</v>
      </c>
      <c r="O5" s="233">
        <f t="shared" si="1"/>
        <v>1820</v>
      </c>
      <c r="P5" s="233">
        <f t="shared" si="1"/>
        <v>560</v>
      </c>
      <c r="Q5" s="233">
        <f t="shared" si="1"/>
        <v>120</v>
      </c>
      <c r="R5" s="233">
        <f t="shared" si="1"/>
        <v>16</v>
      </c>
      <c r="S5" s="233">
        <f t="shared" si="1"/>
        <v>1</v>
      </c>
      <c r="U5" s="25" t="s">
        <v>20</v>
      </c>
      <c r="V5" s="24">
        <f t="shared" ref="V5:V6" si="3">sum(C5:S5)</f>
        <v>65536</v>
      </c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ht="15.75" customHeight="1">
      <c r="A6" s="28"/>
      <c r="B6" s="24" t="s">
        <v>21</v>
      </c>
      <c r="C6" s="24">
        <f t="shared" ref="C6:S6" si="2">C5/SUM($C$5:$S$5)</f>
        <v>0.00001525878906</v>
      </c>
      <c r="D6" s="24">
        <f t="shared" si="2"/>
        <v>0.000244140625</v>
      </c>
      <c r="E6" s="24">
        <f t="shared" si="2"/>
        <v>0.001831054688</v>
      </c>
      <c r="F6" s="24">
        <f t="shared" si="2"/>
        <v>0.008544921875</v>
      </c>
      <c r="G6" s="24">
        <f t="shared" si="2"/>
        <v>0.02777099609</v>
      </c>
      <c r="H6" s="24">
        <f t="shared" si="2"/>
        <v>0.06665039063</v>
      </c>
      <c r="I6" s="24">
        <f t="shared" si="2"/>
        <v>0.1221923828</v>
      </c>
      <c r="J6" s="24">
        <f t="shared" si="2"/>
        <v>0.1745605469</v>
      </c>
      <c r="K6" s="24">
        <f t="shared" si="2"/>
        <v>0.1963806152</v>
      </c>
      <c r="L6" s="24">
        <f t="shared" si="2"/>
        <v>0.1745605469</v>
      </c>
      <c r="M6" s="24">
        <f t="shared" si="2"/>
        <v>0.1221923828</v>
      </c>
      <c r="N6" s="24">
        <f t="shared" si="2"/>
        <v>0.06665039063</v>
      </c>
      <c r="O6" s="24">
        <f t="shared" si="2"/>
        <v>0.02777099609</v>
      </c>
      <c r="P6" s="24">
        <f t="shared" si="2"/>
        <v>0.008544921875</v>
      </c>
      <c r="Q6" s="24">
        <f t="shared" si="2"/>
        <v>0.001831054688</v>
      </c>
      <c r="R6" s="24">
        <f t="shared" si="2"/>
        <v>0.000244140625</v>
      </c>
      <c r="S6" s="24">
        <f t="shared" si="2"/>
        <v>0.00001525878906</v>
      </c>
      <c r="U6" s="25" t="s">
        <v>22</v>
      </c>
      <c r="V6" s="24">
        <f t="shared" si="3"/>
        <v>1</v>
      </c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ht="15.75" customHeight="1">
      <c r="A7" s="30" t="s">
        <v>23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5.75" customHeight="1">
      <c r="A8" s="31"/>
      <c r="B8" s="32"/>
      <c r="C8" s="3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ht="15.75" customHeight="1">
      <c r="A9" s="21" t="s">
        <v>24</v>
      </c>
      <c r="B9" s="21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ht="15.75" customHeight="1">
      <c r="A10" s="33" t="s">
        <v>25</v>
      </c>
      <c r="B10" s="34">
        <v>1.0</v>
      </c>
      <c r="C10" s="34">
        <v>2.0</v>
      </c>
      <c r="D10" s="34">
        <v>5.0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ht="15.75" customHeight="1">
      <c r="A11" s="33" t="s">
        <v>26</v>
      </c>
      <c r="B11" s="234">
        <v>0.93</v>
      </c>
      <c r="C11" s="234">
        <v>0.05</v>
      </c>
      <c r="D11" s="234">
        <v>0.02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ht="15.75" customHeight="1">
      <c r="A12" s="30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ht="15.75" customHeight="1">
      <c r="A13" s="36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ht="15.75" customHeight="1">
      <c r="A14" s="21" t="s">
        <v>27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ht="15.75" customHeight="1">
      <c r="A15" s="37" t="s">
        <v>28</v>
      </c>
      <c r="B15" s="38" t="s">
        <v>29</v>
      </c>
      <c r="C15" s="39">
        <v>0.0</v>
      </c>
      <c r="D15" s="39">
        <v>1.0</v>
      </c>
      <c r="E15" s="39">
        <v>2.0</v>
      </c>
      <c r="F15" s="39">
        <v>3.0</v>
      </c>
      <c r="G15" s="39">
        <v>4.0</v>
      </c>
      <c r="H15" s="39">
        <v>5.0</v>
      </c>
      <c r="I15" s="39">
        <v>6.0</v>
      </c>
      <c r="J15" s="40">
        <v>7.0</v>
      </c>
      <c r="K15" s="41">
        <v>8.0</v>
      </c>
      <c r="L15" s="42">
        <v>9.0</v>
      </c>
      <c r="M15" s="39">
        <v>10.0</v>
      </c>
      <c r="N15" s="39">
        <v>11.0</v>
      </c>
      <c r="O15" s="39">
        <v>12.0</v>
      </c>
      <c r="P15" s="39">
        <v>13.0</v>
      </c>
      <c r="Q15" s="39">
        <v>14.0</v>
      </c>
      <c r="R15" s="39">
        <v>15.0</v>
      </c>
      <c r="S15" s="43">
        <v>16.0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ht="15.75" customHeight="1">
      <c r="A16" s="44">
        <v>0.955</v>
      </c>
      <c r="B16" s="45" t="s">
        <v>30</v>
      </c>
      <c r="C16" s="235">
        <v>1000.0</v>
      </c>
      <c r="D16" s="236">
        <v>125.0</v>
      </c>
      <c r="E16" s="237">
        <v>12.34</v>
      </c>
      <c r="F16" s="237">
        <v>12.34</v>
      </c>
      <c r="G16" s="235">
        <v>2.2</v>
      </c>
      <c r="H16" s="235">
        <v>1.1</v>
      </c>
      <c r="I16" s="235">
        <v>0.5</v>
      </c>
      <c r="J16" s="238">
        <v>0.3</v>
      </c>
      <c r="K16" s="239">
        <v>0.0</v>
      </c>
      <c r="L16" s="240">
        <v>0.3</v>
      </c>
      <c r="M16" s="236">
        <v>0.5</v>
      </c>
      <c r="N16" s="236">
        <v>1.1</v>
      </c>
      <c r="O16" s="236">
        <v>2.2</v>
      </c>
      <c r="P16" s="237">
        <v>12.34</v>
      </c>
      <c r="Q16" s="237">
        <v>12.34</v>
      </c>
      <c r="R16" s="236">
        <v>125.0</v>
      </c>
      <c r="S16" s="241">
        <v>1000.0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ht="15.75" customHeight="1">
      <c r="A17" s="52"/>
      <c r="B17" s="53" t="s">
        <v>31</v>
      </c>
      <c r="C17" s="242">
        <v>200.0</v>
      </c>
      <c r="D17" s="242">
        <v>36.0</v>
      </c>
      <c r="E17" s="114">
        <v>11.147</v>
      </c>
      <c r="F17" s="114">
        <v>11.147</v>
      </c>
      <c r="G17" s="242">
        <v>2.0</v>
      </c>
      <c r="H17" s="242">
        <v>1.3</v>
      </c>
      <c r="I17" s="242">
        <v>0.6</v>
      </c>
      <c r="J17" s="243">
        <v>0.4</v>
      </c>
      <c r="K17" s="244">
        <v>0.1</v>
      </c>
      <c r="L17" s="245">
        <v>0.4</v>
      </c>
      <c r="M17" s="246">
        <v>0.6</v>
      </c>
      <c r="N17" s="246">
        <v>1.3</v>
      </c>
      <c r="O17" s="246">
        <v>2.0</v>
      </c>
      <c r="P17" s="114">
        <v>11.147</v>
      </c>
      <c r="Q17" s="114">
        <v>11.147</v>
      </c>
      <c r="R17" s="242">
        <v>36.0</v>
      </c>
      <c r="S17" s="247">
        <v>200.0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ht="15.75" customHeight="1">
      <c r="A18" s="60"/>
      <c r="B18" s="61" t="s">
        <v>32</v>
      </c>
      <c r="C18" s="248">
        <v>60.0</v>
      </c>
      <c r="D18" s="248">
        <v>30.0</v>
      </c>
      <c r="E18" s="248">
        <v>8.0</v>
      </c>
      <c r="F18" s="248">
        <v>2.6</v>
      </c>
      <c r="G18" s="248">
        <v>1.6</v>
      </c>
      <c r="H18" s="248">
        <v>1.3</v>
      </c>
      <c r="I18" s="248">
        <v>1.0</v>
      </c>
      <c r="J18" s="249">
        <v>0.6</v>
      </c>
      <c r="K18" s="250">
        <v>0.2</v>
      </c>
      <c r="L18" s="251">
        <v>0.6</v>
      </c>
      <c r="M18" s="252">
        <v>1.0</v>
      </c>
      <c r="N18" s="252">
        <v>1.3</v>
      </c>
      <c r="O18" s="252">
        <v>1.6</v>
      </c>
      <c r="P18" s="248">
        <v>2.6</v>
      </c>
      <c r="Q18" s="248">
        <v>8.0</v>
      </c>
      <c r="R18" s="248">
        <v>30.0</v>
      </c>
      <c r="S18" s="253">
        <v>60.0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ht="15.75" customHeight="1">
      <c r="A19" s="67">
        <v>0.94</v>
      </c>
      <c r="B19" s="45" t="s">
        <v>30</v>
      </c>
      <c r="C19" s="235">
        <v>1000.0</v>
      </c>
      <c r="D19" s="236">
        <v>125.0</v>
      </c>
      <c r="E19" s="237">
        <v>12.34</v>
      </c>
      <c r="F19" s="237">
        <v>12.34</v>
      </c>
      <c r="G19" s="235">
        <v>2.0</v>
      </c>
      <c r="H19" s="235">
        <v>1.1</v>
      </c>
      <c r="I19" s="235">
        <v>0.5</v>
      </c>
      <c r="J19" s="238">
        <v>0.3</v>
      </c>
      <c r="K19" s="239">
        <v>0.0</v>
      </c>
      <c r="L19" s="240">
        <v>0.3</v>
      </c>
      <c r="M19" s="236">
        <v>0.5</v>
      </c>
      <c r="N19" s="236">
        <v>1.1</v>
      </c>
      <c r="O19" s="236">
        <v>2.0</v>
      </c>
      <c r="P19" s="237">
        <v>12.34</v>
      </c>
      <c r="Q19" s="237">
        <v>12.34</v>
      </c>
      <c r="R19" s="236">
        <v>125.0</v>
      </c>
      <c r="S19" s="241">
        <v>1000.0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ht="15.75" customHeight="1">
      <c r="A20" s="52"/>
      <c r="B20" s="53" t="s">
        <v>31</v>
      </c>
      <c r="C20" s="242">
        <v>200.0</v>
      </c>
      <c r="D20" s="242">
        <v>36.0</v>
      </c>
      <c r="E20" s="114">
        <v>11.147</v>
      </c>
      <c r="F20" s="114">
        <v>11.147</v>
      </c>
      <c r="G20" s="242">
        <v>2.0</v>
      </c>
      <c r="H20" s="242">
        <v>1.2</v>
      </c>
      <c r="I20" s="242">
        <v>0.6</v>
      </c>
      <c r="J20" s="243">
        <v>0.4</v>
      </c>
      <c r="K20" s="244">
        <v>0.1</v>
      </c>
      <c r="L20" s="245">
        <v>0.4</v>
      </c>
      <c r="M20" s="246">
        <v>0.6</v>
      </c>
      <c r="N20" s="246">
        <v>1.2</v>
      </c>
      <c r="O20" s="246">
        <v>2.0</v>
      </c>
      <c r="P20" s="114">
        <v>11.147</v>
      </c>
      <c r="Q20" s="114">
        <v>11.147</v>
      </c>
      <c r="R20" s="242">
        <v>36.0</v>
      </c>
      <c r="S20" s="247">
        <v>200.0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ht="15.75" customHeight="1">
      <c r="A21" s="60"/>
      <c r="B21" s="61" t="s">
        <v>32</v>
      </c>
      <c r="C21" s="248">
        <v>60.0</v>
      </c>
      <c r="D21" s="248">
        <v>30.0</v>
      </c>
      <c r="E21" s="248">
        <v>8.0</v>
      </c>
      <c r="F21" s="248">
        <v>2.6</v>
      </c>
      <c r="G21" s="248">
        <v>1.6</v>
      </c>
      <c r="H21" s="248">
        <v>1.2</v>
      </c>
      <c r="I21" s="248">
        <v>1.0</v>
      </c>
      <c r="J21" s="249">
        <v>0.6</v>
      </c>
      <c r="K21" s="250">
        <v>0.2</v>
      </c>
      <c r="L21" s="251">
        <v>0.6</v>
      </c>
      <c r="M21" s="252">
        <v>1.0</v>
      </c>
      <c r="N21" s="252">
        <v>1.2</v>
      </c>
      <c r="O21" s="252">
        <v>1.6</v>
      </c>
      <c r="P21" s="248">
        <v>2.6</v>
      </c>
      <c r="Q21" s="248">
        <v>8.0</v>
      </c>
      <c r="R21" s="248">
        <v>30.0</v>
      </c>
      <c r="S21" s="253">
        <v>60.0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ht="15.75" customHeight="1">
      <c r="A22" s="68">
        <v>0.92</v>
      </c>
      <c r="B22" s="69" t="s">
        <v>30</v>
      </c>
      <c r="C22" s="235">
        <v>1000.0</v>
      </c>
      <c r="D22" s="236">
        <v>125.0</v>
      </c>
      <c r="E22" s="237">
        <v>12.34</v>
      </c>
      <c r="F22" s="237">
        <v>12.34</v>
      </c>
      <c r="G22" s="235">
        <v>2.1</v>
      </c>
      <c r="H22" s="235">
        <v>1.1</v>
      </c>
      <c r="I22" s="235">
        <v>0.4</v>
      </c>
      <c r="J22" s="238">
        <v>0.3</v>
      </c>
      <c r="K22" s="239">
        <v>0.0</v>
      </c>
      <c r="L22" s="240">
        <v>0.3</v>
      </c>
      <c r="M22" s="236">
        <v>0.4</v>
      </c>
      <c r="N22" s="236">
        <v>1.1</v>
      </c>
      <c r="O22" s="236">
        <v>2.1</v>
      </c>
      <c r="P22" s="237">
        <v>12.34</v>
      </c>
      <c r="Q22" s="237">
        <v>12.34</v>
      </c>
      <c r="R22" s="236">
        <v>125.0</v>
      </c>
      <c r="S22" s="241">
        <v>1000.0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ht="15.75" customHeight="1">
      <c r="A23" s="52"/>
      <c r="B23" s="70" t="s">
        <v>31</v>
      </c>
      <c r="C23" s="242">
        <v>200.0</v>
      </c>
      <c r="D23" s="242">
        <v>55.0</v>
      </c>
      <c r="E23" s="114">
        <v>11.147</v>
      </c>
      <c r="F23" s="114">
        <v>11.147</v>
      </c>
      <c r="G23" s="242">
        <v>2.0</v>
      </c>
      <c r="H23" s="242">
        <v>1.0</v>
      </c>
      <c r="I23" s="242">
        <v>0.6</v>
      </c>
      <c r="J23" s="243">
        <v>0.4</v>
      </c>
      <c r="K23" s="244">
        <v>0.1</v>
      </c>
      <c r="L23" s="245">
        <v>0.4</v>
      </c>
      <c r="M23" s="246">
        <v>0.6</v>
      </c>
      <c r="N23" s="246">
        <v>1.0</v>
      </c>
      <c r="O23" s="246">
        <v>2.0</v>
      </c>
      <c r="P23" s="114">
        <v>11.147</v>
      </c>
      <c r="Q23" s="114">
        <v>11.147</v>
      </c>
      <c r="R23" s="242">
        <v>55.0</v>
      </c>
      <c r="S23" s="247">
        <v>200.0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ht="15.75" customHeight="1">
      <c r="A24" s="71"/>
      <c r="B24" s="72" t="s">
        <v>32</v>
      </c>
      <c r="C24" s="248">
        <v>60.0</v>
      </c>
      <c r="D24" s="248">
        <v>30.0</v>
      </c>
      <c r="E24" s="248">
        <v>8.0</v>
      </c>
      <c r="F24" s="248">
        <v>2.6</v>
      </c>
      <c r="G24" s="248">
        <v>1.5</v>
      </c>
      <c r="H24" s="248">
        <v>1.1</v>
      </c>
      <c r="I24" s="248">
        <v>1.0</v>
      </c>
      <c r="J24" s="249">
        <v>0.6</v>
      </c>
      <c r="K24" s="250">
        <v>0.2</v>
      </c>
      <c r="L24" s="251">
        <v>0.6</v>
      </c>
      <c r="M24" s="252">
        <v>1.0</v>
      </c>
      <c r="N24" s="252">
        <v>1.1</v>
      </c>
      <c r="O24" s="252">
        <v>1.5</v>
      </c>
      <c r="P24" s="248">
        <v>2.6</v>
      </c>
      <c r="Q24" s="248">
        <v>8.0</v>
      </c>
      <c r="R24" s="248">
        <v>30.0</v>
      </c>
      <c r="S24" s="253">
        <v>60.0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ht="15.75" customHeight="1">
      <c r="A25" s="30" t="s">
        <v>120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ht="15.75" customHeight="1">
      <c r="A26" s="30" t="s">
        <v>121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ht="15.75" customHeight="1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ht="15.75" customHeight="1">
      <c r="A28" s="21" t="s">
        <v>35</v>
      </c>
      <c r="B28" s="21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ht="15.75" customHeight="1">
      <c r="A29" s="77" t="s">
        <v>36</v>
      </c>
      <c r="B29" s="6"/>
      <c r="C29" s="78" t="s">
        <v>37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ht="15.75" customHeight="1">
      <c r="A30" s="79" t="s">
        <v>38</v>
      </c>
      <c r="B30" s="6"/>
      <c r="C30" s="80">
        <v>0.007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15.75" customHeight="1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ht="15.75" customHeight="1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ht="15.75" customHeight="1">
      <c r="A33" s="21" t="s">
        <v>39</v>
      </c>
      <c r="B33" s="21"/>
      <c r="C33" s="21"/>
      <c r="D33" s="21"/>
      <c r="E33" s="21"/>
      <c r="F33" s="21"/>
      <c r="G33" s="21"/>
      <c r="H33" s="21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ht="15.75" customHeight="1">
      <c r="A34" s="77" t="s">
        <v>40</v>
      </c>
      <c r="B34" s="6"/>
      <c r="C34" s="77" t="s">
        <v>30</v>
      </c>
      <c r="D34" s="6"/>
      <c r="E34" s="77" t="s">
        <v>40</v>
      </c>
      <c r="F34" s="6"/>
      <c r="G34" s="77" t="s">
        <v>31</v>
      </c>
      <c r="H34" s="6"/>
      <c r="I34" s="82"/>
      <c r="J34" s="8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ht="15.75" customHeight="1">
      <c r="A35" s="77" t="s">
        <v>6</v>
      </c>
      <c r="B35" s="6"/>
      <c r="C35" s="83" t="s">
        <v>37</v>
      </c>
      <c r="D35" s="83" t="s">
        <v>41</v>
      </c>
      <c r="E35" s="77" t="s">
        <v>6</v>
      </c>
      <c r="F35" s="6"/>
      <c r="G35" s="83" t="s">
        <v>37</v>
      </c>
      <c r="H35" s="83" t="s">
        <v>41</v>
      </c>
      <c r="I35" s="82"/>
      <c r="J35" s="8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 ht="15.75" customHeight="1">
      <c r="A36" s="84" t="str">
        <f>"Super JP / X "&amp;D36&amp;" 獎"</f>
        <v>Super JP / X 200 獎</v>
      </c>
      <c r="B36" s="12"/>
      <c r="C36" s="85">
        <v>0.5</v>
      </c>
      <c r="D36" s="86">
        <v>200.0</v>
      </c>
      <c r="E36" s="84" t="str">
        <f>"Super JP / X "&amp;H36&amp;" 獎"</f>
        <v>Super JP / X 100 獎</v>
      </c>
      <c r="F36" s="12"/>
      <c r="G36" s="85">
        <v>0.5</v>
      </c>
      <c r="H36" s="86">
        <v>100.0</v>
      </c>
      <c r="I36" s="82"/>
      <c r="J36" s="82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</row>
    <row r="37" ht="15.75" customHeight="1">
      <c r="A37" s="88" t="str">
        <f>"Lucky JP / X "&amp;D37&amp;" 獎"</f>
        <v>Lucky JP / X 100 獎</v>
      </c>
      <c r="B37" s="6"/>
      <c r="C37" s="85">
        <v>0.1</v>
      </c>
      <c r="D37" s="86">
        <v>100.0</v>
      </c>
      <c r="E37" s="88" t="str">
        <f>"Lucky JP / X "&amp;H37&amp;" 獎"</f>
        <v>Lucky JP / X 50 獎</v>
      </c>
      <c r="F37" s="6"/>
      <c r="G37" s="85">
        <v>0.1</v>
      </c>
      <c r="H37" s="86">
        <v>50.0</v>
      </c>
      <c r="I37" s="82"/>
      <c r="J37" s="82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 ht="15.75" customHeight="1">
      <c r="A38" s="88" t="str">
        <f t="shared" ref="A38:A42" si="4">" X "&amp;D38&amp;" 獎"</f>
        <v> X 50 獎</v>
      </c>
      <c r="B38" s="6"/>
      <c r="C38" s="87">
        <v>0.0</v>
      </c>
      <c r="D38" s="86">
        <v>50.0</v>
      </c>
      <c r="E38" s="88" t="str">
        <f t="shared" ref="E38:E42" si="5">" X "&amp;H38&amp;" 獎"</f>
        <v> X 25 獎</v>
      </c>
      <c r="F38" s="6"/>
      <c r="G38" s="87">
        <v>0.0</v>
      </c>
      <c r="H38" s="86">
        <v>25.0</v>
      </c>
      <c r="I38" s="82"/>
      <c r="J38" s="82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</row>
    <row r="39" ht="15.75" customHeight="1">
      <c r="A39" s="88" t="str">
        <f t="shared" si="4"/>
        <v> X 25 獎</v>
      </c>
      <c r="B39" s="6"/>
      <c r="C39" s="85">
        <v>0.0</v>
      </c>
      <c r="D39" s="86">
        <v>25.0</v>
      </c>
      <c r="E39" s="88" t="str">
        <f t="shared" si="5"/>
        <v> X 10 獎</v>
      </c>
      <c r="F39" s="6"/>
      <c r="G39" s="85">
        <v>0.0</v>
      </c>
      <c r="H39" s="86">
        <v>10.0</v>
      </c>
      <c r="I39" s="82"/>
      <c r="J39" s="82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</row>
    <row r="40" ht="15.75" customHeight="1">
      <c r="A40" s="88" t="str">
        <f t="shared" si="4"/>
        <v> X 10 獎</v>
      </c>
      <c r="B40" s="6"/>
      <c r="C40" s="85">
        <v>0.0</v>
      </c>
      <c r="D40" s="86">
        <v>10.0</v>
      </c>
      <c r="E40" s="88" t="str">
        <f t="shared" si="5"/>
        <v> X 5 獎</v>
      </c>
      <c r="F40" s="6"/>
      <c r="G40" s="85">
        <v>0.0</v>
      </c>
      <c r="H40" s="86">
        <v>5.0</v>
      </c>
      <c r="I40" s="82"/>
      <c r="J40" s="82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</row>
    <row r="41" ht="15.75" customHeight="1">
      <c r="A41" s="88" t="str">
        <f t="shared" si="4"/>
        <v> X 5 獎</v>
      </c>
      <c r="B41" s="6"/>
      <c r="C41" s="85">
        <v>0.0</v>
      </c>
      <c r="D41" s="86">
        <v>5.0</v>
      </c>
      <c r="E41" s="88" t="str">
        <f t="shared" si="5"/>
        <v> X 3 獎</v>
      </c>
      <c r="F41" s="6"/>
      <c r="G41" s="85">
        <v>0.0</v>
      </c>
      <c r="H41" s="86">
        <v>3.0</v>
      </c>
      <c r="I41" s="82"/>
      <c r="J41" s="82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</row>
    <row r="42" ht="15.75" customHeight="1">
      <c r="A42" s="88" t="str">
        <f t="shared" si="4"/>
        <v> X 3 獎</v>
      </c>
      <c r="B42" s="6"/>
      <c r="C42" s="85">
        <v>0.0</v>
      </c>
      <c r="D42" s="86">
        <v>3.0</v>
      </c>
      <c r="E42" s="88" t="str">
        <f t="shared" si="5"/>
        <v> X 1 獎</v>
      </c>
      <c r="F42" s="6"/>
      <c r="G42" s="85">
        <v>0.0</v>
      </c>
      <c r="H42" s="86">
        <v>1.0</v>
      </c>
      <c r="I42" s="82"/>
      <c r="J42" s="82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</row>
    <row r="43" ht="15.75" customHeight="1">
      <c r="A43" s="82"/>
      <c r="B43" s="81"/>
      <c r="C43" s="81"/>
      <c r="D43" s="81"/>
      <c r="E43" s="81"/>
      <c r="F43" s="81"/>
      <c r="G43" s="81"/>
      <c r="H43" s="82"/>
      <c r="I43" s="82"/>
      <c r="J43" s="82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</row>
    <row r="44" ht="15.75" customHeight="1">
      <c r="A44" s="89" t="s">
        <v>42</v>
      </c>
      <c r="E44" s="21"/>
      <c r="F44" s="21"/>
      <c r="G44" s="21"/>
      <c r="H44" s="21"/>
      <c r="I44" s="82"/>
      <c r="J44" s="82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</row>
    <row r="45" ht="15.75" customHeight="1">
      <c r="A45" s="77" t="s">
        <v>40</v>
      </c>
      <c r="B45" s="6"/>
      <c r="C45" s="77" t="s">
        <v>30</v>
      </c>
      <c r="D45" s="6"/>
      <c r="E45" s="77" t="s">
        <v>40</v>
      </c>
      <c r="F45" s="6"/>
      <c r="G45" s="77" t="s">
        <v>31</v>
      </c>
      <c r="H45" s="6"/>
      <c r="I45" s="20"/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</row>
    <row r="46" ht="15.75" customHeight="1">
      <c r="A46" s="77" t="s">
        <v>6</v>
      </c>
      <c r="B46" s="6"/>
      <c r="C46" s="91" t="s">
        <v>43</v>
      </c>
      <c r="D46" s="91" t="s">
        <v>44</v>
      </c>
      <c r="E46" s="77" t="s">
        <v>6</v>
      </c>
      <c r="F46" s="6"/>
      <c r="G46" s="91" t="s">
        <v>43</v>
      </c>
      <c r="H46" s="91" t="s">
        <v>44</v>
      </c>
      <c r="I46" s="20"/>
      <c r="J46" s="82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</row>
    <row r="47" ht="15.75" customHeight="1">
      <c r="A47" s="88" t="str">
        <f t="shared" ref="A47:A53" si="6">A36</f>
        <v>Super JP / X 200 獎</v>
      </c>
      <c r="B47" s="6"/>
      <c r="C47" s="86">
        <v>240.0</v>
      </c>
      <c r="D47" s="86">
        <v>120.0</v>
      </c>
      <c r="E47" s="88" t="str">
        <f t="shared" ref="E47:E53" si="7">E36</f>
        <v>Super JP / X 100 獎</v>
      </c>
      <c r="F47" s="6"/>
      <c r="G47" s="86">
        <v>120.0</v>
      </c>
      <c r="H47" s="86">
        <v>120.0</v>
      </c>
      <c r="I47" s="20"/>
      <c r="J47" s="82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</row>
    <row r="48" ht="15.75" customHeight="1">
      <c r="A48" s="88" t="str">
        <f t="shared" si="6"/>
        <v>Lucky JP / X 100 獎</v>
      </c>
      <c r="B48" s="6"/>
      <c r="C48" s="86">
        <v>588.0</v>
      </c>
      <c r="D48" s="86">
        <v>355.0</v>
      </c>
      <c r="E48" s="88" t="str">
        <f t="shared" si="7"/>
        <v>Lucky JP / X 50 獎</v>
      </c>
      <c r="F48" s="6"/>
      <c r="G48" s="86">
        <v>355.0</v>
      </c>
      <c r="H48" s="86">
        <v>355.0</v>
      </c>
      <c r="I48" s="20"/>
      <c r="J48" s="82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</row>
    <row r="49" ht="15.75" customHeight="1">
      <c r="A49" s="88" t="str">
        <f t="shared" si="6"/>
        <v> X 50 獎</v>
      </c>
      <c r="B49" s="6"/>
      <c r="C49" s="86">
        <v>2350.0</v>
      </c>
      <c r="D49" s="86">
        <v>355.0</v>
      </c>
      <c r="E49" s="88" t="str">
        <f t="shared" si="7"/>
        <v> X 25 獎</v>
      </c>
      <c r="F49" s="6"/>
      <c r="G49" s="86">
        <v>3045.0</v>
      </c>
      <c r="H49" s="86">
        <v>3145.0</v>
      </c>
      <c r="I49" s="20"/>
      <c r="J49" s="82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</row>
    <row r="50" ht="15.75" customHeight="1">
      <c r="A50" s="88" t="str">
        <f t="shared" si="6"/>
        <v> X 25 獎</v>
      </c>
      <c r="B50" s="6"/>
      <c r="C50" s="86">
        <v>14500.0</v>
      </c>
      <c r="D50" s="86">
        <v>3045.0</v>
      </c>
      <c r="E50" s="88" t="str">
        <f t="shared" si="7"/>
        <v> X 10 獎</v>
      </c>
      <c r="F50" s="6"/>
      <c r="G50" s="86">
        <v>12600.0</v>
      </c>
      <c r="H50" s="86">
        <v>13600.0</v>
      </c>
      <c r="I50" s="20"/>
      <c r="J50" s="82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</row>
    <row r="51" ht="15.75" customHeight="1">
      <c r="A51" s="88" t="str">
        <f t="shared" si="6"/>
        <v> X 10 獎</v>
      </c>
      <c r="B51" s="6"/>
      <c r="C51" s="86">
        <v>25500.0</v>
      </c>
      <c r="D51" s="86">
        <v>12600.0</v>
      </c>
      <c r="E51" s="88" t="str">
        <f t="shared" si="7"/>
        <v> X 5 獎</v>
      </c>
      <c r="F51" s="6"/>
      <c r="G51" s="86">
        <v>26335.0</v>
      </c>
      <c r="H51" s="86">
        <v>27335.0</v>
      </c>
      <c r="I51" s="20"/>
      <c r="J51" s="82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ht="15.75" customHeight="1">
      <c r="A52" s="88" t="str">
        <f t="shared" si="6"/>
        <v> X 5 獎</v>
      </c>
      <c r="B52" s="6"/>
      <c r="C52" s="86">
        <v>28005.0</v>
      </c>
      <c r="D52" s="86">
        <v>26335.0</v>
      </c>
      <c r="E52" s="88" t="str">
        <f t="shared" si="7"/>
        <v> X 3 獎</v>
      </c>
      <c r="F52" s="6"/>
      <c r="G52" s="92">
        <f t="shared" ref="G52:H52" si="8">100000-SUM(G47:G51)</f>
        <v>57545</v>
      </c>
      <c r="H52" s="92">
        <f t="shared" si="8"/>
        <v>55445</v>
      </c>
      <c r="I52" s="20"/>
      <c r="J52" s="82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</row>
    <row r="53" ht="15.75" customHeight="1">
      <c r="A53" s="88" t="str">
        <f t="shared" si="6"/>
        <v> X 3 獎</v>
      </c>
      <c r="B53" s="6"/>
      <c r="C53" s="92">
        <f t="shared" ref="C53:D53" si="9">100000-SUM(C47:C52)</f>
        <v>28817</v>
      </c>
      <c r="D53" s="92">
        <f t="shared" si="9"/>
        <v>57190</v>
      </c>
      <c r="E53" s="88" t="str">
        <f t="shared" si="7"/>
        <v> X 1 獎</v>
      </c>
      <c r="F53" s="6"/>
      <c r="G53" s="92">
        <f t="shared" ref="G53:H53" si="10">100000-SUM(G48:G52)</f>
        <v>120</v>
      </c>
      <c r="H53" s="92">
        <f t="shared" si="10"/>
        <v>120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ht="15.75" customHeight="1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>
      <c r="A55" s="230" t="s">
        <v>104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ht="15.75" customHeight="1">
      <c r="A57" s="95" t="s">
        <v>47</v>
      </c>
      <c r="B57" s="95"/>
      <c r="C57" s="95"/>
      <c r="D57" s="95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ht="15.75" customHeight="1">
      <c r="A58" s="77" t="s">
        <v>48</v>
      </c>
      <c r="B58" s="91" t="s">
        <v>122</v>
      </c>
      <c r="C58" s="91" t="s">
        <v>50</v>
      </c>
      <c r="D58" s="91" t="s">
        <v>51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ht="15.75" customHeight="1">
      <c r="A59" s="96" t="s">
        <v>30</v>
      </c>
      <c r="B59" s="97">
        <f t="shared" ref="B59:B60" si="12">sum(E83:F83)*2*($B$10*$B$11+$C$10*$C$11+$D$10*$D$11)</f>
        <v>0.2893693848</v>
      </c>
      <c r="C59" s="97">
        <f t="shared" ref="C59:D59" si="11">C144</f>
        <v>0.3268179046</v>
      </c>
      <c r="D59" s="97">
        <f t="shared" si="11"/>
        <v>0.1253441763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ht="15.75" customHeight="1">
      <c r="A60" s="96" t="s">
        <v>31</v>
      </c>
      <c r="B60" s="97">
        <f t="shared" si="12"/>
        <v>0.2613938843</v>
      </c>
      <c r="C60" s="97">
        <f t="shared" ref="C60:D60" si="13">G144</f>
        <v>0.2627050452</v>
      </c>
      <c r="D60" s="97">
        <f t="shared" si="13"/>
        <v>0.2702864659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ht="15.75" customHeight="1">
      <c r="A61" s="36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</row>
    <row r="63" ht="15.75" customHeight="1">
      <c r="A63" s="89" t="s">
        <v>52</v>
      </c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ht="15.75" customHeight="1">
      <c r="A64" s="99" t="s">
        <v>53</v>
      </c>
      <c r="B64" s="6"/>
      <c r="C64" s="254">
        <f>C101</f>
        <v>48.18823529</v>
      </c>
      <c r="D64" s="101"/>
      <c r="E64" s="101"/>
      <c r="F64" s="12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</row>
    <row r="65" ht="15.75" customHeight="1">
      <c r="A65" s="102" t="s">
        <v>54</v>
      </c>
      <c r="B65" s="103"/>
      <c r="C65" s="104" t="s">
        <v>55</v>
      </c>
      <c r="D65" s="6"/>
      <c r="E65" s="104" t="s">
        <v>56</v>
      </c>
      <c r="F65" s="6"/>
      <c r="G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</row>
    <row r="66" ht="15.75" customHeight="1">
      <c r="A66" s="105" t="s">
        <v>48</v>
      </c>
      <c r="B66" s="6"/>
      <c r="C66" s="78" t="s">
        <v>57</v>
      </c>
      <c r="D66" s="78" t="s">
        <v>58</v>
      </c>
      <c r="E66" s="78" t="s">
        <v>57</v>
      </c>
      <c r="F66" s="78" t="s">
        <v>58</v>
      </c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</row>
    <row r="67" ht="15.75" customHeight="1">
      <c r="A67" s="106" t="s">
        <v>59</v>
      </c>
      <c r="B67" s="6"/>
      <c r="C67" s="255">
        <f t="shared" ref="C67:D67" si="14">1/sum(C106,C109)*$C$101</f>
        <v>5819.83518</v>
      </c>
      <c r="D67" s="255">
        <f t="shared" si="14"/>
        <v>10144.89164</v>
      </c>
      <c r="E67" s="255">
        <f t="shared" ref="E67:F67" si="15">1/sum(G106,G109)*$C$101</f>
        <v>10157.06551</v>
      </c>
      <c r="F67" s="255">
        <f t="shared" si="15"/>
        <v>10157.06551</v>
      </c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</row>
    <row r="68" ht="15.75" customHeight="1">
      <c r="A68" s="88" t="str">
        <f t="shared" ref="A68:A69" si="18">A47</f>
        <v>Super JP / X 200 獎</v>
      </c>
      <c r="B68" s="6"/>
      <c r="C68" s="255">
        <f t="shared" ref="C68:D68" si="16">C108</f>
        <v>20078.43137</v>
      </c>
      <c r="D68" s="255">
        <f t="shared" si="16"/>
        <v>40156.86275</v>
      </c>
      <c r="E68" s="256">
        <f t="shared" ref="E68:F68" si="17">G108</f>
        <v>40205.05098</v>
      </c>
      <c r="F68" s="256">
        <f t="shared" si="17"/>
        <v>40205.05098</v>
      </c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</row>
    <row r="69" ht="15.75" customHeight="1">
      <c r="A69" s="88" t="str">
        <f t="shared" si="18"/>
        <v>Lucky JP / X 100 獎</v>
      </c>
      <c r="B69" s="6"/>
      <c r="C69" s="255">
        <f t="shared" ref="C69:D69" si="19">C111</f>
        <v>8195.278111</v>
      </c>
      <c r="D69" s="255">
        <f t="shared" si="19"/>
        <v>13574.15079</v>
      </c>
      <c r="E69" s="256">
        <f t="shared" ref="E69:F69" si="20">G111</f>
        <v>13590.43977</v>
      </c>
      <c r="F69" s="256">
        <f t="shared" si="20"/>
        <v>13590.43977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</row>
    <row r="70" ht="15.75" customHeight="1">
      <c r="A70" s="106" t="s">
        <v>60</v>
      </c>
      <c r="B70" s="6"/>
      <c r="C70" s="255">
        <f t="shared" ref="C70:D70" si="21">1/sum(C112,C115,C118,C121)*$C$101</f>
        <v>68.49297888</v>
      </c>
      <c r="D70" s="255">
        <f t="shared" si="21"/>
        <v>113.8259957</v>
      </c>
      <c r="E70" s="255">
        <f t="shared" ref="E70:F70" si="22">1/sum(G112,G115,G118,G121)*$C$101</f>
        <v>48.47632371</v>
      </c>
      <c r="F70" s="255">
        <f t="shared" si="22"/>
        <v>48.47632371</v>
      </c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</row>
    <row r="71" ht="15.75" customHeight="1">
      <c r="A71" s="88" t="str">
        <f t="shared" ref="A71:A75" si="25">A49</f>
        <v> X 50 獎</v>
      </c>
      <c r="B71" s="6"/>
      <c r="C71" s="255">
        <f t="shared" ref="C71:D71" si="23">C114</f>
        <v>2050.563204</v>
      </c>
      <c r="D71" s="255">
        <f t="shared" si="23"/>
        <v>13574.15079</v>
      </c>
      <c r="E71" s="256">
        <f t="shared" ref="E71:F71" si="24">G114</f>
        <v>1584.435507</v>
      </c>
      <c r="F71" s="256">
        <f t="shared" si="24"/>
        <v>1534.055999</v>
      </c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</row>
    <row r="72" ht="15.75" customHeight="1">
      <c r="A72" s="88" t="str">
        <f t="shared" si="25"/>
        <v> X 25 獎</v>
      </c>
      <c r="B72" s="6"/>
      <c r="C72" s="255">
        <f t="shared" ref="C72:D72" si="26">C117</f>
        <v>332.3326572</v>
      </c>
      <c r="D72" s="255">
        <f t="shared" si="26"/>
        <v>1582.536463</v>
      </c>
      <c r="E72" s="256">
        <f t="shared" ref="E72:F72" si="27">G117</f>
        <v>382.9052474</v>
      </c>
      <c r="F72" s="256">
        <f t="shared" si="27"/>
        <v>354.7504498</v>
      </c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</row>
    <row r="73" ht="15.75" customHeight="1">
      <c r="A73" s="88" t="str">
        <f t="shared" si="25"/>
        <v> X 10 獎</v>
      </c>
      <c r="B73" s="6"/>
      <c r="C73" s="255">
        <f t="shared" ref="C73:D73" si="28">C120</f>
        <v>188.9734717</v>
      </c>
      <c r="D73" s="255">
        <f t="shared" si="28"/>
        <v>382.4463119</v>
      </c>
      <c r="E73" s="256">
        <f t="shared" ref="E73:F73" si="29">G120</f>
        <v>183.2012955</v>
      </c>
      <c r="F73" s="256">
        <f t="shared" si="29"/>
        <v>176.4992178</v>
      </c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</row>
    <row r="74" ht="15.75" customHeight="1">
      <c r="A74" s="88" t="str">
        <f t="shared" si="25"/>
        <v> X 5 獎</v>
      </c>
      <c r="B74" s="6"/>
      <c r="C74" s="255">
        <f t="shared" ref="C74:D74" si="30">C123</f>
        <v>172.0701135</v>
      </c>
      <c r="D74" s="255">
        <f t="shared" si="30"/>
        <v>182.9817175</v>
      </c>
      <c r="E74" s="256">
        <f t="shared" ref="E74:F74" si="31">G123</f>
        <v>83.84057898</v>
      </c>
      <c r="F74" s="256">
        <f t="shared" si="31"/>
        <v>87.0160721</v>
      </c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ht="15.75" customHeight="1">
      <c r="A75" s="88" t="str">
        <f t="shared" si="25"/>
        <v> X 3 獎</v>
      </c>
      <c r="B75" s="6"/>
      <c r="C75" s="255"/>
      <c r="D75" s="255"/>
      <c r="E75" s="256"/>
      <c r="F75" s="256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ht="15.75" customHeight="1">
      <c r="A76" s="36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ht="15.75" customHeight="1">
      <c r="A77" s="36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ht="15.75" customHeight="1">
      <c r="A78" s="36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>
      <c r="A79" s="16" t="s">
        <v>61</v>
      </c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ht="15.75" customHeight="1">
      <c r="A80" s="36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ht="15.75" customHeight="1">
      <c r="A81" s="21" t="s">
        <v>62</v>
      </c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ht="15.75" customHeight="1">
      <c r="A82" s="37" t="s">
        <v>28</v>
      </c>
      <c r="B82" s="38" t="s">
        <v>29</v>
      </c>
      <c r="C82" s="39">
        <v>0.0</v>
      </c>
      <c r="D82" s="39">
        <v>1.0</v>
      </c>
      <c r="E82" s="39">
        <v>2.0</v>
      </c>
      <c r="F82" s="39">
        <v>3.0</v>
      </c>
      <c r="G82" s="39">
        <v>4.0</v>
      </c>
      <c r="H82" s="39">
        <v>5.0</v>
      </c>
      <c r="I82" s="39">
        <v>6.0</v>
      </c>
      <c r="J82" s="39">
        <v>7.0</v>
      </c>
      <c r="K82" s="39">
        <v>8.0</v>
      </c>
      <c r="L82" s="39">
        <v>9.0</v>
      </c>
      <c r="M82" s="39">
        <v>10.0</v>
      </c>
      <c r="N82" s="39">
        <v>11.0</v>
      </c>
      <c r="O82" s="39">
        <v>12.0</v>
      </c>
      <c r="P82" s="39">
        <v>13.0</v>
      </c>
      <c r="Q82" s="39">
        <v>14.0</v>
      </c>
      <c r="R82" s="39">
        <v>15.0</v>
      </c>
      <c r="S82" s="43">
        <v>16.0</v>
      </c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ht="15.75" customHeight="1">
      <c r="A83" s="108">
        <f t="shared" ref="A83:A91" si="33">SUM(C83:S83)*($B$10*$B$11+$C$10*$C$11+$D$10*$D$11)</f>
        <v>0.9530236816</v>
      </c>
      <c r="B83" s="45" t="s">
        <v>30</v>
      </c>
      <c r="C83" s="109">
        <f t="shared" ref="C83:S83" si="32">C16*C$6</f>
        <v>0.01525878906</v>
      </c>
      <c r="D83" s="110">
        <f t="shared" si="32"/>
        <v>0.03051757813</v>
      </c>
      <c r="E83" s="111">
        <f t="shared" si="32"/>
        <v>0.02259521484</v>
      </c>
      <c r="F83" s="111">
        <f t="shared" si="32"/>
        <v>0.1054443359</v>
      </c>
      <c r="G83" s="109">
        <f t="shared" si="32"/>
        <v>0.06109619141</v>
      </c>
      <c r="H83" s="109">
        <f t="shared" si="32"/>
        <v>0.07331542969</v>
      </c>
      <c r="I83" s="109">
        <f t="shared" si="32"/>
        <v>0.06109619141</v>
      </c>
      <c r="J83" s="109">
        <f t="shared" si="32"/>
        <v>0.05236816406</v>
      </c>
      <c r="K83" s="110">
        <f t="shared" si="32"/>
        <v>0</v>
      </c>
      <c r="L83" s="109">
        <f t="shared" si="32"/>
        <v>0.05236816406</v>
      </c>
      <c r="M83" s="109">
        <f t="shared" si="32"/>
        <v>0.06109619141</v>
      </c>
      <c r="N83" s="109">
        <f t="shared" si="32"/>
        <v>0.07331542969</v>
      </c>
      <c r="O83" s="109">
        <f t="shared" si="32"/>
        <v>0.06109619141</v>
      </c>
      <c r="P83" s="111">
        <f t="shared" si="32"/>
        <v>0.1054443359</v>
      </c>
      <c r="Q83" s="111">
        <f t="shared" si="32"/>
        <v>0.02259521484</v>
      </c>
      <c r="R83" s="110">
        <f t="shared" si="32"/>
        <v>0.03051757813</v>
      </c>
      <c r="S83" s="112">
        <f t="shared" si="32"/>
        <v>0.01525878906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ht="15.75" customHeight="1">
      <c r="A84" s="108">
        <f t="shared" si="33"/>
        <v>0.9551845032</v>
      </c>
      <c r="B84" s="53" t="s">
        <v>31</v>
      </c>
      <c r="C84" s="113">
        <f t="shared" ref="C84:S84" si="34">C17*C$6</f>
        <v>0.003051757813</v>
      </c>
      <c r="D84" s="113">
        <f t="shared" si="34"/>
        <v>0.0087890625</v>
      </c>
      <c r="E84" s="114">
        <f t="shared" si="34"/>
        <v>0.0204107666</v>
      </c>
      <c r="F84" s="114">
        <f t="shared" si="34"/>
        <v>0.09525024414</v>
      </c>
      <c r="G84" s="113">
        <f t="shared" si="34"/>
        <v>0.05554199219</v>
      </c>
      <c r="H84" s="113">
        <f t="shared" si="34"/>
        <v>0.08664550781</v>
      </c>
      <c r="I84" s="113">
        <f t="shared" si="34"/>
        <v>0.07331542969</v>
      </c>
      <c r="J84" s="113">
        <f t="shared" si="34"/>
        <v>0.06982421875</v>
      </c>
      <c r="K84" s="115">
        <f t="shared" si="34"/>
        <v>0.01963806152</v>
      </c>
      <c r="L84" s="113">
        <f t="shared" si="34"/>
        <v>0.06982421875</v>
      </c>
      <c r="M84" s="113">
        <f t="shared" si="34"/>
        <v>0.07331542969</v>
      </c>
      <c r="N84" s="113">
        <f t="shared" si="34"/>
        <v>0.08664550781</v>
      </c>
      <c r="O84" s="113">
        <f t="shared" si="34"/>
        <v>0.05554199219</v>
      </c>
      <c r="P84" s="114">
        <f t="shared" si="34"/>
        <v>0.09525024414</v>
      </c>
      <c r="Q84" s="114">
        <f t="shared" si="34"/>
        <v>0.0204107666</v>
      </c>
      <c r="R84" s="113">
        <f t="shared" si="34"/>
        <v>0.0087890625</v>
      </c>
      <c r="S84" s="116">
        <f t="shared" si="34"/>
        <v>0.003051757813</v>
      </c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ht="15.75" customHeight="1">
      <c r="A85" s="117">
        <f t="shared" si="33"/>
        <v>0.9554169312</v>
      </c>
      <c r="B85" s="61" t="s">
        <v>32</v>
      </c>
      <c r="C85" s="118">
        <f t="shared" ref="C85:S85" si="35">C18*C$6</f>
        <v>0.0009155273438</v>
      </c>
      <c r="D85" s="118">
        <f t="shared" si="35"/>
        <v>0.00732421875</v>
      </c>
      <c r="E85" s="118">
        <f t="shared" si="35"/>
        <v>0.0146484375</v>
      </c>
      <c r="F85" s="118">
        <f t="shared" si="35"/>
        <v>0.02221679688</v>
      </c>
      <c r="G85" s="118">
        <f t="shared" si="35"/>
        <v>0.04443359375</v>
      </c>
      <c r="H85" s="118">
        <f t="shared" si="35"/>
        <v>0.08664550781</v>
      </c>
      <c r="I85" s="118">
        <f t="shared" si="35"/>
        <v>0.1221923828</v>
      </c>
      <c r="J85" s="118">
        <f t="shared" si="35"/>
        <v>0.1047363281</v>
      </c>
      <c r="K85" s="119">
        <f t="shared" si="35"/>
        <v>0.03927612305</v>
      </c>
      <c r="L85" s="118">
        <f t="shared" si="35"/>
        <v>0.1047363281</v>
      </c>
      <c r="M85" s="118">
        <f t="shared" si="35"/>
        <v>0.1221923828</v>
      </c>
      <c r="N85" s="118">
        <f t="shared" si="35"/>
        <v>0.08664550781</v>
      </c>
      <c r="O85" s="118">
        <f t="shared" si="35"/>
        <v>0.04443359375</v>
      </c>
      <c r="P85" s="118">
        <f t="shared" si="35"/>
        <v>0.02221679688</v>
      </c>
      <c r="Q85" s="118">
        <f t="shared" si="35"/>
        <v>0.0146484375</v>
      </c>
      <c r="R85" s="118">
        <f t="shared" si="35"/>
        <v>0.00732421875</v>
      </c>
      <c r="S85" s="120">
        <f t="shared" si="35"/>
        <v>0.0009155273438</v>
      </c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ht="15.75" customHeight="1">
      <c r="A86" s="121">
        <f t="shared" si="33"/>
        <v>0.9404711914</v>
      </c>
      <c r="B86" s="45" t="s">
        <v>30</v>
      </c>
      <c r="C86" s="109">
        <f t="shared" ref="C86:S86" si="36">C19*C$6</f>
        <v>0.01525878906</v>
      </c>
      <c r="D86" s="110">
        <f t="shared" si="36"/>
        <v>0.03051757813</v>
      </c>
      <c r="E86" s="111">
        <f t="shared" si="36"/>
        <v>0.02259521484</v>
      </c>
      <c r="F86" s="111">
        <f t="shared" si="36"/>
        <v>0.1054443359</v>
      </c>
      <c r="G86" s="109">
        <f t="shared" si="36"/>
        <v>0.05554199219</v>
      </c>
      <c r="H86" s="109">
        <f t="shared" si="36"/>
        <v>0.07331542969</v>
      </c>
      <c r="I86" s="109">
        <f t="shared" si="36"/>
        <v>0.06109619141</v>
      </c>
      <c r="J86" s="109">
        <f t="shared" si="36"/>
        <v>0.05236816406</v>
      </c>
      <c r="K86" s="110">
        <f t="shared" si="36"/>
        <v>0</v>
      </c>
      <c r="L86" s="109">
        <f t="shared" si="36"/>
        <v>0.05236816406</v>
      </c>
      <c r="M86" s="109">
        <f t="shared" si="36"/>
        <v>0.06109619141</v>
      </c>
      <c r="N86" s="109">
        <f t="shared" si="36"/>
        <v>0.07331542969</v>
      </c>
      <c r="O86" s="109">
        <f t="shared" si="36"/>
        <v>0.05554199219</v>
      </c>
      <c r="P86" s="111">
        <f t="shared" si="36"/>
        <v>0.1054443359</v>
      </c>
      <c r="Q86" s="111">
        <f t="shared" si="36"/>
        <v>0.02259521484</v>
      </c>
      <c r="R86" s="110">
        <f t="shared" si="36"/>
        <v>0.03051757813</v>
      </c>
      <c r="S86" s="112">
        <f t="shared" si="36"/>
        <v>0.01525878906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ht="15.75" customHeight="1">
      <c r="A87" s="108">
        <f t="shared" si="33"/>
        <v>0.9401215149</v>
      </c>
      <c r="B87" s="53" t="s">
        <v>31</v>
      </c>
      <c r="C87" s="113">
        <f t="shared" ref="C87:S87" si="37">C20*C$6</f>
        <v>0.003051757813</v>
      </c>
      <c r="D87" s="113">
        <f t="shared" si="37"/>
        <v>0.0087890625</v>
      </c>
      <c r="E87" s="114">
        <f t="shared" si="37"/>
        <v>0.0204107666</v>
      </c>
      <c r="F87" s="114">
        <f t="shared" si="37"/>
        <v>0.09525024414</v>
      </c>
      <c r="G87" s="113">
        <f t="shared" si="37"/>
        <v>0.05554199219</v>
      </c>
      <c r="H87" s="113">
        <f t="shared" si="37"/>
        <v>0.07998046875</v>
      </c>
      <c r="I87" s="113">
        <f t="shared" si="37"/>
        <v>0.07331542969</v>
      </c>
      <c r="J87" s="113">
        <f t="shared" si="37"/>
        <v>0.06982421875</v>
      </c>
      <c r="K87" s="115">
        <f t="shared" si="37"/>
        <v>0.01963806152</v>
      </c>
      <c r="L87" s="113">
        <f t="shared" si="37"/>
        <v>0.06982421875</v>
      </c>
      <c r="M87" s="113">
        <f t="shared" si="37"/>
        <v>0.07331542969</v>
      </c>
      <c r="N87" s="113">
        <f t="shared" si="37"/>
        <v>0.07998046875</v>
      </c>
      <c r="O87" s="113">
        <f t="shared" si="37"/>
        <v>0.05554199219</v>
      </c>
      <c r="P87" s="114">
        <f t="shared" si="37"/>
        <v>0.09525024414</v>
      </c>
      <c r="Q87" s="114">
        <f t="shared" si="37"/>
        <v>0.0204107666</v>
      </c>
      <c r="R87" s="113">
        <f t="shared" si="37"/>
        <v>0.0087890625</v>
      </c>
      <c r="S87" s="116">
        <f t="shared" si="37"/>
        <v>0.003051757813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ht="15.75" customHeight="1">
      <c r="A88" s="117">
        <f t="shared" si="33"/>
        <v>0.9403539429</v>
      </c>
      <c r="B88" s="61" t="s">
        <v>32</v>
      </c>
      <c r="C88" s="118">
        <f t="shared" ref="C88:S88" si="38">C21*C$6</f>
        <v>0.0009155273438</v>
      </c>
      <c r="D88" s="118">
        <f t="shared" si="38"/>
        <v>0.00732421875</v>
      </c>
      <c r="E88" s="118">
        <f t="shared" si="38"/>
        <v>0.0146484375</v>
      </c>
      <c r="F88" s="118">
        <f t="shared" si="38"/>
        <v>0.02221679688</v>
      </c>
      <c r="G88" s="118">
        <f t="shared" si="38"/>
        <v>0.04443359375</v>
      </c>
      <c r="H88" s="118">
        <f t="shared" si="38"/>
        <v>0.07998046875</v>
      </c>
      <c r="I88" s="118">
        <f t="shared" si="38"/>
        <v>0.1221923828</v>
      </c>
      <c r="J88" s="118">
        <f t="shared" si="38"/>
        <v>0.1047363281</v>
      </c>
      <c r="K88" s="119">
        <f t="shared" si="38"/>
        <v>0.03927612305</v>
      </c>
      <c r="L88" s="118">
        <f t="shared" si="38"/>
        <v>0.1047363281</v>
      </c>
      <c r="M88" s="118">
        <f t="shared" si="38"/>
        <v>0.1221923828</v>
      </c>
      <c r="N88" s="118">
        <f t="shared" si="38"/>
        <v>0.07998046875</v>
      </c>
      <c r="O88" s="118">
        <f t="shared" si="38"/>
        <v>0.04443359375</v>
      </c>
      <c r="P88" s="118">
        <f t="shared" si="38"/>
        <v>0.02221679688</v>
      </c>
      <c r="Q88" s="118">
        <f t="shared" si="38"/>
        <v>0.0146484375</v>
      </c>
      <c r="R88" s="118">
        <f t="shared" si="38"/>
        <v>0.00732421875</v>
      </c>
      <c r="S88" s="120">
        <f t="shared" si="38"/>
        <v>0.0009155273438</v>
      </c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A89" s="108">
        <f t="shared" si="33"/>
        <v>0.919131958</v>
      </c>
      <c r="B89" s="69" t="s">
        <v>30</v>
      </c>
      <c r="C89" s="109">
        <f t="shared" ref="C89:S89" si="39">C22*C$6</f>
        <v>0.01525878906</v>
      </c>
      <c r="D89" s="110">
        <f t="shared" si="39"/>
        <v>0.03051757813</v>
      </c>
      <c r="E89" s="111">
        <f t="shared" si="39"/>
        <v>0.02259521484</v>
      </c>
      <c r="F89" s="111">
        <f t="shared" si="39"/>
        <v>0.1054443359</v>
      </c>
      <c r="G89" s="109">
        <f t="shared" si="39"/>
        <v>0.0583190918</v>
      </c>
      <c r="H89" s="109">
        <f t="shared" si="39"/>
        <v>0.07331542969</v>
      </c>
      <c r="I89" s="109">
        <f t="shared" si="39"/>
        <v>0.04887695313</v>
      </c>
      <c r="J89" s="109">
        <f t="shared" si="39"/>
        <v>0.05236816406</v>
      </c>
      <c r="K89" s="110">
        <f t="shared" si="39"/>
        <v>0</v>
      </c>
      <c r="L89" s="109">
        <f t="shared" si="39"/>
        <v>0.05236816406</v>
      </c>
      <c r="M89" s="109">
        <f t="shared" si="39"/>
        <v>0.04887695313</v>
      </c>
      <c r="N89" s="109">
        <f t="shared" si="39"/>
        <v>0.07331542969</v>
      </c>
      <c r="O89" s="109">
        <f t="shared" si="39"/>
        <v>0.0583190918</v>
      </c>
      <c r="P89" s="111">
        <f t="shared" si="39"/>
        <v>0.1054443359</v>
      </c>
      <c r="Q89" s="111">
        <f t="shared" si="39"/>
        <v>0.02259521484</v>
      </c>
      <c r="R89" s="110">
        <f t="shared" si="39"/>
        <v>0.03051757813</v>
      </c>
      <c r="S89" s="112">
        <f t="shared" si="39"/>
        <v>0.01525878906</v>
      </c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ht="15.75" customHeight="1">
      <c r="A90" s="108">
        <f t="shared" si="33"/>
        <v>0.9204789368</v>
      </c>
      <c r="B90" s="70" t="s">
        <v>31</v>
      </c>
      <c r="C90" s="113">
        <f t="shared" ref="C90:S90" si="40">C23*C$6</f>
        <v>0.003051757813</v>
      </c>
      <c r="D90" s="113">
        <f t="shared" si="40"/>
        <v>0.01342773438</v>
      </c>
      <c r="E90" s="114">
        <f t="shared" si="40"/>
        <v>0.0204107666</v>
      </c>
      <c r="F90" s="114">
        <f t="shared" si="40"/>
        <v>0.09525024414</v>
      </c>
      <c r="G90" s="113">
        <f t="shared" si="40"/>
        <v>0.05554199219</v>
      </c>
      <c r="H90" s="113">
        <f t="shared" si="40"/>
        <v>0.06665039063</v>
      </c>
      <c r="I90" s="113">
        <f t="shared" si="40"/>
        <v>0.07331542969</v>
      </c>
      <c r="J90" s="113">
        <f t="shared" si="40"/>
        <v>0.06982421875</v>
      </c>
      <c r="K90" s="115">
        <f t="shared" si="40"/>
        <v>0.01963806152</v>
      </c>
      <c r="L90" s="113">
        <f t="shared" si="40"/>
        <v>0.06982421875</v>
      </c>
      <c r="M90" s="113">
        <f t="shared" si="40"/>
        <v>0.07331542969</v>
      </c>
      <c r="N90" s="113">
        <f t="shared" si="40"/>
        <v>0.06665039063</v>
      </c>
      <c r="O90" s="113">
        <f t="shared" si="40"/>
        <v>0.05554199219</v>
      </c>
      <c r="P90" s="114">
        <f t="shared" si="40"/>
        <v>0.09525024414</v>
      </c>
      <c r="Q90" s="114">
        <f t="shared" si="40"/>
        <v>0.0204107666</v>
      </c>
      <c r="R90" s="113">
        <f t="shared" si="40"/>
        <v>0.01342773438</v>
      </c>
      <c r="S90" s="116">
        <f t="shared" si="40"/>
        <v>0.003051757813</v>
      </c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122">
        <f t="shared" si="33"/>
        <v>0.9190147095</v>
      </c>
      <c r="B91" s="72" t="s">
        <v>32</v>
      </c>
      <c r="C91" s="118">
        <f t="shared" ref="C91:S91" si="41">C24*C$6</f>
        <v>0.0009155273438</v>
      </c>
      <c r="D91" s="118">
        <f t="shared" si="41"/>
        <v>0.00732421875</v>
      </c>
      <c r="E91" s="118">
        <f t="shared" si="41"/>
        <v>0.0146484375</v>
      </c>
      <c r="F91" s="118">
        <f t="shared" si="41"/>
        <v>0.02221679688</v>
      </c>
      <c r="G91" s="118">
        <f t="shared" si="41"/>
        <v>0.04165649414</v>
      </c>
      <c r="H91" s="118">
        <f t="shared" si="41"/>
        <v>0.07331542969</v>
      </c>
      <c r="I91" s="118">
        <f t="shared" si="41"/>
        <v>0.1221923828</v>
      </c>
      <c r="J91" s="118">
        <f t="shared" si="41"/>
        <v>0.1047363281</v>
      </c>
      <c r="K91" s="119">
        <f t="shared" si="41"/>
        <v>0.03927612305</v>
      </c>
      <c r="L91" s="118">
        <f t="shared" si="41"/>
        <v>0.1047363281</v>
      </c>
      <c r="M91" s="118">
        <f t="shared" si="41"/>
        <v>0.1221923828</v>
      </c>
      <c r="N91" s="118">
        <f t="shared" si="41"/>
        <v>0.07331542969</v>
      </c>
      <c r="O91" s="118">
        <f t="shared" si="41"/>
        <v>0.04165649414</v>
      </c>
      <c r="P91" s="118">
        <f t="shared" si="41"/>
        <v>0.02221679688</v>
      </c>
      <c r="Q91" s="118">
        <f t="shared" si="41"/>
        <v>0.0146484375</v>
      </c>
      <c r="R91" s="118">
        <f t="shared" si="41"/>
        <v>0.00732421875</v>
      </c>
      <c r="S91" s="120">
        <f t="shared" si="41"/>
        <v>0.0009155273438</v>
      </c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36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ht="15.75" customHeight="1">
      <c r="A93" s="21" t="s">
        <v>63</v>
      </c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A94" s="23" t="s">
        <v>16</v>
      </c>
      <c r="B94" s="24" t="s">
        <v>17</v>
      </c>
      <c r="C94" s="24">
        <v>0.0</v>
      </c>
      <c r="D94" s="24">
        <v>1.0</v>
      </c>
      <c r="E94" s="24">
        <v>2.0</v>
      </c>
      <c r="F94" s="24">
        <v>3.0</v>
      </c>
      <c r="G94" s="24">
        <v>4.0</v>
      </c>
      <c r="H94" s="24">
        <v>5.0</v>
      </c>
      <c r="I94" s="24">
        <v>6.0</v>
      </c>
      <c r="J94" s="24">
        <v>7.0</v>
      </c>
      <c r="K94" s="24">
        <v>8.0</v>
      </c>
      <c r="L94" s="24">
        <v>9.0</v>
      </c>
      <c r="M94" s="24">
        <v>10.0</v>
      </c>
      <c r="N94" s="24">
        <v>11.0</v>
      </c>
      <c r="O94" s="24">
        <v>12.0</v>
      </c>
      <c r="P94" s="24">
        <v>13.0</v>
      </c>
      <c r="Q94" s="24">
        <v>14.0</v>
      </c>
      <c r="R94" s="24">
        <v>15.0</v>
      </c>
      <c r="S94" s="24">
        <v>16.0</v>
      </c>
      <c r="T94" s="20"/>
      <c r="U94" s="24"/>
      <c r="V94" s="25" t="s">
        <v>18</v>
      </c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ht="15.75" customHeight="1">
      <c r="A95" s="123"/>
      <c r="B95" s="25" t="s">
        <v>64</v>
      </c>
      <c r="C95" s="124">
        <f t="shared" ref="C95:S95" si="42">1/C6</f>
        <v>65536</v>
      </c>
      <c r="D95" s="124">
        <f t="shared" si="42"/>
        <v>4096</v>
      </c>
      <c r="E95" s="124">
        <f t="shared" si="42"/>
        <v>546.1333333</v>
      </c>
      <c r="F95" s="124">
        <f t="shared" si="42"/>
        <v>117.0285714</v>
      </c>
      <c r="G95" s="124">
        <f t="shared" si="42"/>
        <v>36.00879121</v>
      </c>
      <c r="H95" s="124">
        <f t="shared" si="42"/>
        <v>15.003663</v>
      </c>
      <c r="I95" s="124">
        <f t="shared" si="42"/>
        <v>8.183816184</v>
      </c>
      <c r="J95" s="124">
        <f t="shared" si="42"/>
        <v>5.728671329</v>
      </c>
      <c r="K95" s="124">
        <f t="shared" si="42"/>
        <v>5.092152292</v>
      </c>
      <c r="L95" s="124">
        <f t="shared" si="42"/>
        <v>5.728671329</v>
      </c>
      <c r="M95" s="124">
        <f t="shared" si="42"/>
        <v>8.183816184</v>
      </c>
      <c r="N95" s="124">
        <f t="shared" si="42"/>
        <v>15.003663</v>
      </c>
      <c r="O95" s="124">
        <f t="shared" si="42"/>
        <v>36.00879121</v>
      </c>
      <c r="P95" s="124">
        <f t="shared" si="42"/>
        <v>117.0285714</v>
      </c>
      <c r="Q95" s="124">
        <f t="shared" si="42"/>
        <v>546.1333333</v>
      </c>
      <c r="R95" s="124">
        <f t="shared" si="42"/>
        <v>4096</v>
      </c>
      <c r="S95" s="124">
        <f t="shared" si="42"/>
        <v>65536</v>
      </c>
      <c r="U95" s="25" t="s">
        <v>22</v>
      </c>
      <c r="V95" s="124">
        <f>sum(C95:S95)</f>
        <v>140725.2658</v>
      </c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ht="15.75" customHeight="1">
      <c r="A96" s="36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ht="15.75" customHeight="1">
      <c r="A97" s="36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ht="15.75" customHeight="1">
      <c r="A98" s="125" t="s">
        <v>66</v>
      </c>
      <c r="D98" s="126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</row>
    <row r="99" ht="15.75" customHeight="1">
      <c r="A99" s="127" t="s">
        <v>48</v>
      </c>
      <c r="B99" s="6"/>
      <c r="C99" s="128" t="s">
        <v>18</v>
      </c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</row>
    <row r="100" ht="15.75" customHeight="1">
      <c r="A100" s="129" t="s">
        <v>67</v>
      </c>
      <c r="B100" s="12"/>
      <c r="C100" s="130">
        <f>((E6+F6)*2)</f>
        <v>0.02075195313</v>
      </c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</row>
    <row r="101" ht="15.75" customHeight="1">
      <c r="A101" s="129" t="s">
        <v>68</v>
      </c>
      <c r="B101" s="12"/>
      <c r="C101" s="131">
        <f>1/((E6+F6)*2)</f>
        <v>48.18823529</v>
      </c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</row>
    <row r="102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</row>
    <row r="103" ht="15.75" customHeight="1">
      <c r="A103" s="132" t="s">
        <v>69</v>
      </c>
      <c r="B103" s="132"/>
      <c r="C103" s="132"/>
      <c r="D103" s="132"/>
      <c r="E103" s="132"/>
      <c r="F103" s="132"/>
      <c r="G103" s="132"/>
      <c r="H103" s="132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</row>
    <row r="104" ht="15.75" customHeight="1">
      <c r="A104" s="77" t="s">
        <v>40</v>
      </c>
      <c r="B104" s="6"/>
      <c r="C104" s="77" t="s">
        <v>30</v>
      </c>
      <c r="D104" s="6"/>
      <c r="E104" s="77" t="s">
        <v>40</v>
      </c>
      <c r="F104" s="6"/>
      <c r="G104" s="77" t="s">
        <v>31</v>
      </c>
      <c r="H104" s="6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</row>
    <row r="105" ht="15.75" customHeight="1">
      <c r="A105" s="133" t="s">
        <v>48</v>
      </c>
      <c r="B105" s="6"/>
      <c r="C105" s="134" t="s">
        <v>57</v>
      </c>
      <c r="D105" s="128" t="s">
        <v>58</v>
      </c>
      <c r="E105" s="133" t="s">
        <v>48</v>
      </c>
      <c r="F105" s="6"/>
      <c r="G105" s="134" t="s">
        <v>57</v>
      </c>
      <c r="H105" s="128" t="s">
        <v>58</v>
      </c>
      <c r="I105" s="81"/>
      <c r="J105" s="133" t="s">
        <v>70</v>
      </c>
      <c r="K105" s="6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</row>
    <row r="106" ht="15.75" customHeight="1">
      <c r="A106" s="135" t="str">
        <f>"開"&amp;A36&amp;"機率"</f>
        <v>開Super JP / X 200 獎機率</v>
      </c>
      <c r="B106" s="12"/>
      <c r="C106" s="136">
        <f t="shared" ref="C106:D106" si="43">C47/SUM(C$47:C$53)</f>
        <v>0.0024</v>
      </c>
      <c r="D106" s="136">
        <f t="shared" si="43"/>
        <v>0.0012</v>
      </c>
      <c r="E106" s="135" t="str">
        <f>"開"&amp;E36&amp;"機率"</f>
        <v>開Super JP / X 100 獎機率</v>
      </c>
      <c r="F106" s="12"/>
      <c r="G106" s="136">
        <f t="shared" ref="G106:H106" si="44">G47/SUM(G$47:G$53)</f>
        <v>0.001198561726</v>
      </c>
      <c r="H106" s="136">
        <f t="shared" si="44"/>
        <v>0.001198561726</v>
      </c>
      <c r="I106" s="81"/>
      <c r="J106" s="135" t="s">
        <v>71</v>
      </c>
      <c r="K106" s="12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</row>
    <row r="107" ht="15.75" customHeight="1">
      <c r="A107" s="129" t="s">
        <v>72</v>
      </c>
      <c r="B107" s="12"/>
      <c r="C107" s="137">
        <f t="shared" ref="C107:D107" si="45">1/C106</f>
        <v>416.6666667</v>
      </c>
      <c r="D107" s="137">
        <f t="shared" si="45"/>
        <v>833.3333333</v>
      </c>
      <c r="E107" s="129" t="s">
        <v>72</v>
      </c>
      <c r="F107" s="12"/>
      <c r="G107" s="137">
        <f t="shared" ref="G107:H107" si="46">1/G106</f>
        <v>834.3333333</v>
      </c>
      <c r="H107" s="137">
        <f t="shared" si="46"/>
        <v>834.3333333</v>
      </c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</row>
    <row r="108" ht="15.75" customHeight="1">
      <c r="A108" s="135" t="s">
        <v>64</v>
      </c>
      <c r="B108" s="12"/>
      <c r="C108" s="137">
        <f t="shared" ref="C108:D108" si="47">C107*$C$101</f>
        <v>20078.43137</v>
      </c>
      <c r="D108" s="137">
        <f t="shared" si="47"/>
        <v>40156.86275</v>
      </c>
      <c r="E108" s="135" t="s">
        <v>64</v>
      </c>
      <c r="F108" s="12"/>
      <c r="G108" s="137">
        <f t="shared" ref="G108:H108" si="48">G107*$C$101</f>
        <v>40205.05098</v>
      </c>
      <c r="H108" s="137">
        <f t="shared" si="48"/>
        <v>40205.05098</v>
      </c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</row>
    <row r="109" ht="15.75" customHeight="1">
      <c r="A109" s="135" t="str">
        <f>"開"&amp;A37&amp;"機率"</f>
        <v>開Lucky JP / X 100 獎機率</v>
      </c>
      <c r="B109" s="12"/>
      <c r="C109" s="136">
        <f t="shared" ref="C109:D109" si="49">C48/SUM(C$47:C$53)</f>
        <v>0.00588</v>
      </c>
      <c r="D109" s="136">
        <f t="shared" si="49"/>
        <v>0.00355</v>
      </c>
      <c r="E109" s="135" t="str">
        <f>"開"&amp;E37&amp;"機率"</f>
        <v>開Lucky JP / X 50 獎機率</v>
      </c>
      <c r="F109" s="12"/>
      <c r="G109" s="136">
        <f t="shared" ref="G109:H109" si="50">G48/SUM(G$47:G$53)</f>
        <v>0.003545745106</v>
      </c>
      <c r="H109" s="136">
        <f t="shared" si="50"/>
        <v>0.003545745106</v>
      </c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</row>
    <row r="110" ht="15.75" customHeight="1">
      <c r="A110" s="129" t="s">
        <v>72</v>
      </c>
      <c r="B110" s="12"/>
      <c r="C110" s="137">
        <f t="shared" ref="C110:D110" si="51">1/C109</f>
        <v>170.0680272</v>
      </c>
      <c r="D110" s="137">
        <f t="shared" si="51"/>
        <v>281.6901408</v>
      </c>
      <c r="E110" s="129" t="s">
        <v>72</v>
      </c>
      <c r="F110" s="12"/>
      <c r="G110" s="137">
        <f t="shared" ref="G110:H110" si="52">1/G109</f>
        <v>282.028169</v>
      </c>
      <c r="H110" s="137">
        <f t="shared" si="52"/>
        <v>282.028169</v>
      </c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</row>
    <row r="111" ht="15.75" customHeight="1">
      <c r="A111" s="135" t="s">
        <v>64</v>
      </c>
      <c r="B111" s="12"/>
      <c r="C111" s="137">
        <f t="shared" ref="C111:D111" si="53">C110*$C$101</f>
        <v>8195.278111</v>
      </c>
      <c r="D111" s="137">
        <f t="shared" si="53"/>
        <v>13574.15079</v>
      </c>
      <c r="E111" s="135" t="s">
        <v>64</v>
      </c>
      <c r="F111" s="12"/>
      <c r="G111" s="137">
        <f t="shared" ref="G111:H111" si="54">G110*$C$101</f>
        <v>13590.43977</v>
      </c>
      <c r="H111" s="137">
        <f t="shared" si="54"/>
        <v>13590.43977</v>
      </c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</row>
    <row r="112" ht="15.75" customHeight="1">
      <c r="A112" s="135" t="str">
        <f>"開"&amp;A38&amp;"機率"</f>
        <v>開 X 50 獎機率</v>
      </c>
      <c r="B112" s="12"/>
      <c r="C112" s="136">
        <f t="shared" ref="C112:D112" si="55">C49/SUM(C$47:C$53)</f>
        <v>0.0235</v>
      </c>
      <c r="D112" s="136">
        <f t="shared" si="55"/>
        <v>0.00355</v>
      </c>
      <c r="E112" s="135" t="str">
        <f>"開"&amp;E38&amp;"機率"</f>
        <v>開 X 25 獎機率</v>
      </c>
      <c r="F112" s="12"/>
      <c r="G112" s="136">
        <f t="shared" ref="G112:H112" si="56">G49/SUM(G$47:G$53)</f>
        <v>0.0304135038</v>
      </c>
      <c r="H112" s="136">
        <f t="shared" si="56"/>
        <v>0.03141230523</v>
      </c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</row>
    <row r="113" ht="15.75" customHeight="1">
      <c r="A113" s="129" t="s">
        <v>72</v>
      </c>
      <c r="B113" s="12"/>
      <c r="C113" s="137">
        <f t="shared" ref="C113:D113" si="57">1/C112</f>
        <v>42.55319149</v>
      </c>
      <c r="D113" s="137">
        <f t="shared" si="57"/>
        <v>281.6901408</v>
      </c>
      <c r="E113" s="129" t="s">
        <v>72</v>
      </c>
      <c r="F113" s="12"/>
      <c r="G113" s="137">
        <f t="shared" ref="G113:H113" si="58">1/G112</f>
        <v>32.88013136</v>
      </c>
      <c r="H113" s="137">
        <f t="shared" si="58"/>
        <v>31.83465819</v>
      </c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</row>
    <row r="114" ht="15.75" customHeight="1">
      <c r="A114" s="135" t="s">
        <v>64</v>
      </c>
      <c r="B114" s="12"/>
      <c r="C114" s="137">
        <f t="shared" ref="C114:D114" si="59">C113*$C$101</f>
        <v>2050.563204</v>
      </c>
      <c r="D114" s="137">
        <f t="shared" si="59"/>
        <v>13574.15079</v>
      </c>
      <c r="E114" s="135" t="s">
        <v>64</v>
      </c>
      <c r="F114" s="12"/>
      <c r="G114" s="137">
        <f t="shared" ref="G114:H114" si="60">G113*$C$101</f>
        <v>1584.435507</v>
      </c>
      <c r="H114" s="137">
        <f t="shared" si="60"/>
        <v>1534.055999</v>
      </c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</row>
    <row r="115" ht="15.75" customHeight="1">
      <c r="A115" s="135" t="str">
        <f>"開"&amp;A39&amp;"機率"</f>
        <v>開 X 25 獎機率</v>
      </c>
      <c r="B115" s="12"/>
      <c r="C115" s="136">
        <f t="shared" ref="C115:D115" si="61">C50/SUM(C$47:C$53)</f>
        <v>0.145</v>
      </c>
      <c r="D115" s="136">
        <f t="shared" si="61"/>
        <v>0.03045</v>
      </c>
      <c r="E115" s="135" t="str">
        <f>"開"&amp;E39&amp;"機率"</f>
        <v>開 X 10 獎機率</v>
      </c>
      <c r="F115" s="12"/>
      <c r="G115" s="136">
        <f t="shared" ref="G115:H115" si="62">G50/SUM(G$47:G$53)</f>
        <v>0.1258489812</v>
      </c>
      <c r="H115" s="136">
        <f t="shared" si="62"/>
        <v>0.1358369956</v>
      </c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</row>
    <row r="116" ht="15.75" customHeight="1">
      <c r="A116" s="129" t="s">
        <v>72</v>
      </c>
      <c r="B116" s="12"/>
      <c r="C116" s="137">
        <f t="shared" ref="C116:D116" si="63">1/C115</f>
        <v>6.896551724</v>
      </c>
      <c r="D116" s="137">
        <f t="shared" si="63"/>
        <v>32.8407225</v>
      </c>
      <c r="E116" s="129" t="s">
        <v>72</v>
      </c>
      <c r="F116" s="12"/>
      <c r="G116" s="137">
        <f t="shared" ref="G116:H116" si="64">1/G115</f>
        <v>7.946031746</v>
      </c>
      <c r="H116" s="137">
        <f t="shared" si="64"/>
        <v>7.361764706</v>
      </c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</row>
    <row r="117" ht="15.75" customHeight="1">
      <c r="A117" s="135" t="s">
        <v>64</v>
      </c>
      <c r="B117" s="12"/>
      <c r="C117" s="137">
        <f t="shared" ref="C117:D117" si="65">C116*$C$101</f>
        <v>332.3326572</v>
      </c>
      <c r="D117" s="137">
        <f t="shared" si="65"/>
        <v>1582.536463</v>
      </c>
      <c r="E117" s="135" t="s">
        <v>64</v>
      </c>
      <c r="F117" s="12"/>
      <c r="G117" s="137">
        <f t="shared" ref="G117:H117" si="66">G116*$C$101</f>
        <v>382.9052474</v>
      </c>
      <c r="H117" s="137">
        <f t="shared" si="66"/>
        <v>354.7504498</v>
      </c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</row>
    <row r="118" ht="15.75" customHeight="1">
      <c r="A118" s="135" t="str">
        <f>"開"&amp;A40&amp;"機率"</f>
        <v>開 X 10 獎機率</v>
      </c>
      <c r="B118" s="12"/>
      <c r="C118" s="136">
        <f t="shared" ref="C118:D118" si="67">C51/SUM(C$47:C$53)</f>
        <v>0.255</v>
      </c>
      <c r="D118" s="136">
        <f t="shared" si="67"/>
        <v>0.126</v>
      </c>
      <c r="E118" s="135" t="str">
        <f>"開"&amp;E40&amp;"機率"</f>
        <v>開 X 5 獎機率</v>
      </c>
      <c r="F118" s="12"/>
      <c r="G118" s="136">
        <f t="shared" ref="G118:H118" si="68">G51/SUM(G$47:G$53)</f>
        <v>0.2630343588</v>
      </c>
      <c r="H118" s="136">
        <f t="shared" si="68"/>
        <v>0.2730223732</v>
      </c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</row>
    <row r="119" ht="15.75" customHeight="1">
      <c r="A119" s="129" t="s">
        <v>72</v>
      </c>
      <c r="B119" s="12"/>
      <c r="C119" s="137">
        <f t="shared" ref="C119:D119" si="69">1/C118</f>
        <v>3.921568627</v>
      </c>
      <c r="D119" s="137">
        <f t="shared" si="69"/>
        <v>7.936507937</v>
      </c>
      <c r="E119" s="129" t="s">
        <v>72</v>
      </c>
      <c r="F119" s="12"/>
      <c r="G119" s="137">
        <f t="shared" ref="G119:H119" si="70">1/G118</f>
        <v>3.801784697</v>
      </c>
      <c r="H119" s="137">
        <f t="shared" si="70"/>
        <v>3.662703494</v>
      </c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</row>
    <row r="120" ht="15.75" customHeight="1">
      <c r="A120" s="135" t="s">
        <v>64</v>
      </c>
      <c r="B120" s="12"/>
      <c r="C120" s="137">
        <f t="shared" ref="C120:D120" si="71">C119*$C$101</f>
        <v>188.9734717</v>
      </c>
      <c r="D120" s="137">
        <f t="shared" si="71"/>
        <v>382.4463119</v>
      </c>
      <c r="E120" s="135" t="s">
        <v>64</v>
      </c>
      <c r="F120" s="12"/>
      <c r="G120" s="137">
        <f t="shared" ref="G120:H120" si="72">G119*$C$101</f>
        <v>183.2012955</v>
      </c>
      <c r="H120" s="137">
        <f t="shared" si="72"/>
        <v>176.4992178</v>
      </c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</row>
    <row r="121" ht="15.75" customHeight="1">
      <c r="A121" s="135" t="str">
        <f>"開"&amp;A41&amp;"機率"</f>
        <v>開 X 5 獎機率</v>
      </c>
      <c r="B121" s="12"/>
      <c r="C121" s="136">
        <f t="shared" ref="C121:D121" si="73">C52/SUM(C$47:C$53)</f>
        <v>0.28005</v>
      </c>
      <c r="D121" s="136">
        <f t="shared" si="73"/>
        <v>0.26335</v>
      </c>
      <c r="E121" s="135" t="str">
        <f>"開"&amp;E41&amp;"機率"</f>
        <v>開 X 3 獎機率</v>
      </c>
      <c r="F121" s="12"/>
      <c r="G121" s="136">
        <f t="shared" ref="G121:H121" si="74">G52/SUM(G$47:G$53)</f>
        <v>0.5747602877</v>
      </c>
      <c r="H121" s="136">
        <f t="shared" si="74"/>
        <v>0.5537854575</v>
      </c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</row>
    <row r="122" ht="15.75" customHeight="1">
      <c r="A122" s="129" t="s">
        <v>72</v>
      </c>
      <c r="B122" s="12"/>
      <c r="C122" s="137">
        <f t="shared" ref="C122:D122" si="75">1/C121</f>
        <v>3.57079093</v>
      </c>
      <c r="D122" s="137">
        <f t="shared" si="75"/>
        <v>3.797228024</v>
      </c>
      <c r="E122" s="129" t="s">
        <v>72</v>
      </c>
      <c r="F122" s="12"/>
      <c r="G122" s="137">
        <f t="shared" ref="G122:H122" si="76">1/G121</f>
        <v>1.739855765</v>
      </c>
      <c r="H122" s="137">
        <f t="shared" si="76"/>
        <v>1.805753449</v>
      </c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</row>
    <row r="123" ht="15.75" customHeight="1">
      <c r="A123" s="135" t="s">
        <v>64</v>
      </c>
      <c r="B123" s="12"/>
      <c r="C123" s="137">
        <f t="shared" ref="C123:D123" si="77">C122*$C$101</f>
        <v>172.0701135</v>
      </c>
      <c r="D123" s="137">
        <f t="shared" si="77"/>
        <v>182.9817175</v>
      </c>
      <c r="E123" s="135" t="s">
        <v>64</v>
      </c>
      <c r="F123" s="12"/>
      <c r="G123" s="137">
        <f t="shared" ref="G123:H123" si="78">G122*$C$101</f>
        <v>83.84057898</v>
      </c>
      <c r="H123" s="137">
        <f t="shared" si="78"/>
        <v>87.0160721</v>
      </c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</row>
    <row r="124" ht="15.75" customHeight="1">
      <c r="A124" s="135" t="str">
        <f>"開"&amp;A42&amp;"機率"</f>
        <v>開 X 3 獎機率</v>
      </c>
      <c r="B124" s="12"/>
      <c r="C124" s="136">
        <f t="shared" ref="C124:D124" si="79">C53/SUM(C$47:C$53)</f>
        <v>0.28817</v>
      </c>
      <c r="D124" s="136">
        <f t="shared" si="79"/>
        <v>0.5719</v>
      </c>
      <c r="E124" s="135" t="str">
        <f>"開"&amp;E42&amp;"機率"</f>
        <v>開 X 1 獎機率</v>
      </c>
      <c r="F124" s="12"/>
      <c r="G124" s="136">
        <f t="shared" ref="G124:H124" si="80">G53/SUM(G$47:G$53)</f>
        <v>0.001198561726</v>
      </c>
      <c r="H124" s="136">
        <f t="shared" si="80"/>
        <v>0.001198561726</v>
      </c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</row>
    <row r="125" ht="15.75" customHeight="1">
      <c r="A125" s="129" t="s">
        <v>72</v>
      </c>
      <c r="B125" s="12"/>
      <c r="C125" s="137">
        <f t="shared" ref="C125:D125" si="81">1/C124</f>
        <v>3.470173856</v>
      </c>
      <c r="D125" s="137">
        <f t="shared" si="81"/>
        <v>1.74855744</v>
      </c>
      <c r="E125" s="129" t="s">
        <v>72</v>
      </c>
      <c r="F125" s="12"/>
      <c r="G125" s="137">
        <f t="shared" ref="G125:H125" si="82">1/G124</f>
        <v>834.3333333</v>
      </c>
      <c r="H125" s="137">
        <f t="shared" si="82"/>
        <v>834.3333333</v>
      </c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</row>
    <row r="126" ht="15.75" customHeight="1">
      <c r="A126" s="135" t="s">
        <v>64</v>
      </c>
      <c r="B126" s="12"/>
      <c r="C126" s="137">
        <f t="shared" ref="C126:D126" si="83">C125*$C$101</f>
        <v>167.2215543</v>
      </c>
      <c r="D126" s="137">
        <f t="shared" si="83"/>
        <v>84.25989735</v>
      </c>
      <c r="E126" s="135" t="s">
        <v>64</v>
      </c>
      <c r="F126" s="12"/>
      <c r="G126" s="137">
        <f t="shared" ref="G126:H126" si="84">G125*$C$101</f>
        <v>40205.05098</v>
      </c>
      <c r="H126" s="137">
        <f t="shared" si="84"/>
        <v>40205.05098</v>
      </c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</row>
    <row r="127" ht="15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</row>
    <row r="128" ht="15.75" customHeight="1">
      <c r="A128" s="132" t="s">
        <v>73</v>
      </c>
      <c r="B128" s="132"/>
      <c r="C128" s="132"/>
      <c r="D128" s="132"/>
      <c r="E128" s="132"/>
      <c r="F128" s="132"/>
      <c r="G128" s="132"/>
      <c r="H128" s="132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</row>
    <row r="129" ht="15.75" customHeight="1">
      <c r="A129" s="77" t="s">
        <v>40</v>
      </c>
      <c r="B129" s="6"/>
      <c r="C129" s="77" t="s">
        <v>30</v>
      </c>
      <c r="D129" s="6"/>
      <c r="E129" s="77" t="s">
        <v>40</v>
      </c>
      <c r="F129" s="6"/>
      <c r="G129" s="77" t="s">
        <v>31</v>
      </c>
      <c r="H129" s="6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</row>
    <row r="130" ht="15.75" customHeight="1">
      <c r="A130" s="133" t="s">
        <v>48</v>
      </c>
      <c r="B130" s="6"/>
      <c r="C130" s="134" t="s">
        <v>57</v>
      </c>
      <c r="D130" s="128" t="s">
        <v>58</v>
      </c>
      <c r="E130" s="133" t="s">
        <v>48</v>
      </c>
      <c r="F130" s="6"/>
      <c r="G130" s="134" t="s">
        <v>57</v>
      </c>
      <c r="H130" s="128" t="s">
        <v>58</v>
      </c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</row>
    <row r="131" ht="30.0" customHeight="1">
      <c r="A131" s="138" t="s">
        <v>74</v>
      </c>
      <c r="B131" s="6"/>
      <c r="C131" s="139">
        <f t="shared" ref="C131:D131" si="85">$C$101*C30</f>
        <v>0.3373176471</v>
      </c>
      <c r="D131" s="139">
        <f t="shared" si="85"/>
        <v>0</v>
      </c>
      <c r="E131" s="138" t="s">
        <v>74</v>
      </c>
      <c r="F131" s="6"/>
      <c r="G131" s="139">
        <f t="shared" ref="G131:H131" si="86">$C$101*G30</f>
        <v>0</v>
      </c>
      <c r="H131" s="139">
        <f t="shared" si="86"/>
        <v>0</v>
      </c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</row>
    <row r="132" ht="30.0" customHeight="1">
      <c r="A132" s="135" t="s">
        <v>75</v>
      </c>
      <c r="B132" s="12"/>
      <c r="C132" s="141">
        <f t="shared" ref="C132:D132" si="87">IF((C109+C106)=0,0,
1/(C109+C106)*C131)</f>
        <v>40.73884626</v>
      </c>
      <c r="D132" s="141">
        <f t="shared" si="87"/>
        <v>0</v>
      </c>
      <c r="E132" s="135" t="s">
        <v>75</v>
      </c>
      <c r="F132" s="12"/>
      <c r="G132" s="141">
        <f t="shared" ref="G132:H132" si="88">IF((G109+G106)=0,0,
1/(G109+G106)*G131)</f>
        <v>0</v>
      </c>
      <c r="H132" s="141">
        <f t="shared" si="88"/>
        <v>0</v>
      </c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</row>
    <row r="133" ht="30.0" customHeight="1">
      <c r="A133" s="135" t="s">
        <v>76</v>
      </c>
      <c r="B133" s="12"/>
      <c r="C133" s="142">
        <f t="shared" ref="C133:D133" si="89">if(SUM($C$47:$C$48)=0,0,
(C36/SUM($C$47:$C$48)*C47)
+(C37/SUM($C$47:$C$48)*C48)
)</f>
        <v>0.215942029</v>
      </c>
      <c r="D133" s="142">
        <f t="shared" si="89"/>
        <v>71.85990338</v>
      </c>
      <c r="E133" s="135" t="s">
        <v>76</v>
      </c>
      <c r="F133" s="12"/>
      <c r="G133" s="142">
        <f t="shared" ref="G133:H133" si="90">if(SUM($C$47:$C$48)=0,0,
(G36/SUM($C$47:$C$48)*G47)
+(G37/SUM($C$47:$C$48)*G48)
)</f>
        <v>0.1153381643</v>
      </c>
      <c r="H133" s="142">
        <f t="shared" si="90"/>
        <v>35.92995169</v>
      </c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</row>
    <row r="134" ht="30.0" customHeight="1">
      <c r="A134" s="135" t="s">
        <v>77</v>
      </c>
      <c r="B134" s="12"/>
      <c r="C134" s="143">
        <f t="shared" ref="C134:D134" si="91">C133*C132</f>
        <v>8.797229121</v>
      </c>
      <c r="D134" s="143">
        <f t="shared" si="91"/>
        <v>0</v>
      </c>
      <c r="E134" s="135" t="s">
        <v>77</v>
      </c>
      <c r="F134" s="12"/>
      <c r="G134" s="143">
        <f t="shared" ref="G134:H134" si="92">G133*G132</f>
        <v>0</v>
      </c>
      <c r="H134" s="143">
        <f t="shared" si="92"/>
        <v>0</v>
      </c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</row>
    <row r="135" ht="30.0" customHeight="1">
      <c r="A135" s="135" t="s">
        <v>78</v>
      </c>
      <c r="B135" s="12"/>
      <c r="C135" s="144">
        <f>IF(SUM(C$47:C$48)=0,0,
((C47/SUM(C$47:C$48)*D36)
+(C48/SUM(C$47:C$48)*D37))
*($B$10*$B$11+$C$10*$C$11+$D$10*$D$11))</f>
        <v>145.7536232</v>
      </c>
      <c r="D135" s="144">
        <f>IF(SUM(D$47:D$48)=0,0,
((D47/SUM(D$47:D$48)*D36)
+(D48/SUM(D$47:D$48)*D37))
*($B$10*$B$11+$C$10*$C$11+$D$10*$D$11))</f>
        <v>141.5473684</v>
      </c>
      <c r="E135" s="135" t="s">
        <v>78</v>
      </c>
      <c r="F135" s="12"/>
      <c r="G135" s="144">
        <f>IF(SUM(G$47:G$48)=0,0,
((G47/SUM(G$47:G$48)*H36)
+(G48/SUM(G$47:G$48)*H37))
*($B$10*$B$11+$C$10*$C$11+$D$10*$D$11))</f>
        <v>70.77368421</v>
      </c>
      <c r="H135" s="144">
        <f>IF(SUM(H$47:H$48)=0,0,
((H47/SUM(H$47:H$48)*H36)
+(H48/SUM(H$47:H$48)*H37))
*($B$10*$B$11+$C$10*$C$11+$D$10*$D$11))</f>
        <v>70.77368421</v>
      </c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</row>
    <row r="136" ht="15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</row>
    <row r="137" ht="15.75" customHeight="1">
      <c r="A137" s="132" t="s">
        <v>79</v>
      </c>
      <c r="B137" s="132"/>
      <c r="C137" s="132"/>
      <c r="D137" s="132"/>
      <c r="E137" s="132"/>
      <c r="F137" s="132"/>
      <c r="G137" s="132"/>
      <c r="H137" s="132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</row>
    <row r="138" ht="15.75" customHeight="1">
      <c r="A138" s="77" t="s">
        <v>40</v>
      </c>
      <c r="B138" s="6"/>
      <c r="C138" s="77" t="s">
        <v>30</v>
      </c>
      <c r="D138" s="6"/>
      <c r="E138" s="77" t="s">
        <v>40</v>
      </c>
      <c r="F138" s="6"/>
      <c r="G138" s="77" t="s">
        <v>31</v>
      </c>
      <c r="H138" s="6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</row>
    <row r="139" ht="15.75" customHeight="1">
      <c r="A139" s="133" t="s">
        <v>48</v>
      </c>
      <c r="B139" s="6"/>
      <c r="C139" s="145" t="s">
        <v>57</v>
      </c>
      <c r="D139" s="145" t="s">
        <v>58</v>
      </c>
      <c r="E139" s="133" t="s">
        <v>48</v>
      </c>
      <c r="F139" s="6"/>
      <c r="G139" s="145" t="s">
        <v>57</v>
      </c>
      <c r="H139" s="145" t="s">
        <v>58</v>
      </c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</row>
    <row r="140" ht="15.75" customHeight="1">
      <c r="A140" s="146" t="s">
        <v>80</v>
      </c>
      <c r="B140" s="6"/>
      <c r="C140" s="147">
        <f t="shared" ref="C140:D140" si="93">C106+C109+C112</f>
        <v>0.03178</v>
      </c>
      <c r="D140" s="147">
        <f t="shared" si="93"/>
        <v>0.0083</v>
      </c>
      <c r="E140" s="146" t="s">
        <v>80</v>
      </c>
      <c r="F140" s="6"/>
      <c r="G140" s="147">
        <f t="shared" ref="G140:H140" si="94">G106+G109+G112</f>
        <v>0.03515781063</v>
      </c>
      <c r="H140" s="147">
        <f t="shared" si="94"/>
        <v>0.03615661207</v>
      </c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</row>
    <row r="141" ht="15.75" customHeight="1">
      <c r="A141" s="146" t="s">
        <v>81</v>
      </c>
      <c r="B141" s="6"/>
      <c r="C141" s="144">
        <f t="shared" ref="C141:D141" si="95">C134+C135</f>
        <v>154.5508523</v>
      </c>
      <c r="D141" s="144">
        <f t="shared" si="95"/>
        <v>141.5473684</v>
      </c>
      <c r="E141" s="146" t="s">
        <v>81</v>
      </c>
      <c r="F141" s="6"/>
      <c r="G141" s="144">
        <f t="shared" ref="G141:H141" si="96">G134+G135</f>
        <v>70.77368421</v>
      </c>
      <c r="H141" s="144">
        <f t="shared" si="96"/>
        <v>70.77368421</v>
      </c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</row>
    <row r="142" ht="15.75" customHeight="1">
      <c r="A142" s="146" t="s">
        <v>82</v>
      </c>
      <c r="B142" s="6"/>
      <c r="C142" s="147">
        <f t="shared" ref="C142:D142" si="97">C112+C115+C118+C121+C124</f>
        <v>0.99172</v>
      </c>
      <c r="D142" s="147">
        <f t="shared" si="97"/>
        <v>0.99525</v>
      </c>
      <c r="E142" s="146" t="s">
        <v>82</v>
      </c>
      <c r="F142" s="6"/>
      <c r="G142" s="147">
        <f t="shared" ref="G142:H142" si="98">G112+G115+G118+G121</f>
        <v>0.9940571314</v>
      </c>
      <c r="H142" s="147">
        <f t="shared" si="98"/>
        <v>0.9940571314</v>
      </c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</row>
    <row r="143" ht="15.75" customHeight="1">
      <c r="A143" s="146" t="s">
        <v>83</v>
      </c>
      <c r="B143" s="6"/>
      <c r="C143" s="148">
        <f t="shared" ref="C143:D143" si="99">if(SUM(C112,C115,C118,C121)=0,0,
($D$38*(C112/SUM(C112,C115,C118,C121,C124))
+$D$39*(C115/SUM(C112,C115,C118,C121,C124))
+$D$40*(C118/SUM(C112,C115,C118,C121,C124))
+$D$41*(C121/SUM(C112,C115,C118,C121,C124))
+$D$42*(C121/SUM(C112,C115,C118,C121,C124)))
*($B$10*$B$11+$C$10*$C$11+$D$10*$D$11))</f>
        <v>10.9276328</v>
      </c>
      <c r="D143" s="148">
        <f t="shared" si="99"/>
        <v>4.888491836</v>
      </c>
      <c r="E143" s="146" t="s">
        <v>83</v>
      </c>
      <c r="F143" s="6"/>
      <c r="G143" s="148">
        <f>IFERROR(__xludf.DUMMYFUNCTION("if(SUM(G112,G115,G118,G121)=0,0,
+$D$38*(G112/SUM(G112,G115,G118,G121))
+$D$39*(G115/SUM(G112,G115,G118,G121))
+$D$40*(G118/SUM(G112,G115,G118,G121))
+$D$41*(G121/SUM(G112,G115,G118,G121)))"),10.231851293644812)</f>
        <v>10.23185129</v>
      </c>
      <c r="H143" s="148">
        <f>IFERROR(__xludf.DUMMYFUNCTION("if(SUM(H112,H115,H118,H121)=0,0,
+$D$38*(H112/SUM(H112,H115,H118,H121))
+$D$39*(H115/SUM(H112,H115,H118,H121))
+$D$40*(H118/SUM(H112,H115,H118,H121))
+$D$41*(H121/SUM(H112,H115,H118,H121)))"),10.528259231348907)</f>
        <v>10.52825923</v>
      </c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</row>
    <row r="144" ht="15.75" customHeight="1">
      <c r="A144" s="146" t="s">
        <v>84</v>
      </c>
      <c r="B144" s="6"/>
      <c r="C144" s="149">
        <f t="shared" ref="C144:D144" si="100">(C140*C141+C142*C143)/$C$101</f>
        <v>0.3268179046</v>
      </c>
      <c r="D144" s="149">
        <f t="shared" si="100"/>
        <v>0.1253441763</v>
      </c>
      <c r="E144" s="146" t="s">
        <v>84</v>
      </c>
      <c r="F144" s="6"/>
      <c r="G144" s="149">
        <f t="shared" ref="G144:H144" si="101">(G140*G141+G142*G143)/$C$101</f>
        <v>0.2627050452</v>
      </c>
      <c r="H144" s="149">
        <f t="shared" si="101"/>
        <v>0.2702864659</v>
      </c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</row>
    <row r="145" ht="15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</row>
    <row r="146" ht="15.75" customHeight="1">
      <c r="A146" s="150" t="s">
        <v>85</v>
      </c>
      <c r="B146" s="151"/>
      <c r="C146" s="151"/>
      <c r="D146" s="151"/>
      <c r="E146" s="151"/>
      <c r="F146" s="151"/>
      <c r="G146" s="151"/>
      <c r="H146" s="151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1"/>
      <c r="AD146" s="81"/>
      <c r="AE146" s="81"/>
      <c r="AF146" s="81"/>
    </row>
    <row r="147" ht="15.75" customHeight="1">
      <c r="A147" s="36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ht="15.75" customHeight="1">
      <c r="A148" s="36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ht="15.75" customHeight="1">
      <c r="A149" s="36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ht="15.75" customHeight="1">
      <c r="A150" s="36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ht="15.75" customHeight="1">
      <c r="A151" s="36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ht="15.75" customHeight="1">
      <c r="A152" s="36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ht="15.75" customHeight="1">
      <c r="A153" s="36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ht="15.75" customHeight="1">
      <c r="A154" s="36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ht="15.75" customHeight="1">
      <c r="A155" s="36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ht="15.75" customHeight="1">
      <c r="A156" s="36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ht="15.75" customHeight="1">
      <c r="A157" s="36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ht="15.75" customHeight="1">
      <c r="A158" s="36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ht="15.75" customHeight="1">
      <c r="A159" s="36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ht="15.75" customHeight="1">
      <c r="A160" s="36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ht="15.75" customHeight="1">
      <c r="A161" s="36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ht="15.75" customHeight="1">
      <c r="A162" s="36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ht="15.75" customHeight="1">
      <c r="A163" s="36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ht="15.75" customHeight="1">
      <c r="A164" s="36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ht="15.75" customHeight="1">
      <c r="A165" s="36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ht="15.75" customHeight="1">
      <c r="A166" s="36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ht="15.75" customHeight="1">
      <c r="A167" s="36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ht="15.75" customHeight="1">
      <c r="A168" s="36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ht="15.75" customHeight="1">
      <c r="A169" s="36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ht="15.75" customHeight="1">
      <c r="A170" s="36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ht="15.75" customHeight="1">
      <c r="A171" s="36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ht="15.75" customHeight="1">
      <c r="A172" s="36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ht="15.75" customHeight="1">
      <c r="A173" s="36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ht="15.75" customHeight="1">
      <c r="A174" s="36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ht="15.75" customHeight="1">
      <c r="A175" s="36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ht="15.75" customHeight="1">
      <c r="A176" s="36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ht="15.75" customHeight="1">
      <c r="A177" s="36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ht="15.75" customHeight="1">
      <c r="A178" s="36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ht="15.75" customHeight="1">
      <c r="A179" s="36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ht="15.75" customHeight="1">
      <c r="A180" s="36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ht="15.75" customHeight="1">
      <c r="A181" s="36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ht="15.75" customHeight="1">
      <c r="A182" s="36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ht="15.75" customHeight="1">
      <c r="A183" s="36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ht="15.75" customHeight="1">
      <c r="A184" s="36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ht="15.75" customHeight="1">
      <c r="A185" s="36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ht="15.75" customHeight="1">
      <c r="A186" s="36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ht="15.75" customHeight="1">
      <c r="A187" s="36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ht="15.75" customHeight="1">
      <c r="A188" s="36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ht="15.75" customHeight="1">
      <c r="A189" s="36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ht="15.75" customHeight="1">
      <c r="A190" s="36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ht="15.75" customHeight="1">
      <c r="A191" s="36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ht="15.75" customHeight="1">
      <c r="A192" s="36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ht="15.75" customHeight="1">
      <c r="A193" s="36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ht="15.75" customHeight="1">
      <c r="A194" s="36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ht="15.75" customHeight="1">
      <c r="A195" s="36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ht="15.75" customHeight="1">
      <c r="A196" s="36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ht="15.75" customHeight="1">
      <c r="A197" s="36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ht="15.75" customHeight="1">
      <c r="A198" s="36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ht="15.75" customHeight="1">
      <c r="A199" s="36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ht="15.75" customHeight="1">
      <c r="A200" s="36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ht="15.75" customHeight="1">
      <c r="A201" s="36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ht="15.75" customHeight="1">
      <c r="A202" s="36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ht="15.75" customHeight="1">
      <c r="A203" s="36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ht="15.75" customHeight="1">
      <c r="A204" s="36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ht="15.75" customHeight="1">
      <c r="A205" s="36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ht="15.75" customHeight="1">
      <c r="A206" s="36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ht="15.75" customHeight="1">
      <c r="A207" s="36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ht="15.75" customHeight="1">
      <c r="A208" s="36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ht="15.75" customHeight="1">
      <c r="A209" s="36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ht="15.75" customHeight="1">
      <c r="A210" s="36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ht="15.75" customHeight="1">
      <c r="A211" s="36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ht="15.75" customHeight="1">
      <c r="A212" s="36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ht="15.75" customHeight="1">
      <c r="A213" s="36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ht="15.75" customHeight="1">
      <c r="A214" s="36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ht="15.75" customHeight="1">
      <c r="A215" s="36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ht="15.75" customHeight="1">
      <c r="A216" s="36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ht="15.75" customHeight="1">
      <c r="A217" s="36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ht="15.75" customHeight="1">
      <c r="A218" s="36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ht="15.75" customHeight="1">
      <c r="A219" s="36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ht="15.75" customHeight="1">
      <c r="A220" s="36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ht="15.75" customHeight="1">
      <c r="A221" s="36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ht="15.75" customHeight="1">
      <c r="A222" s="36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ht="15.75" customHeight="1">
      <c r="A223" s="36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ht="15.75" customHeight="1">
      <c r="A224" s="36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ht="15.75" customHeight="1">
      <c r="A225" s="36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ht="15.75" customHeight="1">
      <c r="A226" s="36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ht="15.75" customHeight="1">
      <c r="A227" s="36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52">
    <mergeCell ref="A3:S3"/>
    <mergeCell ref="A5:A6"/>
    <mergeCell ref="A16:A18"/>
    <mergeCell ref="A19:A21"/>
    <mergeCell ref="A22:A24"/>
    <mergeCell ref="A29:B29"/>
    <mergeCell ref="A30:B30"/>
    <mergeCell ref="E37:F37"/>
    <mergeCell ref="E38:F38"/>
    <mergeCell ref="E39:F39"/>
    <mergeCell ref="E40:F40"/>
    <mergeCell ref="E41:F41"/>
    <mergeCell ref="E42:F42"/>
    <mergeCell ref="A34:B34"/>
    <mergeCell ref="C34:D34"/>
    <mergeCell ref="E34:F34"/>
    <mergeCell ref="G34:H34"/>
    <mergeCell ref="A35:B35"/>
    <mergeCell ref="E35:F35"/>
    <mergeCell ref="E36:F36"/>
    <mergeCell ref="A44:D44"/>
    <mergeCell ref="A45:B45"/>
    <mergeCell ref="C45:D45"/>
    <mergeCell ref="E45:F45"/>
    <mergeCell ref="G45:H45"/>
    <mergeCell ref="E46:F46"/>
    <mergeCell ref="A36:B36"/>
    <mergeCell ref="A37:B37"/>
    <mergeCell ref="A38:B38"/>
    <mergeCell ref="A39:B39"/>
    <mergeCell ref="A40:B40"/>
    <mergeCell ref="A41:B41"/>
    <mergeCell ref="A42:B42"/>
    <mergeCell ref="E49:F49"/>
    <mergeCell ref="E50:F50"/>
    <mergeCell ref="A46:B46"/>
    <mergeCell ref="A47:B47"/>
    <mergeCell ref="E47:F47"/>
    <mergeCell ref="A48:B48"/>
    <mergeCell ref="E48:F48"/>
    <mergeCell ref="A49:B49"/>
    <mergeCell ref="A50:B50"/>
    <mergeCell ref="A51:B51"/>
    <mergeCell ref="E51:F51"/>
    <mergeCell ref="A52:B52"/>
    <mergeCell ref="E52:F52"/>
    <mergeCell ref="A53:B53"/>
    <mergeCell ref="E53:F53"/>
    <mergeCell ref="A63:F63"/>
    <mergeCell ref="A64:B64"/>
    <mergeCell ref="C64:F64"/>
    <mergeCell ref="C65:D65"/>
    <mergeCell ref="E65:F65"/>
    <mergeCell ref="G65:H65"/>
    <mergeCell ref="A66:B66"/>
    <mergeCell ref="A67:B67"/>
    <mergeCell ref="A75:B75"/>
    <mergeCell ref="A81:S81"/>
    <mergeCell ref="A93:S93"/>
    <mergeCell ref="A68:B68"/>
    <mergeCell ref="A69:B69"/>
    <mergeCell ref="A70:B70"/>
    <mergeCell ref="A71:B71"/>
    <mergeCell ref="A72:B72"/>
    <mergeCell ref="A73:B73"/>
    <mergeCell ref="A74:B74"/>
    <mergeCell ref="A104:B104"/>
    <mergeCell ref="A105:B105"/>
    <mergeCell ref="J105:K105"/>
    <mergeCell ref="A98:C98"/>
    <mergeCell ref="A99:B99"/>
    <mergeCell ref="A100:B100"/>
    <mergeCell ref="A101:B101"/>
    <mergeCell ref="C104:D104"/>
    <mergeCell ref="E104:F104"/>
    <mergeCell ref="G104:H104"/>
    <mergeCell ref="E105:F105"/>
    <mergeCell ref="A106:B106"/>
    <mergeCell ref="E106:F106"/>
    <mergeCell ref="J106:K106"/>
    <mergeCell ref="A107:B107"/>
    <mergeCell ref="E107:F107"/>
    <mergeCell ref="E108:F108"/>
    <mergeCell ref="E132:F132"/>
    <mergeCell ref="E133:F133"/>
    <mergeCell ref="G138:H138"/>
    <mergeCell ref="E124:F124"/>
    <mergeCell ref="E125:F125"/>
    <mergeCell ref="E126:F126"/>
    <mergeCell ref="E129:F129"/>
    <mergeCell ref="G129:H129"/>
    <mergeCell ref="E130:F130"/>
    <mergeCell ref="E131:F131"/>
    <mergeCell ref="E140:F140"/>
    <mergeCell ref="E141:F141"/>
    <mergeCell ref="A142:B142"/>
    <mergeCell ref="E142:F142"/>
    <mergeCell ref="A143:B143"/>
    <mergeCell ref="E143:F143"/>
    <mergeCell ref="A144:B144"/>
    <mergeCell ref="E144:F144"/>
    <mergeCell ref="A138:B138"/>
    <mergeCell ref="C138:D138"/>
    <mergeCell ref="E138:F138"/>
    <mergeCell ref="A139:B139"/>
    <mergeCell ref="E139:F139"/>
    <mergeCell ref="A140:B140"/>
    <mergeCell ref="A141:B141"/>
    <mergeCell ref="E111:F111"/>
    <mergeCell ref="E112:F112"/>
    <mergeCell ref="A108:B108"/>
    <mergeCell ref="A109:B109"/>
    <mergeCell ref="E109:F109"/>
    <mergeCell ref="A110:B110"/>
    <mergeCell ref="E110:F110"/>
    <mergeCell ref="A111:B111"/>
    <mergeCell ref="A112:B112"/>
    <mergeCell ref="A113:B113"/>
    <mergeCell ref="E113:F113"/>
    <mergeCell ref="A114:B114"/>
    <mergeCell ref="E114:F114"/>
    <mergeCell ref="A115:B115"/>
    <mergeCell ref="E115:F115"/>
    <mergeCell ref="E116:F116"/>
    <mergeCell ref="A116:B116"/>
    <mergeCell ref="A117:B117"/>
    <mergeCell ref="A118:B118"/>
    <mergeCell ref="A119:B119"/>
    <mergeCell ref="A120:B120"/>
    <mergeCell ref="A121:B121"/>
    <mergeCell ref="A122:B122"/>
    <mergeCell ref="E117:F117"/>
    <mergeCell ref="E118:F118"/>
    <mergeCell ref="E119:F119"/>
    <mergeCell ref="E120:F120"/>
    <mergeCell ref="E121:F121"/>
    <mergeCell ref="E122:F122"/>
    <mergeCell ref="E123:F123"/>
    <mergeCell ref="A123:B123"/>
    <mergeCell ref="A124:B124"/>
    <mergeCell ref="A125:B125"/>
    <mergeCell ref="A126:B126"/>
    <mergeCell ref="A129:B129"/>
    <mergeCell ref="C129:D129"/>
    <mergeCell ref="A130:B130"/>
    <mergeCell ref="A131:B131"/>
    <mergeCell ref="A132:B132"/>
    <mergeCell ref="A133:B133"/>
    <mergeCell ref="A134:B134"/>
    <mergeCell ref="E134:F134"/>
    <mergeCell ref="A135:B135"/>
    <mergeCell ref="E135:F135"/>
  </mergeCells>
  <conditionalFormatting sqref="E16:F16 P16:Q16 E19:F19 P19:Q19 E22:F22 P22:Q22 E83:F83 P83:Q83 E86:F86 P86:Q86 E89:F89 P89:Q89">
    <cfRule type="notContainsBlanks" dxfId="0" priority="1">
      <formula>LEN(TRIM(E16))&gt;0</formula>
    </cfRule>
  </conditionalFormatting>
  <drawing r:id="rId1"/>
</worksheet>
</file>