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v\GitHub\Aid-Hittestress-2021\hardware\"/>
    </mc:Choice>
  </mc:AlternateContent>
  <xr:revisionPtr revIDLastSave="0" documentId="13_ncr:1_{D1729B0C-C57C-4948-B2E7-488867725566}" xr6:coauthVersionLast="46" xr6:coauthVersionMax="46" xr10:uidLastSave="{00000000-0000-0000-0000-000000000000}"/>
  <bookViews>
    <workbookView xWindow="-108" yWindow="-108" windowWidth="23256" windowHeight="12576" xr2:uid="{2A3D9521-BBF8-47AD-AA90-255C969604E3}"/>
  </bookViews>
  <sheets>
    <sheet name="RS (16+4)" sheetId="5" r:id="rId1"/>
    <sheet name="BOM" sheetId="7" r:id="rId2"/>
    <sheet name="Blad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5" l="1"/>
  <c r="J34" i="5" s="1"/>
  <c r="K34" i="5"/>
  <c r="H34" i="5"/>
  <c r="I28" i="5"/>
  <c r="J28" i="5" s="1"/>
  <c r="K28" i="5"/>
  <c r="H28" i="5"/>
  <c r="K36" i="5"/>
  <c r="H36" i="5"/>
  <c r="I36" i="5" s="1"/>
  <c r="J36" i="5" s="1"/>
  <c r="I13" i="5"/>
  <c r="J13" i="5" s="1"/>
  <c r="K13" i="5"/>
  <c r="H13" i="5"/>
  <c r="H18" i="5"/>
  <c r="I18" i="5" s="1"/>
  <c r="J18" i="5" s="1"/>
  <c r="K17" i="5"/>
  <c r="H17" i="5"/>
  <c r="I17" i="5" s="1"/>
  <c r="J17" i="5" s="1"/>
  <c r="F15" i="5"/>
  <c r="H33" i="5"/>
  <c r="K33" i="5" s="1"/>
  <c r="H32" i="5"/>
  <c r="K32" i="5" s="1"/>
  <c r="H31" i="5"/>
  <c r="K31" i="5" s="1"/>
  <c r="H30" i="5"/>
  <c r="K30" i="5" s="1"/>
  <c r="H29" i="5"/>
  <c r="K29" i="5" s="1"/>
  <c r="H27" i="5"/>
  <c r="K27" i="5" s="1"/>
  <c r="H26" i="5"/>
  <c r="K26" i="5" s="1"/>
  <c r="H25" i="5"/>
  <c r="K25" i="5" s="1"/>
  <c r="K18" i="5" l="1"/>
  <c r="I25" i="5"/>
  <c r="J25" i="5" s="1"/>
  <c r="I26" i="5"/>
  <c r="J26" i="5" s="1"/>
  <c r="I27" i="5"/>
  <c r="J27" i="5" s="1"/>
  <c r="I29" i="5"/>
  <c r="J29" i="5" s="1"/>
  <c r="I30" i="5"/>
  <c r="J30" i="5" s="1"/>
  <c r="I31" i="5"/>
  <c r="J31" i="5" s="1"/>
  <c r="I32" i="5"/>
  <c r="J32" i="5" s="1"/>
  <c r="I33" i="5"/>
  <c r="J33" i="5" s="1"/>
  <c r="K19" i="5" l="1"/>
  <c r="M43" i="5"/>
  <c r="I19" i="5" l="1"/>
  <c r="F19" i="5"/>
  <c r="P48" i="5"/>
  <c r="G4" i="5"/>
  <c r="H15" i="5" s="1"/>
  <c r="I15" i="5" l="1"/>
  <c r="J15" i="5" s="1"/>
  <c r="K15" i="5"/>
  <c r="H21" i="5"/>
  <c r="K21" i="5" s="1"/>
  <c r="H11" i="5"/>
  <c r="H16" i="5"/>
  <c r="H23" i="5"/>
  <c r="H8" i="5"/>
  <c r="H20" i="5"/>
  <c r="H24" i="5"/>
  <c r="H10" i="5"/>
  <c r="H22" i="5"/>
  <c r="H12" i="5"/>
  <c r="H9" i="5"/>
  <c r="H14" i="5"/>
  <c r="J21" i="5" l="1"/>
  <c r="I21" i="5" s="1"/>
  <c r="I12" i="5"/>
  <c r="J12" i="5" s="1"/>
  <c r="K12" i="5"/>
  <c r="I11" i="5"/>
  <c r="J11" i="5" s="1"/>
  <c r="K11" i="5"/>
  <c r="I8" i="5"/>
  <c r="J8" i="5" s="1"/>
  <c r="K8" i="5"/>
  <c r="I14" i="5"/>
  <c r="J14" i="5" s="1"/>
  <c r="K14" i="5"/>
  <c r="I23" i="5"/>
  <c r="J23" i="5" s="1"/>
  <c r="K23" i="5"/>
  <c r="I20" i="5"/>
  <c r="J20" i="5" s="1"/>
  <c r="K20" i="5"/>
  <c r="I22" i="5"/>
  <c r="J22" i="5" s="1"/>
  <c r="K22" i="5"/>
  <c r="I10" i="5"/>
  <c r="J10" i="5" s="1"/>
  <c r="K10" i="5"/>
  <c r="I9" i="5"/>
  <c r="J9" i="5" s="1"/>
  <c r="K9" i="5"/>
  <c r="I24" i="5"/>
  <c r="J24" i="5" s="1"/>
  <c r="K24" i="5"/>
  <c r="I16" i="5"/>
  <c r="J16" i="5" s="1"/>
  <c r="K16" i="5"/>
  <c r="I43" i="5" l="1"/>
  <c r="I46" i="5" s="1"/>
  <c r="I48" i="5" s="1"/>
  <c r="J48" i="5" s="1"/>
  <c r="M48" i="5" s="1"/>
  <c r="J43" i="5"/>
  <c r="J49" i="5" l="1"/>
  <c r="I49" i="5" s="1"/>
  <c r="J50" i="5"/>
</calcChain>
</file>

<file path=xl/sharedStrings.xml><?xml version="1.0" encoding="utf-8"?>
<sst xmlns="http://schemas.openxmlformats.org/spreadsheetml/2006/main" count="185" uniqueCount="135">
  <si>
    <t>Ref</t>
  </si>
  <si>
    <t>Value</t>
  </si>
  <si>
    <t>Footprint</t>
  </si>
  <si>
    <t>Datasheet</t>
  </si>
  <si>
    <t>C1</t>
  </si>
  <si>
    <t>10n</t>
  </si>
  <si>
    <t>D1</t>
  </si>
  <si>
    <t>BAT54S</t>
  </si>
  <si>
    <t>J1</t>
  </si>
  <si>
    <t>RJ11-6</t>
  </si>
  <si>
    <t>Q1</t>
  </si>
  <si>
    <t>10K</t>
  </si>
  <si>
    <t>1K</t>
  </si>
  <si>
    <t>U1</t>
  </si>
  <si>
    <t>TTGO_LoRa32_V11</t>
  </si>
  <si>
    <t>price/st/net</t>
  </si>
  <si>
    <t>staffel</t>
  </si>
  <si>
    <t>SMD:1206_3216</t>
  </si>
  <si>
    <t>Devices</t>
  </si>
  <si>
    <t>R5, R6, R7</t>
  </si>
  <si>
    <t>SMD:R_1206_3216</t>
  </si>
  <si>
    <t>RJ12_Amphenol_54601</t>
  </si>
  <si>
    <t>SMD:SOT-23</t>
  </si>
  <si>
    <t>count</t>
  </si>
  <si>
    <t>n</t>
  </si>
  <si>
    <t>Housing</t>
  </si>
  <si>
    <t>PCB</t>
  </si>
  <si>
    <t>FemalePCBHeader</t>
  </si>
  <si>
    <t>https://nl.rs-online.com/web/p/rectifier-diodes-schottky-diodes/5444584/</t>
  </si>
  <si>
    <t>Shop</t>
  </si>
  <si>
    <t>RS-Components</t>
  </si>
  <si>
    <t>https://nl.rs-online.com/web/p/mlccs-multilayer-ceramic-capacitors/2989220/</t>
  </si>
  <si>
    <t>https://nl.rs-online.com/web/p/ethernet-connectors/1370999/</t>
  </si>
  <si>
    <t>https://nl.rs-online.com/web/p/bjt-bipolar-transistors/6900091/</t>
  </si>
  <si>
    <t>BC547 (BC847)</t>
  </si>
  <si>
    <t>SMD:SOT-323_SC-70 (SOT23)</t>
  </si>
  <si>
    <t>https://nl.rs-online.com/web/p/general-purpose-enclosures/8180514/</t>
  </si>
  <si>
    <t>https://nl.rs-online.com/web/p/surface-mount-fixed-resistors/7219762/</t>
  </si>
  <si>
    <t>Hammond 1591 ABS Enclosure, Flanged</t>
  </si>
  <si>
    <t>https://nl.rs-online.com/web/p/surface-mount-fixed-resistors/7219908/</t>
  </si>
  <si>
    <t>Aisler</t>
  </si>
  <si>
    <t>Price(Ex)</t>
  </si>
  <si>
    <t>Price</t>
  </si>
  <si>
    <t>Onvoorzien</t>
  </si>
  <si>
    <t>Subtotaal</t>
  </si>
  <si>
    <t>Ex</t>
  </si>
  <si>
    <t>VAT</t>
  </si>
  <si>
    <t>Development</t>
  </si>
  <si>
    <t>Manufactured</t>
  </si>
  <si>
    <t>For development and prototyping (1)</t>
  </si>
  <si>
    <t>Delivered</t>
  </si>
  <si>
    <t>+</t>
  </si>
  <si>
    <t>TTGO LoRa32</t>
  </si>
  <si>
    <t>Tinytronics</t>
  </si>
  <si>
    <t>Cable</t>
  </si>
  <si>
    <t>https://www.tinytronics.nl/shop/nl/platforms/ttgo/lilygo-ttgo-lora32-868mhz-esp32</t>
  </si>
  <si>
    <t>PSU</t>
  </si>
  <si>
    <t>5V-miniUSB-Adapter</t>
  </si>
  <si>
    <t>miniUSB</t>
  </si>
  <si>
    <t>5W Plug In Power Supply 5V dc, 1A</t>
  </si>
  <si>
    <t>https://nl.rs-online.com/web/p/ac-dc-adapters/1217116/</t>
  </si>
  <si>
    <t xml:space="preserve">Through Hole Mount Receptacle </t>
  </si>
  <si>
    <t>Type B Mini USB Connector</t>
  </si>
  <si>
    <t>https://nl.rs-online.com/web/p/usb-connectors/6741350/</t>
  </si>
  <si>
    <t>Total devices to be produced</t>
  </si>
  <si>
    <t>RJ11</t>
  </si>
  <si>
    <t>Community Price/Pice incl.VAT</t>
  </si>
  <si>
    <t>Commercial Price/Pice excl.VAT</t>
  </si>
  <si>
    <t>header</t>
  </si>
  <si>
    <t>1 Row Straight PCB Socket</t>
  </si>
  <si>
    <t>https://nl.rs-online.com/web/p/pcb-sockets/0252399/</t>
  </si>
  <si>
    <t>Aisler, PCB &amp; Stencil</t>
  </si>
  <si>
    <t>InLine Modularkabel RJ12, Male/Male, 6adrig, 6P6C, 1m</t>
  </si>
  <si>
    <t>https://www.netwerkwinkel.com/Verleng--en-aansluitkabels/Telefoonkabels/RJ10---RJ11---RJ12-kabels/InLine/InLine-Modularkabel-RJ12-Male-Male-6adrig-6P6C-2m-18842-p_12802.html</t>
  </si>
  <si>
    <t>https://nl.rs-online.com/web/p/surface-mount-fixed-resistors/9013724/</t>
  </si>
  <si>
    <t>Netwerkwinkel.com</t>
  </si>
  <si>
    <t xml:space="preserve">R1, </t>
  </si>
  <si>
    <t>R2, R3, R4, R8</t>
  </si>
  <si>
    <t>http://www.aisler.net</t>
  </si>
  <si>
    <t>Lithium Ion Polymeer Accu - 3.7v 1200mAh</t>
  </si>
  <si>
    <t>Behuizing</t>
  </si>
  <si>
    <t>Voeding</t>
  </si>
  <si>
    <t>Temp/Humidity sensoren</t>
  </si>
  <si>
    <t>Enkelzijdige PCB 3x</t>
  </si>
  <si>
    <t>SDS011 behuizingen</t>
  </si>
  <si>
    <t>Wartels</t>
  </si>
  <si>
    <t>LittleIfuse 0,05A</t>
  </si>
  <si>
    <t>100 nF</t>
  </si>
  <si>
    <t>Pin hearders</t>
  </si>
  <si>
    <t>Pin header female 2x</t>
  </si>
  <si>
    <t>Pin header female 4x</t>
  </si>
  <si>
    <t>Pin header female 6x</t>
  </si>
  <si>
    <t>Pin header female 12x</t>
  </si>
  <si>
    <t>SDS connector PCB</t>
  </si>
  <si>
    <t>330K</t>
  </si>
  <si>
    <t>120K</t>
  </si>
  <si>
    <t>Nylon standoff</t>
  </si>
  <si>
    <t>Nylon moer</t>
  </si>
  <si>
    <t>Nylon schroef</t>
  </si>
  <si>
    <t>Bindbandjes</t>
  </si>
  <si>
    <t>KW-2152</t>
  </si>
  <si>
    <t>https://nl.rs-online.com/web/p/products/7560007/</t>
  </si>
  <si>
    <t>https://nl.rs-online.com/web/p/products/1359226/</t>
  </si>
  <si>
    <t>Stelpost</t>
  </si>
  <si>
    <t>https://nl.rs-online.com/web/p/products/7756034/</t>
  </si>
  <si>
    <t>https://nl.rs-online.com/web/p/products/5381203/</t>
  </si>
  <si>
    <t>https://nl.rs-online.com/web/p/products/6742340/</t>
  </si>
  <si>
    <t>https://nl.rs-online.com/web/p/products/2518171/</t>
  </si>
  <si>
    <t>https://nl.rs-online.com/web/p/products/2518193/</t>
  </si>
  <si>
    <t>https://nl.rs-online.com/web/p/products/6737553/</t>
  </si>
  <si>
    <t>https://nl.rs-online.com/web/p/products/1217420/</t>
  </si>
  <si>
    <t>https://nl.rs-online.com/web/p/products/8201598/</t>
  </si>
  <si>
    <t>https://nl.rs-online.com/web/p/products/6833547/</t>
  </si>
  <si>
    <t>https://nl.rs-online.com/web/p/products/7078221/</t>
  </si>
  <si>
    <t>https://nl.rs-online.com/web/p/products/6832715/</t>
  </si>
  <si>
    <t>https://nl.rs-online.com/web/p/products/0325687/</t>
  </si>
  <si>
    <t>https://nl.rs-online.com/web/p/products/0525701/</t>
  </si>
  <si>
    <t>https://nl.rs-online.com/web/p/products/0527971/</t>
  </si>
  <si>
    <t>HOZA</t>
  </si>
  <si>
    <t>Ali express ?</t>
  </si>
  <si>
    <t>Kiwi Electronics</t>
  </si>
  <si>
    <t>J</t>
  </si>
  <si>
    <t>https://docs.rs-online.com/898e/0900766b8157d634.pdf</t>
  </si>
  <si>
    <t>RS PRO 5mm Pitch, 2 Way PCB Terminal Block</t>
  </si>
  <si>
    <t>https://nl.rs-online.com/web/p/pcb-terminal-blocks/8971159</t>
  </si>
  <si>
    <t>https://nl.rs-online.com/web/p/pcb-headers/8971367</t>
  </si>
  <si>
    <t>RS PRO, 2 Way, 1 Row, Straight PCB Terminal Block Header</t>
  </si>
  <si>
    <t>SDS011</t>
  </si>
  <si>
    <t>https://www.tinytronics.nl/shop/en/dc-dc-converters/step-up-(boost)/mini-dc-dc-5v-step-up-boost-converter-480ma</t>
  </si>
  <si>
    <t>Mini DC-DC 5V Step-up Boost Converter 480mA</t>
  </si>
  <si>
    <t>Required</t>
  </si>
  <si>
    <t>HTCC-AB01</t>
  </si>
  <si>
    <t>Helltec</t>
  </si>
  <si>
    <t>Wurth Elektronik, 2109 2.54mm Pitch, 3 Way PCB Terminal Block</t>
  </si>
  <si>
    <t>https://nl.rs-online.com/web/p/pcb-terminal-blocks/1919097/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</si>
</sst>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3" fillId="0" borderId="0" xfId="2"/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quotePrefix="1" applyFill="1" applyBorder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/>
    <xf numFmtId="0" fontId="0" fillId="0" borderId="0" xfId="0" quotePrefix="1" applyFont="1"/>
    <xf numFmtId="0" fontId="0" fillId="2" borderId="0" xfId="0" applyFill="1"/>
    <xf numFmtId="0" fontId="2" fillId="2" borderId="1" xfId="0" applyFont="1" applyFill="1" applyBorder="1"/>
    <xf numFmtId="44" fontId="2" fillId="3" borderId="0" xfId="0" applyNumberFormat="1" applyFont="1" applyFill="1"/>
    <xf numFmtId="44" fontId="2" fillId="4" borderId="0" xfId="0" applyNumberFormat="1" applyFont="1" applyFill="1"/>
    <xf numFmtId="44" fontId="5" fillId="0" borderId="0" xfId="1" applyFont="1"/>
    <xf numFmtId="44" fontId="4" fillId="5" borderId="0" xfId="0" applyNumberFormat="1" applyFont="1" applyFill="1"/>
    <xf numFmtId="16" fontId="0" fillId="0" borderId="0" xfId="0" applyNumberFormat="1"/>
    <xf numFmtId="0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1" applyFont="1"/>
    <xf numFmtId="0" fontId="0" fillId="0" borderId="0" xfId="0" applyFont="1"/>
    <xf numFmtId="0" fontId="0" fillId="0" borderId="0" xfId="0" applyFont="1" applyAlignment="1">
      <alignment horizontal="left"/>
    </xf>
    <xf numFmtId="44" fontId="1" fillId="0" borderId="0" xfId="1" applyFont="1"/>
    <xf numFmtId="44" fontId="0" fillId="0" borderId="0" xfId="0" applyNumberFormat="1" applyFont="1"/>
    <xf numFmtId="0" fontId="3" fillId="0" borderId="0" xfId="2" applyFont="1"/>
    <xf numFmtId="0" fontId="2" fillId="0" borderId="0" xfId="1" applyNumberFormat="1" applyFont="1"/>
    <xf numFmtId="16" fontId="0" fillId="0" borderId="0" xfId="1" applyNumberFormat="1" applyFont="1"/>
    <xf numFmtId="0" fontId="1" fillId="0" borderId="0" xfId="1" applyNumberFormat="1" applyFont="1"/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l.rs-online.com/web/p/products/1359226/" TargetMode="External"/><Relationship Id="rId1" Type="http://schemas.openxmlformats.org/officeDocument/2006/relationships/hyperlink" Target="https://nl.rs-online.com/web/p/products/121742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usb-connectors/6741350/" TargetMode="External"/><Relationship Id="rId2" Type="http://schemas.openxmlformats.org/officeDocument/2006/relationships/hyperlink" Target="https://nl.rs-online.com/web/p/general-purpose-enclosures/8180514/" TargetMode="External"/><Relationship Id="rId1" Type="http://schemas.openxmlformats.org/officeDocument/2006/relationships/hyperlink" Target="https://nl.rs-online.com/web/p/rectifier-diodes-schottky-diodes/5444584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aisler.net/" TargetMode="External"/><Relationship Id="rId4" Type="http://schemas.openxmlformats.org/officeDocument/2006/relationships/hyperlink" Target="https://nl.rs-online.com/web/p/bjt-bipolar-transistors/690009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A40-99C1-4689-B387-BAF879F6B4CE}">
  <dimension ref="B2:Q50"/>
  <sheetViews>
    <sheetView tabSelected="1" zoomScaleNormal="100" workbookViewId="0">
      <selection activeCell="Q8" sqref="Q8"/>
    </sheetView>
  </sheetViews>
  <sheetFormatPr defaultRowHeight="14.4" x14ac:dyDescent="0.3"/>
  <cols>
    <col min="1" max="1" width="4.33203125" customWidth="1"/>
    <col min="2" max="2" width="9.109375" bestFit="1" customWidth="1"/>
    <col min="3" max="3" width="3" bestFit="1" customWidth="1"/>
    <col min="4" max="4" width="19" bestFit="1" customWidth="1"/>
    <col min="5" max="5" width="37.33203125" bestFit="1" customWidth="1"/>
    <col min="6" max="6" width="11.33203125" bestFit="1" customWidth="1"/>
    <col min="7" max="7" width="6.21875" bestFit="1" customWidth="1"/>
    <col min="8" max="8" width="6.21875" customWidth="1"/>
    <col min="9" max="9" width="10.44140625" customWidth="1"/>
    <col min="10" max="10" width="10.77734375" bestFit="1" customWidth="1"/>
    <col min="11" max="11" width="4.77734375" customWidth="1"/>
    <col min="12" max="12" width="6.5546875" bestFit="1" customWidth="1"/>
    <col min="13" max="13" width="10" customWidth="1"/>
    <col min="14" max="14" width="4.44140625" customWidth="1"/>
    <col min="15" max="15" width="2" bestFit="1" customWidth="1"/>
    <col min="16" max="16" width="15.6640625" bestFit="1" customWidth="1"/>
    <col min="17" max="17" width="76" bestFit="1" customWidth="1"/>
    <col min="18" max="18" width="12.21875" bestFit="1" customWidth="1"/>
    <col min="19" max="19" width="6.88671875" bestFit="1" customWidth="1"/>
  </cols>
  <sheetData>
    <row r="2" spans="2:17" x14ac:dyDescent="0.3">
      <c r="E2" t="s">
        <v>47</v>
      </c>
      <c r="G2" s="15">
        <v>2</v>
      </c>
      <c r="I2" t="s">
        <v>49</v>
      </c>
    </row>
    <row r="3" spans="2:17" ht="15" thickBot="1" x14ac:dyDescent="0.35">
      <c r="E3" s="12" t="s">
        <v>48</v>
      </c>
      <c r="F3" s="12"/>
      <c r="G3" s="16">
        <v>20</v>
      </c>
      <c r="H3" s="14" t="s">
        <v>51</v>
      </c>
      <c r="I3" s="13" t="s">
        <v>50</v>
      </c>
    </row>
    <row r="4" spans="2:17" x14ac:dyDescent="0.3">
      <c r="E4" t="s">
        <v>18</v>
      </c>
      <c r="G4">
        <f>G3+G2</f>
        <v>22</v>
      </c>
      <c r="I4" t="s">
        <v>64</v>
      </c>
    </row>
    <row r="6" spans="2:17" x14ac:dyDescent="0.3">
      <c r="B6" t="s">
        <v>130</v>
      </c>
      <c r="C6" t="s">
        <v>24</v>
      </c>
      <c r="D6" t="s">
        <v>1</v>
      </c>
      <c r="E6" t="s">
        <v>2</v>
      </c>
      <c r="F6" t="s">
        <v>15</v>
      </c>
      <c r="G6" t="s">
        <v>16</v>
      </c>
      <c r="H6" t="s">
        <v>23</v>
      </c>
      <c r="I6" t="s">
        <v>41</v>
      </c>
      <c r="J6" t="s">
        <v>42</v>
      </c>
      <c r="P6" t="s">
        <v>29</v>
      </c>
      <c r="Q6" t="s">
        <v>3</v>
      </c>
    </row>
    <row r="7" spans="2:17" x14ac:dyDescent="0.3">
      <c r="F7" s="3"/>
      <c r="I7" s="4"/>
      <c r="J7" s="3"/>
      <c r="K7" s="31"/>
      <c r="L7" s="32"/>
      <c r="M7" s="3"/>
      <c r="N7" s="3"/>
      <c r="O7" s="3"/>
    </row>
    <row r="8" spans="2:17" x14ac:dyDescent="0.3">
      <c r="B8" t="b">
        <v>1</v>
      </c>
      <c r="C8">
        <v>1</v>
      </c>
      <c r="D8" t="s">
        <v>79</v>
      </c>
      <c r="F8" s="3">
        <v>9.58</v>
      </c>
      <c r="G8">
        <v>1</v>
      </c>
      <c r="H8">
        <f t="shared" ref="H8:H18" si="0">C8*$G$4</f>
        <v>22</v>
      </c>
      <c r="I8" s="4">
        <f t="shared" ref="I8:I18" si="1">ROUNDUP(H8/G8,0)*G8*F8</f>
        <v>210.76</v>
      </c>
      <c r="J8" s="3">
        <f t="shared" ref="J8:J18" si="2">I8*1.21</f>
        <v>255.01959999999997</v>
      </c>
      <c r="K8" s="31">
        <f t="shared" ref="K8:K24" si="3">ROUNDUP(H8/G8,0)*G8</f>
        <v>22</v>
      </c>
      <c r="L8" s="3"/>
      <c r="M8" s="3"/>
      <c r="N8" s="3"/>
      <c r="O8" s="3"/>
      <c r="P8" t="s">
        <v>120</v>
      </c>
      <c r="Q8" t="s">
        <v>100</v>
      </c>
    </row>
    <row r="9" spans="2:17" x14ac:dyDescent="0.3">
      <c r="B9" t="b">
        <v>1</v>
      </c>
      <c r="C9">
        <v>1</v>
      </c>
      <c r="D9" t="s">
        <v>80</v>
      </c>
      <c r="F9" s="3">
        <v>34.15</v>
      </c>
      <c r="G9">
        <v>5</v>
      </c>
      <c r="H9">
        <f t="shared" si="0"/>
        <v>22</v>
      </c>
      <c r="I9" s="4">
        <f t="shared" si="1"/>
        <v>853.75</v>
      </c>
      <c r="J9" s="3">
        <f t="shared" si="2"/>
        <v>1033.0374999999999</v>
      </c>
      <c r="K9" s="31">
        <f t="shared" si="3"/>
        <v>25</v>
      </c>
      <c r="L9" s="3"/>
      <c r="M9" s="3"/>
      <c r="N9" s="3"/>
      <c r="O9" s="3"/>
      <c r="P9" t="s">
        <v>30</v>
      </c>
      <c r="Q9" s="2" t="s">
        <v>101</v>
      </c>
    </row>
    <row r="10" spans="2:17" x14ac:dyDescent="0.3">
      <c r="B10" t="b">
        <v>1</v>
      </c>
      <c r="C10">
        <v>1</v>
      </c>
      <c r="D10" t="s">
        <v>81</v>
      </c>
      <c r="F10" s="3">
        <v>6.17</v>
      </c>
      <c r="G10">
        <v>1</v>
      </c>
      <c r="H10">
        <f t="shared" si="0"/>
        <v>22</v>
      </c>
      <c r="I10" s="4">
        <f t="shared" si="1"/>
        <v>135.74</v>
      </c>
      <c r="J10" s="3">
        <f t="shared" si="2"/>
        <v>164.24540000000002</v>
      </c>
      <c r="K10" s="31">
        <f t="shared" si="3"/>
        <v>22</v>
      </c>
      <c r="L10" s="3"/>
      <c r="M10" s="3"/>
      <c r="N10" s="3"/>
      <c r="O10" s="3"/>
      <c r="P10" t="s">
        <v>30</v>
      </c>
      <c r="Q10" s="2" t="s">
        <v>102</v>
      </c>
    </row>
    <row r="11" spans="2:17" s="26" customFormat="1" x14ac:dyDescent="0.3">
      <c r="B11" t="b">
        <v>1</v>
      </c>
      <c r="C11" s="26">
        <v>1</v>
      </c>
      <c r="D11" t="s">
        <v>82</v>
      </c>
      <c r="F11" s="28">
        <v>20</v>
      </c>
      <c r="G11" s="26">
        <v>5</v>
      </c>
      <c r="H11" s="26">
        <f t="shared" si="0"/>
        <v>22</v>
      </c>
      <c r="I11" s="29">
        <f t="shared" si="1"/>
        <v>500</v>
      </c>
      <c r="J11" s="28">
        <f t="shared" si="2"/>
        <v>605</v>
      </c>
      <c r="K11" s="31">
        <f t="shared" si="3"/>
        <v>25</v>
      </c>
      <c r="L11" s="28"/>
      <c r="M11" s="28"/>
      <c r="N11" s="28"/>
      <c r="O11" s="28"/>
      <c r="P11" t="s">
        <v>119</v>
      </c>
      <c r="Q11" t="s">
        <v>103</v>
      </c>
    </row>
    <row r="12" spans="2:17" x14ac:dyDescent="0.3">
      <c r="B12" t="b">
        <v>1</v>
      </c>
      <c r="C12">
        <v>1</v>
      </c>
      <c r="D12" t="s">
        <v>83</v>
      </c>
      <c r="F12" s="3">
        <v>10</v>
      </c>
      <c r="G12">
        <v>1</v>
      </c>
      <c r="H12">
        <f t="shared" si="0"/>
        <v>22</v>
      </c>
      <c r="I12" s="4">
        <f t="shared" si="1"/>
        <v>220</v>
      </c>
      <c r="J12" s="3">
        <f t="shared" si="2"/>
        <v>266.2</v>
      </c>
      <c r="K12" s="31">
        <f t="shared" si="3"/>
        <v>22</v>
      </c>
      <c r="L12" s="3"/>
      <c r="M12" s="3"/>
      <c r="N12" s="3"/>
      <c r="O12" s="3"/>
      <c r="P12" t="s">
        <v>40</v>
      </c>
    </row>
    <row r="13" spans="2:17" x14ac:dyDescent="0.3">
      <c r="B13" t="b">
        <v>1</v>
      </c>
      <c r="C13">
        <v>1</v>
      </c>
      <c r="D13" t="s">
        <v>127</v>
      </c>
      <c r="F13" s="3">
        <v>20</v>
      </c>
      <c r="G13">
        <v>1</v>
      </c>
      <c r="H13">
        <f t="shared" si="0"/>
        <v>22</v>
      </c>
      <c r="I13" s="4">
        <f t="shared" si="1"/>
        <v>440</v>
      </c>
      <c r="J13" s="3">
        <f t="shared" si="2"/>
        <v>532.4</v>
      </c>
      <c r="K13" s="31">
        <f t="shared" si="3"/>
        <v>22</v>
      </c>
      <c r="L13" s="3"/>
      <c r="M13" s="3"/>
      <c r="N13" s="3"/>
      <c r="O13" s="3"/>
      <c r="P13" t="s">
        <v>119</v>
      </c>
      <c r="Q13" t="s">
        <v>103</v>
      </c>
    </row>
    <row r="14" spans="2:17" s="26" customFormat="1" x14ac:dyDescent="0.3">
      <c r="B14" t="b">
        <v>1</v>
      </c>
      <c r="C14" s="26">
        <v>1</v>
      </c>
      <c r="D14" s="26" t="s">
        <v>84</v>
      </c>
      <c r="F14" s="28">
        <v>2</v>
      </c>
      <c r="G14" s="26">
        <v>1</v>
      </c>
      <c r="H14" s="26">
        <f t="shared" si="0"/>
        <v>22</v>
      </c>
      <c r="I14" s="29">
        <f t="shared" si="1"/>
        <v>44</v>
      </c>
      <c r="J14" s="28">
        <f t="shared" si="2"/>
        <v>53.239999999999995</v>
      </c>
      <c r="K14" s="33">
        <f t="shared" si="3"/>
        <v>22</v>
      </c>
      <c r="L14" s="28"/>
      <c r="M14" s="28"/>
      <c r="N14" s="28"/>
      <c r="O14" s="28"/>
      <c r="P14" s="26" t="s">
        <v>118</v>
      </c>
      <c r="Q14" s="26" t="s">
        <v>103</v>
      </c>
    </row>
    <row r="15" spans="2:17" s="26" customFormat="1" x14ac:dyDescent="0.3">
      <c r="B15" t="b">
        <v>1</v>
      </c>
      <c r="C15" s="26">
        <v>3</v>
      </c>
      <c r="D15" s="26" t="s">
        <v>85</v>
      </c>
      <c r="F15" s="28">
        <f>14.4/3</f>
        <v>4.8</v>
      </c>
      <c r="G15" s="26">
        <v>5</v>
      </c>
      <c r="H15" s="26">
        <f t="shared" si="0"/>
        <v>66</v>
      </c>
      <c r="I15" s="29">
        <f t="shared" si="1"/>
        <v>336</v>
      </c>
      <c r="J15" s="28">
        <f t="shared" si="2"/>
        <v>406.56</v>
      </c>
      <c r="K15" s="33">
        <f t="shared" si="3"/>
        <v>70</v>
      </c>
      <c r="L15" s="28"/>
      <c r="M15" s="28"/>
      <c r="N15" s="28"/>
      <c r="O15" s="28"/>
      <c r="P15" s="26" t="s">
        <v>118</v>
      </c>
      <c r="Q15" s="26" t="s">
        <v>103</v>
      </c>
    </row>
    <row r="16" spans="2:17" x14ac:dyDescent="0.3">
      <c r="B16" t="b">
        <v>1</v>
      </c>
      <c r="C16">
        <v>1</v>
      </c>
      <c r="D16" t="s">
        <v>86</v>
      </c>
      <c r="F16" s="3">
        <v>3.68</v>
      </c>
      <c r="G16">
        <v>1</v>
      </c>
      <c r="H16">
        <f t="shared" si="0"/>
        <v>22</v>
      </c>
      <c r="I16" s="4">
        <f t="shared" si="1"/>
        <v>80.960000000000008</v>
      </c>
      <c r="J16" s="3">
        <f t="shared" si="2"/>
        <v>97.961600000000004</v>
      </c>
      <c r="K16" s="31">
        <f t="shared" si="3"/>
        <v>22</v>
      </c>
      <c r="L16" s="3"/>
      <c r="M16" s="3"/>
      <c r="N16" s="3"/>
      <c r="O16" s="3"/>
      <c r="P16" t="s">
        <v>30</v>
      </c>
      <c r="Q16" t="s">
        <v>104</v>
      </c>
    </row>
    <row r="17" spans="2:17" x14ac:dyDescent="0.3">
      <c r="B17" t="b">
        <v>1</v>
      </c>
      <c r="C17">
        <v>1</v>
      </c>
      <c r="D17" t="s">
        <v>123</v>
      </c>
      <c r="F17" s="5">
        <v>0.42399999999999999</v>
      </c>
      <c r="G17">
        <v>10</v>
      </c>
      <c r="H17">
        <f t="shared" si="0"/>
        <v>22</v>
      </c>
      <c r="I17" s="4">
        <f t="shared" si="1"/>
        <v>12.719999999999999</v>
      </c>
      <c r="J17" s="4">
        <f t="shared" si="2"/>
        <v>15.391199999999998</v>
      </c>
      <c r="K17" s="22">
        <f t="shared" si="3"/>
        <v>30</v>
      </c>
      <c r="L17" s="21"/>
      <c r="M17" s="4"/>
      <c r="N17" s="3"/>
      <c r="O17" s="3"/>
      <c r="P17" t="s">
        <v>30</v>
      </c>
      <c r="Q17" s="2" t="s">
        <v>124</v>
      </c>
    </row>
    <row r="18" spans="2:17" x14ac:dyDescent="0.3">
      <c r="B18" t="b">
        <v>1</v>
      </c>
      <c r="C18">
        <v>1</v>
      </c>
      <c r="D18" t="s">
        <v>126</v>
      </c>
      <c r="F18" s="5">
        <v>0.24399999999999999</v>
      </c>
      <c r="G18">
        <v>10</v>
      </c>
      <c r="H18">
        <f t="shared" si="0"/>
        <v>22</v>
      </c>
      <c r="I18" s="4">
        <f t="shared" si="1"/>
        <v>7.32</v>
      </c>
      <c r="J18" s="4">
        <f t="shared" si="2"/>
        <v>8.8572000000000006</v>
      </c>
      <c r="K18" s="22">
        <f t="shared" si="3"/>
        <v>30</v>
      </c>
      <c r="L18" s="21"/>
      <c r="M18" s="4"/>
      <c r="N18" s="3"/>
      <c r="O18" s="3"/>
      <c r="P18" t="s">
        <v>30</v>
      </c>
      <c r="Q18" s="2" t="s">
        <v>125</v>
      </c>
    </row>
    <row r="19" spans="2:17" x14ac:dyDescent="0.3">
      <c r="C19">
        <v>1</v>
      </c>
      <c r="D19" t="s">
        <v>87</v>
      </c>
      <c r="F19" s="5">
        <f>10*5*0.076</f>
        <v>3.8</v>
      </c>
      <c r="G19">
        <v>3</v>
      </c>
      <c r="H19">
        <v>6</v>
      </c>
      <c r="I19" s="4">
        <f>J19/121*100</f>
        <v>50.636363636363633</v>
      </c>
      <c r="J19" s="4">
        <v>61.27</v>
      </c>
      <c r="K19" s="22">
        <f t="shared" si="3"/>
        <v>6</v>
      </c>
      <c r="L19" s="21"/>
      <c r="M19" s="4"/>
      <c r="N19" s="3"/>
      <c r="O19" s="3"/>
      <c r="P19" t="s">
        <v>30</v>
      </c>
      <c r="Q19" t="s">
        <v>105</v>
      </c>
    </row>
    <row r="20" spans="2:17" x14ac:dyDescent="0.3">
      <c r="C20">
        <v>1</v>
      </c>
      <c r="D20" t="s">
        <v>88</v>
      </c>
      <c r="F20" s="3">
        <v>1.75</v>
      </c>
      <c r="G20">
        <v>5</v>
      </c>
      <c r="H20">
        <f>C20*$G$4</f>
        <v>22</v>
      </c>
      <c r="I20" s="4">
        <f>ROUNDUP(H20/G20,0)*G20*F20</f>
        <v>43.75</v>
      </c>
      <c r="J20" s="3">
        <f>I20*1.21</f>
        <v>52.9375</v>
      </c>
      <c r="K20" s="31">
        <f t="shared" si="3"/>
        <v>25</v>
      </c>
      <c r="L20" s="3"/>
      <c r="M20" s="3"/>
      <c r="N20" s="3"/>
      <c r="O20" s="3"/>
      <c r="P20" t="s">
        <v>30</v>
      </c>
      <c r="Q20" t="s">
        <v>106</v>
      </c>
    </row>
    <row r="21" spans="2:17" x14ac:dyDescent="0.3">
      <c r="C21">
        <v>1</v>
      </c>
      <c r="D21" t="s">
        <v>89</v>
      </c>
      <c r="F21" s="5">
        <v>14.46</v>
      </c>
      <c r="G21">
        <v>1</v>
      </c>
      <c r="H21">
        <f>C21*$G$4</f>
        <v>22</v>
      </c>
      <c r="I21" s="4">
        <f>J21/121*100</f>
        <v>262.90909090909088</v>
      </c>
      <c r="J21" s="4">
        <f>ROUNDUP(H21/G21,0)*G21*F21</f>
        <v>318.12</v>
      </c>
      <c r="K21" s="22">
        <f t="shared" si="3"/>
        <v>22</v>
      </c>
      <c r="L21" s="21"/>
      <c r="M21" s="4"/>
      <c r="N21" s="3"/>
      <c r="P21" t="s">
        <v>30</v>
      </c>
      <c r="Q21" t="s">
        <v>107</v>
      </c>
    </row>
    <row r="22" spans="2:17" x14ac:dyDescent="0.3">
      <c r="C22">
        <v>1</v>
      </c>
      <c r="D22" t="s">
        <v>90</v>
      </c>
      <c r="F22" s="5">
        <v>1.36</v>
      </c>
      <c r="G22">
        <v>3</v>
      </c>
      <c r="H22">
        <f>C22*$G$4</f>
        <v>22</v>
      </c>
      <c r="I22" s="4">
        <f>ROUNDUP(H22/G22,0)*G22*F22</f>
        <v>32.64</v>
      </c>
      <c r="J22" s="4">
        <f>I22*1.21</f>
        <v>39.494399999999999</v>
      </c>
      <c r="K22" s="22">
        <f t="shared" si="3"/>
        <v>24</v>
      </c>
      <c r="L22" s="21"/>
      <c r="M22" s="4"/>
      <c r="N22" s="3"/>
      <c r="P22" t="s">
        <v>30</v>
      </c>
      <c r="Q22" t="s">
        <v>108</v>
      </c>
    </row>
    <row r="23" spans="2:17" x14ac:dyDescent="0.3">
      <c r="C23">
        <v>1</v>
      </c>
      <c r="D23" t="s">
        <v>91</v>
      </c>
      <c r="F23" s="3">
        <v>6.67</v>
      </c>
      <c r="G23">
        <v>1</v>
      </c>
      <c r="H23">
        <f t="shared" ref="H23:H24" si="4">C23*$G$4</f>
        <v>22</v>
      </c>
      <c r="I23" s="4">
        <f t="shared" ref="I23:I24" si="5">ROUNDUP(H23/G23,0)*G23*F23</f>
        <v>146.74</v>
      </c>
      <c r="J23" s="3">
        <f t="shared" ref="J23:J24" si="6">I23*1.21</f>
        <v>177.55539999999999</v>
      </c>
      <c r="K23" s="31">
        <f t="shared" si="3"/>
        <v>22</v>
      </c>
      <c r="L23" s="3"/>
      <c r="M23" s="3"/>
      <c r="N23" s="3"/>
      <c r="O23" s="3"/>
      <c r="P23" t="s">
        <v>30</v>
      </c>
      <c r="Q23" t="s">
        <v>109</v>
      </c>
    </row>
    <row r="24" spans="2:17" x14ac:dyDescent="0.3">
      <c r="C24">
        <v>1</v>
      </c>
      <c r="D24" t="s">
        <v>92</v>
      </c>
      <c r="F24" s="3">
        <v>2.0299999999999998</v>
      </c>
      <c r="G24">
        <v>5</v>
      </c>
      <c r="H24">
        <f t="shared" si="4"/>
        <v>22</v>
      </c>
      <c r="I24" s="4">
        <f t="shared" si="5"/>
        <v>50.749999999999993</v>
      </c>
      <c r="J24" s="3">
        <f t="shared" si="6"/>
        <v>61.407499999999992</v>
      </c>
      <c r="K24" s="31">
        <f t="shared" si="3"/>
        <v>25</v>
      </c>
      <c r="L24" s="3"/>
      <c r="M24" s="3"/>
      <c r="N24" s="3"/>
      <c r="O24" s="3"/>
      <c r="P24" t="s">
        <v>30</v>
      </c>
      <c r="Q24" s="2" t="s">
        <v>110</v>
      </c>
    </row>
    <row r="25" spans="2:17" x14ac:dyDescent="0.3">
      <c r="B25" t="b">
        <v>1</v>
      </c>
      <c r="C25">
        <v>1</v>
      </c>
      <c r="D25" t="s">
        <v>93</v>
      </c>
      <c r="F25" s="3">
        <v>2.0299999999999998</v>
      </c>
      <c r="G25">
        <v>5</v>
      </c>
      <c r="H25">
        <f t="shared" ref="H25:H34" si="7">C25*$G$4</f>
        <v>22</v>
      </c>
      <c r="I25" s="4">
        <f t="shared" ref="I25:I34" si="8">ROUNDUP(H25/G25,0)*G25*F25</f>
        <v>50.749999999999993</v>
      </c>
      <c r="J25" s="3">
        <f t="shared" ref="J25:J34" si="9">I25*1.21</f>
        <v>61.407499999999992</v>
      </c>
      <c r="K25" s="31">
        <f t="shared" ref="K25:K34" si="10">ROUNDUP(H25/G25,0)*G25</f>
        <v>25</v>
      </c>
      <c r="L25" s="3"/>
      <c r="M25" s="3"/>
      <c r="N25" s="3"/>
      <c r="P25" t="s">
        <v>30</v>
      </c>
      <c r="Q25" t="s">
        <v>111</v>
      </c>
    </row>
    <row r="26" spans="2:17" x14ac:dyDescent="0.3">
      <c r="C26">
        <v>1</v>
      </c>
      <c r="D26" t="s">
        <v>94</v>
      </c>
      <c r="F26" s="3">
        <v>2.0299999999999998</v>
      </c>
      <c r="G26">
        <v>5</v>
      </c>
      <c r="H26">
        <f t="shared" si="7"/>
        <v>22</v>
      </c>
      <c r="I26" s="4">
        <f t="shared" si="8"/>
        <v>50.749999999999993</v>
      </c>
      <c r="J26" s="3">
        <f t="shared" si="9"/>
        <v>61.407499999999992</v>
      </c>
      <c r="K26" s="31">
        <f t="shared" si="10"/>
        <v>25</v>
      </c>
      <c r="P26" t="s">
        <v>30</v>
      </c>
      <c r="Q26" t="s">
        <v>112</v>
      </c>
    </row>
    <row r="27" spans="2:17" x14ac:dyDescent="0.3">
      <c r="B27" s="10"/>
      <c r="C27" s="10">
        <v>1</v>
      </c>
      <c r="D27" t="s">
        <v>12</v>
      </c>
      <c r="E27" s="10"/>
      <c r="F27" s="3">
        <v>2.0299999999999998</v>
      </c>
      <c r="G27">
        <v>5</v>
      </c>
      <c r="H27">
        <f t="shared" si="7"/>
        <v>22</v>
      </c>
      <c r="I27" s="4">
        <f t="shared" si="8"/>
        <v>50.749999999999993</v>
      </c>
      <c r="J27" s="3">
        <f t="shared" si="9"/>
        <v>61.407499999999992</v>
      </c>
      <c r="K27" s="31">
        <f t="shared" si="10"/>
        <v>25</v>
      </c>
      <c r="L27" s="10"/>
      <c r="M27" s="10"/>
      <c r="N27" s="10"/>
      <c r="P27" t="s">
        <v>30</v>
      </c>
      <c r="Q27" t="s">
        <v>113</v>
      </c>
    </row>
    <row r="28" spans="2:17" s="26" customFormat="1" x14ac:dyDescent="0.3">
      <c r="B28" s="26" t="b">
        <v>1</v>
      </c>
      <c r="C28" s="26">
        <v>1</v>
      </c>
      <c r="D28" s="26" t="s">
        <v>131</v>
      </c>
      <c r="F28" s="28">
        <v>11.99</v>
      </c>
      <c r="G28" s="26">
        <v>1</v>
      </c>
      <c r="H28" s="26">
        <f t="shared" si="7"/>
        <v>22</v>
      </c>
      <c r="I28" s="29">
        <f t="shared" si="8"/>
        <v>263.78000000000003</v>
      </c>
      <c r="J28" s="28">
        <f t="shared" si="9"/>
        <v>319.17380000000003</v>
      </c>
      <c r="K28" s="31">
        <f t="shared" si="10"/>
        <v>22</v>
      </c>
      <c r="P28" s="26" t="s">
        <v>132</v>
      </c>
      <c r="Q28" s="26" t="s">
        <v>103</v>
      </c>
    </row>
    <row r="29" spans="2:17" x14ac:dyDescent="0.3">
      <c r="B29" s="10"/>
      <c r="C29" s="10">
        <v>1</v>
      </c>
      <c r="D29" t="s">
        <v>95</v>
      </c>
      <c r="E29" s="10"/>
      <c r="F29" s="3">
        <v>2.0299999999999998</v>
      </c>
      <c r="G29">
        <v>5</v>
      </c>
      <c r="H29">
        <f t="shared" si="7"/>
        <v>22</v>
      </c>
      <c r="I29" s="4">
        <f t="shared" si="8"/>
        <v>50.749999999999993</v>
      </c>
      <c r="J29" s="3">
        <f t="shared" si="9"/>
        <v>61.407499999999992</v>
      </c>
      <c r="K29" s="31">
        <f t="shared" si="10"/>
        <v>25</v>
      </c>
      <c r="L29" s="10"/>
      <c r="M29" s="10"/>
      <c r="N29" s="10"/>
      <c r="P29" t="s">
        <v>30</v>
      </c>
      <c r="Q29" t="s">
        <v>114</v>
      </c>
    </row>
    <row r="30" spans="2:17" x14ac:dyDescent="0.3">
      <c r="B30" s="10"/>
      <c r="C30" s="10">
        <v>0</v>
      </c>
      <c r="D30" t="s">
        <v>96</v>
      </c>
      <c r="E30" s="10"/>
      <c r="F30" s="3">
        <v>2.0299999999999998</v>
      </c>
      <c r="G30">
        <v>5</v>
      </c>
      <c r="H30">
        <f t="shared" si="7"/>
        <v>0</v>
      </c>
      <c r="I30" s="4">
        <f t="shared" si="8"/>
        <v>0</v>
      </c>
      <c r="J30" s="3">
        <f t="shared" si="9"/>
        <v>0</v>
      </c>
      <c r="K30" s="31">
        <f t="shared" si="10"/>
        <v>0</v>
      </c>
      <c r="L30" s="10"/>
      <c r="M30" s="10"/>
      <c r="N30" s="10"/>
      <c r="P30" t="s">
        <v>30</v>
      </c>
      <c r="Q30" t="s">
        <v>115</v>
      </c>
    </row>
    <row r="31" spans="2:17" x14ac:dyDescent="0.3">
      <c r="B31" s="10"/>
      <c r="C31" s="10">
        <v>0</v>
      </c>
      <c r="D31" t="s">
        <v>97</v>
      </c>
      <c r="E31" s="10"/>
      <c r="F31" s="3">
        <v>2.0299999999999998</v>
      </c>
      <c r="G31">
        <v>5</v>
      </c>
      <c r="H31">
        <f t="shared" si="7"/>
        <v>0</v>
      </c>
      <c r="I31" s="4">
        <f t="shared" si="8"/>
        <v>0</v>
      </c>
      <c r="J31" s="3">
        <f t="shared" si="9"/>
        <v>0</v>
      </c>
      <c r="K31" s="31">
        <f t="shared" si="10"/>
        <v>0</v>
      </c>
      <c r="L31" s="10"/>
      <c r="M31" s="10"/>
      <c r="N31" s="10"/>
      <c r="P31" t="s">
        <v>30</v>
      </c>
      <c r="Q31" t="s">
        <v>116</v>
      </c>
    </row>
    <row r="32" spans="2:17" x14ac:dyDescent="0.3">
      <c r="B32" s="10"/>
      <c r="C32" s="10">
        <v>0</v>
      </c>
      <c r="D32" t="s">
        <v>98</v>
      </c>
      <c r="E32" s="10"/>
      <c r="F32" s="3">
        <v>2.0299999999999998</v>
      </c>
      <c r="G32">
        <v>5</v>
      </c>
      <c r="H32">
        <f t="shared" si="7"/>
        <v>0</v>
      </c>
      <c r="I32" s="4">
        <f t="shared" si="8"/>
        <v>0</v>
      </c>
      <c r="J32" s="3">
        <f t="shared" si="9"/>
        <v>0</v>
      </c>
      <c r="K32" s="31">
        <f t="shared" si="10"/>
        <v>0</v>
      </c>
      <c r="L32" s="10"/>
      <c r="M32" s="10"/>
      <c r="N32" s="10"/>
      <c r="P32" t="s">
        <v>30</v>
      </c>
      <c r="Q32" t="s">
        <v>117</v>
      </c>
    </row>
    <row r="33" spans="2:17" x14ac:dyDescent="0.3">
      <c r="B33" s="10"/>
      <c r="C33" s="10">
        <v>0</v>
      </c>
      <c r="D33" t="s">
        <v>99</v>
      </c>
      <c r="E33" s="10"/>
      <c r="F33" s="3">
        <v>2.0299999999999998</v>
      </c>
      <c r="G33">
        <v>5</v>
      </c>
      <c r="H33">
        <f t="shared" si="7"/>
        <v>0</v>
      </c>
      <c r="I33" s="4">
        <f t="shared" si="8"/>
        <v>0</v>
      </c>
      <c r="J33" s="3">
        <f t="shared" si="9"/>
        <v>0</v>
      </c>
      <c r="K33" s="31">
        <f t="shared" si="10"/>
        <v>0</v>
      </c>
      <c r="L33" s="10"/>
      <c r="M33" s="10"/>
      <c r="N33" s="10"/>
      <c r="P33" t="s">
        <v>30</v>
      </c>
      <c r="Q33" t="s">
        <v>103</v>
      </c>
    </row>
    <row r="34" spans="2:17" s="26" customFormat="1" x14ac:dyDescent="0.3">
      <c r="C34" s="10">
        <v>1</v>
      </c>
      <c r="D34" s="27" t="s">
        <v>133</v>
      </c>
      <c r="F34" s="3">
        <v>1.198</v>
      </c>
      <c r="G34" s="26">
        <v>5</v>
      </c>
      <c r="H34" s="26">
        <f t="shared" si="7"/>
        <v>22</v>
      </c>
      <c r="I34" s="29">
        <f t="shared" si="8"/>
        <v>29.95</v>
      </c>
      <c r="J34" s="3">
        <f t="shared" si="9"/>
        <v>36.2395</v>
      </c>
      <c r="K34" s="31">
        <f t="shared" si="10"/>
        <v>25</v>
      </c>
      <c r="P34" s="26" t="s">
        <v>30</v>
      </c>
      <c r="Q34" s="26" t="s">
        <v>134</v>
      </c>
    </row>
    <row r="35" spans="2:17" x14ac:dyDescent="0.3">
      <c r="B35" s="10"/>
      <c r="C35" s="10"/>
      <c r="D35" s="11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2:17" s="26" customFormat="1" x14ac:dyDescent="0.3">
      <c r="B36" s="26" t="b">
        <v>1</v>
      </c>
      <c r="C36" s="26">
        <v>1</v>
      </c>
      <c r="D36" s="27" t="s">
        <v>129</v>
      </c>
      <c r="F36" s="3">
        <v>1.65</v>
      </c>
      <c r="G36">
        <v>1</v>
      </c>
      <c r="H36">
        <f t="shared" ref="H36" si="11">C36*$G$4</f>
        <v>22</v>
      </c>
      <c r="I36" s="4">
        <f t="shared" ref="I36" si="12">ROUNDUP(H36/G36,0)*G36*F36</f>
        <v>36.299999999999997</v>
      </c>
      <c r="J36" s="3">
        <f t="shared" ref="J36" si="13">I36*1.21</f>
        <v>43.922999999999995</v>
      </c>
      <c r="K36" s="31">
        <f t="shared" ref="K36" si="14">ROUNDUP(H36/G36,0)*G36</f>
        <v>22</v>
      </c>
      <c r="P36" s="26" t="s">
        <v>53</v>
      </c>
      <c r="Q36" s="26" t="s">
        <v>128</v>
      </c>
    </row>
    <row r="37" spans="2:17" x14ac:dyDescent="0.3">
      <c r="B37" s="10"/>
      <c r="C37" s="10"/>
      <c r="D37" s="11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2:17" x14ac:dyDescent="0.3">
      <c r="B38" s="10"/>
      <c r="C38" s="10"/>
      <c r="D38" s="11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2:17" x14ac:dyDescent="0.3">
      <c r="B39" s="10"/>
      <c r="C39" s="10"/>
      <c r="D39" s="11"/>
      <c r="F39" s="10"/>
      <c r="G39" s="10"/>
      <c r="H39" s="10"/>
      <c r="I39" s="10"/>
      <c r="J39" s="10"/>
      <c r="K39" s="10"/>
      <c r="L39" s="10"/>
      <c r="M39" s="10"/>
      <c r="N39" s="10"/>
    </row>
    <row r="41" spans="2:17" x14ac:dyDescent="0.3">
      <c r="D41" s="1"/>
    </row>
    <row r="42" spans="2:17" x14ac:dyDescent="0.3">
      <c r="B42" s="8"/>
      <c r="C42" s="8"/>
      <c r="D42" s="8"/>
      <c r="E42" s="8"/>
      <c r="F42" s="8"/>
      <c r="G42" s="8"/>
      <c r="H42" s="8"/>
      <c r="I42" s="8" t="s">
        <v>45</v>
      </c>
      <c r="J42" s="8" t="s">
        <v>46</v>
      </c>
      <c r="K42" s="8"/>
      <c r="L42" s="8"/>
      <c r="M42" s="8"/>
      <c r="N42" s="8"/>
      <c r="O42" s="9" t="s">
        <v>51</v>
      </c>
    </row>
    <row r="43" spans="2:17" x14ac:dyDescent="0.3">
      <c r="E43" t="s">
        <v>44</v>
      </c>
      <c r="I43" s="4">
        <f>SUM(I7:I42)</f>
        <v>3961.7054545454544</v>
      </c>
      <c r="J43" s="4">
        <f>SUM(J7:J42)</f>
        <v>4793.6635999999999</v>
      </c>
      <c r="K43" s="4"/>
      <c r="L43" s="4"/>
      <c r="M43" s="4">
        <f>SUM(M7:M42)</f>
        <v>0</v>
      </c>
      <c r="N43" s="4"/>
    </row>
    <row r="46" spans="2:17" x14ac:dyDescent="0.3">
      <c r="E46" t="s">
        <v>43</v>
      </c>
      <c r="F46" s="6">
        <v>0.1</v>
      </c>
      <c r="I46" s="4">
        <f>I43*F46</f>
        <v>396.17054545454545</v>
      </c>
    </row>
    <row r="47" spans="2:17" ht="15" thickBot="1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9" t="s">
        <v>51</v>
      </c>
    </row>
    <row r="48" spans="2:17" x14ac:dyDescent="0.3">
      <c r="I48" s="18">
        <f>I46+I43</f>
        <v>4357.8760000000002</v>
      </c>
      <c r="J48" s="4">
        <f>I48*1.21</f>
        <v>5273.0299599999998</v>
      </c>
      <c r="K48" s="4"/>
      <c r="L48" s="4"/>
      <c r="M48" s="4">
        <f>J48-M43</f>
        <v>5273.0299599999998</v>
      </c>
      <c r="P48" t="str">
        <f>CONCATENATE("Project price excl.VAT for ",G3," devices")</f>
        <v>Project price excl.VAT for 20 devices</v>
      </c>
    </row>
    <row r="49" spans="9:16" x14ac:dyDescent="0.3">
      <c r="I49" s="17">
        <f>J49/121*100</f>
        <v>217.8938</v>
      </c>
      <c r="J49" s="19">
        <f>J48/(G4-G2)</f>
        <v>263.651498</v>
      </c>
      <c r="K49" s="19"/>
      <c r="L49" s="19"/>
      <c r="M49" s="19"/>
      <c r="P49" t="s">
        <v>67</v>
      </c>
    </row>
    <row r="50" spans="9:16" x14ac:dyDescent="0.3">
      <c r="J50" s="20">
        <f>J48/G4</f>
        <v>239.68317999999999</v>
      </c>
      <c r="K50" s="20"/>
      <c r="L50" s="20"/>
      <c r="M50" s="20"/>
      <c r="N50" s="10"/>
      <c r="O50" s="10"/>
      <c r="P50" s="10" t="s">
        <v>66</v>
      </c>
    </row>
  </sheetData>
  <hyperlinks>
    <hyperlink ref="Q24" r:id="rId1" xr:uid="{C2915AF6-3C7D-4095-954C-D2D1801A3F7F}"/>
    <hyperlink ref="Q10" r:id="rId2" xr:uid="{9762C127-428C-4707-A546-F5D46CE3B2C6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464C-2593-4B98-A033-91FCF1EEA114}">
  <dimension ref="B2:G22"/>
  <sheetViews>
    <sheetView zoomScaleNormal="100" workbookViewId="0">
      <selection activeCell="B23" sqref="B23"/>
    </sheetView>
  </sheetViews>
  <sheetFormatPr defaultRowHeight="14.4" x14ac:dyDescent="0.3"/>
  <cols>
    <col min="1" max="1" width="4.33203125" customWidth="1"/>
    <col min="2" max="2" width="9.109375" bestFit="1" customWidth="1"/>
    <col min="3" max="3" width="2.109375" bestFit="1" customWidth="1"/>
    <col min="4" max="4" width="19" bestFit="1" customWidth="1"/>
    <col min="5" max="5" width="56.5546875" bestFit="1" customWidth="1"/>
    <col min="6" max="6" width="29" bestFit="1" customWidth="1"/>
    <col min="7" max="7" width="76" bestFit="1" customWidth="1"/>
    <col min="8" max="8" width="12.21875" bestFit="1" customWidth="1"/>
    <col min="9" max="9" width="6.88671875" bestFit="1" customWidth="1"/>
  </cols>
  <sheetData>
    <row r="2" spans="2:7" x14ac:dyDescent="0.3">
      <c r="B2" t="s">
        <v>0</v>
      </c>
      <c r="C2" t="s">
        <v>24</v>
      </c>
      <c r="D2" t="s">
        <v>1</v>
      </c>
      <c r="E2" t="s">
        <v>2</v>
      </c>
      <c r="F2" t="s">
        <v>29</v>
      </c>
      <c r="G2" t="s">
        <v>3</v>
      </c>
    </row>
    <row r="3" spans="2:7" x14ac:dyDescent="0.3">
      <c r="B3" t="s">
        <v>4</v>
      </c>
      <c r="C3">
        <v>1</v>
      </c>
      <c r="D3" s="1" t="s">
        <v>5</v>
      </c>
      <c r="E3" t="s">
        <v>17</v>
      </c>
      <c r="F3" s="3" t="s">
        <v>30</v>
      </c>
      <c r="G3" s="2" t="s">
        <v>31</v>
      </c>
    </row>
    <row r="4" spans="2:7" x14ac:dyDescent="0.3">
      <c r="B4" t="s">
        <v>6</v>
      </c>
      <c r="C4">
        <v>1</v>
      </c>
      <c r="D4" s="1" t="s">
        <v>7</v>
      </c>
      <c r="E4" t="s">
        <v>22</v>
      </c>
      <c r="F4" s="3" t="s">
        <v>30</v>
      </c>
      <c r="G4" s="2" t="s">
        <v>28</v>
      </c>
    </row>
    <row r="5" spans="2:7" x14ac:dyDescent="0.3">
      <c r="B5" t="s">
        <v>8</v>
      </c>
      <c r="C5">
        <v>1</v>
      </c>
      <c r="D5" s="1" t="s">
        <v>9</v>
      </c>
      <c r="E5" t="s">
        <v>21</v>
      </c>
      <c r="F5" s="3" t="s">
        <v>30</v>
      </c>
      <c r="G5" t="s">
        <v>32</v>
      </c>
    </row>
    <row r="6" spans="2:7" x14ac:dyDescent="0.3">
      <c r="B6" t="s">
        <v>10</v>
      </c>
      <c r="C6">
        <v>1</v>
      </c>
      <c r="D6" s="1" t="s">
        <v>34</v>
      </c>
      <c r="E6" t="s">
        <v>35</v>
      </c>
      <c r="F6" s="3" t="s">
        <v>30</v>
      </c>
      <c r="G6" s="2" t="s">
        <v>33</v>
      </c>
    </row>
    <row r="7" spans="2:7" s="26" customFormat="1" x14ac:dyDescent="0.3">
      <c r="B7" s="26" t="s">
        <v>76</v>
      </c>
      <c r="C7" s="26">
        <v>1</v>
      </c>
      <c r="D7" s="27" t="s">
        <v>11</v>
      </c>
      <c r="E7" s="26" t="s">
        <v>20</v>
      </c>
      <c r="F7" s="28" t="s">
        <v>30</v>
      </c>
      <c r="G7" s="30" t="s">
        <v>39</v>
      </c>
    </row>
    <row r="8" spans="2:7" x14ac:dyDescent="0.3">
      <c r="B8" t="s">
        <v>77</v>
      </c>
      <c r="C8">
        <v>1</v>
      </c>
      <c r="D8" s="1" t="s">
        <v>12</v>
      </c>
      <c r="E8" t="s">
        <v>20</v>
      </c>
      <c r="F8" s="3" t="s">
        <v>30</v>
      </c>
      <c r="G8" t="s">
        <v>74</v>
      </c>
    </row>
    <row r="9" spans="2:7" s="23" customFormat="1" x14ac:dyDescent="0.3">
      <c r="B9" s="23" t="s">
        <v>19</v>
      </c>
      <c r="C9" s="23">
        <v>3</v>
      </c>
      <c r="D9" s="24">
        <v>180</v>
      </c>
      <c r="E9" s="23" t="s">
        <v>20</v>
      </c>
      <c r="F9" s="25" t="s">
        <v>30</v>
      </c>
      <c r="G9" s="23" t="s">
        <v>37</v>
      </c>
    </row>
    <row r="10" spans="2:7" x14ac:dyDescent="0.3">
      <c r="B10" t="s">
        <v>25</v>
      </c>
      <c r="C10">
        <v>1</v>
      </c>
      <c r="D10" s="1"/>
      <c r="E10" t="s">
        <v>38</v>
      </c>
      <c r="F10" s="3" t="s">
        <v>30</v>
      </c>
      <c r="G10" s="2" t="s">
        <v>36</v>
      </c>
    </row>
    <row r="11" spans="2:7" x14ac:dyDescent="0.3">
      <c r="B11" t="s">
        <v>26</v>
      </c>
      <c r="C11">
        <v>1</v>
      </c>
      <c r="D11" s="1"/>
      <c r="E11" t="s">
        <v>71</v>
      </c>
      <c r="F11" s="3" t="s">
        <v>40</v>
      </c>
      <c r="G11" s="2" t="s">
        <v>78</v>
      </c>
    </row>
    <row r="12" spans="2:7" x14ac:dyDescent="0.3">
      <c r="B12" t="s">
        <v>68</v>
      </c>
      <c r="C12">
        <v>2</v>
      </c>
      <c r="D12" s="1" t="s">
        <v>27</v>
      </c>
      <c r="E12" t="s">
        <v>69</v>
      </c>
      <c r="F12" s="3" t="s">
        <v>30</v>
      </c>
      <c r="G12" t="s">
        <v>70</v>
      </c>
    </row>
    <row r="13" spans="2:7" x14ac:dyDescent="0.3">
      <c r="B13" t="s">
        <v>13</v>
      </c>
      <c r="C13">
        <v>1</v>
      </c>
      <c r="D13" s="1" t="s">
        <v>14</v>
      </c>
      <c r="E13" t="s">
        <v>52</v>
      </c>
      <c r="F13" s="3" t="s">
        <v>53</v>
      </c>
      <c r="G13" t="s">
        <v>55</v>
      </c>
    </row>
    <row r="14" spans="2:7" x14ac:dyDescent="0.3">
      <c r="B14" t="s">
        <v>54</v>
      </c>
      <c r="C14">
        <v>1</v>
      </c>
      <c r="D14" s="1" t="s">
        <v>65</v>
      </c>
      <c r="E14" t="s">
        <v>72</v>
      </c>
      <c r="F14" s="3" t="s">
        <v>75</v>
      </c>
      <c r="G14" t="s">
        <v>73</v>
      </c>
    </row>
    <row r="15" spans="2:7" x14ac:dyDescent="0.3">
      <c r="B15" t="s">
        <v>56</v>
      </c>
      <c r="C15">
        <v>1</v>
      </c>
      <c r="D15" s="1" t="s">
        <v>57</v>
      </c>
      <c r="E15" t="s">
        <v>59</v>
      </c>
      <c r="F15" s="3" t="s">
        <v>30</v>
      </c>
      <c r="G15" t="s">
        <v>60</v>
      </c>
    </row>
    <row r="16" spans="2:7" x14ac:dyDescent="0.3">
      <c r="B16" t="s">
        <v>58</v>
      </c>
      <c r="C16">
        <v>1</v>
      </c>
      <c r="D16" s="1" t="s">
        <v>62</v>
      </c>
      <c r="E16" t="s">
        <v>61</v>
      </c>
      <c r="F16" s="3" t="s">
        <v>30</v>
      </c>
      <c r="G16" s="2" t="s">
        <v>63</v>
      </c>
    </row>
    <row r="22" spans="2:7" x14ac:dyDescent="0.3">
      <c r="B22" t="s">
        <v>121</v>
      </c>
      <c r="C22">
        <v>1</v>
      </c>
      <c r="F22" t="s">
        <v>30</v>
      </c>
      <c r="G22" t="s">
        <v>122</v>
      </c>
    </row>
  </sheetData>
  <hyperlinks>
    <hyperlink ref="G4" r:id="rId1" xr:uid="{4A34D3E6-21B5-4A75-8CDA-4460F1AFB30E}"/>
    <hyperlink ref="G10" r:id="rId2" xr:uid="{4B43785F-F300-4AB8-96AE-D8C1F2DAF6F6}"/>
    <hyperlink ref="G16" r:id="rId3" xr:uid="{158BC04D-F98D-48B3-952D-6B17E19B1D92}"/>
    <hyperlink ref="G6" r:id="rId4" xr:uid="{1C3228A4-B469-4BDC-8802-D929B78C7714}"/>
    <hyperlink ref="G11" r:id="rId5" xr:uid="{B2AA08B3-5CE4-432A-A9C5-78533A9B0701}"/>
  </hyperlinks>
  <pageMargins left="0.7" right="0.7" top="0.75" bottom="0.75" header="0.3" footer="0.3"/>
  <pageSetup paperSize="9" orientation="portrait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CC90-79D1-4C32-84E7-C469D8F02E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03C7F3B7E1E4584CAF3A38F5110AE" ma:contentTypeVersion="13" ma:contentTypeDescription="Een nieuw document maken." ma:contentTypeScope="" ma:versionID="7649826133dbf0a78cb708b1f1446223">
  <xsd:schema xmlns:xsd="http://www.w3.org/2001/XMLSchema" xmlns:xs="http://www.w3.org/2001/XMLSchema" xmlns:p="http://schemas.microsoft.com/office/2006/metadata/properties" xmlns:ns3="9a683692-b232-4caa-b7f5-7b54a1436757" xmlns:ns4="48635196-bb9b-4342-9613-24187559c88f" targetNamespace="http://schemas.microsoft.com/office/2006/metadata/properties" ma:root="true" ma:fieldsID="84738fe0cbe21108aa8c8b23371f7147" ns3:_="" ns4:_="">
    <xsd:import namespace="9a683692-b232-4caa-b7f5-7b54a1436757"/>
    <xsd:import namespace="48635196-bb9b-4342-9613-24187559c8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83692-b232-4caa-b7f5-7b54a14367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35196-bb9b-4342-9613-24187559c8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7D650-A710-4311-9DB0-03A2CF410F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6F24D6-E629-4203-8158-268EF3CA93F6}">
  <ds:schemaRefs>
    <ds:schemaRef ds:uri="http://purl.org/dc/terms/"/>
    <ds:schemaRef ds:uri="9a683692-b232-4caa-b7f5-7b54a143675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635196-bb9b-4342-9613-24187559c88f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7D63DE-EB61-4DB3-8181-ADC921516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83692-b232-4caa-b7f5-7b54a1436757"/>
    <ds:schemaRef ds:uri="48635196-bb9b-4342-9613-24187559c8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RS (16+4)</vt:lpstr>
      <vt:lpstr>BOM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2020-07-06T05:41:08Z</dcterms:created>
  <dcterms:modified xsi:type="dcterms:W3CDTF">2021-01-16T21:06:00Z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0x010100C1203C7F3B7E1E4584CAF3A38F5110AE</vt:lpwstr>
  </property>
</Properties>
</file>